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mc:AlternateContent xmlns:mc="http://schemas.openxmlformats.org/markup-compatibility/2006">
    <mc:Choice Requires="x15">
      <x15ac:absPath xmlns:x15ac="http://schemas.microsoft.com/office/spreadsheetml/2010/11/ac" url="C:\Users\inovabiz\Documents\Global - Documentación\Diseño de Casos de Pruebas Gemma\"/>
    </mc:Choice>
  </mc:AlternateContent>
  <xr:revisionPtr revIDLastSave="0" documentId="13_ncr:1_{87E01361-0ADC-4866-BEA8-08ECF6ADFC94}" xr6:coauthVersionLast="38" xr6:coauthVersionMax="38" xr10:uidLastSave="{00000000-0000-0000-0000-000000000000}"/>
  <bookViews>
    <workbookView xWindow="0" yWindow="0" windowWidth="20490" windowHeight="6045" tabRatio="756" firstSheet="13" activeTab="15" xr2:uid="{00000000-000D-0000-FFFF-FFFF00000000}"/>
  </bookViews>
  <sheets>
    <sheet name="Mapa Gemma" sheetId="18" r:id="rId1"/>
    <sheet name="Maestros - Cliente" sheetId="27" r:id="rId2"/>
    <sheet name="Maestros - Distribuidor" sheetId="32" r:id="rId3"/>
    <sheet name="Maestros - Parte 1" sheetId="22" r:id="rId4"/>
    <sheet name="Maestros - Vehículo" sheetId="35" r:id="rId5"/>
    <sheet name="Maestros - Parte 2" sheetId="33" r:id="rId6"/>
    <sheet name="Maestros - Politica de Prepagos" sheetId="45" r:id="rId7"/>
    <sheet name="Maestros - Tramo Puntaje" sheetId="40" r:id="rId8"/>
    <sheet name="Maestros - Incentivo" sheetId="44" r:id="rId9"/>
    <sheet name="Maestros - Campaña" sheetId="43" r:id="rId10"/>
    <sheet name="Maestros - Producto Credito" sheetId="42" r:id="rId11"/>
    <sheet name="Maestros - Peajes" sheetId="41" r:id="rId12"/>
    <sheet name="Maestros - DocumentosRequeridos" sheetId="36" r:id="rId13"/>
    <sheet name="Maestros - RUT Bloqueados" sheetId="39" r:id="rId14"/>
    <sheet name="Maestros - RazonSeguimiento" sheetId="37" r:id="rId15"/>
    <sheet name="Maestro-RazonSeguimientContacto" sheetId="38" r:id="rId16"/>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13" i="38" l="1"/>
  <c r="Q12" i="38"/>
  <c r="Q11" i="38"/>
  <c r="Q10" i="38"/>
  <c r="Q9" i="38"/>
  <c r="Q8" i="38"/>
  <c r="Q7" i="38"/>
  <c r="Q6" i="38"/>
  <c r="Q5" i="38"/>
  <c r="P13" i="38"/>
  <c r="P10" i="38"/>
  <c r="P9" i="38"/>
  <c r="P8" i="38"/>
  <c r="P7" i="38"/>
  <c r="P6" i="38"/>
  <c r="P5" i="38"/>
  <c r="Q15" i="37"/>
  <c r="Q14" i="37"/>
  <c r="Q13" i="37"/>
  <c r="P15" i="37"/>
  <c r="P12" i="37"/>
  <c r="P10" i="37"/>
  <c r="P11" i="37"/>
  <c r="P9" i="37"/>
  <c r="P8" i="37"/>
  <c r="P7" i="37"/>
  <c r="P6" i="37"/>
  <c r="P5" i="37"/>
  <c r="N10" i="39"/>
  <c r="N9" i="39"/>
  <c r="N8" i="39"/>
  <c r="N7" i="39"/>
  <c r="N6" i="39"/>
  <c r="N5" i="39"/>
  <c r="AQ14" i="36"/>
  <c r="AQ13" i="36"/>
  <c r="AP14" i="36"/>
  <c r="AP13" i="36"/>
  <c r="AP12" i="36"/>
  <c r="AP11" i="36"/>
  <c r="AP10" i="36"/>
  <c r="AP9" i="36"/>
  <c r="AP8" i="36"/>
  <c r="AP7" i="36"/>
  <c r="AP6" i="36"/>
  <c r="AP5" i="36"/>
  <c r="AN14" i="41"/>
  <c r="AN13" i="41"/>
  <c r="AM14" i="41"/>
  <c r="AM13" i="41"/>
  <c r="AM12" i="41"/>
  <c r="AM11" i="41"/>
  <c r="AM10" i="41"/>
  <c r="AM9" i="41"/>
  <c r="AM8" i="41"/>
  <c r="AM7" i="41"/>
  <c r="AM6" i="41"/>
  <c r="AQ16" i="44"/>
  <c r="AQ15" i="44"/>
  <c r="AQ14" i="44"/>
  <c r="AQ13" i="44"/>
  <c r="AQ12" i="44"/>
  <c r="AQ11" i="44"/>
  <c r="AQ10" i="44"/>
  <c r="AQ9" i="44"/>
  <c r="AQ8" i="44"/>
  <c r="AQ7" i="44"/>
  <c r="AQ6" i="44"/>
  <c r="AR15" i="44"/>
  <c r="AR14" i="44"/>
  <c r="AR13" i="44"/>
  <c r="AR12" i="44"/>
  <c r="AR11" i="44"/>
  <c r="AR10" i="44"/>
  <c r="AR9" i="44"/>
  <c r="AR8" i="44"/>
  <c r="AR7" i="44"/>
  <c r="AR6" i="44"/>
  <c r="AR16" i="42"/>
  <c r="AR15" i="42"/>
  <c r="AR14" i="42"/>
  <c r="AR13" i="42"/>
  <c r="AR12" i="42"/>
  <c r="AR11" i="42"/>
  <c r="AR10" i="42"/>
  <c r="AR9" i="42"/>
  <c r="AR8" i="42"/>
  <c r="AR7" i="42"/>
  <c r="AR6" i="42"/>
  <c r="AQ16" i="42"/>
  <c r="AQ15" i="42"/>
  <c r="AQ14" i="42"/>
  <c r="AQ12" i="42"/>
  <c r="AQ13" i="42"/>
  <c r="AQ9" i="42"/>
  <c r="AQ11" i="42"/>
  <c r="AQ10" i="42"/>
  <c r="AQ8" i="42"/>
  <c r="AQ7" i="42"/>
  <c r="AQ6" i="42"/>
  <c r="AY16" i="43"/>
  <c r="AY15" i="43"/>
  <c r="AY14" i="43"/>
  <c r="AY13" i="43"/>
  <c r="AY12" i="43"/>
  <c r="AY11" i="43"/>
  <c r="AY10" i="43"/>
  <c r="AY9" i="43"/>
  <c r="AY8" i="43"/>
  <c r="AZ15" i="43"/>
  <c r="AZ14" i="43"/>
  <c r="AZ13" i="43"/>
  <c r="AZ12" i="43"/>
  <c r="AZ11" i="43"/>
  <c r="AZ10" i="43"/>
  <c r="AZ9" i="43"/>
  <c r="AZ8" i="43"/>
  <c r="AZ7" i="43"/>
  <c r="BJ64" i="33"/>
  <c r="BJ63" i="33"/>
  <c r="BJ62" i="33"/>
  <c r="BJ61" i="33"/>
  <c r="BJ60" i="33"/>
  <c r="BJ59" i="33"/>
  <c r="BJ58" i="33"/>
  <c r="BJ57" i="33"/>
  <c r="BJ56" i="33"/>
  <c r="BJ55" i="33"/>
  <c r="BJ52" i="33"/>
  <c r="BJ51" i="33"/>
  <c r="BJ50" i="33"/>
  <c r="BJ38" i="33"/>
  <c r="BJ49" i="33"/>
  <c r="BJ37" i="33"/>
  <c r="BJ48" i="33"/>
  <c r="BJ36" i="33"/>
  <c r="BJ35" i="33"/>
  <c r="BJ47" i="33"/>
  <c r="BJ46" i="33"/>
  <c r="BJ34" i="33"/>
  <c r="BJ45" i="33"/>
  <c r="BJ33" i="33"/>
  <c r="BJ44" i="33"/>
  <c r="BJ32" i="33"/>
  <c r="BJ43" i="33"/>
  <c r="BJ40" i="33"/>
  <c r="BJ39" i="33"/>
  <c r="BJ31" i="33"/>
  <c r="BJ30" i="33" l="1"/>
  <c r="BJ29" i="33"/>
  <c r="BJ28" i="33"/>
  <c r="BJ27" i="33"/>
  <c r="BJ26" i="33"/>
  <c r="BJ25" i="33"/>
  <c r="BJ24" i="33"/>
  <c r="BJ23" i="33"/>
  <c r="BJ22" i="33"/>
  <c r="BJ21" i="33"/>
  <c r="BJ20" i="33"/>
  <c r="BJ19" i="33"/>
  <c r="BJ18" i="33"/>
  <c r="BJ17" i="33"/>
  <c r="BK16" i="33"/>
  <c r="BK15" i="33"/>
  <c r="BK14" i="33"/>
  <c r="BK13" i="33"/>
  <c r="BK12" i="33"/>
  <c r="BK11" i="33"/>
  <c r="BK10" i="33"/>
  <c r="BK9" i="33"/>
  <c r="BK8" i="33"/>
  <c r="BK7" i="33"/>
  <c r="BK6" i="33"/>
  <c r="BK5" i="33"/>
  <c r="BJ16" i="33"/>
  <c r="BJ15" i="33"/>
  <c r="BJ13" i="33"/>
  <c r="BJ14" i="33"/>
  <c r="BJ12" i="33"/>
  <c r="BJ11" i="33"/>
  <c r="BJ10" i="33"/>
  <c r="BJ9" i="33"/>
  <c r="BJ8" i="33"/>
  <c r="BJ7" i="33"/>
  <c r="BJ6" i="33"/>
  <c r="T15" i="40"/>
  <c r="T14" i="40"/>
  <c r="T13" i="40"/>
  <c r="T12" i="40"/>
  <c r="T11" i="40"/>
  <c r="S15" i="40"/>
  <c r="S13" i="40"/>
  <c r="S14" i="40"/>
  <c r="S12" i="40"/>
  <c r="S11" i="40"/>
  <c r="S10" i="40"/>
  <c r="S9" i="40"/>
  <c r="S8" i="40"/>
  <c r="S7" i="40"/>
  <c r="S6" i="40"/>
  <c r="S5" i="40"/>
  <c r="V10" i="45"/>
  <c r="V9" i="45"/>
  <c r="V8" i="45"/>
  <c r="V7" i="45"/>
  <c r="V6" i="45"/>
  <c r="V5" i="45"/>
  <c r="BH7" i="35"/>
  <c r="BG14" i="35"/>
  <c r="BG13" i="35"/>
  <c r="BG12" i="35"/>
  <c r="BG11" i="35"/>
  <c r="BG10" i="35"/>
  <c r="BG9" i="35"/>
  <c r="BG8" i="35"/>
  <c r="BG7" i="35"/>
  <c r="BG5" i="35"/>
  <c r="BG6" i="35"/>
  <c r="BG4" i="35"/>
  <c r="BH4" i="35"/>
  <c r="BH6" i="35"/>
  <c r="BH5" i="35"/>
  <c r="CO179" i="22" l="1"/>
  <c r="CO178" i="22"/>
  <c r="CO177" i="22"/>
  <c r="CO176" i="22"/>
  <c r="CO175" i="22"/>
  <c r="CO174" i="22"/>
  <c r="CO173" i="22"/>
  <c r="CO172" i="22"/>
  <c r="CO171" i="22"/>
  <c r="CO170" i="22"/>
  <c r="CO169" i="22"/>
  <c r="CO168" i="22"/>
  <c r="CO167" i="22"/>
  <c r="CO166" i="22"/>
  <c r="CN176" i="22"/>
  <c r="CN175" i="22"/>
  <c r="CN174" i="22"/>
  <c r="CN173" i="22"/>
  <c r="CN172" i="22"/>
  <c r="CN168" i="22"/>
  <c r="CN171" i="22"/>
  <c r="CN170" i="22"/>
  <c r="CN169" i="22"/>
  <c r="CN167" i="22"/>
  <c r="CN166" i="22"/>
  <c r="CO165" i="22"/>
  <c r="CO164" i="22"/>
  <c r="CO163" i="22"/>
  <c r="CO162" i="22"/>
  <c r="CO161" i="22"/>
  <c r="CO159" i="22"/>
  <c r="CO160" i="22"/>
  <c r="CO158" i="22"/>
  <c r="CO157" i="22"/>
  <c r="CO156" i="22"/>
  <c r="CO155" i="22"/>
  <c r="CO154" i="22"/>
  <c r="CO153" i="22"/>
  <c r="CN162" i="22"/>
  <c r="CN161" i="22"/>
  <c r="CN160" i="22"/>
  <c r="CN159" i="22"/>
  <c r="CN158" i="22"/>
  <c r="CN157" i="22"/>
  <c r="CN156" i="22"/>
  <c r="CN155" i="22"/>
  <c r="CN154" i="22"/>
  <c r="CN153" i="22"/>
  <c r="CO148" i="22"/>
  <c r="CO149" i="22"/>
  <c r="CO150" i="22"/>
  <c r="CO151" i="22"/>
  <c r="CO152" i="22"/>
  <c r="CO147" i="22"/>
  <c r="CN149" i="22"/>
  <c r="CN148" i="22"/>
  <c r="CN147" i="22"/>
  <c r="CN146" i="22"/>
  <c r="CN145" i="22"/>
  <c r="CN144" i="22"/>
  <c r="CN143" i="22"/>
  <c r="CN142" i="22"/>
  <c r="CN141" i="22"/>
  <c r="CN140" i="22"/>
  <c r="CN139" i="22"/>
  <c r="CO135" i="22" l="1"/>
  <c r="CN135" i="22"/>
  <c r="CO138" i="22"/>
  <c r="CO137" i="22"/>
  <c r="CO136" i="22"/>
  <c r="CO134" i="22"/>
  <c r="CN40" i="22"/>
  <c r="CN55" i="22"/>
  <c r="CN68" i="22"/>
  <c r="CN121" i="22"/>
  <c r="CN134" i="22"/>
  <c r="CN133" i="22"/>
  <c r="CN132" i="22"/>
  <c r="CN131" i="22"/>
  <c r="CN130" i="22"/>
  <c r="CN129" i="22"/>
  <c r="CN128" i="22"/>
  <c r="CN127" i="22"/>
  <c r="CN126" i="22"/>
  <c r="CN125" i="22"/>
  <c r="CO124" i="22"/>
  <c r="CO123" i="22"/>
  <c r="CO122" i="22"/>
  <c r="CO121" i="22"/>
  <c r="CO120" i="22"/>
  <c r="CN120" i="22"/>
  <c r="CN119" i="22"/>
  <c r="CN118" i="22"/>
  <c r="CN117" i="22"/>
  <c r="CN116" i="22"/>
  <c r="CN115" i="22"/>
  <c r="CN112" i="22"/>
  <c r="CN114" i="22" l="1"/>
  <c r="CN113" i="22"/>
  <c r="CO111" i="22"/>
  <c r="CO110" i="22"/>
  <c r="CO109" i="22"/>
  <c r="CO108" i="22"/>
  <c r="CO107" i="22"/>
  <c r="CN107" i="22"/>
  <c r="CN108" i="22"/>
  <c r="CN106" i="22"/>
  <c r="CN105" i="22"/>
  <c r="CN104" i="22"/>
  <c r="CN103" i="22"/>
  <c r="CN102" i="22"/>
  <c r="CN101" i="22"/>
  <c r="CN100" i="22"/>
  <c r="CN99" i="22"/>
  <c r="CN98" i="22"/>
  <c r="CO97" i="22"/>
  <c r="CO96" i="22"/>
  <c r="CO95" i="22"/>
  <c r="CO94" i="22"/>
  <c r="CN94" i="22"/>
  <c r="CN93" i="22"/>
  <c r="CN92" i="22"/>
  <c r="CN91" i="22"/>
  <c r="CN90" i="22"/>
  <c r="CN89" i="22"/>
  <c r="CN88" i="22"/>
  <c r="CN87" i="22"/>
  <c r="CN86" i="22"/>
  <c r="CN85" i="22"/>
  <c r="CN72" i="22"/>
  <c r="CO84" i="22"/>
  <c r="CO83" i="22"/>
  <c r="CO82" i="22"/>
  <c r="CO81" i="22"/>
  <c r="CN80" i="22"/>
  <c r="CN78" i="22"/>
  <c r="CN77" i="22"/>
  <c r="CN76" i="22"/>
  <c r="CN75" i="22"/>
  <c r="CN62" i="22"/>
  <c r="CN74" i="22"/>
  <c r="CN73" i="22"/>
  <c r="CN81" i="22"/>
  <c r="CN79" i="22"/>
  <c r="CO58" i="22"/>
  <c r="CO57" i="22"/>
  <c r="CO55" i="22"/>
  <c r="CO56" i="22"/>
  <c r="CO53" i="22"/>
  <c r="CO52" i="22"/>
  <c r="CO51" i="22"/>
  <c r="CO50" i="22"/>
  <c r="CO49" i="22"/>
  <c r="CO48" i="22"/>
  <c r="CO47" i="22"/>
  <c r="CO46" i="22"/>
  <c r="CO45" i="22"/>
  <c r="CO44" i="22"/>
  <c r="CN37" i="22"/>
  <c r="CN54" i="22"/>
  <c r="CN52" i="22"/>
  <c r="CN51" i="22"/>
  <c r="CN53" i="22"/>
  <c r="CN50" i="22"/>
  <c r="CN49" i="22"/>
  <c r="CN48" i="22"/>
  <c r="CN47" i="22"/>
  <c r="CN46" i="22"/>
  <c r="CN59" i="22"/>
  <c r="CN31" i="22"/>
  <c r="CN32" i="22"/>
  <c r="CN18" i="22"/>
  <c r="CN5" i="22"/>
  <c r="CN44" i="22"/>
  <c r="CN45" i="22"/>
  <c r="CO71" i="22"/>
  <c r="CO70" i="22"/>
  <c r="CO69" i="22"/>
  <c r="CO68" i="22"/>
  <c r="CN67" i="22"/>
  <c r="CN66" i="22"/>
  <c r="CN65" i="22"/>
  <c r="CN64" i="22"/>
  <c r="CN63" i="22"/>
  <c r="CN61" i="22"/>
  <c r="CN60" i="22"/>
  <c r="CO43" i="22"/>
  <c r="CO42" i="22"/>
  <c r="CO41" i="22"/>
  <c r="CO40" i="22"/>
  <c r="CO29" i="22"/>
  <c r="CO28" i="22"/>
  <c r="CO27" i="22"/>
  <c r="CN27" i="22"/>
  <c r="CN39" i="22"/>
  <c r="CN38" i="22"/>
  <c r="CN36" i="22"/>
  <c r="CN35" i="22"/>
  <c r="CN34" i="22"/>
  <c r="CN33" i="22"/>
  <c r="CO30" i="22"/>
  <c r="CN26" i="22"/>
  <c r="CN25" i="22"/>
  <c r="CN22" i="22"/>
  <c r="CN21" i="22"/>
  <c r="CN20" i="22"/>
  <c r="CN19" i="22"/>
  <c r="CN24" i="22"/>
  <c r="CN23" i="22"/>
  <c r="CO17" i="22"/>
  <c r="CO15" i="22"/>
  <c r="CO16" i="22"/>
  <c r="CO14" i="22"/>
  <c r="CN14" i="22"/>
  <c r="CN13" i="22"/>
  <c r="CN10" i="22"/>
  <c r="CN12" i="22"/>
  <c r="CN11" i="22"/>
  <c r="CN8" i="22"/>
  <c r="CN7" i="22"/>
  <c r="CN9" i="22"/>
  <c r="CN6" i="22"/>
  <c r="DE21" i="32" l="1"/>
  <c r="DE24" i="32"/>
  <c r="DE23" i="32"/>
  <c r="DE22" i="32"/>
  <c r="DE20" i="32"/>
  <c r="DE19" i="32"/>
  <c r="DE18" i="32"/>
  <c r="DE13" i="32"/>
  <c r="DE11" i="32"/>
  <c r="DE10" i="32"/>
  <c r="DE8" i="32"/>
  <c r="DE7" i="32"/>
  <c r="DE6" i="32" l="1"/>
  <c r="GA19" i="27" l="1"/>
  <c r="GA18" i="27"/>
  <c r="GA17" i="27"/>
  <c r="GA16" i="27"/>
  <c r="GA15" i="27" l="1"/>
  <c r="GA14" i="27"/>
  <c r="GA13" i="27"/>
  <c r="GA12" i="27"/>
  <c r="GA10" i="27"/>
  <c r="GA8" i="27"/>
  <c r="GA11" i="27" l="1"/>
  <c r="GA9" i="27"/>
  <c r="GA7" i="27"/>
  <c r="GA6" i="27"/>
  <c r="V11" i="45" l="1"/>
  <c r="W11" i="45" l="1"/>
  <c r="W10" i="45"/>
  <c r="W9" i="45"/>
  <c r="W8" i="45"/>
  <c r="W7" i="45"/>
  <c r="W6" i="45"/>
  <c r="W5" i="45"/>
  <c r="AY7" i="43"/>
  <c r="AY6" i="43"/>
  <c r="AZ6" i="43"/>
  <c r="AN12" i="41"/>
  <c r="AN11" i="41"/>
  <c r="AN10" i="41"/>
  <c r="AN9" i="41"/>
  <c r="AN8" i="41"/>
  <c r="AN7" i="41"/>
  <c r="AN6" i="41"/>
  <c r="T10" i="40" l="1"/>
  <c r="T9" i="40"/>
  <c r="T8" i="40"/>
  <c r="T7" i="40"/>
  <c r="T6" i="40"/>
  <c r="T5" i="40"/>
  <c r="BJ5" i="33"/>
  <c r="O10" i="39" l="1"/>
  <c r="O9" i="39"/>
  <c r="O8" i="39"/>
  <c r="O7" i="39"/>
  <c r="O6" i="39"/>
  <c r="O5" i="39"/>
  <c r="AQ12" i="36"/>
  <c r="AQ11" i="36"/>
  <c r="AQ10" i="36"/>
  <c r="AQ9" i="36"/>
  <c r="AQ8" i="36"/>
  <c r="AQ7" i="36"/>
  <c r="AQ6" i="36"/>
  <c r="AQ5" i="36"/>
  <c r="Q12" i="37"/>
  <c r="Q11" i="37"/>
  <c r="Q10" i="37"/>
  <c r="Q9" i="37"/>
  <c r="Q8" i="37"/>
  <c r="Q7" i="37"/>
  <c r="Q6" i="37"/>
  <c r="Q5" i="37"/>
  <c r="BH9" i="35" l="1"/>
  <c r="BH14" i="35"/>
  <c r="BH13" i="35"/>
  <c r="BH12" i="35"/>
  <c r="BH11" i="35"/>
  <c r="BH10" i="35"/>
  <c r="BH8" i="35"/>
  <c r="CO146" i="22" l="1"/>
  <c r="CO145" i="22"/>
  <c r="CO144" i="22"/>
  <c r="CO143" i="22"/>
  <c r="CO142" i="22"/>
  <c r="CO141" i="22"/>
  <c r="CO140" i="22"/>
  <c r="CO139" i="22"/>
  <c r="CO129" i="22"/>
  <c r="CO127" i="22"/>
  <c r="CO128" i="22"/>
  <c r="CO126" i="22"/>
  <c r="CO125" i="22"/>
  <c r="CO113" i="22"/>
  <c r="CO112" i="22"/>
  <c r="CO12" i="22"/>
  <c r="CO13" i="22"/>
  <c r="CO11" i="22"/>
  <c r="CO9" i="22"/>
  <c r="CO8" i="22"/>
  <c r="CO7" i="22"/>
  <c r="CO6" i="22"/>
  <c r="CO5" i="22"/>
  <c r="CO133" i="22" l="1"/>
  <c r="CO132" i="22"/>
  <c r="CO131" i="22"/>
  <c r="CO130" i="22"/>
  <c r="CO118" i="22" l="1"/>
  <c r="CO117" i="22"/>
  <c r="CO115" i="22"/>
  <c r="CO114" i="22"/>
  <c r="CO116" i="22"/>
  <c r="CO119" i="22"/>
  <c r="CO106" i="22"/>
  <c r="CO105" i="22"/>
  <c r="CO104" i="22"/>
  <c r="CO102" i="22"/>
  <c r="CO101" i="22"/>
  <c r="CO99" i="22"/>
  <c r="CO100" i="22"/>
  <c r="CO103" i="22"/>
  <c r="CO98" i="22"/>
  <c r="CO93" i="22"/>
  <c r="CO92" i="22"/>
  <c r="CO91" i="22"/>
  <c r="CO89" i="22"/>
  <c r="CO88" i="22"/>
  <c r="CO86" i="22"/>
  <c r="CO87" i="22"/>
  <c r="CO90" i="22"/>
  <c r="CO85" i="22"/>
  <c r="CO59" i="22"/>
  <c r="CO72" i="22"/>
  <c r="CO80" i="22"/>
  <c r="CO79" i="22"/>
  <c r="CO78" i="22"/>
  <c r="CO77" i="22"/>
  <c r="CO76" i="22"/>
  <c r="CO75" i="22"/>
  <c r="CO74" i="22"/>
  <c r="CO73" i="22"/>
  <c r="CO67" i="22" l="1"/>
  <c r="CO64" i="22"/>
  <c r="CO65" i="22"/>
  <c r="CO66" i="22"/>
  <c r="CO63" i="22"/>
  <c r="CO62" i="22"/>
  <c r="CO61" i="22"/>
  <c r="CO60" i="22"/>
  <c r="CO54" i="22"/>
  <c r="CO38" i="22" l="1"/>
  <c r="CO37" i="22"/>
  <c r="CO36" i="22"/>
  <c r="CO35" i="22"/>
  <c r="CO34" i="22"/>
  <c r="CO33" i="22"/>
  <c r="CO32" i="22"/>
  <c r="CO31" i="22"/>
  <c r="CO25" i="22"/>
  <c r="CO24" i="22"/>
  <c r="CO23" i="22"/>
  <c r="CO22" i="22"/>
  <c r="CO21" i="22"/>
  <c r="CO20" i="22"/>
  <c r="CO19" i="22"/>
  <c r="CO18" i="22"/>
  <c r="CO10" i="22"/>
  <c r="CO39" i="22"/>
  <c r="CO26" i="22"/>
</calcChain>
</file>

<file path=xl/sharedStrings.xml><?xml version="1.0" encoding="utf-8"?>
<sst xmlns="http://schemas.openxmlformats.org/spreadsheetml/2006/main" count="3725" uniqueCount="1577">
  <si>
    <t>Inicio</t>
  </si>
  <si>
    <t>Premium</t>
  </si>
  <si>
    <t>Rut Válido</t>
  </si>
  <si>
    <t>Proceso</t>
  </si>
  <si>
    <t>Sub-Proceso</t>
  </si>
  <si>
    <t>TX</t>
  </si>
  <si>
    <t>Credito</t>
  </si>
  <si>
    <t>Descripcion CP</t>
  </si>
  <si>
    <t>Resultado Esperado</t>
  </si>
  <si>
    <t>RUT</t>
  </si>
  <si>
    <t>Gemma</t>
  </si>
  <si>
    <t>Por estado de caso</t>
  </si>
  <si>
    <t>Cotización</t>
  </si>
  <si>
    <t>Trabajar con Casos</t>
  </si>
  <si>
    <t xml:space="preserve">Distribuidor	</t>
  </si>
  <si>
    <t xml:space="preserve">Tipo Vehículo	</t>
  </si>
  <si>
    <t>Marca y Modelo</t>
  </si>
  <si>
    <t>Seguimiento</t>
  </si>
  <si>
    <t xml:space="preserve">Nº Operación	</t>
  </si>
  <si>
    <t xml:space="preserve">Cliente Nombre	</t>
  </si>
  <si>
    <t>Sucursal</t>
  </si>
  <si>
    <t>Estado Op.</t>
  </si>
  <si>
    <t xml:space="preserve">Filtro Fecha	</t>
  </si>
  <si>
    <t xml:space="preserve">Desde - Hasta	</t>
  </si>
  <si>
    <t>Vendedor</t>
  </si>
  <si>
    <t xml:space="preserve">Tipo Crédito	</t>
  </si>
  <si>
    <t xml:space="preserve">Ejecutivo	</t>
  </si>
  <si>
    <t xml:space="preserve">Financiera	</t>
  </si>
  <si>
    <t xml:space="preserve">Tipo Financiamiento	</t>
  </si>
  <si>
    <t xml:space="preserve">Canal	</t>
  </si>
  <si>
    <t>Validar los 3 mas solicitados</t>
  </si>
  <si>
    <t>Validar los 3 mas destacados</t>
  </si>
  <si>
    <t>Operación válida</t>
  </si>
  <si>
    <t>Cliente válido</t>
  </si>
  <si>
    <t>Entidad mas utlizada</t>
  </si>
  <si>
    <t>Cerrando Crédito
Negoc. Descuento
Negoc. Toma
No hay modelo
No tiene Pie
Para mas Adelante
Vendiendo Vehículo
Viendo Otras Marcas
Sin seguimiento</t>
  </si>
  <si>
    <t>Estado de Caso</t>
  </si>
  <si>
    <t>Rango de fecha válido</t>
  </si>
  <si>
    <t>Inteligente
Convencional
Leasing
Leasing Inteligente</t>
  </si>
  <si>
    <t>Abierto</t>
  </si>
  <si>
    <t>Propuesta</t>
  </si>
  <si>
    <t>Solicitud</t>
  </si>
  <si>
    <t>Solicitudes</t>
  </si>
  <si>
    <t>Evaluaciones</t>
  </si>
  <si>
    <t>Evaluación</t>
  </si>
  <si>
    <t>Aprobadas</t>
  </si>
  <si>
    <t>Condicionadas</t>
  </si>
  <si>
    <t>Por Estado Seguimiento</t>
  </si>
  <si>
    <t>Cerrando Crédito</t>
  </si>
  <si>
    <t>Negoc. Descuento</t>
  </si>
  <si>
    <t>Negoc. Toma</t>
  </si>
  <si>
    <t>No hay Modelo</t>
  </si>
  <si>
    <t>No tiene Pie</t>
  </si>
  <si>
    <t>Para mas Adelante</t>
  </si>
  <si>
    <t>Vendiendo Vehiculo</t>
  </si>
  <si>
    <t>Viendo otras Marcas</t>
  </si>
  <si>
    <t>Sin Seguimiento</t>
  </si>
  <si>
    <t>Pendientes</t>
  </si>
  <si>
    <t>Precursadas</t>
  </si>
  <si>
    <t>Precursada</t>
  </si>
  <si>
    <t>Vendido con Crédito</t>
  </si>
  <si>
    <t>Respaldadas</t>
  </si>
  <si>
    <t>Validadas</t>
  </si>
  <si>
    <t>Ingresadas</t>
  </si>
  <si>
    <t>Casos</t>
  </si>
  <si>
    <t>Dashboard</t>
  </si>
  <si>
    <t xml:space="preserve">Inicio </t>
  </si>
  <si>
    <t>Generar Solicitud</t>
  </si>
  <si>
    <t>Datos Cliente</t>
  </si>
  <si>
    <t>Canal</t>
  </si>
  <si>
    <t>Tipo Cliente</t>
  </si>
  <si>
    <t>RUT Cliente</t>
  </si>
  <si>
    <t xml:space="preserve">¿ Es mayor de 64 años ?	</t>
  </si>
  <si>
    <t>Telefono</t>
  </si>
  <si>
    <t xml:space="preserve">Telefono Celular </t>
  </si>
  <si>
    <t>Email</t>
  </si>
  <si>
    <t>RUT válido</t>
  </si>
  <si>
    <t>Campo Obligatorio</t>
  </si>
  <si>
    <t>Ingresos Dependiente</t>
  </si>
  <si>
    <t>Ingreso Mensual</t>
  </si>
  <si>
    <t>RUT Empleador</t>
  </si>
  <si>
    <t xml:space="preserve">Antigüedad </t>
  </si>
  <si>
    <t>Superior a 500.000</t>
  </si>
  <si>
    <t>Mas de 12 meses</t>
  </si>
  <si>
    <t>Información Vehículo</t>
  </si>
  <si>
    <t>Campaña</t>
  </si>
  <si>
    <t>Estado</t>
  </si>
  <si>
    <t>Año</t>
  </si>
  <si>
    <t>Marca</t>
  </si>
  <si>
    <t>Modelo</t>
  </si>
  <si>
    <t>Versión</t>
  </si>
  <si>
    <t>Tipo Credito</t>
  </si>
  <si>
    <t>Plazo</t>
  </si>
  <si>
    <t>CIA Seguro</t>
  </si>
  <si>
    <t>Seguro Cesantía</t>
  </si>
  <si>
    <t>GPS</t>
  </si>
  <si>
    <t>Precio</t>
  </si>
  <si>
    <t>Adicionales</t>
  </si>
  <si>
    <t>Pie Adicional</t>
  </si>
  <si>
    <t>Producto</t>
  </si>
  <si>
    <t>En caso de existir se habilita</t>
  </si>
  <si>
    <t>Generar solicitudes entorno al crédito automotriz</t>
  </si>
  <si>
    <t>Inteligente</t>
  </si>
  <si>
    <t>Convencional</t>
  </si>
  <si>
    <t>12
24
36
48
60</t>
  </si>
  <si>
    <t>Opcional</t>
  </si>
  <si>
    <t>Información no modificable</t>
  </si>
  <si>
    <t xml:space="preserve">Si </t>
  </si>
  <si>
    <t>No</t>
  </si>
  <si>
    <t>El cliente puede desistir del GPS en este tipo de crédito, igual se incorpora ya que el debe solicitarlo, para el leasing en obligatorio</t>
  </si>
  <si>
    <t>Pie</t>
  </si>
  <si>
    <t>Mínimo un 20%</t>
  </si>
  <si>
    <t>RUT Aval</t>
  </si>
  <si>
    <t>Es Compra Para</t>
  </si>
  <si>
    <t>¿Es mayor de 64 años?</t>
  </si>
  <si>
    <t xml:space="preserve">Aval </t>
  </si>
  <si>
    <t>Es opcional depende del crédito que solicite el cliente, de sus ingresos y el modelo de auto seleccionado</t>
  </si>
  <si>
    <t>Comentario</t>
  </si>
  <si>
    <t>Dato relevante complementario</t>
  </si>
  <si>
    <t>Generar solicitud, es realizada mediante un ejecutivo, que se encuentra ubicado en los diferentes puntos de ventas.</t>
  </si>
  <si>
    <t>La solicitud es verificada primeramente por Admisión para dar respuesta a dicha solicitud</t>
  </si>
  <si>
    <t>Trabajar con casos</t>
  </si>
  <si>
    <t>Trabajar con casos - Filtros</t>
  </si>
  <si>
    <t>Antecedentes Financiamiento</t>
  </si>
  <si>
    <t>Antecedentes Personales</t>
  </si>
  <si>
    <t>Antecedentes Laborales</t>
  </si>
  <si>
    <t>Activos/ Gastos e Ingresos</t>
  </si>
  <si>
    <t xml:space="preserve">Info Evaluación </t>
  </si>
  <si>
    <t>Histórico Cliente</t>
  </si>
  <si>
    <t>Bitacora</t>
  </si>
  <si>
    <t xml:space="preserve">Se genera mediante calculos efectuados por el sistema </t>
  </si>
  <si>
    <t>Muestra el control de las actividades que se van realizando gradualmente</t>
  </si>
  <si>
    <t>Modificar Cliente</t>
  </si>
  <si>
    <t xml:space="preserve">Descripción del plan de financiamiento </t>
  </si>
  <si>
    <t>Datos personales del cliente solicitante, en caso de requerir modificación de datos, se activan los campos que se pueden actualizar</t>
  </si>
  <si>
    <t>Se genera mediante el estatus de las transsacciones que se van procesando</t>
  </si>
  <si>
    <t>Resumen de datos estadísticos financieros del cliente.</t>
  </si>
  <si>
    <t xml:space="preserve">Modificar Info Evaluación </t>
  </si>
  <si>
    <t xml:space="preserve">Filtramos los datos de la solicitud ingresada (Opciones filtros usados en Inicio), N° Operación: Valor generado por el sistema. </t>
  </si>
  <si>
    <t>Tareas</t>
  </si>
  <si>
    <t>Bitacoras</t>
  </si>
  <si>
    <t>Generar Carta Aprobación</t>
  </si>
  <si>
    <t>1- Se realiza la evaluación por parte de Riesgos - Admisión de la solicitud del cliente, verificando datos y comparando con otros sistemas financieros.</t>
  </si>
  <si>
    <t xml:space="preserve">2- Generar la carta de aprobación, indicando que la solicitud pasa a otro estado donde Riesgos - Validación convalida los requisitos solicitados al cliente </t>
  </si>
  <si>
    <t>Aprobar</t>
  </si>
  <si>
    <t>3- Se habilita la opción de Aprobar.</t>
  </si>
  <si>
    <t>Precursar</t>
  </si>
  <si>
    <t xml:space="preserve">5- El cliente debe presentar en físico toda la documentación solicitada para precursar. </t>
  </si>
  <si>
    <t>4- El evaluador acepta la solictud y realiza comentarios y/o adjunta documentación en caso de ser necesario. Se activa la opción de Precursar.</t>
  </si>
  <si>
    <t>Cierre</t>
  </si>
  <si>
    <t>Vehículo</t>
  </si>
  <si>
    <t>Medio de pago</t>
  </si>
  <si>
    <t>PAC
PAT
Cuponera</t>
  </si>
  <si>
    <t>Se activa de acuerdo al medio de pago seleccionado</t>
  </si>
  <si>
    <t xml:space="preserve">Se agregan los datos requeridos en torno al vehículo e información de pago. </t>
  </si>
  <si>
    <t>Se debe agregar un valor de PATENTE valido para continuar con la actualización de datos.</t>
  </si>
  <si>
    <t>Se habilita la opción Documentos Asociados, se adjuntan todos los documentos que fueron solicitados anteriomente.</t>
  </si>
  <si>
    <t>Documentos Asociados</t>
  </si>
  <si>
    <t>Documentos Respaldo</t>
  </si>
  <si>
    <t>Documentos Requeridos para Carta de Entrega</t>
  </si>
  <si>
    <t>Documentos Requeridos para Curse</t>
  </si>
  <si>
    <t>Se adjuntan todos los documentos solicitados al cliente para continuar con el flujo de datos</t>
  </si>
  <si>
    <t>El ejecutivo valida, verifica y aprueba los documentos, luego se graban los datos y el sistema genera la carta de entrega.</t>
  </si>
  <si>
    <t>Solicitud Curse</t>
  </si>
  <si>
    <t>Chasis</t>
  </si>
  <si>
    <t>Motor</t>
  </si>
  <si>
    <t>Patente</t>
  </si>
  <si>
    <t>Fecha Incripción o Traspaso</t>
  </si>
  <si>
    <t>Se verifican que los valores sean los correctos</t>
  </si>
  <si>
    <t>Fecha de inscripción, debe estar por debajo de la actual. Puede generarse un error en el distribuidor solicitado al no tener días de Tolerancia cargados</t>
  </si>
  <si>
    <r>
      <t xml:space="preserve">Al finalizar el proceso, el sistema envia los datos de la solicitud al </t>
    </r>
    <r>
      <rPr>
        <b/>
        <sz val="11"/>
        <color rgb="FFFF0000"/>
        <rFont val="Calibri"/>
        <family val="2"/>
        <scheme val="minor"/>
      </rPr>
      <t>sistema cartera.</t>
    </r>
  </si>
  <si>
    <t>Reasignar casos</t>
  </si>
  <si>
    <t xml:space="preserve">Se realiza la busqueda del caso de acuerdo al filtro seleccionado. </t>
  </si>
  <si>
    <t>Reasignar al Vendedor</t>
  </si>
  <si>
    <t xml:space="preserve">Listado de vendedores </t>
  </si>
  <si>
    <t>Se selecciona el nuevo vendedor que atendera la solicitud</t>
  </si>
  <si>
    <t>Generar nuevas cotizaciones y propuestas</t>
  </si>
  <si>
    <t>Generar Cotización</t>
  </si>
  <si>
    <t>Cliente</t>
  </si>
  <si>
    <t>Datos por Defecto del Usuario</t>
  </si>
  <si>
    <t>Nombre</t>
  </si>
  <si>
    <t>Apellido Paterno</t>
  </si>
  <si>
    <t>Celular</t>
  </si>
  <si>
    <t>Observación Cliente</t>
  </si>
  <si>
    <t>N° Operación válido</t>
  </si>
  <si>
    <t>Seleccionar del listado</t>
  </si>
  <si>
    <t>Campo obligatorio</t>
  </si>
  <si>
    <t>Vehículos</t>
  </si>
  <si>
    <t>Kilometraje</t>
  </si>
  <si>
    <t>Retoma - Valores Opcionales</t>
  </si>
  <si>
    <t>A partir del año 2010</t>
  </si>
  <si>
    <t>Valor en el mercado</t>
  </si>
  <si>
    <t>Prob. Venta</t>
  </si>
  <si>
    <t>Fecha Est. de Compra</t>
  </si>
  <si>
    <t>Fecha seguimiento</t>
  </si>
  <si>
    <t xml:space="preserve">Observación </t>
  </si>
  <si>
    <t>Equipamiento</t>
  </si>
  <si>
    <t xml:space="preserve">Filtros </t>
  </si>
  <si>
    <t>Distribuidor</t>
  </si>
  <si>
    <t>Ejecutivo</t>
  </si>
  <si>
    <t>Por Estado de Caso</t>
  </si>
  <si>
    <t>Generar Propuesta</t>
  </si>
  <si>
    <t>Generado por el sistema</t>
  </si>
  <si>
    <t>Apellido Materno</t>
  </si>
  <si>
    <t>Telefono fijo</t>
  </si>
  <si>
    <t>Telefono Celular</t>
  </si>
  <si>
    <t>Información General</t>
  </si>
  <si>
    <t>Reasignación de casos a otros usuario</t>
  </si>
  <si>
    <t>Fecha Primera Cuota</t>
  </si>
  <si>
    <t>Fecha Cotización</t>
  </si>
  <si>
    <t>Perdida Total</t>
  </si>
  <si>
    <t>Prestamo</t>
  </si>
  <si>
    <t>Tipo Crédito</t>
  </si>
  <si>
    <t>Tasa%</t>
  </si>
  <si>
    <t>Plazos y cuotas</t>
  </si>
  <si>
    <t>Prob. Venta Crédito</t>
  </si>
  <si>
    <t>Fecha Tarea</t>
  </si>
  <si>
    <t>Observación</t>
  </si>
  <si>
    <t>Comisiones</t>
  </si>
  <si>
    <t>Generar solicitudes entorno al Leasing</t>
  </si>
  <si>
    <t>Generar Leasing</t>
  </si>
  <si>
    <t>Aval</t>
  </si>
  <si>
    <t>Check list</t>
  </si>
  <si>
    <t>Indepediente
Dependiente
Empresa</t>
  </si>
  <si>
    <t>Deducible</t>
  </si>
  <si>
    <t>Primer Anual Neta</t>
  </si>
  <si>
    <t>Si
No</t>
  </si>
  <si>
    <t>En este caso para el tipo de crédito leasing, es obligatorio que el cliente tenga activo el GPS, por lo tanto estaría por defecto</t>
  </si>
  <si>
    <t>Precio con IVA</t>
  </si>
  <si>
    <t>Cuota Contado Neta</t>
  </si>
  <si>
    <t>Valor total del vehículo</t>
  </si>
  <si>
    <t>Mínimo 20% del monto total</t>
  </si>
  <si>
    <t>Leasing 
Leasing Inteligente</t>
  </si>
  <si>
    <t>Leasing 
Leasing Platinum</t>
  </si>
  <si>
    <t>Leasing Inteligente</t>
  </si>
  <si>
    <t>Leasing Convencional</t>
  </si>
  <si>
    <t>24
36</t>
  </si>
  <si>
    <t>18
24
36
48</t>
  </si>
  <si>
    <t>Calcular el valor de las cuotas mediante el icono de calculo, ubicado de lado derecho</t>
  </si>
  <si>
    <t>Peajes</t>
  </si>
  <si>
    <t>Buscar la solicitud de Leasing creada, por cualquiera de las dos opciones</t>
  </si>
  <si>
    <t>Verificar los datos cargados en la solicitud, se genera la solictud y se vuelve a ingresar al caso asignado con el código.</t>
  </si>
  <si>
    <t>Información Tributaria</t>
  </si>
  <si>
    <t>Avales</t>
  </si>
  <si>
    <t>Antecedentes Empresas</t>
  </si>
  <si>
    <t>Info Evaluación</t>
  </si>
  <si>
    <t>Bitácora</t>
  </si>
  <si>
    <t xml:space="preserve">Fecha posterior </t>
  </si>
  <si>
    <r>
      <t>Seguimiento -</t>
    </r>
    <r>
      <rPr>
        <sz val="11"/>
        <color theme="1"/>
        <rFont val="Calibri"/>
        <family val="2"/>
        <scheme val="minor"/>
      </rPr>
      <t xml:space="preserve"> Tarea</t>
    </r>
  </si>
  <si>
    <t>Datos Préstamos</t>
  </si>
  <si>
    <t>Solicitud Plazo</t>
  </si>
  <si>
    <t>Solicitud Cuota</t>
  </si>
  <si>
    <t>Comisión</t>
  </si>
  <si>
    <t>Dirección</t>
  </si>
  <si>
    <t>Comuna</t>
  </si>
  <si>
    <t>Ciudad</t>
  </si>
  <si>
    <t>Fecha Nacimiento</t>
  </si>
  <si>
    <t>Estado Civil</t>
  </si>
  <si>
    <t>Es Chileno</t>
  </si>
  <si>
    <t>Profesión</t>
  </si>
  <si>
    <t>Check List</t>
  </si>
  <si>
    <t>Seleccionar valor</t>
  </si>
  <si>
    <t>Fecha valida</t>
  </si>
  <si>
    <t>Notaria</t>
  </si>
  <si>
    <t>Fecha</t>
  </si>
  <si>
    <t>Descripción</t>
  </si>
  <si>
    <t>Fecha valida posterior</t>
  </si>
  <si>
    <t>Al generar la solicitud el sistema actualiza los datos que sean necesarios</t>
  </si>
  <si>
    <t>Se debe seleccionar el tipo de plazo de acuerdo a lo indicado por el cliente</t>
  </si>
  <si>
    <t>Solicitud Tipo Crédito</t>
  </si>
  <si>
    <t>Leasing
Leasing inteligente</t>
  </si>
  <si>
    <t>Valores acualizados luego de seleccionar los dos campos anteriores</t>
  </si>
  <si>
    <t>Otros</t>
  </si>
  <si>
    <t>Campos modificables, en caso de ser necesario cambiar valores.</t>
  </si>
  <si>
    <t>Valores no modificables</t>
  </si>
  <si>
    <t>Agregar al menos un aval obligatoriamente en el caso de Leasing</t>
  </si>
  <si>
    <t>Descripción válida</t>
  </si>
  <si>
    <t>En esta pestaña es obligatorio agregar estos 3 valores en lla pestaña - Notaria</t>
  </si>
  <si>
    <t>Información de cliente</t>
  </si>
  <si>
    <t>Dicom Cliente</t>
  </si>
  <si>
    <t>Información Empleador</t>
  </si>
  <si>
    <t>Dicom Empleador</t>
  </si>
  <si>
    <t>Scoring Global</t>
  </si>
  <si>
    <t>En caso de ser necesario el evaluador puede agregar o cambiar los valores de acuerdo al cliente o al empleador</t>
  </si>
  <si>
    <t>Si en necesario hacer algún ajuste en los datos, presionar confimar. Se requiere mayor ampliación de este punto.</t>
  </si>
  <si>
    <t>Resumen informativo</t>
  </si>
  <si>
    <t>Pasos detallados</t>
  </si>
  <si>
    <t>Se documenta el cambio en los estados a medida que se ha ido avanzando la solicitud generada.</t>
  </si>
  <si>
    <t>Carta Aprobación</t>
  </si>
  <si>
    <t xml:space="preserve">Generar la carta de aprobación, indicando que la solicitud pasa a otro estado donde Riesgos - Validación convalida los requisitos solicitados al cliente </t>
  </si>
  <si>
    <t>Fecha primera cuota</t>
  </si>
  <si>
    <t>Forma de pago</t>
  </si>
  <si>
    <t>Deposito Cliente
Deposito Distribuidor
Deposito Otros</t>
  </si>
  <si>
    <t>Esta consulta sera eliminada de Gemma, no es utilizada la opción Condicionadas.</t>
  </si>
  <si>
    <t>En precursar Riesgo (Admisión y validación) evaluan el caso del posible credito a aprobar dependiendo del monto y las condiciones</t>
  </si>
  <si>
    <t>Visualización de Reportes</t>
  </si>
  <si>
    <t>Motivos de Rechazo</t>
  </si>
  <si>
    <t>Reportes</t>
  </si>
  <si>
    <t>Tipo Vehículo</t>
  </si>
  <si>
    <t>Estado Vehículo</t>
  </si>
  <si>
    <t>Fecha Período</t>
  </si>
  <si>
    <t>Seleccionar vendedor</t>
  </si>
  <si>
    <t>Nuevo
Usado</t>
  </si>
  <si>
    <t>Seleccionar Ejecutivo</t>
  </si>
  <si>
    <t>Período válido</t>
  </si>
  <si>
    <t xml:space="preserve">Campo Obligatorio para la consulta. </t>
  </si>
  <si>
    <t>Operaciones Detallado</t>
  </si>
  <si>
    <t>Categoria</t>
  </si>
  <si>
    <t>Validar los 3 mas consultados</t>
  </si>
  <si>
    <t>Fecha válida</t>
  </si>
  <si>
    <t>Zona</t>
  </si>
  <si>
    <t>Seleccionar Zona</t>
  </si>
  <si>
    <t>1 Global
2 Nuevos
3 Expert
4 Usados
5 Estudio
6 Fuera</t>
  </si>
  <si>
    <t>Elegir el Distrubuidor según el primer filtro</t>
  </si>
  <si>
    <t xml:space="preserve">Reporte que muestra valores referente a la evaluación de acuerdo a la atención de los casos que se asigne a un empleado. </t>
  </si>
  <si>
    <t>Para ellos Riesgo define un rango de valores métricos y porcentaje que tienen un tope por mes</t>
  </si>
  <si>
    <t xml:space="preserve">Puntaje </t>
  </si>
  <si>
    <t>Opción</t>
  </si>
  <si>
    <t>Primera
Segunda
Tercera</t>
  </si>
  <si>
    <t>Mediante el reporte se puede analizar cual es el porcentaje de motivos de rechazo de acuerdo a la solicitudes de crédito realizada por el cliente.</t>
  </si>
  <si>
    <t>Mes</t>
  </si>
  <si>
    <t>Seleccionar Mes</t>
  </si>
  <si>
    <t>Año anterior o actual</t>
  </si>
  <si>
    <t>Reporte que permite validar la calidad de los créditos que son solicitados.</t>
  </si>
  <si>
    <t>Actualizar Datos Maestros</t>
  </si>
  <si>
    <t>Maestros</t>
  </si>
  <si>
    <t>RUT Bloqueados</t>
  </si>
  <si>
    <t>Cliente Nombre</t>
  </si>
  <si>
    <t>Nombre guardado</t>
  </si>
  <si>
    <t>Los valores se obtienen mediante variables cualitativas y cuantitativas de una muestra de 6626 cliente durante un período determinado.</t>
  </si>
  <si>
    <t>Funcionalidad que permite bloquear a un cliente reportado por algún inconveniente, como morosidad, estafa, robos.</t>
  </si>
  <si>
    <t>Fecha Desde</t>
  </si>
  <si>
    <t>Fecha Hasta</t>
  </si>
  <si>
    <t>Calcular</t>
  </si>
  <si>
    <t>Generada
Por Pagar
Pagada</t>
  </si>
  <si>
    <t>Eliminar</t>
  </si>
  <si>
    <t>Modifica</t>
  </si>
  <si>
    <t>Cliente RUT</t>
  </si>
  <si>
    <t>Negra Razón</t>
  </si>
  <si>
    <t>RUT Válido</t>
  </si>
  <si>
    <t>Descripción detallada</t>
  </si>
  <si>
    <t>Nombre Cliente</t>
  </si>
  <si>
    <t>Solicita confirmación para eliminar el cliente de la lista negra</t>
  </si>
  <si>
    <t>Solicita colocar una fecha de calculo, sin embargo no muestra nada</t>
  </si>
  <si>
    <t>Del listado que es filtrado de acuerdo a la busqueda, seleccionar un codigo, para trabajar con el caso.</t>
  </si>
  <si>
    <t>Resumen de los cambios respecto al estado del caso.</t>
  </si>
  <si>
    <t>Seleccionar la operación con la que se va a trabajar.</t>
  </si>
  <si>
    <t>Llama al proceso trabajar con casos (Validar la relevancia y el paso a paso de como trabajar la comisión)</t>
  </si>
  <si>
    <t>Trabajar con Comisiones</t>
  </si>
  <si>
    <t>Trabajar con Peajes</t>
  </si>
  <si>
    <t>Modificar Telefono</t>
  </si>
  <si>
    <t>Ver Propuesta</t>
  </si>
  <si>
    <t>Anular</t>
  </si>
  <si>
    <t>Prepagar</t>
  </si>
  <si>
    <t>Extingir</t>
  </si>
  <si>
    <t>Cancelar</t>
  </si>
  <si>
    <t xml:space="preserve">Ingresado	</t>
  </si>
  <si>
    <t>Nombre Válido</t>
  </si>
  <si>
    <t>Reporte solo de consulta que permite verificar los casos que han sido ingresados</t>
  </si>
  <si>
    <t>Comisiones Por Liquidar</t>
  </si>
  <si>
    <t>Al seleccionar una de las opciones de los filtros o escribir el nombre del cliente,  y Refrescar Busqueda se muestra un error Server Error in '/gemmatest2' Application.</t>
  </si>
  <si>
    <t>Fecha Válida</t>
  </si>
  <si>
    <t>Reporte utilizado por Dpto de Riesgos Validación para verificar las comisiones que estan pendiente por liquidar.</t>
  </si>
  <si>
    <t>Colocaciones Detallado</t>
  </si>
  <si>
    <t>Fecha Venta</t>
  </si>
  <si>
    <t>Validar los 3 mas utilizados</t>
  </si>
  <si>
    <t>Reporte que muestra información de acuerdo a la colocación del crédito, seleccionando característica, muestra valores cuantitativos</t>
  </si>
  <si>
    <t>Documentación Pendiente</t>
  </si>
  <si>
    <t>Pagado</t>
  </si>
  <si>
    <t>Seleccionar Vendedor</t>
  </si>
  <si>
    <t xml:space="preserve">Casos </t>
  </si>
  <si>
    <t>Generar otras solicitudes</t>
  </si>
  <si>
    <t>Panel Consulta Forzaje</t>
  </si>
  <si>
    <t>Operaciones no Cursadas por Prenda Pendiente</t>
  </si>
  <si>
    <t>Las prendas funcionan como una garantía para el acreedor de una deuda, es auto tiene limitación legal que permite su uso pero restringe su propiedad.</t>
  </si>
  <si>
    <t>Estado Op.: En Prenda si tomamos el numero de código, se puede verificar.</t>
  </si>
  <si>
    <t>Pendiente terminar desarrollo.</t>
  </si>
  <si>
    <t>Colocaciones</t>
  </si>
  <si>
    <t>Categoría</t>
  </si>
  <si>
    <t>Tipo Vehiculo</t>
  </si>
  <si>
    <t>Estado Vehiculo</t>
  </si>
  <si>
    <t>Reporte que permite verificar las cantidad de crédito que han sido colocados por período y de acuerdo al filtro de selección</t>
  </si>
  <si>
    <t>Colocaciones Consolidadas</t>
  </si>
  <si>
    <t>Financiera</t>
  </si>
  <si>
    <t>Autofin
Bci
Falabella
Forum
Global
Gmac
Maf
Masfin
Santander
Scotiabank
Tanner</t>
  </si>
  <si>
    <t>Financiera se refiere a la competencia, ya que global viene siendo una entidad financiera.</t>
  </si>
  <si>
    <r>
      <t>Reporte que muestra solicitudes de créditos.</t>
    </r>
    <r>
      <rPr>
        <b/>
        <sz val="11"/>
        <color rgb="FFFF0000"/>
        <rFont val="Calibri"/>
        <family val="2"/>
        <scheme val="minor"/>
      </rPr>
      <t xml:space="preserve"> Falta validar la diferencia entre este y los dos anteriores y quien lo utiliza</t>
    </r>
    <r>
      <rPr>
        <sz val="11"/>
        <rFont val="Calibri"/>
        <family val="2"/>
        <scheme val="minor"/>
      </rPr>
      <t xml:space="preserve"> </t>
    </r>
  </si>
  <si>
    <t xml:space="preserve">Falta validar la diferencia entre este y los otros dos de colocaciones y quien lo utiliza </t>
  </si>
  <si>
    <t>Valor por defecto.</t>
  </si>
  <si>
    <t>Créditos Pagados</t>
  </si>
  <si>
    <t>N° Operación</t>
  </si>
  <si>
    <t>Banco</t>
  </si>
  <si>
    <t>Fecha desde hasta</t>
  </si>
  <si>
    <t>Rango válido</t>
  </si>
  <si>
    <t>Nombre válido</t>
  </si>
  <si>
    <t>Número Válido</t>
  </si>
  <si>
    <t>Banco BBVA
Banco BCI
Banco BICE
Banco Consorcio
Banco Corpbanca
Banco de Chile
Banco Estado
Banco Falabella
Banco Internacional
Banco Itau
Banco Penta
Banco Santander
Banco Scotiabank
Banco Security
Cuenta Corriente</t>
  </si>
  <si>
    <t>Reporte que permite verificar la información de los créditos que han sido pagados. En estado Extinto o Prepagado.</t>
  </si>
  <si>
    <t>Falta validar que Gerencia hace uso del mismo. Y si se hace cambios de estado mediante la consulta al reporte.</t>
  </si>
  <si>
    <t>Cupón de Pago</t>
  </si>
  <si>
    <t>Operación</t>
  </si>
  <si>
    <t>Código Válido</t>
  </si>
  <si>
    <t>Cliente Email</t>
  </si>
  <si>
    <t>Fecha Pago</t>
  </si>
  <si>
    <t>Envía Email</t>
  </si>
  <si>
    <t xml:space="preserve">Check List </t>
  </si>
  <si>
    <t>Descripción Observaciones</t>
  </si>
  <si>
    <t>Generar</t>
  </si>
  <si>
    <t>Ingresar el numero de operación válido.</t>
  </si>
  <si>
    <t xml:space="preserve">Fecha que debe estar en lo parametros. </t>
  </si>
  <si>
    <t>No es obligatorio marca las opción</t>
  </si>
  <si>
    <t>Al generar la solicitud, se muestra un documento .pdf que la información del cupón generado.</t>
  </si>
  <si>
    <t>Reporte que muestra datos estadísticos de acuerdo con el filtro seleccionado y con el estado del crédito.</t>
  </si>
  <si>
    <t>Falta validar quien ocupa el reporte.</t>
  </si>
  <si>
    <t>Financieras</t>
  </si>
  <si>
    <t>Fracasos</t>
  </si>
  <si>
    <t>01 Visita
02 Telefono
03 Referido
04 Web</t>
  </si>
  <si>
    <t>Gestión Comercial</t>
  </si>
  <si>
    <t>Reporte que válida la cantidad de operaciones fracasadas de acuerdo con la selección de los valores que varían por los motivos descritos de la categoría tomada</t>
  </si>
  <si>
    <t>Reporte que muestra valores sobre la gestión comercial según las siguientes categorías: Casos, Ventas, Solicitudes, Aprobados, Adjudicados, Cierre Venta, Cobertura, Aprobación, Cierre Cred., Penetración, Saldo Precio, Participación.</t>
  </si>
  <si>
    <t xml:space="preserve">Operaciones </t>
  </si>
  <si>
    <t xml:space="preserve">Zona </t>
  </si>
  <si>
    <r>
      <t xml:space="preserve">Reporte que muestra la cantidad de casos que han sido propuestos y enviados a solicitudes de acuerdo con otros valores estadísticos. </t>
    </r>
    <r>
      <rPr>
        <b/>
        <sz val="11"/>
        <color rgb="FFFF0000"/>
        <rFont val="Calibri"/>
        <family val="2"/>
        <scheme val="minor"/>
      </rPr>
      <t>Falta verificar que gerencia lo ocupa</t>
    </r>
  </si>
  <si>
    <t>Ventas</t>
  </si>
  <si>
    <t xml:space="preserve">Fecha </t>
  </si>
  <si>
    <t>Rango fecha válido</t>
  </si>
  <si>
    <t>Falta validar que gerencia lo ocupa</t>
  </si>
  <si>
    <t>Reporte que permite verificar ventas realizadas, de acuerdo con los estados: precursados, respaldados, validados, ingresados y cerrados.</t>
  </si>
  <si>
    <t xml:space="preserve">Ventas vs Proyección </t>
  </si>
  <si>
    <t>Fecha Compra estimada</t>
  </si>
  <si>
    <t>Reporte que permite comparar las ventas realizadas contra proyección de ventas futuras, posibles ventas.</t>
  </si>
  <si>
    <t>Falta validar que gerencia lo ocupa.</t>
  </si>
  <si>
    <t>Distribuidor
Mes</t>
  </si>
  <si>
    <t>Seleccionar Distribuidor</t>
  </si>
  <si>
    <t xml:space="preserve">Medida </t>
  </si>
  <si>
    <t>Monto</t>
  </si>
  <si>
    <t xml:space="preserve">Valor fijo mostrado en la pantalla, no se puede modificar </t>
  </si>
  <si>
    <r>
      <t>Reporte que muestra monto de acuerdo con el rango del peaje y la categoria seleccionada en el filtro</t>
    </r>
    <r>
      <rPr>
        <b/>
        <sz val="11"/>
        <color rgb="FFFF0000"/>
        <rFont val="Calibri"/>
        <family val="2"/>
        <scheme val="minor"/>
      </rPr>
      <t>. Falta validar que gerencia lo ocupa.</t>
    </r>
  </si>
  <si>
    <t>Clientes</t>
  </si>
  <si>
    <t xml:space="preserve">Administración </t>
  </si>
  <si>
    <t>Roles</t>
  </si>
  <si>
    <t>Asignación, administración y actualización de Roles</t>
  </si>
  <si>
    <t>Descripción del Rol</t>
  </si>
  <si>
    <t>Funcionalidades</t>
  </si>
  <si>
    <t>Clave</t>
  </si>
  <si>
    <t>Tipo</t>
  </si>
  <si>
    <t>Clave válida</t>
  </si>
  <si>
    <t>Todos
Modo de Transacción
Acción
Tab
Objeto (Pantalla)
Attribute</t>
  </si>
  <si>
    <t>Modificar</t>
  </si>
  <si>
    <t>Nombre seleccionado</t>
  </si>
  <si>
    <t>Descripción seleccionada</t>
  </si>
  <si>
    <t>Funcionalidad que permite cambiar el nombre y descripción del ROL existente.</t>
  </si>
  <si>
    <t>Transacción que permite crear, definir y modificar los roles asignados a los usuarios del sistema Gemma.</t>
  </si>
  <si>
    <t>Al presionar el link de funcionalidades se visualizan la diferentes funciones definidas y asociadas al ROL.</t>
  </si>
  <si>
    <t>Canales</t>
  </si>
  <si>
    <t xml:space="preserve">Eliminar </t>
  </si>
  <si>
    <t>Agregar</t>
  </si>
  <si>
    <t>Exportar a excel.</t>
  </si>
  <si>
    <t>Opción que permite eliminar el canal existente.</t>
  </si>
  <si>
    <t>Opción que permite modificar el canal existente.</t>
  </si>
  <si>
    <t>AGREGAR</t>
  </si>
  <si>
    <t>EXPORT EXCEL</t>
  </si>
  <si>
    <t>Nuevo nombre</t>
  </si>
  <si>
    <t>Permite crear una nueva opción</t>
  </si>
  <si>
    <t>ID</t>
  </si>
  <si>
    <t>Generado por sistema</t>
  </si>
  <si>
    <t>Campo a modificar</t>
  </si>
  <si>
    <t>Filtro para buscar un canal existente.</t>
  </si>
  <si>
    <t>Última Modificación Creación
Venta/Fracaso
Prepagado/Extinto</t>
  </si>
  <si>
    <t>Todos                  Renegociación
Refinanciamiento
Nuevo
Renovación</t>
  </si>
  <si>
    <t>Cerrando Crédito
Negoc. Descuento
Negoc. Toma
No hay modelo
No tiene Pie
Para mas Adelante
Vendiendo Vehículo
Viendo Otras Marcas
Sin seguimiento                     Todos</t>
  </si>
  <si>
    <t>Todos                            Inteligente
Convencional
Leasing
Leasing Inteligente</t>
  </si>
  <si>
    <t>Todos                        Renegociación
Refinanciamiento
Nuevo
Renovación</t>
  </si>
  <si>
    <r>
      <t xml:space="preserve">(Despliega un listado con todos los casos que tienen como </t>
    </r>
    <r>
      <rPr>
        <b/>
        <sz val="11"/>
        <color theme="1"/>
        <rFont val="Calibri"/>
        <family val="2"/>
        <scheme val="minor"/>
      </rPr>
      <t>Estado Op.: Propuesta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Propuesta</t>
    </r>
    <r>
      <rPr>
        <sz val="11"/>
        <color theme="1"/>
        <rFont val="Calibri"/>
        <family val="2"/>
        <scheme val="minor"/>
      </rPr>
      <t xml:space="preserve"> se llama al proceso de </t>
    </r>
    <r>
      <rPr>
        <b/>
        <sz val="11"/>
        <color theme="1"/>
        <rFont val="Calibri"/>
        <family val="2"/>
        <scheme val="minor"/>
      </rPr>
      <t xml:space="preserve">Generar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</si>
  <si>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r>
      <t xml:space="preserve">(Despliega un listado con todos los casos que tienen como </t>
    </r>
    <r>
      <rPr>
        <b/>
        <sz val="11"/>
        <color theme="1"/>
        <rFont val="Calibri"/>
        <family val="2"/>
        <scheme val="minor"/>
      </rPr>
      <t>Estado Op.: Cotización y Estado Caso: Abierto,</t>
    </r>
    <r>
      <rPr>
        <sz val="11"/>
        <color theme="1"/>
        <rFont val="Calibri"/>
        <family val="2"/>
        <scheme val="minor"/>
      </rPr>
      <t xml:space="preserve"> campos seleccionados por defecto).                         La consulta se va a ir modificando de acuerdo al filtro de los campos seleccionados.                                                                                                                                                Al presionar en el listado alguno de los numero de CODIGO, se llama al proceso</t>
    </r>
    <r>
      <rPr>
        <b/>
        <sz val="11"/>
        <color theme="1"/>
        <rFont val="Calibri"/>
        <family val="2"/>
        <scheme val="minor"/>
      </rPr>
      <t xml:space="preserve"> Generar propuesta.                                                                                        </t>
    </r>
    <r>
      <rPr>
        <sz val="11"/>
        <color theme="1"/>
        <rFont val="Calibri"/>
        <family val="2"/>
        <scheme val="minor"/>
      </rPr>
      <t xml:space="preserve">Desde la pantalla inicial se puede adicionalmente </t>
    </r>
    <r>
      <rPr>
        <b/>
        <sz val="11"/>
        <color theme="1"/>
        <rFont val="Calibri"/>
        <family val="2"/>
        <scheme val="minor"/>
      </rPr>
      <t>Agregar Cotización - Agregar Propuesta</t>
    </r>
    <r>
      <rPr>
        <sz val="11"/>
        <color theme="1"/>
        <rFont val="Calibri"/>
        <family val="2"/>
        <scheme val="minor"/>
      </rPr>
      <t xml:space="preserve">. Y descargar en un archivo </t>
    </r>
    <r>
      <rPr>
        <b/>
        <sz val="11"/>
        <color theme="1"/>
        <rFont val="Calibri"/>
        <family val="2"/>
        <scheme val="minor"/>
      </rPr>
      <t>Excel</t>
    </r>
    <r>
      <rPr>
        <sz val="11"/>
        <color theme="1"/>
        <rFont val="Calibri"/>
        <family val="2"/>
        <scheme val="minor"/>
      </rPr>
      <t xml:space="preserve"> con la información seleccionada.</t>
    </r>
  </si>
  <si>
    <t xml:space="preserve">Al seleccionar las opciones que se encuentran en filtros, se actualiza la consulta Gestión de Casos abiertos y los dashboard descritos posteriormente. </t>
  </si>
  <si>
    <t>Los valores mostrados se actualizan de acuerdo  con el usuario activo.</t>
  </si>
  <si>
    <r>
      <t xml:space="preserve">(Despliega un listado con todos los casos que tienen como </t>
    </r>
    <r>
      <rPr>
        <b/>
        <sz val="11"/>
        <color theme="1"/>
        <rFont val="Calibri"/>
        <family val="2"/>
        <scheme val="minor"/>
      </rPr>
      <t>Estado Op.: Solicitud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Solicitud</t>
    </r>
    <r>
      <rPr>
        <sz val="11"/>
        <color theme="1"/>
        <rFont val="Calibri"/>
        <family val="2"/>
        <scheme val="minor"/>
      </rPr>
      <t xml:space="preserve"> se llama al proceso de </t>
    </r>
    <r>
      <rPr>
        <b/>
        <sz val="11"/>
        <color theme="1"/>
        <rFont val="Calibri"/>
        <family val="2"/>
        <scheme val="minor"/>
      </rPr>
      <t xml:space="preserve">Trabajar con casos - Enviar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</si>
  <si>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r>
      <t xml:space="preserve">(Despliega un listado con todos los casos que tienen como </t>
    </r>
    <r>
      <rPr>
        <b/>
        <sz val="11"/>
        <color theme="1"/>
        <rFont val="Calibri"/>
        <family val="2"/>
        <scheme val="minor"/>
      </rPr>
      <t>Estado Op.: Evaluación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Evaluación</t>
    </r>
    <r>
      <rPr>
        <sz val="11"/>
        <color theme="1"/>
        <rFont val="Calibri"/>
        <family val="2"/>
        <scheme val="minor"/>
      </rPr>
      <t xml:space="preserve"> se llama al proceso de </t>
    </r>
    <r>
      <rPr>
        <b/>
        <sz val="11"/>
        <color theme="1"/>
        <rFont val="Calibri"/>
        <family val="2"/>
        <scheme val="minor"/>
      </rPr>
      <t xml:space="preserve"> Aprobación y Ver Propuesta.</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</si>
  <si>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Aprobado</t>
  </si>
  <si>
    <t>Evaluadores</t>
  </si>
  <si>
    <t>Cotización
Propuesta
Solicitud
Evaluación 
Aprobada
Rechazada
Condicionada
Precursada
Validada
Cursada
Anulada
Ingresado 
Pagado 
Extinta
Prepagado
Respaldada
Todos</t>
  </si>
  <si>
    <t>Tesorería</t>
  </si>
  <si>
    <t>Generar operaciones de flujo de caja, saldos precios, comisiones, peajes</t>
  </si>
  <si>
    <t>Panel Pago Saldo Precio</t>
  </si>
  <si>
    <t>Generar Liquidación</t>
  </si>
  <si>
    <t xml:space="preserve">Una vez seleccionado los valores filtrados se muestran en la Grilla. Seleccionar las operaciones a cancelar. </t>
  </si>
  <si>
    <r>
      <t xml:space="preserve">(Despliega un listado con todos los casos que tienen como </t>
    </r>
    <r>
      <rPr>
        <b/>
        <sz val="11"/>
        <color theme="1"/>
        <rFont val="Calibri"/>
        <family val="2"/>
        <scheme val="minor"/>
      </rPr>
      <t>Estado Op.: Aprobada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Aprobado</t>
    </r>
    <r>
      <rPr>
        <sz val="11"/>
        <color theme="1"/>
        <rFont val="Calibri"/>
        <family val="2"/>
        <scheme val="minor"/>
      </rPr>
      <t xml:space="preserve"> se llama al proceso de </t>
    </r>
    <r>
      <rPr>
        <b/>
        <sz val="11"/>
        <color theme="1"/>
        <rFont val="Calibri"/>
        <family val="2"/>
        <scheme val="minor"/>
      </rPr>
      <t xml:space="preserve"> Precursar.</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</si>
  <si>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Rechazada</t>
  </si>
  <si>
    <r>
      <t xml:space="preserve">(Despliega un listado con todos los casos que tienen como </t>
    </r>
    <r>
      <rPr>
        <b/>
        <sz val="11"/>
        <color theme="1"/>
        <rFont val="Calibri"/>
        <family val="2"/>
        <scheme val="minor"/>
      </rPr>
      <t>Estado Op.: Rechazada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Aprobado</t>
    </r>
    <r>
      <rPr>
        <sz val="11"/>
        <color theme="1"/>
        <rFont val="Calibri"/>
        <family val="2"/>
        <scheme val="minor"/>
      </rPr>
      <t xml:space="preserve"> se activan las opciones de </t>
    </r>
    <r>
      <rPr>
        <b/>
        <sz val="11"/>
        <color theme="1"/>
        <rFont val="Calibri"/>
        <family val="2"/>
        <scheme val="minor"/>
      </rPr>
      <t xml:space="preserve">apelar, anular, enviar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</si>
  <si>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Última Modificación   Creación
Venta/Fracaso
Prepagado/Extinto</t>
  </si>
  <si>
    <r>
      <t xml:space="preserve">(Despliega un listado con todos los casos que tienen como </t>
    </r>
    <r>
      <rPr>
        <b/>
        <sz val="11"/>
        <color theme="1"/>
        <rFont val="Calibri"/>
        <family val="2"/>
        <scheme val="minor"/>
      </rPr>
      <t>Seguimiento: Negoc. Toma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</si>
  <si>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Negoc. Descuento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</si>
  <si>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Cerrando Crédito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</si>
  <si>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No hay Modelo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</si>
  <si>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No tiene Pie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</si>
  <si>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Seguimiento:Para mas Adelante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</si>
  <si>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Vendiendo Vehiculo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</si>
  <si>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Viendo otras Marcas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</si>
  <si>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Sin Seguimiento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Cotización, Propuesta.</t>
    </r>
    <r>
      <rPr>
        <sz val="11"/>
        <color theme="1"/>
        <rFont val="Calibri"/>
        <family val="2"/>
        <scheme val="minor"/>
      </rPr>
      <t xml:space="preserve">                                                                                                                             *Se tiene como opción adional Agregar Cotización - Agregar Propuesta.</t>
    </r>
  </si>
  <si>
    <t>Cerrando Crédito
Negoc. Descuento
Negoc. Toma
No hay modelo
No tiene Pie
Para mas Adelante
Vendiendo Vehículo
Viendo Otras Marcas
Sin seguimiento               Todos</t>
  </si>
  <si>
    <r>
      <t xml:space="preserve">(Despliega un listado con todos los casos que tienen como </t>
    </r>
    <r>
      <rPr>
        <b/>
        <sz val="11"/>
        <color theme="1"/>
        <rFont val="Calibri"/>
        <family val="2"/>
        <scheme val="minor"/>
      </rPr>
      <t>Estado Op.: Precursada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</si>
  <si>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Respaldadas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</si>
  <si>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Validada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</si>
  <si>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Ingresado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Ingresados,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Generar Carta de aprobación, Anular.</t>
    </r>
    <r>
      <rPr>
        <sz val="11"/>
        <color theme="1"/>
        <rFont val="Calibri"/>
        <family val="2"/>
        <scheme val="minor"/>
      </rPr>
      <t xml:space="preserve">                                                                                                                           *Se tiene como opción adional Agregar Cotización - Agregar Propuesta.</t>
    </r>
  </si>
  <si>
    <t>Se muestra un resumen de los ítem indicados y una gráfica con relación a las ventas, casos y solicitudes. Según el Rol activo.</t>
  </si>
  <si>
    <t>Éxitos del Mes</t>
  </si>
  <si>
    <t>Todos</t>
  </si>
  <si>
    <t>BCI</t>
  </si>
  <si>
    <t>Usuario activo en sistema</t>
  </si>
  <si>
    <t>Mostrado por defecto</t>
  </si>
  <si>
    <t xml:space="preserve">Barra con valor porcentual </t>
  </si>
  <si>
    <t>Fecha estimada Obligatoria</t>
  </si>
  <si>
    <t>Fecha valida proxima revisión</t>
  </si>
  <si>
    <t xml:space="preserve">Generar una cotización solicitada por un cliente o por un posible cliente, con el fin de validar si puede optar a la solicitud de un crédito automotriz </t>
  </si>
  <si>
    <t>Seleccionar día 05/10/15/20/25</t>
  </si>
  <si>
    <t>Fecha de Nacimiento</t>
  </si>
  <si>
    <t>Compra Para</t>
  </si>
  <si>
    <t>Tiene Aval</t>
  </si>
  <si>
    <t>Check Opcional</t>
  </si>
  <si>
    <t>Valor Vehículo</t>
  </si>
  <si>
    <t>Mínimo un 20% Valor Vehiculo</t>
  </si>
  <si>
    <t>Inteligente
Convencional</t>
  </si>
  <si>
    <r>
      <t xml:space="preserve">Calculado al ingresar mediante el boton </t>
    </r>
    <r>
      <rPr>
        <b/>
        <sz val="11"/>
        <color rgb="FFFF0000"/>
        <rFont val="Calibri"/>
        <family val="2"/>
        <scheme val="minor"/>
      </rPr>
      <t>Calcular Cuota</t>
    </r>
    <r>
      <rPr>
        <sz val="11"/>
        <color theme="1"/>
        <rFont val="Calibri"/>
        <family val="2"/>
        <scheme val="minor"/>
      </rPr>
      <t>, la tasa de interés a calcular.</t>
    </r>
  </si>
  <si>
    <t>Check que es seleccionado para que la propuesta genere la solicitud de crédito con la información cargada.</t>
  </si>
  <si>
    <t>Seleccionar filtro</t>
  </si>
  <si>
    <t>Fecha actual por defecto</t>
  </si>
  <si>
    <t>Mismo Datos Vehículo</t>
  </si>
  <si>
    <t>Generar Solicitud al Guardar</t>
  </si>
  <si>
    <t>En el Leasing el AVAL es un requisito obligatorio.</t>
  </si>
  <si>
    <t>BCI Especial</t>
  </si>
  <si>
    <t>Rango establecido</t>
  </si>
  <si>
    <t>Valor calculado en un excel</t>
  </si>
  <si>
    <t>Calcular los datos mediante un formato en excel, de acuerdo al precio del vehículo y el UF del día.</t>
  </si>
  <si>
    <t>Si</t>
  </si>
  <si>
    <t>Seleccionar BCI ESPECIAL</t>
  </si>
  <si>
    <t>Monto Válido</t>
  </si>
  <si>
    <t>Meses Laborando</t>
  </si>
  <si>
    <t>Dependiente del tipo cliente seleccionado se activa el siguiente combo: Dependiente o Independiente</t>
  </si>
  <si>
    <t>Independiente</t>
  </si>
  <si>
    <t>Normal
Renta Presunta
Instantaneo</t>
  </si>
  <si>
    <t>Se activa un icono que indica Subir Carpeta Tributaria</t>
  </si>
  <si>
    <t>Ingresos Independiente</t>
  </si>
  <si>
    <t>Ingreso Declarado</t>
  </si>
  <si>
    <t>De acuerdo con el tipo clasificación seleccionada en independiente: nomal, resta presunta, instantaneo.</t>
  </si>
  <si>
    <t>Nuevo</t>
  </si>
  <si>
    <t>Usado</t>
  </si>
  <si>
    <t>RUT INVALIDO</t>
  </si>
  <si>
    <t>Paso a Paso</t>
  </si>
  <si>
    <t>Nombre CP</t>
  </si>
  <si>
    <t>Dependiente</t>
  </si>
  <si>
    <t>Empresa</t>
  </si>
  <si>
    <t>SI</t>
  </si>
  <si>
    <t>NO</t>
  </si>
  <si>
    <t>Acción</t>
  </si>
  <si>
    <t>Buscar</t>
  </si>
  <si>
    <t>Categoria Nombre</t>
  </si>
  <si>
    <t>Filtro</t>
  </si>
  <si>
    <t xml:space="preserve">Exportar Excel </t>
  </si>
  <si>
    <t>No Maneja Compra Inteligente</t>
  </si>
  <si>
    <t xml:space="preserve">Actividad Ecónomica </t>
  </si>
  <si>
    <t>Ninguno</t>
  </si>
  <si>
    <t>Con Valores</t>
  </si>
  <si>
    <t>Sin Valores</t>
  </si>
  <si>
    <t>Profesion Nombre</t>
  </si>
  <si>
    <t>Raiz Nombre</t>
  </si>
  <si>
    <t>Rechazo Descripcion</t>
  </si>
  <si>
    <t>Código</t>
  </si>
  <si>
    <t>Leasing</t>
  </si>
  <si>
    <t>TC_Gemma_CategoríaDistribuidor_AgregarExportarExcel</t>
  </si>
  <si>
    <t>TC_Gemma_CategoríaDistribuidor_AgregarSinExportarExcel</t>
  </si>
  <si>
    <t>TC_Gemma_CategoríaDistribuidor_ModificarBuscarSinExportarExcel</t>
  </si>
  <si>
    <t>TC_Gemma_CategoríaDistribuidor_EliminarSinExportarExcel</t>
  </si>
  <si>
    <t>TC_Gemma_CategoríaDistribuidor_EliminarBuscarSinExportarExcel</t>
  </si>
  <si>
    <t>TC_Gemma_CategoríaDistribuidor_ExportarExcel</t>
  </si>
  <si>
    <t>TC_Gemma_Canales_AgregarExportarExcel</t>
  </si>
  <si>
    <t>TC_Gemma_Canales_AgregarSinExportarExcel</t>
  </si>
  <si>
    <t>TC_Gemma_Canales_ModificarSinExportarExcel</t>
  </si>
  <si>
    <t>TC_Gemma_Canales_ModificarBuscarSinExportarExcel</t>
  </si>
  <si>
    <t>TC_Gemma_Canales_EliminarSinExportarExcel</t>
  </si>
  <si>
    <t>TC_Gemma_Canales_EliminarBuscarSinExportarExcel</t>
  </si>
  <si>
    <t>TC_Gemma_Canales_ExportarExcel</t>
  </si>
  <si>
    <t>TC_Gemma_ActividadEconómica_AgregarExportarExcel</t>
  </si>
  <si>
    <t>TC_Gemma_ActividadEconómica_AgregarSinExportarExcel</t>
  </si>
  <si>
    <t>TC_Gemma_ActividadEconómica_ModificarSinExportarExcel</t>
  </si>
  <si>
    <t>TC_Gemma_ActividadEconómica_ModificarBuscarSinExportarExcel</t>
  </si>
  <si>
    <t>TC_Gemma_ActividadEconómica_EliminarSinExportarExcel</t>
  </si>
  <si>
    <t>TC_Gemma_ActividadEconómica_EliminarBuscarSinExportarExcel</t>
  </si>
  <si>
    <t>TC_Gemma_ActividadEconómica_ExportarExcel</t>
  </si>
  <si>
    <t>TC_Gemma_TipoVehiculo_AgregarCompraInteligente</t>
  </si>
  <si>
    <t>TC_Gemma_TipoVehiculo_AgregarCompraInteligenteSinExportarExcel</t>
  </si>
  <si>
    <t>TC_Gemma_TipoVehiculo_AgregarSinCompraInteligente</t>
  </si>
  <si>
    <t>TC_Gemma_TipoVehiculo_AgregarSinCompraInteligenteSinExportarExcel</t>
  </si>
  <si>
    <t>TC_Gemma_TipoVehiculo_ModificarSinCompraInteligente</t>
  </si>
  <si>
    <t>TC_Gemma_TipoVehiculo_ModificarConValoresSinCompraInteligente</t>
  </si>
  <si>
    <t>TC_Gemma_TipoVehiculo_EliminarSinCompraInteligente</t>
  </si>
  <si>
    <t>TC_Gemma_TipoVehiculo_EliminarSinValoresSinCompraInteligente</t>
  </si>
  <si>
    <t>TC_Gemma_TipoVehiculo_ModificarCompraInteligente</t>
  </si>
  <si>
    <t>TC_Gemma_TipoVehiculo_EliminarCompraInteligente</t>
  </si>
  <si>
    <t>TC_Gemma_TipoVehiculo_EliminarExportarExcel</t>
  </si>
  <si>
    <t>TC_Gemma_Profesiones_AgregarExportarExcel</t>
  </si>
  <si>
    <t>TC_Gemma_Profesiones_AgregarSinExportarExcel</t>
  </si>
  <si>
    <t>TC_Gemma_Profesiones_ModificarSinExportarExcel</t>
  </si>
  <si>
    <t>TC_Gemma_Profesiones_ModificarBuscarSinExportarExcel</t>
  </si>
  <si>
    <t>TC_Gemma_Profesiones_EliminarSinExportarExcel</t>
  </si>
  <si>
    <t>TC_Gemma_Profesiones_EliminarBuscarSinExportarExcel</t>
  </si>
  <si>
    <t>TC_Gemma_Profesiones_ExportarExcel</t>
  </si>
  <si>
    <t>TC_Gemma_TipoBienRaiz_AgregarExportarExcel</t>
  </si>
  <si>
    <t>TC_Gemma_TipoBienRaiz_AgregarSinExportarExcel</t>
  </si>
  <si>
    <t>TC_Gemma_TipoBienRaiz_ModificarSinExportarExcel</t>
  </si>
  <si>
    <t>TC_Gemma_TipoBienRaiz_ModificarBuscarSinExportarExcel</t>
  </si>
  <si>
    <t>TC_Gemma_TipoBienRaiz_EliminarSinExportarExcel</t>
  </si>
  <si>
    <t>TC_Gemma_TipoBienRaiz_EliminarBuscarSinExportarExcel</t>
  </si>
  <si>
    <t>TC_Gemma_TipoBienRaiz_ExportarExcel</t>
  </si>
  <si>
    <t>TC_Gemma_Razon de fracaso_AgregarExportarExcel</t>
  </si>
  <si>
    <t>TC_Gemma_Razon de fracaso_AgregarSinExportarExcel</t>
  </si>
  <si>
    <t>TC_Gemma_Razon de fracaso_ModificarSinExportarExcel</t>
  </si>
  <si>
    <t>TC_Gemma_Razon de fracaso_ModificarBuscarSinExportarExcel</t>
  </si>
  <si>
    <t>TC_Gemma_Razon de fracaso_EliminarSinExportarExcel</t>
  </si>
  <si>
    <t>TC_Gemma_Razon de fracaso_EliminarBuscarSinExportarExcel</t>
  </si>
  <si>
    <t>TC_Gemma_Razon de fracaso_ExportarExcel</t>
  </si>
  <si>
    <t>TC_Gemma_MotivosRechazo_AgregarExportarExcel</t>
  </si>
  <si>
    <t>TC_Gemma_MotivosRechazo_AgregarSinExportarExcel</t>
  </si>
  <si>
    <t>TC_Gemma_MotivosRechazo_ModificarSinExportarExcel</t>
  </si>
  <si>
    <t>TC_Gemma_MotivosRechazo_ModificarBuscarSinExportarExcel</t>
  </si>
  <si>
    <t>TC_Gemma_MotivosRechazo_EliminarSinExportarExcel</t>
  </si>
  <si>
    <t>TC_Gemma_MotivosRechazo_EliminarBuscarSinExportarExcel</t>
  </si>
  <si>
    <t>TC_Gemma_MotivosRechazo_ExportarExcel</t>
  </si>
  <si>
    <t>Agregar Icono</t>
  </si>
  <si>
    <t>TC_Gemma_Financiera_AgregarExportarExcel</t>
  </si>
  <si>
    <t>TC_Gemma_Financiera_AgregarSinExportarExcel</t>
  </si>
  <si>
    <t>TC_Gemma_Financiera_ModificarSinExportarExcel</t>
  </si>
  <si>
    <t>TC_Gemma_Financiera_ModificarBuscarSinExportarExcel</t>
  </si>
  <si>
    <t>TC_Gemma_Financiera_EliminarSinExportarExcel</t>
  </si>
  <si>
    <t>TC_Gemma_Financiera_EliminarBuscarSinExportarExcel</t>
  </si>
  <si>
    <t>TC_Gemma_Financiera_ExportarExcel</t>
  </si>
  <si>
    <t>TC_Gemma_Banco_AgregarExportarExcel</t>
  </si>
  <si>
    <t>TC_Gemma_Banco_AgregarSinExportarExcel</t>
  </si>
  <si>
    <t>TC_Gemma_Banco_ModificarSinExportarExcel</t>
  </si>
  <si>
    <t>TC_Gemma_Banco_ModificarBuscarSinExportarExcel</t>
  </si>
  <si>
    <t>TC_Gemma_Banco_EliminarSinExportarExcel</t>
  </si>
  <si>
    <t>TC_Gemma_Banco_EliminarBuscarSinExportarExcel</t>
  </si>
  <si>
    <t>TC_Gemma_Banco_ExportarExcel</t>
  </si>
  <si>
    <t>Es BCI</t>
  </si>
  <si>
    <t>TC_Gemma_Zonas_AgregarExportarExcel</t>
  </si>
  <si>
    <t>TC_Gemma_Zonas_AgregarSinExportarExcel</t>
  </si>
  <si>
    <t>TC_Gemma_Zonas_ModificarSinExportarExcel</t>
  </si>
  <si>
    <t>TC_Gemma_Zonas_ModificarBuscarSinExportarExcel</t>
  </si>
  <si>
    <t>TC_Gemma_Zonas_EliminarSinExportarExcel</t>
  </si>
  <si>
    <t>TC_Gemma_Zonas_EliminarBuscarSinExportarExcel</t>
  </si>
  <si>
    <t>TC_Gemma_Zonas_ExportarExcel</t>
  </si>
  <si>
    <t>TC_Gemma_CIAdeSeguro_AgregarExportarExcel</t>
  </si>
  <si>
    <t>TC_Gemma_CIAdeSeguro_AgregarSinExportarExcel</t>
  </si>
  <si>
    <t>TC_Gemma_CIAdeSeguro_ModificarSinExportarExcel</t>
  </si>
  <si>
    <t>TC_Gemma_CIAdeSeguro_ModificarBuscarSinExportarExcel</t>
  </si>
  <si>
    <t>TC_Gemma_CIAdeSeguro_EliminarSinExportarExcel</t>
  </si>
  <si>
    <t>TC_Gemma_CIAdeSeguro_EliminarBuscarSinExportarExcel</t>
  </si>
  <si>
    <t>TC_Gemma_CIAdeSeguro_ExportarExcel</t>
  </si>
  <si>
    <t>Filtros</t>
  </si>
  <si>
    <t>NOMBRE</t>
  </si>
  <si>
    <t>Actividad Económica</t>
  </si>
  <si>
    <t>Región Comercial</t>
  </si>
  <si>
    <t>Comuna Comercial</t>
  </si>
  <si>
    <t>Ciudad Comercial</t>
  </si>
  <si>
    <t>Región Particular</t>
  </si>
  <si>
    <t>Comuna Particular</t>
  </si>
  <si>
    <t>Ciudad Particular</t>
  </si>
  <si>
    <t xml:space="preserve">Acción </t>
  </si>
  <si>
    <t xml:space="preserve">Confirmar </t>
  </si>
  <si>
    <t>Profesor</t>
  </si>
  <si>
    <t>Analista</t>
  </si>
  <si>
    <t>Educación</t>
  </si>
  <si>
    <t>Computación e Informática</t>
  </si>
  <si>
    <t>13 METROPOLITANA</t>
  </si>
  <si>
    <t>SANTIAGO</t>
  </si>
  <si>
    <t>LA FLORIDA</t>
  </si>
  <si>
    <t>HUECHURABA</t>
  </si>
  <si>
    <t>Tipo de Cliente</t>
  </si>
  <si>
    <t>MARTINA JOSE</t>
  </si>
  <si>
    <t>13130216-9</t>
  </si>
  <si>
    <t>Sexo</t>
  </si>
  <si>
    <t>Masculino</t>
  </si>
  <si>
    <t>Femenino</t>
  </si>
  <si>
    <t>Casado con separación de Bienes</t>
  </si>
  <si>
    <t>Casado sin separación de Bienes</t>
  </si>
  <si>
    <t>SOLTERO</t>
  </si>
  <si>
    <t>SEPARADO</t>
  </si>
  <si>
    <t>NINGUNO</t>
  </si>
  <si>
    <t>Natural Nacionalidad</t>
  </si>
  <si>
    <t>Estudios</t>
  </si>
  <si>
    <t>Basica</t>
  </si>
  <si>
    <t>Media</t>
  </si>
  <si>
    <t>Tecnico Completo</t>
  </si>
  <si>
    <t>Universitario  Completo</t>
  </si>
  <si>
    <t>Medico</t>
  </si>
  <si>
    <t>Ninguna</t>
  </si>
  <si>
    <t>Nro</t>
  </si>
  <si>
    <t>TC_Gemma_Caracteristicas_AgregarExportarExcel</t>
  </si>
  <si>
    <t>TC_Gemma_Caracteristicas_AgregarSinExportarExcel</t>
  </si>
  <si>
    <t>TC_Gemma_Caracteristicas_ModificarSinExportarExcel</t>
  </si>
  <si>
    <t>TC_Gemma_Caracteristicas_ModificarBuscarSinExportarExcel</t>
  </si>
  <si>
    <t>TC_Gemma_Caracteristicas_EliminarSinExportarExcel</t>
  </si>
  <si>
    <t>TC_Gemma_Caracteristicas_EliminarBuscarSinExportarExcel</t>
  </si>
  <si>
    <t>TC_Gemma_Caracteristicas_ExportarExcel</t>
  </si>
  <si>
    <t>Región</t>
  </si>
  <si>
    <t>13 Metropolitana</t>
  </si>
  <si>
    <t>Santiago</t>
  </si>
  <si>
    <t>Casa Habita</t>
  </si>
  <si>
    <t xml:space="preserve">Nombre </t>
  </si>
  <si>
    <t>Usuario</t>
  </si>
  <si>
    <t>Cambiar Contraseña</t>
  </si>
  <si>
    <t>Arrendada</t>
  </si>
  <si>
    <t>De la Familia</t>
  </si>
  <si>
    <t>Propia</t>
  </si>
  <si>
    <t>Avaluo Comercial</t>
  </si>
  <si>
    <t>Monto Dividendo/ Arriendo</t>
  </si>
  <si>
    <t>Domicilio Particular</t>
  </si>
  <si>
    <t xml:space="preserve">Referencia Personal </t>
  </si>
  <si>
    <t>Nombre Completo</t>
  </si>
  <si>
    <t>Parentesco</t>
  </si>
  <si>
    <t>Telefono Casa</t>
  </si>
  <si>
    <t>Antecedentes Bancarios</t>
  </si>
  <si>
    <t>Nro Cuenta</t>
  </si>
  <si>
    <t xml:space="preserve">Años Antigüedad </t>
  </si>
  <si>
    <t>Nombre Titular Cuenta Corriente</t>
  </si>
  <si>
    <t>ANTECEDENTES PERSONALES</t>
  </si>
  <si>
    <t>ANTECEDENTES LABORALES</t>
  </si>
  <si>
    <t xml:space="preserve">Situación Actual </t>
  </si>
  <si>
    <t>Domicilio Comercial</t>
  </si>
  <si>
    <t>Giro de la Empresa</t>
  </si>
  <si>
    <t xml:space="preserve">Computación e Informatica </t>
  </si>
  <si>
    <t>Importaciones</t>
  </si>
  <si>
    <t>Cargo</t>
  </si>
  <si>
    <t>Fecha Contrato</t>
  </si>
  <si>
    <t xml:space="preserve">Dirección </t>
  </si>
  <si>
    <t>Telefóno 1</t>
  </si>
  <si>
    <t>Telefono 2</t>
  </si>
  <si>
    <t>ACTIVOS / GASTOS E INGRESOS</t>
  </si>
  <si>
    <t xml:space="preserve">Ingresos </t>
  </si>
  <si>
    <t>Sueldo</t>
  </si>
  <si>
    <t>Impuesto a la Renta</t>
  </si>
  <si>
    <t>Tarjetas de Crédito</t>
  </si>
  <si>
    <t>Otros Ingresos</t>
  </si>
  <si>
    <t>Otros Gastos</t>
  </si>
  <si>
    <t>Gastos</t>
  </si>
  <si>
    <t xml:space="preserve">Cuotas deudas Banco </t>
  </si>
  <si>
    <t>Activo Bien</t>
  </si>
  <si>
    <t>Rol</t>
  </si>
  <si>
    <t xml:space="preserve">Tipos Bien Raiz </t>
  </si>
  <si>
    <t>Casa</t>
  </si>
  <si>
    <t>Departamento</t>
  </si>
  <si>
    <t>Por Definir</t>
  </si>
  <si>
    <t>Direccción</t>
  </si>
  <si>
    <t>Hipoteca</t>
  </si>
  <si>
    <t>Valor Comercial</t>
  </si>
  <si>
    <t>Activo Vehiculo</t>
  </si>
  <si>
    <t>Vehículo Marca</t>
  </si>
  <si>
    <t>Institución Prenda</t>
  </si>
  <si>
    <t>CLIENTE NATURAL</t>
  </si>
  <si>
    <t>Trabajar Con Clientes</t>
  </si>
  <si>
    <t>CLIENTE (Agregar Cliente)</t>
  </si>
  <si>
    <t>CLIENTE EMPRESA</t>
  </si>
  <si>
    <t>INGRESOS Y GASTOS / VENTAS MENSUALES</t>
  </si>
  <si>
    <t>Ingresos Y Gastos</t>
  </si>
  <si>
    <t>Costo Venta</t>
  </si>
  <si>
    <t>Bruto Gastos</t>
  </si>
  <si>
    <t>N° Operacional</t>
  </si>
  <si>
    <t>Ingresos Impuesto</t>
  </si>
  <si>
    <t>Antecedentes Empresa</t>
  </si>
  <si>
    <t>ANTECEDENTES EMPRESA</t>
  </si>
  <si>
    <t>Nombre Empresa</t>
  </si>
  <si>
    <t xml:space="preserve"> Giro Empresa</t>
  </si>
  <si>
    <t>Contacto</t>
  </si>
  <si>
    <t>Apellido</t>
  </si>
  <si>
    <t>Domicilio</t>
  </si>
  <si>
    <t xml:space="preserve">Ciudad </t>
  </si>
  <si>
    <t>Representantes Legales</t>
  </si>
  <si>
    <t xml:space="preserve">Apellido Paterno </t>
  </si>
  <si>
    <t xml:space="preserve">Apellido Materno </t>
  </si>
  <si>
    <t>Representante RUT</t>
  </si>
  <si>
    <t>Es Chieno</t>
  </si>
  <si>
    <t>Nacionalidad</t>
  </si>
  <si>
    <t>Socios Principales (Directos o Indirectos)</t>
  </si>
  <si>
    <t xml:space="preserve">Apellidos </t>
  </si>
  <si>
    <t xml:space="preserve">Porcentaje Participación </t>
  </si>
  <si>
    <t xml:space="preserve">Banco </t>
  </si>
  <si>
    <t xml:space="preserve">Nro Cuenta </t>
  </si>
  <si>
    <t xml:space="preserve">Nombre Titular Cuenta Corriente </t>
  </si>
  <si>
    <t>gventas@gmail.com</t>
  </si>
  <si>
    <t>11857582-2</t>
  </si>
  <si>
    <t>PAOLA</t>
  </si>
  <si>
    <t>CARTAGENA</t>
  </si>
  <si>
    <t>GOMEZ</t>
  </si>
  <si>
    <t xml:space="preserve">PAOLA </t>
  </si>
  <si>
    <t>SILVA</t>
  </si>
  <si>
    <t>ROJAS</t>
  </si>
  <si>
    <t>LATAM</t>
  </si>
  <si>
    <t>msilva@latam.cl</t>
  </si>
  <si>
    <t>TODO ARAUCO S.A.</t>
  </si>
  <si>
    <t>96671020-9</t>
  </si>
  <si>
    <t xml:space="preserve">PAOLA FERNANDA </t>
  </si>
  <si>
    <t xml:space="preserve">GONZALEZ </t>
  </si>
  <si>
    <t>AV. APOQUINDO</t>
  </si>
  <si>
    <t>ENCARGADO</t>
  </si>
  <si>
    <t>PAOLA FERNANDA</t>
  </si>
  <si>
    <t xml:space="preserve">Ventas </t>
  </si>
  <si>
    <t>Programas</t>
  </si>
  <si>
    <t>LA BANDERA 612</t>
  </si>
  <si>
    <t>Antecedentes Conyugue</t>
  </si>
  <si>
    <t xml:space="preserve">ApellidoPaterno </t>
  </si>
  <si>
    <t>Renta Conyugue</t>
  </si>
  <si>
    <t>Ingresos Ventas</t>
  </si>
  <si>
    <t>Telefóno 2</t>
  </si>
  <si>
    <t>RUT VALIDO</t>
  </si>
  <si>
    <t>TC_Gemma_MaestroClienteAgregarSinDatos</t>
  </si>
  <si>
    <t>Se espera que el sistema muestre la tabla consulta vacia</t>
  </si>
  <si>
    <t>Se espera que el sistema emita un mensaje de error que indique Cliente Nombre es requerido. RUT es requerido</t>
  </si>
  <si>
    <t>TC_Gemma_Cliente_PantallaInicialExportExcel</t>
  </si>
  <si>
    <t>TC_Gemma_Cliente_AgregarDatosObligatoriosTCIndependiente</t>
  </si>
  <si>
    <t>TC_Gemma_Cliente_AgregarDatosObligatoriosTCDependiente</t>
  </si>
  <si>
    <t>TC_Gemma_Cliente_AgregarDatosTipoClienteEmpresa</t>
  </si>
  <si>
    <t>TC_Gemma_Cliente_AgregarOtrosDatosTCIndependiente</t>
  </si>
  <si>
    <t>TC_Gemma_Cliente_AgregarOtrosDatosTCDependiente</t>
  </si>
  <si>
    <t>gventas22@gmail.com</t>
  </si>
  <si>
    <t>Se espera que el sistema emita un mensajes de error que indique Celular es requerido. Profesion es requerido. En la pestaña Domicilio solicita: Celular.	Dirección. Casa habita. Región. Comuna.Ciudad.</t>
  </si>
  <si>
    <t>TC_Gemma_MaestroClienteNaturalModificarDatos</t>
  </si>
  <si>
    <t>NOMBRE VALIDO</t>
  </si>
  <si>
    <t>Se espera que el sistema emita un mensajes de error que indique Notaria es requerida. Notaria Ciudad es requerida. Notaria fecha es requerida.</t>
  </si>
  <si>
    <t>Activo</t>
  </si>
  <si>
    <t>Todas</t>
  </si>
  <si>
    <t>Ingrese su contraseña actual</t>
  </si>
  <si>
    <t>Ingrese su nueva contraseña</t>
  </si>
  <si>
    <t>Ingrese nuevamente su contraseña</t>
  </si>
  <si>
    <t>ACURA</t>
  </si>
  <si>
    <t xml:space="preserve">Activo </t>
  </si>
  <si>
    <t>Inactivos</t>
  </si>
  <si>
    <t>1 Global</t>
  </si>
  <si>
    <t>4 Usados</t>
  </si>
  <si>
    <t>2 Nuevos</t>
  </si>
  <si>
    <t>Id Alternativo</t>
  </si>
  <si>
    <t>Trabajar Con Distribuidor</t>
  </si>
  <si>
    <t>DISTRIBUIDORES</t>
  </si>
  <si>
    <t>DATOS</t>
  </si>
  <si>
    <t>Datos</t>
  </si>
  <si>
    <t xml:space="preserve">Telefono </t>
  </si>
  <si>
    <t>Fax</t>
  </si>
  <si>
    <t>Contacto de Facturación</t>
  </si>
  <si>
    <t>Liberty</t>
  </si>
  <si>
    <t>Seguro</t>
  </si>
  <si>
    <t>Color</t>
  </si>
  <si>
    <t>Rojo</t>
  </si>
  <si>
    <t>Gris</t>
  </si>
  <si>
    <t>Notificación Saldo Precio</t>
  </si>
  <si>
    <t>Id</t>
  </si>
  <si>
    <t>Integrado</t>
  </si>
  <si>
    <t>RM</t>
  </si>
  <si>
    <t>NORTE</t>
  </si>
  <si>
    <t>QUINTA</t>
  </si>
  <si>
    <t>PRIMERA</t>
  </si>
  <si>
    <t>SEGUNDA</t>
  </si>
  <si>
    <t>TERCERA</t>
  </si>
  <si>
    <t>Marcas</t>
  </si>
  <si>
    <t>(Ninguno)</t>
  </si>
  <si>
    <t>Nueva Fila</t>
  </si>
  <si>
    <t>ALFA ROMEO</t>
  </si>
  <si>
    <t>AUDI</t>
  </si>
  <si>
    <t>BENELLI</t>
  </si>
  <si>
    <t>FORD</t>
  </si>
  <si>
    <t xml:space="preserve">Cuentas </t>
  </si>
  <si>
    <t>Cuentas</t>
  </si>
  <si>
    <t>Cuenta Corriente</t>
  </si>
  <si>
    <t>Seleccione Banco</t>
  </si>
  <si>
    <t>Banco BBVA</t>
  </si>
  <si>
    <t>Banco BCI</t>
  </si>
  <si>
    <t>Banco Bice</t>
  </si>
  <si>
    <t>Banco Consorcio</t>
  </si>
  <si>
    <t>Banco Chile</t>
  </si>
  <si>
    <t xml:space="preserve">Autofin </t>
  </si>
  <si>
    <t>Falabella</t>
  </si>
  <si>
    <t>Forum</t>
  </si>
  <si>
    <t>ACTIVO</t>
  </si>
  <si>
    <t>Logos</t>
  </si>
  <si>
    <t>Logo Header</t>
  </si>
  <si>
    <t>Logo Display</t>
  </si>
  <si>
    <t>Logo Header Login</t>
  </si>
  <si>
    <t>Logo Footer Login</t>
  </si>
  <si>
    <t>Seleccionar Archivo</t>
  </si>
  <si>
    <t>2da Opciones</t>
  </si>
  <si>
    <t xml:space="preserve">2da Opciones </t>
  </si>
  <si>
    <t>Tiempo Limite (Minutos)</t>
  </si>
  <si>
    <t>Acep</t>
  </si>
  <si>
    <t>Día Liquidación</t>
  </si>
  <si>
    <t>Con Valor</t>
  </si>
  <si>
    <t>Comisión Retenido</t>
  </si>
  <si>
    <t>RUT 1</t>
  </si>
  <si>
    <t>RUT 2</t>
  </si>
  <si>
    <t>Nombre 1</t>
  </si>
  <si>
    <t>Nombre 2</t>
  </si>
  <si>
    <t>Días de Tolerancia</t>
  </si>
  <si>
    <t>TC_Gemma_Distribuidor_AgregarDatosObligatoriosUnValor</t>
  </si>
  <si>
    <t>TC_Gemma_Distribuidor_AgregarDatosMasDeUnValor</t>
  </si>
  <si>
    <t xml:space="preserve">DISTRIBUIDOR PRUEBA </t>
  </si>
  <si>
    <t>Nombre del Distribuidor</t>
  </si>
  <si>
    <t>NORTE - Plaza la Serena</t>
  </si>
  <si>
    <t xml:space="preserve">Distribuidor Invalido </t>
  </si>
  <si>
    <t>Se espera que el sistema emita un mensaje de error que indique Distribuidor Nombre es requerido, Distribuidor Id Alternativo es requerido, Distribuidor RUT es requerido, Celular es requerido, Teléfono es requerido.</t>
  </si>
  <si>
    <t>RUT Invalido</t>
  </si>
  <si>
    <t>Se espera que el sistema emita un mensajes de error que indique Distribuidor Id Alternativo es requerido, RUT inválido, Celular es requerido, Teléfono es requerido.</t>
  </si>
  <si>
    <t>Validar funcionalidad Maestro Distribuidor que permite exportar un excel de todos los distribuidores creados en sistema.</t>
  </si>
  <si>
    <t>Categoria Distribuidores</t>
  </si>
  <si>
    <t>Tipos de Vehículos</t>
  </si>
  <si>
    <t>Profesiones</t>
  </si>
  <si>
    <t>Caracteríctica</t>
  </si>
  <si>
    <t>Tipos Bien Raíz</t>
  </si>
  <si>
    <t>Razón Fracaso</t>
  </si>
  <si>
    <t>Motivos Rechazos</t>
  </si>
  <si>
    <t>Zonas</t>
  </si>
  <si>
    <t>CIA de Seguro</t>
  </si>
  <si>
    <t>Regiones</t>
  </si>
  <si>
    <t>Link Región</t>
  </si>
  <si>
    <t>Confirmar</t>
  </si>
  <si>
    <t>Trabajar con Regiones</t>
  </si>
  <si>
    <t>TC_Gemma_Regiones_ExportarExcel</t>
  </si>
  <si>
    <t>TC_Gemma_Regiones_AgregarNombre</t>
  </si>
  <si>
    <t>TC_Gemma_Regiones_AgregarTodos</t>
  </si>
  <si>
    <t>TC_Gemma_Regiones_ModificarConValores</t>
  </si>
  <si>
    <t>TC_Gemma_Regiones_ModificarSinValores</t>
  </si>
  <si>
    <t>TC_Gemma_Regiones_EliminarConValores</t>
  </si>
  <si>
    <t>TC_Gemma_Regiones_EliminarSinValores</t>
  </si>
  <si>
    <t>TC_Gemma_Regiones_ModificarConValoresLink</t>
  </si>
  <si>
    <t>TC_Gemma_Regiones_ModificarSinValoresLink</t>
  </si>
  <si>
    <t>TC_Gemma_Regiones_EliminarConValoresLink</t>
  </si>
  <si>
    <t>TC_Gemma_Regiones_EliminarSinValoresLink</t>
  </si>
  <si>
    <t>Exportar Excel</t>
  </si>
  <si>
    <t>Tipo de Vehiculo</t>
  </si>
  <si>
    <t>Automovil</t>
  </si>
  <si>
    <t>Camion</t>
  </si>
  <si>
    <t>Camioneta</t>
  </si>
  <si>
    <t>Consumo</t>
  </si>
  <si>
    <t>Embarcación</t>
  </si>
  <si>
    <t>Equipo</t>
  </si>
  <si>
    <t>Furgon</t>
  </si>
  <si>
    <t>Maquinaria</t>
  </si>
  <si>
    <t>Minibus</t>
  </si>
  <si>
    <t>Moto</t>
  </si>
  <si>
    <t>Station Wagon</t>
  </si>
  <si>
    <t>Todo Terreno</t>
  </si>
  <si>
    <t>Producto Uno</t>
  </si>
  <si>
    <t>&lt; UF 200 Cidef</t>
  </si>
  <si>
    <t>&lt; UF 200 Nuevos Bakan</t>
  </si>
  <si>
    <t>&lt; UF 200 Nuevos Gold</t>
  </si>
  <si>
    <t>&lt; UF 200 Nuevos Premium</t>
  </si>
  <si>
    <t>&lt; UF 200 Nuevos Silver</t>
  </si>
  <si>
    <t>Bakan</t>
  </si>
  <si>
    <t>BMW Nuevos</t>
  </si>
  <si>
    <t>Citicar</t>
  </si>
  <si>
    <t>Comercial</t>
  </si>
  <si>
    <t>Escolar</t>
  </si>
  <si>
    <t>Gold</t>
  </si>
  <si>
    <t>Leasing Premium</t>
  </si>
  <si>
    <t>Leasing Silver</t>
  </si>
  <si>
    <t>Motos Premium</t>
  </si>
  <si>
    <t>Promo Citroen</t>
  </si>
  <si>
    <t>Silver</t>
  </si>
  <si>
    <t>Producto Dos</t>
  </si>
  <si>
    <t>Producto TRES</t>
  </si>
  <si>
    <t>Producto Cuatro</t>
  </si>
  <si>
    <t>Producto Cinco</t>
  </si>
  <si>
    <t>Producto Seis</t>
  </si>
  <si>
    <t>Producto Siete</t>
  </si>
  <si>
    <t>Producto Ocho</t>
  </si>
  <si>
    <t>Modelos</t>
  </si>
  <si>
    <t>Cargar PDF</t>
  </si>
  <si>
    <t>Subir PDF</t>
  </si>
  <si>
    <t>TC_Gemma_Vehiculo_PantallaInicialExportExcel</t>
  </si>
  <si>
    <t>TC_Gemma_Vehiculo_ModificarConValores</t>
  </si>
  <si>
    <t>TC_Gemma_Vehiculo_ModificarSinValores</t>
  </si>
  <si>
    <t>TC_Gemma_Vehiculo_EliminarConValores</t>
  </si>
  <si>
    <t>TC_Gemma_Vehiculo_EliminarSinValores</t>
  </si>
  <si>
    <t>TC_Gemma_Vehiculo_ModificarCancelar</t>
  </si>
  <si>
    <t>TC_Gemma_Vehiculo_EliminarCancelar</t>
  </si>
  <si>
    <t xml:space="preserve">Paso a Paso </t>
  </si>
  <si>
    <t xml:space="preserve">Registro creado de forma exitosa.	</t>
  </si>
  <si>
    <t>Modificación de registro de forma exitosa.</t>
  </si>
  <si>
    <t>Eliminación de registro de forma exitosa.</t>
  </si>
  <si>
    <t>El sistema regresa a la opción anterior</t>
  </si>
  <si>
    <t xml:space="preserve"> Modificar</t>
  </si>
  <si>
    <t>Trabajar con Documentos Requeridos</t>
  </si>
  <si>
    <t>Aplica Leasing</t>
  </si>
  <si>
    <t>Set Firma</t>
  </si>
  <si>
    <t xml:space="preserve">Requiere Huella	</t>
  </si>
  <si>
    <t xml:space="preserve">Aplica Política Blanda	</t>
  </si>
  <si>
    <t xml:space="preserve">Validación Carta de Entrega	</t>
  </si>
  <si>
    <t>Trabajar con Documentos Requeridoss</t>
  </si>
  <si>
    <t>Documentos Requeridos</t>
  </si>
  <si>
    <t>Descripcion</t>
  </si>
  <si>
    <t>Evaluacion</t>
  </si>
  <si>
    <t>Aplica Política Blanda</t>
  </si>
  <si>
    <t>Aplica a Leasing</t>
  </si>
  <si>
    <t>No Requiere Revisión de Documentos</t>
  </si>
  <si>
    <t xml:space="preserve">No validar para Carta de Entrega	</t>
  </si>
  <si>
    <t xml:space="preserve">Tiene Template	</t>
  </si>
  <si>
    <t>Requerido para Acta Entrega</t>
  </si>
  <si>
    <t>Integra con Previred</t>
  </si>
  <si>
    <t>Aval 1</t>
  </si>
  <si>
    <t>Aval 2</t>
  </si>
  <si>
    <t>Documento Firma Digital exige Digitalización</t>
  </si>
  <si>
    <t>Link Descripción</t>
  </si>
  <si>
    <t>Exportar el documento Excel de forma exitosa</t>
  </si>
  <si>
    <t>Modificacion de registro de forma exitosa,seleccionando datos del filtro .</t>
  </si>
  <si>
    <t>Modificacion de registro de forma exitosa,sin seleccionar datos del filtro .</t>
  </si>
  <si>
    <t>Eliminacion de registro de forma exitosa,seleccionando datos del filtro .</t>
  </si>
  <si>
    <t>Eliminacion de registro de forma exitosa,sin seleccionar datos del filtro .</t>
  </si>
  <si>
    <t>Eliminacion de registro de forma exitosa.</t>
  </si>
  <si>
    <t>Modificacion de registro de forma exitosa.</t>
  </si>
  <si>
    <t>Descripcion Invalida</t>
  </si>
  <si>
    <t>El sistema muestra la tabla resumen vacía.</t>
  </si>
  <si>
    <t>Link Nombre</t>
  </si>
  <si>
    <t>Trabajar con Razon de Seguimiento</t>
  </si>
  <si>
    <t>Razon Seguimiento</t>
  </si>
  <si>
    <t>Icono</t>
  </si>
  <si>
    <t>Orden</t>
  </si>
  <si>
    <t>Nombre Invalido</t>
  </si>
  <si>
    <t>TC_Gemma_RazonSeguimiento_ExportExcel</t>
  </si>
  <si>
    <t>TC_Gemma_RazonSeguimiento_AgregarNuevo</t>
  </si>
  <si>
    <t>TC_Gemma_RazonSeguimiento_ModificarConValores</t>
  </si>
  <si>
    <t>TC_Gemma_RazonSeguimiento_ModificarSinValores</t>
  </si>
  <si>
    <t>TC_Gemma_RazonSeguimiento_EliminarConValores</t>
  </si>
  <si>
    <t>TC_Gemma_RazonSeguimiento_EliminarSinValores</t>
  </si>
  <si>
    <t>TC_Gemma_RazonSeguimiento_ModificarLINKNombre</t>
  </si>
  <si>
    <t>TC_Gemma_RazonSeguimiento_EliminarLINKNombre</t>
  </si>
  <si>
    <t>TC_Gemma_RazonSeguimiento_NombreInvalido</t>
  </si>
  <si>
    <t>Trabajar con Razon de Seguimiento Contacto</t>
  </si>
  <si>
    <t>Es estado Agendado</t>
  </si>
  <si>
    <t>Razon de Seguimiento Contacto</t>
  </si>
  <si>
    <t>TC_Gemma_DocumentosRequeridos_ExportExcel</t>
  </si>
  <si>
    <t>TC_Gemma_DocumentosRequeridos_AgregarNuevo</t>
  </si>
  <si>
    <t>TC_Gemma_DocumentosRequeridos_ModificarConValores</t>
  </si>
  <si>
    <t>TC_Gemma_DocumentosRequeridos_ModificarSinValores</t>
  </si>
  <si>
    <t>TC_Gemma_DocumentosRequeridos_EliminarConValores</t>
  </si>
  <si>
    <t>TC_Gemma_DocumentosRequeridos_EliminarSinValores</t>
  </si>
  <si>
    <t>TC_Gemma_DocumentosRequeridos_ModificarLINKDescripcion</t>
  </si>
  <si>
    <t>TC_Gemma_DocumentosRequeridos_EliminarLINKDescripcion</t>
  </si>
  <si>
    <t>TC_Gemma_DocumentosRequeridos_DescripcionInvalida</t>
  </si>
  <si>
    <t>TC_Gemma_RazonSeguimientoContacto_ExportExcel</t>
  </si>
  <si>
    <t>TC_Gemma_RazonSeguimientoContacto_AgregarNuevo</t>
  </si>
  <si>
    <t>TC_Gemma_RazonSeguimientoContacto_ModificarConValores</t>
  </si>
  <si>
    <t>TC_Gemma_RazonSeguimientoContacto_ModificarSinValores</t>
  </si>
  <si>
    <t>TC_Gemma_RazonSeguimientoContacto_EliminarConValores</t>
  </si>
  <si>
    <t>TC_Gemma_RazonSeguimientoContacto_EliminarSinValores</t>
  </si>
  <si>
    <t>TC_Gemma_RazonSeguimientoContacto_NombreInvalido</t>
  </si>
  <si>
    <t>Trabajar con Lista Negra</t>
  </si>
  <si>
    <t>Negra Razon</t>
  </si>
  <si>
    <t>TC_Gemma_RUTBloqueado_AgregarNuevo</t>
  </si>
  <si>
    <t>TC_Gemma_RUTBloqueado_ModificarConValores</t>
  </si>
  <si>
    <t>TC_Gemma_RUTBloqueado_ModificarSinValores</t>
  </si>
  <si>
    <t>TC_Gemma_RUTBloqueado_EliminarConValores</t>
  </si>
  <si>
    <t>TC_Gemma_RUTBloqueado_EliminarSinValores</t>
  </si>
  <si>
    <t>Link Cliente Nombre</t>
  </si>
  <si>
    <t>Trabajar con Opción</t>
  </si>
  <si>
    <t>Codigo</t>
  </si>
  <si>
    <t>Trabajar con Opcion</t>
  </si>
  <si>
    <t>Link Descripcion</t>
  </si>
  <si>
    <t>Paso a paso</t>
  </si>
  <si>
    <t xml:space="preserve">Registro con todos los campos creado de forma exitosa.	</t>
  </si>
  <si>
    <t>Eliminacion mediante Link Region, de forma exitosa.</t>
  </si>
  <si>
    <t>Modificacion mediante Link Region, de forma exitosa.</t>
  </si>
  <si>
    <t>Modificacion mediante Link Region, con valores en el filtro de forma exitosa.</t>
  </si>
  <si>
    <t>Eliminacion mediante Link Region, con valores en el filtro de forma exitosa.</t>
  </si>
  <si>
    <t>TC_Gemma_Opcion_ExportarExcel</t>
  </si>
  <si>
    <t>TC_Gemma_Opcion_AgregarNombre</t>
  </si>
  <si>
    <t>TC_Gemma_Opcion_AgregarTodos</t>
  </si>
  <si>
    <t>TC_Gemma_Opcion_ModificarConValores</t>
  </si>
  <si>
    <t>TC_Gemma_Opcion_ModificarSinValores</t>
  </si>
  <si>
    <t>TC_Gemma_Opcion_EliminarConValores</t>
  </si>
  <si>
    <t>TC_Gemma_Opcion_EliminarSinValores</t>
  </si>
  <si>
    <t>TC_Gemma_Opcion_ModificarConValoresLink</t>
  </si>
  <si>
    <t>TC_Gemma_Opcion_ModificarSinValoresLink</t>
  </si>
  <si>
    <t>TC_Gemma_Opcion_EliminarConValoresLink</t>
  </si>
  <si>
    <t>TC_Gemma_Opcion_EliminarSinValoresLink</t>
  </si>
  <si>
    <t xml:space="preserve">Registro creado con solo codigo, de forma exitosa.	</t>
  </si>
  <si>
    <t>Modificacion mediante Link Descripcion, con valores en el filtro de forma exitosa.</t>
  </si>
  <si>
    <t>Modificacion mediante Link Descripcion, de forma exitosa.</t>
  </si>
  <si>
    <t>Eliminacion mediante Link Descripcion, con valores en el filtro de forma exitosa.</t>
  </si>
  <si>
    <t>Eliminacion mediante Link Descripcion, de forma exitosa.</t>
  </si>
  <si>
    <t>Trabajar con Adcionales</t>
  </si>
  <si>
    <t>Invalidos</t>
  </si>
  <si>
    <t>TC_Gemma_Adicionales_ExportarExcel</t>
  </si>
  <si>
    <t>TC_Gemma_Adicionales_AgregarDescripcion</t>
  </si>
  <si>
    <t>TC_Gemma_Adicionales_ModificarConValores</t>
  </si>
  <si>
    <t>TC_Gemma_Adicionales_ModificarSinValores</t>
  </si>
  <si>
    <t>TC_Gemma_Adicionales_EliminarConValores</t>
  </si>
  <si>
    <t>TC_Gemma_Adicionales_EliminarSinValores</t>
  </si>
  <si>
    <t>TC_Gemma_Adicionales_ModificarConValoresLink</t>
  </si>
  <si>
    <t>TC_Gemma_Adicionales_ModificarSinValoresLink</t>
  </si>
  <si>
    <t>TC_Gemma_Adicionales_EliminarConValoresLink</t>
  </si>
  <si>
    <t>TC_Gemma_Adicionales_EliminarSinValoresLink</t>
  </si>
  <si>
    <t xml:space="preserve">Registro creado, de forma exitosa.	</t>
  </si>
  <si>
    <t>TC_Gemma_Adicionales_DescripcionInvalida</t>
  </si>
  <si>
    <t>El sistema muestra la tabla resumen vacia</t>
  </si>
  <si>
    <t>Trabajar con Mensajes Tramos</t>
  </si>
  <si>
    <t>Tramos Descripcion</t>
  </si>
  <si>
    <t>TC_Gemma_MensajesTramos_ExportarExcel</t>
  </si>
  <si>
    <t>TC_Gemma_MensajesTramos_AgregarDescripcion</t>
  </si>
  <si>
    <t>TC_Gemma_MensajesTramos_ModificarConValores</t>
  </si>
  <si>
    <t>TC_Gemma_MensajesTramos_ModificarSinValores</t>
  </si>
  <si>
    <t>TC_Gemma_MensajesTramos_EliminarConValores</t>
  </si>
  <si>
    <t>TC_Gemma_MensajesTramos_EliminarSinValores</t>
  </si>
  <si>
    <t>TC_Gemma_MensajesTramos_ModificarConValoresLink</t>
  </si>
  <si>
    <t>TC_Gemma_MensajesTramos_ModificarSinValoresLink</t>
  </si>
  <si>
    <t>TC_Gemma_MensajesTramos_EliminarConValoresLink</t>
  </si>
  <si>
    <t>TC_Gemma_MensajesTramos_EliminarSinValoresLink</t>
  </si>
  <si>
    <t>TC_Gemma_MensajesTramos_DescripcionInvalida</t>
  </si>
  <si>
    <t>Seleccionar Fecha</t>
  </si>
  <si>
    <t>Feriados</t>
  </si>
  <si>
    <t>TC_Gemma_Feriados_ExportarExcel</t>
  </si>
  <si>
    <t>TC_Gemma_Feriados_AgregarDescripcion</t>
  </si>
  <si>
    <t>TC_Gemma_Feriados_ModificarConValores</t>
  </si>
  <si>
    <t>TC_Gemma_Feriados_ModificarSinValores</t>
  </si>
  <si>
    <t>TC_Gemma_Feriados_EliminarConValores</t>
  </si>
  <si>
    <t>TC_Gemma_Feriados_EliminarSinValores</t>
  </si>
  <si>
    <t>TC_Gemma_Feriados_ModificarConValoresLink</t>
  </si>
  <si>
    <t>TC_Gemma_Feriados_ModificarSinValoresLink</t>
  </si>
  <si>
    <t>TC_Gemma_Feriados_EliminarConValoresLink</t>
  </si>
  <si>
    <t>TC_Gemma_Feriados_EliminarSinValoresLink</t>
  </si>
  <si>
    <t>Tramos Puntaje</t>
  </si>
  <si>
    <t>Puntaje desde</t>
  </si>
  <si>
    <t>Puntaje Desde</t>
  </si>
  <si>
    <t>Puntaje Hasta</t>
  </si>
  <si>
    <t>Tasa Estandar</t>
  </si>
  <si>
    <t>Mensaje</t>
  </si>
  <si>
    <t>Rechazar</t>
  </si>
  <si>
    <t>Evaluacion Manual</t>
  </si>
  <si>
    <t>Link Desde</t>
  </si>
  <si>
    <t>Trabajar con Tramos Puntaje</t>
  </si>
  <si>
    <t>Con valores</t>
  </si>
  <si>
    <t>Sin valores</t>
  </si>
  <si>
    <t>TC_Gemma_TramoPuntaje_ExportExcel</t>
  </si>
  <si>
    <t>TC_Gemma_TramoPuntaje_AgregarNuevo</t>
  </si>
  <si>
    <t>TC_Gemma_TramoPuntaje_ModificarConValores</t>
  </si>
  <si>
    <t>TC_Gemma_TramoPuntaje_ModificarSinValores</t>
  </si>
  <si>
    <t>TC_Gemma_TramoPuntaje_EliminarConValores</t>
  </si>
  <si>
    <t>TC_Gemma_TramoPuntaje_EliminarSinValores</t>
  </si>
  <si>
    <t>TC_Gemma_TramoPuntaje_ModificarLINKDescripcion</t>
  </si>
  <si>
    <t>TC_Gemma_TramoPuntaje_EliminarLINKDescripcion</t>
  </si>
  <si>
    <t>Eliminacion de registro,  usando el Link Desde, de forma exitosa.</t>
  </si>
  <si>
    <t>Modificacion de registro, usando el Link Desde, de forma exitosa.</t>
  </si>
  <si>
    <t>No numerico</t>
  </si>
  <si>
    <t>ALAMOS</t>
  </si>
  <si>
    <t>Global S.A.</t>
  </si>
  <si>
    <t>Dimotor S.A.</t>
  </si>
  <si>
    <t>Vigente</t>
  </si>
  <si>
    <t>No Vigente</t>
  </si>
  <si>
    <t>Fecha Inicio Vigencia</t>
  </si>
  <si>
    <t>Fecha Fin Vigencia</t>
  </si>
  <si>
    <t>Peaje</t>
  </si>
  <si>
    <t xml:space="preserve">Rango 1 </t>
  </si>
  <si>
    <t xml:space="preserve">Rango 2 </t>
  </si>
  <si>
    <t>Rango 3</t>
  </si>
  <si>
    <t>Incentivo</t>
  </si>
  <si>
    <t>Chery</t>
  </si>
  <si>
    <t>Dodge</t>
  </si>
  <si>
    <t>Kia Motors</t>
  </si>
  <si>
    <t>Usados</t>
  </si>
  <si>
    <t>Otros Nuevos</t>
  </si>
  <si>
    <t>Agregar Fila</t>
  </si>
  <si>
    <t>TC_Gemma_Peaje_ExportExcel</t>
  </si>
  <si>
    <t>TC_Gemma_Peaje_AgregarNuevo</t>
  </si>
  <si>
    <t>TC_Gemma_Peaje_ModificarConValores</t>
  </si>
  <si>
    <t>TC_Gemma_Peaje_ModificarSinValores</t>
  </si>
  <si>
    <t>TC_Gemma_Peaje_EliminarConValores</t>
  </si>
  <si>
    <t>TC_Gemma_Peaje_EliminarSinValores</t>
  </si>
  <si>
    <t>TC_Gemma_Peaje_AgregarNuevaFila</t>
  </si>
  <si>
    <t>Trabajar con Producto Crédito</t>
  </si>
  <si>
    <t>Credito Nombre</t>
  </si>
  <si>
    <t>Vehiculo Estado</t>
  </si>
  <si>
    <t>Aplica &lt; 200 UF</t>
  </si>
  <si>
    <t>AMBAS</t>
  </si>
  <si>
    <t>Asignar Distribuidores</t>
  </si>
  <si>
    <t>Accion</t>
  </si>
  <si>
    <t>Seleccionar</t>
  </si>
  <si>
    <t>Volver</t>
  </si>
  <si>
    <t>Producto Credito Distribuidor</t>
  </si>
  <si>
    <t>Seleccionar uno o mas distribuidores de la lista</t>
  </si>
  <si>
    <t>Detalle</t>
  </si>
  <si>
    <t>Rango Menor</t>
  </si>
  <si>
    <t>Rango Mayor</t>
  </si>
  <si>
    <t>Tasa Base</t>
  </si>
  <si>
    <t>Detalle Puntaje</t>
  </si>
  <si>
    <t>Usa TMC</t>
  </si>
  <si>
    <t>Tasa Techo</t>
  </si>
  <si>
    <t>Trabajar con Producto Credito</t>
  </si>
  <si>
    <t>TC_Gemma_ProductoCredito_ExportExcel</t>
  </si>
  <si>
    <t>TC_Gemma_ProductoCredito_AgregarNuevo</t>
  </si>
  <si>
    <t>TC_Gemma_ProductoCredito_ModificarConValores</t>
  </si>
  <si>
    <t>TC_Gemma_ProductoCredito_ModificarSinValores</t>
  </si>
  <si>
    <t>TC_Gemma_ProductoCredito_EliminarConValores</t>
  </si>
  <si>
    <t>TC_Gemma_ProductoCredito_EliminarSinValores</t>
  </si>
  <si>
    <t>TC_Gemma_ProductoCredito_AgregarDistribuidores</t>
  </si>
  <si>
    <t>TC_Gemma_ProductoCredito_ModificarLinkDescripcion</t>
  </si>
  <si>
    <t>TC_Gemma_ProductoCredito_EliminarLinkDescripcion</t>
  </si>
  <si>
    <t>Invalido</t>
  </si>
  <si>
    <t>TC_Gemma_ProductoCredito_CreditoNombreInvalido</t>
  </si>
  <si>
    <t>Modificacion de registro mediante el link de Descripcion de forma exitosa,seleccionando datos del filtro .</t>
  </si>
  <si>
    <t>Eliminacion de registro mediante el link de Descripcion de forma exitosa,sin seleccionar datos del filtro .</t>
  </si>
  <si>
    <t>El sistema muestra la tabla de consulta vacia.</t>
  </si>
  <si>
    <t>Producto Credito</t>
  </si>
  <si>
    <t>Trabajar con Campaña</t>
  </si>
  <si>
    <t>Dist Descripcion</t>
  </si>
  <si>
    <t>Link Dist Descripción</t>
  </si>
  <si>
    <t>Campañas</t>
  </si>
  <si>
    <t>Fecha Inicio</t>
  </si>
  <si>
    <t>Fecha Termino</t>
  </si>
  <si>
    <t>Fecha Inicio Validacion</t>
  </si>
  <si>
    <t>Fecha Termino Validacion</t>
  </si>
  <si>
    <t>Alamos S.A.</t>
  </si>
  <si>
    <t>Autocorp</t>
  </si>
  <si>
    <t>Sucursal 1</t>
  </si>
  <si>
    <t>Sucursal 2</t>
  </si>
  <si>
    <t>Gastos Operacionales</t>
  </si>
  <si>
    <t>VFMG</t>
  </si>
  <si>
    <t>Version</t>
  </si>
  <si>
    <t>Bono</t>
  </si>
  <si>
    <t>Precio Fijo</t>
  </si>
  <si>
    <t>Detalle Pie</t>
  </si>
  <si>
    <t>Pie Fijo</t>
  </si>
  <si>
    <t>Tasa Piso</t>
  </si>
  <si>
    <t>Tasa Spread</t>
  </si>
  <si>
    <t>Inscripcion</t>
  </si>
  <si>
    <t>TC_Gemma_Campaña_ModificarSinValores</t>
  </si>
  <si>
    <t>TC_Gemma_Campaña_EliminarConValores</t>
  </si>
  <si>
    <t>TC_Gemma_Campaña_EliminarSinValores</t>
  </si>
  <si>
    <t>TC_Gemma_Campaña_ModificarLinkDescripcion</t>
  </si>
  <si>
    <t>TC_Gemma_Campaña_EliminarLinkDescripcion</t>
  </si>
  <si>
    <t>TC_Gemma_Campaña_ExportExcel</t>
  </si>
  <si>
    <t>TC_Gemma_Campaña_AgregarNuevo</t>
  </si>
  <si>
    <t>TC_Gemma_Campaña_ModificarConValores</t>
  </si>
  <si>
    <t>Modificacion de registro mediante el link de Nombre de forma exitosa,seleccionando datos del filtro .</t>
  </si>
  <si>
    <t>Eliminacion de registro mediante el link de Nombre de forma exitosa,sin seleccionar datos del filtro .</t>
  </si>
  <si>
    <t>Caduca</t>
  </si>
  <si>
    <t>Monto Asociado</t>
  </si>
  <si>
    <t>Capital</t>
  </si>
  <si>
    <t>Comision</t>
  </si>
  <si>
    <t>Saldo Precio</t>
  </si>
  <si>
    <t>Por Unidad</t>
  </si>
  <si>
    <t>Pie Maximo</t>
  </si>
  <si>
    <t>Saldo Precio Minimo</t>
  </si>
  <si>
    <t>Saldo Precio Maximo</t>
  </si>
  <si>
    <t>Alamos S.A</t>
  </si>
  <si>
    <t>Global</t>
  </si>
  <si>
    <t>Campaña ::	Convencional e Inteligente</t>
  </si>
  <si>
    <t>Maximo por Credito</t>
  </si>
  <si>
    <t>Minimo por Credito</t>
  </si>
  <si>
    <t xml:space="preserve">Algunos </t>
  </si>
  <si>
    <t>TC_Gemma_Incentivo_ExportExcel</t>
  </si>
  <si>
    <t>TC_Gemma_Incentivo_AgregarNuevo</t>
  </si>
  <si>
    <t>TC_Gemma_Incentivo_ModificarConValores</t>
  </si>
  <si>
    <t>TC_Gemma_Incentivo_ModificarSinValores</t>
  </si>
  <si>
    <t>TC_Gemma_Incentivo_EliminarConValores</t>
  </si>
  <si>
    <t>TC_Gemma_Incentivo_EliminarSinValores</t>
  </si>
  <si>
    <t>TC_Gemma_Incentivo_ModificarLinkDescripcion</t>
  </si>
  <si>
    <t>TC_Gemma_Incentivo_EliminarLinkDescripcion</t>
  </si>
  <si>
    <t>Politicas de Prepago</t>
  </si>
  <si>
    <t>Cuotas</t>
  </si>
  <si>
    <t>Cant Cuotas</t>
  </si>
  <si>
    <t>CI 1-12</t>
  </si>
  <si>
    <t>CI 13-24</t>
  </si>
  <si>
    <t>CI 25-36</t>
  </si>
  <si>
    <t>CC 1-12</t>
  </si>
  <si>
    <t>CC 13-24</t>
  </si>
  <si>
    <t>CC 25-36</t>
  </si>
  <si>
    <t>CC 49-60</t>
  </si>
  <si>
    <t>CC 61+</t>
  </si>
  <si>
    <t>0 al 18</t>
  </si>
  <si>
    <t>TC_Gemma_PoliticasPrepago_ExportExcel</t>
  </si>
  <si>
    <t>TC_Gemma_PoliticasPrepago_AgregarNuevo</t>
  </si>
  <si>
    <t>TC_Gemma_PoliticasPrepago_ModificarConValores</t>
  </si>
  <si>
    <t>TC_Gemma_PoliticasPrepago_ModificarSinValores</t>
  </si>
  <si>
    <t>TC_Gemma_PoliticasPrepago_EliminarConValores</t>
  </si>
  <si>
    <t>TC_Gemma_PoliticasPrepago_EliminarSinValores</t>
  </si>
  <si>
    <t>TC_Gemma_PoliticasPrepago_ConsolidadoCancelar</t>
  </si>
  <si>
    <t>TC_Gemma_Cliente_ModificarSinSeleccionarDatos</t>
  </si>
  <si>
    <t>TC_Gemma_Cliente_EliminarConDatosenelFiltro</t>
  </si>
  <si>
    <t>TC_Gemma_Cliente_ModificarConDatosenelFiltros</t>
  </si>
  <si>
    <t>TC_Gemma_Cliente_EliminarSinSeleccionarDatos</t>
  </si>
  <si>
    <t xml:space="preserve">Registro creado de forma exitosa, para tipo de cliente Empresa.	</t>
  </si>
  <si>
    <t xml:space="preserve">Registro creado de forma exitosa, con campos obligatorios y tipo de cliente independiente.	</t>
  </si>
  <si>
    <t xml:space="preserve">Registro creado de forma exitosa, con campos opcionales y tipo de cliente independiente.	</t>
  </si>
  <si>
    <t xml:space="preserve">Registro creado de forma exitosa, con campos obligatorios y tipo de cliente dependiente.	</t>
  </si>
  <si>
    <t xml:space="preserve">Registro creado de forma exitosa, con campos opcionales y tipo de cliente dependiente.	</t>
  </si>
  <si>
    <t>TC_Gemma_Distribuidor_BuscarFiltroExportExcel</t>
  </si>
  <si>
    <t>TC_Gemma_Distribuidor_EliminarBuscarFiltros</t>
  </si>
  <si>
    <t>TC_Gemma_Distribuidor_EliminarTablaConsulta</t>
  </si>
  <si>
    <t>Validar funcionalidad Maestro Distribuidor que permite agregar un nuevo registro campos obligatorios en la pestaña Datos, sin seleccionar una sucursal, agregar una marca de vehiculo, datos de cuenta, pestaña comision.</t>
  </si>
  <si>
    <t>Validar funcionalidad Maestro Distribuidor que permite agregar un nuevo registro campos obligatorios en la pestaña Datos, mas de una surcursal, mas de una marca de vehiculo, mas de una cuenta bancaria, pestaña comision.</t>
  </si>
  <si>
    <t>Validar funcionalidad Maestro Clientes sin seleccionar datos en el filtro y exportar documento.</t>
  </si>
  <si>
    <t>Validar funcionalidad Maestro Clientes al agregar un nuevo registro con campos minimos obligatorios, para tipo de cliente independiente.</t>
  </si>
  <si>
    <t>Validar funcionalidad Maestro Clientes al agregar un nuevo registro con campos minimos obligatorios y otros opcionales, para tipo de cliente independiente.</t>
  </si>
  <si>
    <t>Validar funcionalidad Maestro Clientes al agregar un nuevo registro con campos minimos obligatorios, para tipo de cliente dependiente.</t>
  </si>
  <si>
    <t>Validar funcionalidad Maestro Clientes al agregar un nuevo registro con campos minimos para tipo de cliente empresa.</t>
  </si>
  <si>
    <t>Validar funcionalidad Maestro Clientes  al modificar un registro buscado con ayuda del  filtro.</t>
  </si>
  <si>
    <t>Validar funcionalidad Maestro Clientes  al modificar un registro seleccionado de la tabla consulta mostrada.</t>
  </si>
  <si>
    <t>Validar funcionalidad Maestro Clientes  al Eliminar un registro buscado con ayuda del  filtro.</t>
  </si>
  <si>
    <t>Validar funcionalidad Maestro Clientes  al Eliminar un registro seleccionado de la tabla consulta mostrada.</t>
  </si>
  <si>
    <t>TC_Gemma_MaestroClienteRUTyNombreInvalido</t>
  </si>
  <si>
    <t>TC_Gemma_MaestroClienteModificarTipoEmpresa</t>
  </si>
  <si>
    <t>Validar funcionalidad Maestro Clientes colocando valores errados en RUT y Nombre del Cliente</t>
  </si>
  <si>
    <t>Validar funcionalidad Maestro Clientes al crear un registro sin colocar datos.</t>
  </si>
  <si>
    <t>Validar funcionalidad Maestro Clientes al modificar un registro sin actualizar datos.</t>
  </si>
  <si>
    <t>Validar funcionalidad Maestro Clientes al modificar un registro sin actualizar datos, considerando el tipo de cliente empresa.</t>
  </si>
  <si>
    <t>TC_Gemma_Distribuidor_ConsultarLink_AgregaFinanciera</t>
  </si>
  <si>
    <t>Validar funcionalidad Maestro Distribuidor que permite consultar un registro al presionar el link del nombre del distribuidor, y agregar una financiera en la pestaña sucursal.</t>
  </si>
  <si>
    <t>Validar funcionalidad Maestro Distribuidor que permite eliminar un registro creado seleccionando valores en el filtro</t>
  </si>
  <si>
    <t>Validar funcionalidad Maestro Distribuidor que permiteeliminar un resgitro tomado de la tabla consulta mostrada</t>
  </si>
  <si>
    <t>TC_Gemma_Distribuidor_DistrubuidorIDAlternativoInvalido</t>
  </si>
  <si>
    <t>Validar funcionalidad Maestro Distribuidor colocando valores errados en Distribuidor o ID Alternativo del filtro</t>
  </si>
  <si>
    <t>Validar funcionalidad Maestro Distribuidor al crear un registro sin colocar datos.</t>
  </si>
  <si>
    <t>TC_Gemma_Distribuidor_AgregarRutInvalido</t>
  </si>
  <si>
    <t>TC_Gemma_Distribuidor_AgregarSinDatosObligatorios</t>
  </si>
  <si>
    <t>Validar funcionalidad Maestro Distribuidor al crear un registro colocar un RUT Invalido</t>
  </si>
  <si>
    <t>Documento Excel exportado con éxito.</t>
  </si>
  <si>
    <t>Registro creado con éxito.</t>
  </si>
  <si>
    <t>TC_Gemma_Distribuidor_ModificarSinFiltroUnValor</t>
  </si>
  <si>
    <t>TC_Gemma_Distribuidor_ModificarDatosConFiltroMasDeUnValor</t>
  </si>
  <si>
    <t>Validar funcionalidad Maestro Distribuidor que permite modificar un registro, campos  en la pestaña Datos, mas de una surcursal, mas de una marca de vehiculo,  mas de una cuenta bancaria,  comisiones, buscando con el filtro.</t>
  </si>
  <si>
    <t>Validar funcionalidad Maestro Distribuidor que permite modificar un registro campos obligatorios en la pestaña Datos, surcursal, marca de vehiculo,  cuenta bancaria,  comisiones, seleccionando de la tabla consulta.</t>
  </si>
  <si>
    <t>TC_Gemma_Distribuidor_ModificarBuscarIDDiasTolerancia</t>
  </si>
  <si>
    <t>Validar funcionalidad Maestro Distribuidor que permite modificar un registro campos adicionales, buscando registro mediante ID Alternativo, Agregar dias de toleracia.</t>
  </si>
  <si>
    <t>Registro Modificado con éxito.</t>
  </si>
  <si>
    <t>Consultar Registro Seleccionado con éxito.</t>
  </si>
  <si>
    <t>TC_Gemma_Distribuidor_EliminarRegistroEnUso</t>
  </si>
  <si>
    <t>Validar funcionalidad Maestro Distribuidor al eliminar un Distribuidor en Uso.</t>
  </si>
  <si>
    <t>Se espera que el sistema emita un mensajes de error Eliminacion no valida.</t>
  </si>
  <si>
    <t>Registro eliminado con éxito.</t>
  </si>
  <si>
    <t>TC_Gemma_CategoríaDistribuidor_ModificarExportarExcel</t>
  </si>
  <si>
    <t>TC_Gemma_CategoríaDistribuidor_ModificarSinBuscar</t>
  </si>
  <si>
    <t>TC_Gemma_CategoríaDistribuidorDescripcionInvalido</t>
  </si>
  <si>
    <t>TC_Gemma_CategoríaDistribuidorModificarCampoVacio</t>
  </si>
  <si>
    <t>TC_Gemma_CategoríaDistribuidorAgregarCampoVacio</t>
  </si>
  <si>
    <t>Acceder al sistema Gemma con usuario y perfil activo para la funcionalidad modulo Maestro - Categoria Distribuidor,  presionar el boton, eliminar un registro que esta en uso.</t>
  </si>
  <si>
    <t>TC_Gemma_CategoríaDistribuidorEliminarRegistroEnUso</t>
  </si>
  <si>
    <t>Registro modificado con éxito.</t>
  </si>
  <si>
    <t>Documento excel exportado con éxito.</t>
  </si>
  <si>
    <t>Se espera que el sistema muestre el mensaje de error Categoria Distribuidor Nombre es requerido.</t>
  </si>
  <si>
    <t>Se espere que el sistema muestre la tabla consulta vacia.</t>
  </si>
  <si>
    <t>Se espera que el sistema muestre el mensaje de error Eliminacion no valida.</t>
  </si>
  <si>
    <t>TC_Gemma_Canales_ModificarExportarExcel</t>
  </si>
  <si>
    <t>TC_Gemma_CategoríaDistribuidor_EliminarExportarExcel</t>
  </si>
  <si>
    <t>TC_Gemma_Canales_EliminarExportarExcel</t>
  </si>
  <si>
    <t>TC_Gemma_CanalesAgregarCampoVacio</t>
  </si>
  <si>
    <t>TC_Gemma_CanalesDescripcionInvalido</t>
  </si>
  <si>
    <t>TC_Gemma_CanalesModificarCampoVacio</t>
  </si>
  <si>
    <t>TC_Gemma_CanalesEliminarRegistroEnUso</t>
  </si>
  <si>
    <t>Acceder al sistema Gemma con usuario y perfil activo para la funcionalidad modulo Maestro - Categoria Distribuidor,  colocar una descripcion en el filtro invalida.</t>
  </si>
  <si>
    <t>Se espera que el sistema muestre el mensaje de error Nombre es requerido.</t>
  </si>
  <si>
    <t>Se espera que el sistema muestre el mensaje de error  Nombre es requerido.</t>
  </si>
  <si>
    <t>TC_Gemma_ActividadEconómica_ModificarExportarExcel</t>
  </si>
  <si>
    <t>TC_Gemma_ActividadEconómica_EliminarExportarExcel</t>
  </si>
  <si>
    <t>TC_Gemma_ActividadEconómicaAgregarCampoVacio</t>
  </si>
  <si>
    <t>TC_Gemma_ActividadEconómicaDescripcionInvalido</t>
  </si>
  <si>
    <t>TC_Gemma_ActividadEconómicaModificarCampoVacio</t>
  </si>
  <si>
    <t>TC_Gemma_ActividadEconómicaEliminarRegistroEnUso</t>
  </si>
  <si>
    <t>Acceder al sistema Gemma con usuario y perfil activo para la funcionalidad modulo Maestro - Canales,  colocar una descripcion en el filtro invalida.</t>
  </si>
  <si>
    <t>Acceder al sistema Gemma con usuario y perfil activo para la funcionalidad modulo Maestro - Canales,  presionar el boton, eliminar un registro que esta en uso.</t>
  </si>
  <si>
    <t>Acceder al sistema Gemma con usuario y perfil activo para la funcionalidad modulo Maestro - Actividad Económica,  colocar una descripcion en el filtro invalida.</t>
  </si>
  <si>
    <t>Acceder al sistema Gemma con usuario y perfil activo para la funcionalidad modulo Maestro - Actividad Económica,  presionar el boton, eliminar un registro que esta en uso.</t>
  </si>
  <si>
    <t>Se espera que el sistema muestre el mensaje de error Economica Nombre  es requerido.</t>
  </si>
  <si>
    <t>TC_Gemma_Profesiones_ModificarExportarExcel</t>
  </si>
  <si>
    <t>TC_Gemma_Profesiones_EliminarExportarExcel</t>
  </si>
  <si>
    <t>TC_Gemma_ProfesionesAgregarCampoVacio</t>
  </si>
  <si>
    <t>TC_Gemma_ProfesionesSinDatosDescripcionInvalido</t>
  </si>
  <si>
    <t>TC_Gemma_ProfesionesModificarCampoVacio</t>
  </si>
  <si>
    <t>TC_Gemma_ProfesionesEliminarRegistroEnUso</t>
  </si>
  <si>
    <t>Acceder al sistema Gemma con usuario y perfil activo para la funcionalidad modulo Maestro - Profesiones,  presionar el boton, eliminar un registro que esta en uso.</t>
  </si>
  <si>
    <t>Acceder al sistema Gemma con usuario y perfil activo para la funcionalidad modulo Maestro - Profesiones,  colocar una descripcion Profesion Nombre en el filtro invalida.</t>
  </si>
  <si>
    <t>Se espera que el sistema muestre el mensaje de error Nombre  es requerido.</t>
  </si>
  <si>
    <t>TC_Gemma_TipoVehiculoAgregarCampoVacio</t>
  </si>
  <si>
    <t>TC_Gemma_TipoVehiculoDescripcionVehiculoInvalido</t>
  </si>
  <si>
    <t>TC_Gemma_TipoVehiculoModificarCampoVacio</t>
  </si>
  <si>
    <t>TC_Gemma_TipoVehiculoEliminarRegistroEnUso</t>
  </si>
  <si>
    <t>Acceder al sistema Gemma con usuario y perfil activo para la funcionalidad modulo Maestro - Tipos de Vehiculos,  presionar el boton, eliminar un registro que esta en uso.</t>
  </si>
  <si>
    <t>Acceder al sistema Gemma con usuario y perfil activo para la funcionalidad modulo Maestro - Tipos de Vehiculos,  colocar una descripcion en el filtro Vehiculo  invalida.</t>
  </si>
  <si>
    <t>Se espera que el sistema muestre el mensaje de error Tipo Vehiculo Nombre  es requerido.</t>
  </si>
  <si>
    <t>Se espera que el sistema muestre el mensaje de error Tipo vehiculo Nombre  es requerido.</t>
  </si>
  <si>
    <t>TC_Gemma_TipoBienRaiz_ModificarExportarExcel</t>
  </si>
  <si>
    <t>TC_Gemma_TipoBienRaiz_EliminarExportarExcel</t>
  </si>
  <si>
    <t>TC_Gemma_TipoBienRaizAgregarCampoVacio</t>
  </si>
  <si>
    <t>TC_Gemma_TipoBienRaizSinDatosDescripcionInvalido</t>
  </si>
  <si>
    <t>TC_Gemma_TipoBienRaizModificarCampoVacio</t>
  </si>
  <si>
    <t>TC_Gemma_TipoBienRaizEliminarRegistroEnUso</t>
  </si>
  <si>
    <t>Acceder al sistema Gemma con usuario y perfil activo para la funcionalidad modulo Maestro - Tipo Bien Raiz,  colocar una descripcion Profesion Nombre en el filtro invalida.</t>
  </si>
  <si>
    <t>Acceder al sistema Gemma con usuario y perfil activo para la funcionalidad modulo Maestro - Tipo Bien Raiz,  presionar el boton, eliminar un registro que esta en uso.</t>
  </si>
  <si>
    <t>TC_Gemma_Razon de fracaso_ModificarExportarExcel</t>
  </si>
  <si>
    <t>TC_Gemma_Razon de fracaso_EliminarExportarExcel</t>
  </si>
  <si>
    <t>Acceder al sistema Gemma con usuario y perfil activo para la funcionalidad modulo Maestro - Razon Fracaso,  presionar el boton, eliminar un registro que esta en uso.</t>
  </si>
  <si>
    <t>Acceder al sistema Gemma con usuario y perfil activo para la funcionalidad modulo Maestro - Razon Fracaso,  colocar una descripcion  Nombre en el filtro invalida.</t>
  </si>
  <si>
    <t>TC_Gemma_MotivosRechazo_ModificarExportarExcel</t>
  </si>
  <si>
    <t>TC_Gemma_MotivosRechazo_EliminarExportarExcel</t>
  </si>
  <si>
    <t>TC_Gemma_Razon de fracasoAgregarCampoVacio</t>
  </si>
  <si>
    <t>TC_Gemma_MotivosRechazoAgregarCampoVacio</t>
  </si>
  <si>
    <t>TC_Gemma_Razon de fracasoSinDatosDescripcionInvalido</t>
  </si>
  <si>
    <t>TC_Gemma_MotivosRechazoSinDatosDescripcionInvalido</t>
  </si>
  <si>
    <t>TC_Gemma_Razon de fracasoModificarCampoVacio</t>
  </si>
  <si>
    <t>TC_Gemma_Razon de fracasoEliminarRegistroEnUso</t>
  </si>
  <si>
    <t>TC_Gemma_MotivosRechazoModificarCampoVacio</t>
  </si>
  <si>
    <t>TC_Gemma_MotivosRechazoEliminarRegistroEnUso</t>
  </si>
  <si>
    <t>Acceder al sistema Gemma con usuario y perfil activo para la funcionalidad modulo Maestro - Motivos Rechazos,  presionar el boton, eliminar un registro que esta en uso.</t>
  </si>
  <si>
    <t>Acceder al sistema Gemma con usuario y perfil activo para la funcionalidad modulo Maestro - Motivos Rechazos,  colocar un Rechazo descripcion  en el filtro invalida.</t>
  </si>
  <si>
    <t>Se espera que el sistema muestre el mensaje de error Id Alternativo ya existe.</t>
  </si>
  <si>
    <t>TC_Gemma_MotivosRechazoAgregarIdExistente</t>
  </si>
  <si>
    <t>TC_Gemma_Financiera_ModificarExportarExcel</t>
  </si>
  <si>
    <t>TC_Gemma_Financiera_EliminarExportarExcel</t>
  </si>
  <si>
    <t>Acceder al sistema Gemma con usuario y perfil activo para la funcionalidad modulo Maestro - Financiera,  presionar el boton, eliminar un registro que esta en uso.</t>
  </si>
  <si>
    <t>Acceder al sistema Gemma con usuario y perfil activo para la funcionalidad modulo Maestro - Financiera,  colocar una descripcion del Nombre en el filtro invalida.</t>
  </si>
  <si>
    <t>TC_Gemma_Banco_ModificarExportarExcel</t>
  </si>
  <si>
    <t>TC_Gemma_Banco_EliminarExportarExcel</t>
  </si>
  <si>
    <t>TC_Gemma_FinancieraAgregarCampoVacio</t>
  </si>
  <si>
    <t>TC_Gemma_BancoAgregarCampoVacio</t>
  </si>
  <si>
    <t>TC_Gemma_FinancieraSinDatosDescripcionInvalido</t>
  </si>
  <si>
    <t>TC_Gemma_BancoSinDatosDescripcionInvalido</t>
  </si>
  <si>
    <t>TC_Gemma_FinancieraModificarCampoVacio</t>
  </si>
  <si>
    <t>TC_Gemma_BancoModificarCampoVacio</t>
  </si>
  <si>
    <t>TC_Gemma_FinancieraEliminarRegistroEnUso</t>
  </si>
  <si>
    <t>TC_Gemma_BancoEliminarRegistroEnUso</t>
  </si>
  <si>
    <t>Acceder al sistema Gemma con usuario y perfil activo para la funcionalidad modulo Maestro - Banco,  colocar una descripcion del Nombre en el filtro invalida.</t>
  </si>
  <si>
    <t>Acceder al sistema Gemma con usuario y perfil activo para la funcionalidad modulo Maestro - Banco,  presionar el boton, eliminar un registro que esta en uso.</t>
  </si>
  <si>
    <t>Acceder al sistema Gemma con usuario y perfil activo para la funcionalidad modulo Maestro - Banco,  presionar Modificar, dejando la descripcion del Nombre en blanco y confirmar.</t>
  </si>
  <si>
    <t>Acceder al sistema Gemma con usuario y perfil activo para la funcionalidad modulo Maestro - Financiera, presionar Modificar dejando la descripcion del Nombre en blanco y confirmar.</t>
  </si>
  <si>
    <t>Acceder al sistema Gemma con usuario y perfil activo para la funcionalidad modulo Maestro - Motivos Rechazos,  presionar Modificar, dejando el Rechazo descripcion en blanco y confirmar.</t>
  </si>
  <si>
    <t>Acceder al sistema Gemma con usuario y perfil activo para la funcionalidad modulo Maestro - Razon Fracaso, presionar Modificar dejando la descripcion  Nombre en blanco y confirmar.</t>
  </si>
  <si>
    <t>Acceder al sistema Gemma con usuario y perfil activo para la funcionalidad modulo Maestro - Tipo Bien Raiz,  presionar Modificar dejando la descripcion Profesion Nombre en blanco y confirmar.</t>
  </si>
  <si>
    <t>Acceder al sistema Gemma con usuario y perfil activo para la funcionalidad modulo Maestro - Profesiones,  presionar Modificar dejando la descripcion Profesion Nombre en blanco y confirmar.</t>
  </si>
  <si>
    <t>Acceder al sistema Gemma con usuario y perfil activo para la funcionalidad modulo Maestro - Tipos de Vehiculos,  presionar Modificar dejando la descripcion vehiculo en blanco y confirmar.</t>
  </si>
  <si>
    <t>Acceder al sistema Gemma con usuario y perfil activo para la funcionalidad modulo Maestro - Actividad Económica,  presionar Modificar dejando la descripcion en blanco y confirmar.</t>
  </si>
  <si>
    <t>Acceder al sistema Gemma con usuario y perfil activo para la funcionalidad modulo Maestro - Canales,  presionar Modificar dejando la descripcion en blanco y confirmar.</t>
  </si>
  <si>
    <t>Acceder al sistema Gemma con usuario y perfil activo para la funcionalidad modulo Maestro - Categoria Distribuidor,  presionar Modificar dejando la descripcion en blanco y confirmar.</t>
  </si>
  <si>
    <t>TC_Gemma_Zonas_ModificarExportarExcel</t>
  </si>
  <si>
    <t>TC_Gemma_Zonas_EliminarExportarExcel</t>
  </si>
  <si>
    <t>TC_Gemma_ZonasAgregarCampoVacio</t>
  </si>
  <si>
    <t>TC_Gemma_ZonasSinDatosSinDatosDescripcionInvalido</t>
  </si>
  <si>
    <t>TC_Gemma_ZonasModificarCampoVacio</t>
  </si>
  <si>
    <t>TC_Gemma_ZonasEliminarRegistroEnUso</t>
  </si>
  <si>
    <t>Acceder al sistema Gemma con usuario y perfil activo para la funcionalidad modulo Maestro - Zonas,  presionar el boton, eliminar un registro que esta en uso.</t>
  </si>
  <si>
    <t>Acceder al sistema Gemma con usuario y perfil activo para la funcionalidad modulo Maestro - Zonas,  colocar una descripcion en el filtro que sea invalida.</t>
  </si>
  <si>
    <t>Acceder al sistema Gemma con usuario y perfil activo para la funcionalidad modulo Maestro - Zonas,  presionar Modificar dejando la descripcion Nombre en blanco y confirmar.</t>
  </si>
  <si>
    <t>Se espera que el sistema muestre el mensaje de error Codigo ya existe.</t>
  </si>
  <si>
    <t>TC_Gemma_CIAdeSeguro_ModificarExportarExcel</t>
  </si>
  <si>
    <t>TC_Gemma_CIAdeSeguro_EliminarExportarExcel</t>
  </si>
  <si>
    <t>TC_Gemma_CIAdeSeguroAgregarCampoVacio</t>
  </si>
  <si>
    <t>TC_Gemma_CIAdeSeguroSinDatosDescripcionInvalido</t>
  </si>
  <si>
    <t>TC_Gemma_CIAdeSeguroModificarCampoVacio</t>
  </si>
  <si>
    <t>TC_Gemma_CIAdeSeguroEliminarRegistroEnUso</t>
  </si>
  <si>
    <t>Acceder al sistema Gemma con usuario y perfil activo para la funcionalidad modulo Maestro - CIA de Seguro,  presionar Modificar dejando la descripcion Nombre en blanco y confirmar.</t>
  </si>
  <si>
    <t>Acceder al sistema Gemma con usuario y perfil activo para la funcionalidad modulo Maestro - CIA de Seguro,  presionar el boton, eliminar un registro que esta en uso.</t>
  </si>
  <si>
    <t>Acceder al sistema Gemma con usuario y perfil activo para la funcionalidad modulo Maestro - CIA de Seguro,  colocar un Nombre en el filtro que sea invalida.</t>
  </si>
  <si>
    <t>TC_Gemma_Caracteristicas_ModificarExportarExcel</t>
  </si>
  <si>
    <t>TC_Gemma_Caracteristicas_EliminarExportarExcel</t>
  </si>
  <si>
    <t>TC_Gemma_CaracteristicasAgregarCampoVacio</t>
  </si>
  <si>
    <t>TC_Gemma_CaracteristicasSinDatosDescripcionInvalido</t>
  </si>
  <si>
    <t>TC_Gemma_CaracteristicasModificarCampoVacio</t>
  </si>
  <si>
    <t>TC_Gemma_CaracteristicasEliminarRegistroEnUso</t>
  </si>
  <si>
    <t>TC_Gemma_ZonasAgregarIdExistente</t>
  </si>
  <si>
    <t>TC_Gemma_CaracteristicaAgregarNroExistente</t>
  </si>
  <si>
    <t>Acceder al sistema Gemma con usuario y perfil activo para la funcionalidad modulo Maestro - Caracteristicas,  colocar un Nombre en el filtro que sea invalida.</t>
  </si>
  <si>
    <t>Acceder al sistema Gemma con usuario y perfil activo para la funcionalidad modulo Maestro - Caracteristicas,  presionar Modificar dejando la descripcion Nombre en blanco y confirmar.</t>
  </si>
  <si>
    <t>Acceder al sistema Gemma con usuario y perfil activo para la funcionalidad modulo Maestro - Caracteristicas,  presionar el boton, eliminar un registro que esta en uso.</t>
  </si>
  <si>
    <t>Se espera que el sistema muestre el mensaje de error Numero ya existe.</t>
  </si>
  <si>
    <t>TC_Gemma_Vehiculo_AgregarUnoModeloVehiculo</t>
  </si>
  <si>
    <t>TC_Gemma_Vehiculo_AgregarVariosModelos</t>
  </si>
  <si>
    <t>TC_Gemma_Vehiculo_ConsultarDatosVehiculo</t>
  </si>
  <si>
    <t>Link Marca</t>
  </si>
  <si>
    <t>TC_Gemma_Vehiculo_AgregarSinValoresCamposObligatorios</t>
  </si>
  <si>
    <t>Consulta de registro de manera exitosa.</t>
  </si>
  <si>
    <t>El sistema muestra el mensaje de error al agregar.</t>
  </si>
  <si>
    <t>El sistema muestra el mensaje de error al modificar.</t>
  </si>
  <si>
    <t>El sistema muestra el mensaje de error al eliminar registro en uso.</t>
  </si>
  <si>
    <t>Debe ingresar valores. Error inesperado al intentar actualizar la base de datos. Por favor reintente</t>
  </si>
  <si>
    <t>Valor</t>
  </si>
  <si>
    <t>Sin valor</t>
  </si>
  <si>
    <t>TC_Gemma_TramoPuntaje_AgregarValoresNoNumericos</t>
  </si>
  <si>
    <t>TC_Gemma_TramoPuntaje_ModificarValoresNonumericos</t>
  </si>
  <si>
    <t>TC_Gemma_TramoPuntaje_EliminarRegistroEnUso</t>
  </si>
  <si>
    <t>Documento Excel Exportadode forma exitosa</t>
  </si>
  <si>
    <t>El sistema emite un mensaje de error El valor no representa un numero correcto.</t>
  </si>
  <si>
    <t>El sistema emite un mensaje de error Eliminacion no valida</t>
  </si>
  <si>
    <t>TC_Gemma_Regiones_ModificarEliminarRegistroEnUso</t>
  </si>
  <si>
    <t>Documento Excel exportado de forma exitosa</t>
  </si>
  <si>
    <t>El sistema muestra el mensaje de error que corresponde</t>
  </si>
  <si>
    <t>TC_Gemma_Opcion_AgregarModificarCamposVacios</t>
  </si>
  <si>
    <t>TC_Gemma_Opcion_EliminarRegistroEnUso</t>
  </si>
  <si>
    <t>TC_Gemma_Opcion_AgregarValorNoNumericoCODRepetido</t>
  </si>
  <si>
    <t>Validar funcionalidad Maestro Opcion seleccionando la opcion, Exportar excel sin datos seleccionados</t>
  </si>
  <si>
    <t>Validar funcionalidad Maestro Opcion seleccionando la opcion, Agregar un nuevo registro con campos obligatorios</t>
  </si>
  <si>
    <t>Validar funcionalidad Maestro Opcion seleccionando la opcion, un nuevo registro con todos los campos</t>
  </si>
  <si>
    <t>Validar funcionalidad Maestro Opcion seleccionando la opcion, Modificar un registro buscando el valor en el filtro</t>
  </si>
  <si>
    <t>Validar funcionalidad Maestro Opcion seleccionando la opcion, Modificar un registro seleccionando un valor de la tabla resumen</t>
  </si>
  <si>
    <t>Validar funcionalidad Maestro Opcion seleccionando la opcion, Eliminar un registro buscando el valor en el filtro</t>
  </si>
  <si>
    <t>Validar funcionalidad Maestro Opcion seleccionando la opcion, Eliminar un registro seleccionando un valor de la tabla resumen</t>
  </si>
  <si>
    <t>Validar funcionalidad Maestro Opcion seleccionando la opcion, Modificar un registro buscando el valor en el filtro, desde el Link Descripcion</t>
  </si>
  <si>
    <t>Validar funcionalidad Maestro Opcion seleccionando la opcion, Modificar un registro seleccionando un valor de la tabla resumen, desde el Link Descripcion</t>
  </si>
  <si>
    <t>Validar funcionalidad Maestro Opcion seleccionando la opcion, Eliminar  un registro buscando el valor en el filtro, desde el Link Descripcion</t>
  </si>
  <si>
    <t>Validar funcionalidad Maestro Opcion seleccionando la opcion, Eliminar un registro seleccionando un valor de la tabla resumen, desde el Link Descripcion</t>
  </si>
  <si>
    <t>Validar funcionalidad Maestro Opcion seleccionando la opcion, agregar un nuevo registro con Codigo no numerico y codigo repetido</t>
  </si>
  <si>
    <t>Validar funcionalidad Maestro Opcion seleccionando la opcion, agregar o modificar registro los campos vacios</t>
  </si>
  <si>
    <t>Validar funcionalidad Maestro Opcion seleccionando la opcion, Eliminar un registro en Uso</t>
  </si>
  <si>
    <t>Documento Excel Exportado de forma exitosa</t>
  </si>
  <si>
    <t>TC_Gemma_Adicionales_EliminarRegistroEnUso</t>
  </si>
  <si>
    <t>Acceder al sistema Gemma con usuario y perfil activo para la funcionalidad modulo Maestro - Adicionales, hacer clic en el boton, Eliminar de la Tabla resumen un resgistro en Uso.</t>
  </si>
  <si>
    <t>Acceder al sistema Gemma con usuario y perfil activo para la funcionalidad modulo Maestro - Adicionales, colocar un Descripcion invalida en el filtro</t>
  </si>
  <si>
    <t>Validar funcionalidad Maestro Adicionales seleccionando la Adicionales, Exportar excel sin datos seleccionados</t>
  </si>
  <si>
    <t>Validar funcionalidad Maestro Adicionales seleccionando la Adicionales, Agregar un nuevo registro con campos obligatorios</t>
  </si>
  <si>
    <t>Validar funcionalidad Maestro Adicionales seleccionando la Adicionales, Modificar un registro buscando el valor en el filtro</t>
  </si>
  <si>
    <t>Validar funcionalidad Maestro Adicionales seleccionando la Adicionales, Modificar un registro seleccionando un valor de la tabla resumen</t>
  </si>
  <si>
    <t>Validar funcionalidad Maestro Adicionales seleccionando la Adicionales, Eliminar un registro buscando el valor en el filtro</t>
  </si>
  <si>
    <t>Validar funcionalidad Maestro Adicionales seleccionando la Adicionales, Eliminar un registro seleccionando un valor de la tabla resumen</t>
  </si>
  <si>
    <t>Validar funcionalidad Maestro Adicionales seleccionando la Adicionales, Modificar un registro buscando el valor en el filtro, desde el Link Descripcion</t>
  </si>
  <si>
    <t>Validar funcionalidad Maestro Adicionales seleccionando la Adicionales, Modificar un registro seleccionando un valor de la tabla resumen, desde el Link Descripcion</t>
  </si>
  <si>
    <t>Validar funcionalidad Maestro Adicionales seleccionando la Adicionales, Eliminar  un registro buscando el valor en el filtro, desde el Link Descripcion</t>
  </si>
  <si>
    <t>Validar funcionalidad Maestro Adicionales seleccionando la Adicionales, Eliminar un registro seleccionando un valor de la tabla resumen, desde el Link Descripcion</t>
  </si>
  <si>
    <t>Validar funcionalidad Maestro Adicionales seleccionando la Adicionales, Eliminar un registro en uso</t>
  </si>
  <si>
    <t>Validar funcionalidad Maestro Adicionales seleccionando la Adicionales, colocar en el campo una Descripcion invalida</t>
  </si>
  <si>
    <t>Acceder al sistema Gemma con usuario y perfil activo para la funcionalidad modulo Maestro - Mensajes Tramos, hacer clic en el boton, Eliminar de la Tabla resumen un resgistro en Uso.</t>
  </si>
  <si>
    <t>Acceder al sistema Gemma con usuario y perfil activo para la funcionalidad modulo Maestro - Mensajes Tramos, colocar un Descripcion invalida en el filtro</t>
  </si>
  <si>
    <t>TC_Gemma_MensajesTramos_EliminarRegistroEnUso</t>
  </si>
  <si>
    <t>Validar funcionalidad Maestro Mensajes Tramos seleccionando la Mensajes Tramos, Exportar excel sin datos seleccionados</t>
  </si>
  <si>
    <t>Validar funcionalidad Maestro Mensajes Tramos seleccionando la Mensajes Tramos, Agregar un nuevo registro con campos obligatorios</t>
  </si>
  <si>
    <t>Validar funcionalidad Maestro Mensajes Tramos seleccionando la Mensajes Tramos, Modificar un registro buscando el valor en el filtro</t>
  </si>
  <si>
    <t>Validar funcionalidad Maestro Mensajes Tramos seleccionando la Mensajes Tramos, Modificar un registro seleccionando un valor de la tabla resumen</t>
  </si>
  <si>
    <t>Validar funcionalidad Maestro Mensajes Tramos seleccionando la Mensajes Tramos, Eliminar un registro buscando el valor en el filtro</t>
  </si>
  <si>
    <t>Validar funcionalidad Maestro Mensajes Tramos seleccionando la Mensajes Tramos, Eliminar un registro seleccionando un valor de la tabla resumen</t>
  </si>
  <si>
    <t>Validar funcionalidad Maestro Mensajes Tramos seleccionando la Mensajes Tramos, Modificar un registro buscando el valor en el filtro, desde el Link Descripcion</t>
  </si>
  <si>
    <t>Validar funcionalidad Maestro Mensajes Tramos seleccionando la Mensajes Tramos, Modificar un registro seleccionando un valor de la tabla resumen, desde el Link Descripcion</t>
  </si>
  <si>
    <t>Validar funcionalidad Maestro Mensajes Tramos seleccionando la Mensajes Tramos, Eliminar  un registro buscando el valor en el filtro, desde el Link Descripcion</t>
  </si>
  <si>
    <t>Validar funcionalidad Maestro Mensajes Tramos seleccionando la Mensajes Tramos, Eliminar un registro seleccionando un valor de la tabla resumen, desde el Link Descripcion</t>
  </si>
  <si>
    <t>Validar funcionalidad Maestro Mensajes Tramos seleccionando la Mensajes Tramos, Eliminar un registro en uso</t>
  </si>
  <si>
    <t>Validar funcionalidad Maestro Mensajes Tramos seleccionando la Mensajes Tramos, colocar en el campo una Descripcion invalida</t>
  </si>
  <si>
    <t>TC_Gemma_Feriados_EliminarRegistroEnUso</t>
  </si>
  <si>
    <t>Validar funcionalidad Maestro Feriados seleccionando la Feriados, Exportar excel sin datos seleccionados</t>
  </si>
  <si>
    <t>Validar funcionalidad Maestro Feriados seleccionando la Feriados, Agregar un nuevo registro con campos obligatorios</t>
  </si>
  <si>
    <t>Validar funcionalidad Maestro Feriados seleccionando la Feriados, Modificar un registro buscando el valor en el filtro</t>
  </si>
  <si>
    <t>Validar funcionalidad Maestro Feriados seleccionando la Feriados, Modificar un registro seleccionando un valor de la tabla resumen</t>
  </si>
  <si>
    <t>Validar funcionalidad Maestro Feriados seleccionando la Feriados, Eliminar un registro buscando el valor en el filtro</t>
  </si>
  <si>
    <t>Validar funcionalidad Maestro Feriados seleccionando la Feriados, Eliminar un registro seleccionando un valor de la tabla resumen</t>
  </si>
  <si>
    <t>Link Fecha</t>
  </si>
  <si>
    <t>Acceder al sistema Gemma con usuario y perfil activo para la funcionalidad modulo Maestro - Feriados, hacer clic en el boton, Eliminar de la Tabla resumen un resgistro en Uso.</t>
  </si>
  <si>
    <t>Validar funcionalidad Maestro Feriados seleccionando la Feriados, Modificar un registro buscando el valor en el filtro, desde el Link Fecha</t>
  </si>
  <si>
    <t>Validar funcionalidad Maestro Feriados seleccionando la Feriados, Modificar un registro seleccionando un valor de la tabla resumen, desde el Link Fecha</t>
  </si>
  <si>
    <t>Validar funcionalidad Maestro Feriados seleccionando la Feriados, Eliminar  un registro buscando el valor en el filtro, desde el Link Fecha</t>
  </si>
  <si>
    <t>Validar funcionalidad Maestro Feriados seleccionando la Feriados, Eliminar un registro seleccionando un valor de la tabla resumen, desde el Link Fecha</t>
  </si>
  <si>
    <t>TC_Gemma_Campaña_AgregarCamposVacios</t>
  </si>
  <si>
    <t>TC_Gemma_Campaña_AgregarValorNoNumericoFecha</t>
  </si>
  <si>
    <t>TC_Gemma_Campaña_DistDescripcionInvalido</t>
  </si>
  <si>
    <t xml:space="preserve"> Validar funcionalidad Maestro Campaña buscar un Dist Descripcion invalido, mediante el filtro.</t>
  </si>
  <si>
    <t>TC_Gemma_ProductoCredito_EliminarRegistroEnUso</t>
  </si>
  <si>
    <t xml:space="preserve">Descripcion CP </t>
  </si>
  <si>
    <t>El sistema muestra el mensaje de error que corresponda</t>
  </si>
  <si>
    <t>TC_Gemma_Incentivo_AgregarFechaNoNumerica</t>
  </si>
  <si>
    <t>TC_Gemma_Incentivo_AgregarDatosNoNumericos</t>
  </si>
  <si>
    <t>TC_Gemma_Incentivo_FiltroNombreInvalido</t>
  </si>
  <si>
    <t xml:space="preserve"> Validar funcionalidad Maestro Incentivo agregando valores de Fecha No numerico</t>
  </si>
  <si>
    <t xml:space="preserve"> Validar funcionalidad Maestro Incentivo agregando valores No numerico en los campos Pie Maximo, Saldo Precio Minimo, Saldo Precio Maximo</t>
  </si>
  <si>
    <t>El sistema muestra el mensaje de error Fecha invalida</t>
  </si>
  <si>
    <t>TC_Gemma_Peaje_AgregarCamposVacios</t>
  </si>
  <si>
    <t>TC_Gemma_Peaje_EliminarRegistroEnUso</t>
  </si>
  <si>
    <t>El sistema muestra el mensaje de error que correnponda</t>
  </si>
  <si>
    <t>TC_Gemma_DocumentosRequeridos_EliminarRegistroEnUso</t>
  </si>
  <si>
    <t>TC_Gemma_RUTBloqueado_ConsolidadoErrorAgregar</t>
  </si>
  <si>
    <t>El sistema muestra mensaje de error que corresponda</t>
  </si>
  <si>
    <t>TC_Gemma_RazonSeguimiento_EliminarRegistroEnUso</t>
  </si>
  <si>
    <t>TC_Gemma_RazonSeguimiento_AgregarCamposVacios</t>
  </si>
  <si>
    <t>Acceder al sistema Gemma con usuario y perfil activo para la funcionalidad modulo Maestro - Razon de Seguimiento, hacer clic en el boton Agregar y dejar los campos vacios</t>
  </si>
  <si>
    <t>Acceder al sistema Gemma con usuario y perfil activo para la funcionalidad modulo Maestro - Razon de Seguimiento, hacer clic en el boton  Eliminar un registro en uso.</t>
  </si>
  <si>
    <t>El sistema muestra un mensaje de error correspondiente</t>
  </si>
  <si>
    <t>TC_Gemma_RazonSeguimientoContacto_AgregarCamposVacios</t>
  </si>
  <si>
    <t>TC_Gemma_RazonSeguimientoContacto_EliminarRegistroEnUso</t>
  </si>
  <si>
    <t>Acceder al sistema Gemma con usuario y perfil activo para la funcionalidad modulo Maestro - Razon de Seguimiento Contacto, hacer clic en el boton Agregar y dejar los campos vacios</t>
  </si>
  <si>
    <t>Acceder al sistema Gemma con usuario y perfil activo para la funcionalidad modulo Maestro - Razon de Seguimiento Contacto, hacer clic en el boton  Eliminar un registro en uso.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</si>
</sst>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theme="1"/>
      <name val="Calibri"/>
      <family val="2"/>
      <scheme val="minor"/>
    </font>
    <font>
      <sz val="8"/>
      <name val="Arial"/>
      <family val="2"/>
    </font>
    <font>
      <sz val="10"/>
      <color theme="1"/>
      <name val="Calibri"/>
      <family val="2"/>
      <scheme val="minor"/>
    </font>
    <font>
      <b/>
      <sz val="11"/>
      <color theme="1"/>
      <name val="Calibri"/>
      <family val="2"/>
      <scheme val="minor"/>
    </font>
    <font>
      <i/>
      <sz val="11"/>
      <color theme="1"/>
      <name val="Calibri"/>
      <family val="2"/>
      <scheme val="minor"/>
    </font>
    <font>
      <b/>
      <sz val="11"/>
      <color rgb="FFFF0000"/>
      <name val="Calibri"/>
      <family val="2"/>
      <scheme val="minor"/>
    </font>
    <font>
      <b/>
      <sz val="11"/>
      <name val="Calibri"/>
      <family val="2"/>
      <scheme val="minor"/>
    </font>
    <font>
      <b/>
      <i/>
      <u/>
      <sz val="11"/>
      <color theme="1"/>
      <name val="Calibri"/>
      <family val="2"/>
      <scheme val="minor"/>
    </font>
    <font>
      <b/>
      <sz val="11"/>
      <color rgb="FFCC66FF"/>
      <name val="Calibri"/>
      <family val="2"/>
      <scheme val="minor"/>
    </font>
    <font>
      <sz val="11"/>
      <name val="Calibri"/>
      <family val="2"/>
      <scheme val="minor"/>
    </font>
    <font>
      <sz val="11"/>
      <color rgb="FFFF0000"/>
      <name val="Calibri"/>
      <family val="2"/>
      <scheme val="minor"/>
    </font>
    <font>
      <b/>
      <u/>
      <sz val="11"/>
      <color theme="1"/>
      <name val="Calibri"/>
      <family val="2"/>
      <scheme val="minor"/>
    </font>
    <font>
      <b/>
      <i/>
      <sz val="11"/>
      <color theme="1"/>
      <name val="Calibri"/>
      <family val="2"/>
      <scheme val="minor"/>
    </font>
    <font>
      <u/>
      <sz val="11"/>
      <color theme="10"/>
      <name val="Calibri"/>
      <family val="2"/>
      <scheme val="minor"/>
    </font>
    <font>
      <sz val="10"/>
      <color rgb="FFFF0000"/>
      <name val="Calibri"/>
      <family val="2"/>
      <scheme val="minor"/>
    </font>
  </fonts>
  <fills count="2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5" tint="-0.249977111117893"/>
        <bgColor indexed="64"/>
      </patternFill>
    </fill>
    <fill>
      <patternFill patternType="solid">
        <fgColor rgb="FF66FF33"/>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CC66FF"/>
        <bgColor indexed="64"/>
      </patternFill>
    </fill>
    <fill>
      <patternFill patternType="solid">
        <fgColor theme="0" tint="-0.34998626667073579"/>
        <bgColor indexed="64"/>
      </patternFill>
    </fill>
    <fill>
      <patternFill patternType="solid">
        <fgColor rgb="FFDA9694"/>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rgb="FF948A54"/>
        <bgColor indexed="64"/>
      </patternFill>
    </fill>
    <fill>
      <patternFill patternType="solid">
        <fgColor rgb="FF00B0F0"/>
        <bgColor indexed="64"/>
      </patternFill>
    </fill>
    <fill>
      <patternFill patternType="solid">
        <fgColor rgb="FFA6A6A6"/>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7" tint="0.39997558519241921"/>
        <bgColor indexed="64"/>
      </patternFill>
    </fill>
  </fills>
  <borders count="63">
    <border>
      <left/>
      <right/>
      <top/>
      <bottom/>
      <diagonal/>
    </border>
    <border>
      <left/>
      <right style="thin">
        <color indexed="64"/>
      </right>
      <top/>
      <bottom/>
      <diagonal/>
    </border>
    <border>
      <left style="thin">
        <color indexed="64"/>
      </left>
      <right/>
      <top/>
      <bottom/>
      <diagonal/>
    </border>
    <border>
      <left style="thick">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thick">
        <color auto="1"/>
      </right>
      <top style="thick">
        <color indexed="64"/>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ck">
        <color auto="1"/>
      </right>
      <top style="hair">
        <color indexed="64"/>
      </top>
      <bottom style="hair">
        <color indexed="64"/>
      </bottom>
      <diagonal/>
    </border>
    <border>
      <left style="thick">
        <color indexed="64"/>
      </left>
      <right style="hair">
        <color indexed="64"/>
      </right>
      <top style="hair">
        <color indexed="64"/>
      </top>
      <bottom/>
      <diagonal/>
    </border>
    <border>
      <left style="thick">
        <color indexed="64"/>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thick">
        <color indexed="64"/>
      </left>
      <right/>
      <top style="hair">
        <color indexed="64"/>
      </top>
      <bottom style="hair">
        <color indexed="64"/>
      </bottom>
      <diagonal/>
    </border>
    <border>
      <left style="hair">
        <color indexed="64"/>
      </left>
      <right style="thick">
        <color auto="1"/>
      </right>
      <top style="hair">
        <color indexed="64"/>
      </top>
      <bottom/>
      <diagonal/>
    </border>
    <border>
      <left style="hair">
        <color auto="1"/>
      </left>
      <right style="thick">
        <color auto="1"/>
      </right>
      <top/>
      <bottom style="hair">
        <color auto="1"/>
      </bottom>
      <diagonal/>
    </border>
    <border>
      <left style="hair">
        <color indexed="64"/>
      </left>
      <right style="thick">
        <color auto="1"/>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thick">
        <color indexed="64"/>
      </left>
      <right style="hair">
        <color indexed="64"/>
      </right>
      <top style="hair">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top style="hair">
        <color indexed="64"/>
      </top>
      <bottom/>
      <diagonal/>
    </border>
    <border>
      <left/>
      <right/>
      <top style="hair">
        <color indexed="64"/>
      </top>
      <bottom style="hair">
        <color indexed="64"/>
      </bottom>
      <diagonal/>
    </border>
    <border>
      <left/>
      <right/>
      <top style="thick">
        <color indexed="64"/>
      </top>
      <bottom/>
      <diagonal/>
    </border>
    <border>
      <left style="hair">
        <color indexed="64"/>
      </left>
      <right/>
      <top/>
      <bottom style="hair">
        <color indexed="64"/>
      </bottom>
      <diagonal/>
    </border>
    <border>
      <left/>
      <right/>
      <top/>
      <bottom style="hair">
        <color indexed="64"/>
      </bottom>
      <diagonal/>
    </border>
    <border>
      <left style="hair">
        <color indexed="64"/>
      </left>
      <right/>
      <top style="hair">
        <color indexed="64"/>
      </top>
      <bottom style="double">
        <color indexed="64"/>
      </bottom>
      <diagonal/>
    </border>
    <border>
      <left style="hair">
        <color indexed="64"/>
      </left>
      <right style="hair">
        <color indexed="64"/>
      </right>
      <top style="double">
        <color indexed="64"/>
      </top>
      <bottom style="hair">
        <color indexed="64"/>
      </bottom>
      <diagonal/>
    </border>
    <border>
      <left style="thick">
        <color indexed="64"/>
      </left>
      <right/>
      <top/>
      <bottom style="hair">
        <color indexed="64"/>
      </bottom>
      <diagonal/>
    </border>
    <border>
      <left/>
      <right style="hair">
        <color indexed="64"/>
      </right>
      <top/>
      <bottom style="hair">
        <color indexed="64"/>
      </bottom>
      <diagonal/>
    </border>
    <border>
      <left/>
      <right/>
      <top style="hair">
        <color indexed="64"/>
      </top>
      <bottom/>
      <diagonal/>
    </border>
    <border>
      <left style="hair">
        <color indexed="64"/>
      </left>
      <right style="hair">
        <color indexed="64"/>
      </right>
      <top/>
      <bottom/>
      <diagonal/>
    </border>
    <border>
      <left/>
      <right style="thick">
        <color indexed="64"/>
      </right>
      <top style="hair">
        <color indexed="64"/>
      </top>
      <bottom style="hair">
        <color indexed="64"/>
      </bottom>
      <diagonal/>
    </border>
    <border>
      <left style="hair">
        <color indexed="64"/>
      </left>
      <right/>
      <top style="thick">
        <color indexed="64"/>
      </top>
      <bottom style="hair">
        <color indexed="64"/>
      </bottom>
      <diagonal/>
    </border>
    <border>
      <left style="hair">
        <color indexed="64"/>
      </left>
      <right/>
      <top/>
      <bottom/>
      <diagonal/>
    </border>
    <border>
      <left/>
      <right style="hair">
        <color indexed="64"/>
      </right>
      <top/>
      <bottom/>
      <diagonal/>
    </border>
    <border>
      <left style="hair">
        <color auto="1"/>
      </left>
      <right style="thick">
        <color auto="1"/>
      </right>
      <top/>
      <bottom/>
      <diagonal/>
    </border>
    <border>
      <left style="hair">
        <color indexed="64"/>
      </left>
      <right style="thick">
        <color auto="1"/>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right style="hair">
        <color indexed="64"/>
      </right>
      <top style="thick">
        <color indexed="64"/>
      </top>
      <bottom/>
      <diagonal/>
    </border>
    <border>
      <left style="thick">
        <color indexed="64"/>
      </left>
      <right/>
      <top style="thick">
        <color indexed="64"/>
      </top>
      <bottom/>
      <diagonal/>
    </border>
    <border>
      <left style="thick">
        <color indexed="64"/>
      </left>
      <right style="hair">
        <color indexed="64"/>
      </right>
      <top style="double">
        <color indexed="64"/>
      </top>
      <bottom style="hair">
        <color indexed="64"/>
      </bottom>
      <diagonal/>
    </border>
    <border>
      <left style="hair">
        <color indexed="64"/>
      </left>
      <right style="thick">
        <color indexed="64"/>
      </right>
      <top style="double">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top style="hair">
        <color indexed="64"/>
      </top>
      <bottom style="thick">
        <color indexed="64"/>
      </bottom>
      <diagonal/>
    </border>
    <border>
      <left/>
      <right style="thick">
        <color indexed="64"/>
      </right>
      <top style="thick">
        <color indexed="64"/>
      </top>
      <bottom/>
      <diagonal/>
    </border>
    <border>
      <left/>
      <right style="thick">
        <color indexed="64"/>
      </right>
      <top/>
      <bottom style="hair">
        <color indexed="64"/>
      </bottom>
      <diagonal/>
    </border>
    <border>
      <left/>
      <right/>
      <top style="thick">
        <color indexed="64"/>
      </top>
      <bottom style="hair">
        <color auto="1"/>
      </bottom>
      <diagonal/>
    </border>
    <border>
      <left/>
      <right style="thick">
        <color indexed="64"/>
      </right>
      <top style="hair">
        <color indexed="64"/>
      </top>
      <bottom/>
      <diagonal/>
    </border>
    <border>
      <left style="hair">
        <color indexed="64"/>
      </left>
      <right/>
      <top style="double">
        <color indexed="64"/>
      </top>
      <bottom style="hair">
        <color indexed="64"/>
      </bottom>
      <diagonal/>
    </border>
    <border>
      <left style="thick">
        <color indexed="64"/>
      </left>
      <right style="hair">
        <color indexed="64"/>
      </right>
      <top style="thick">
        <color indexed="64"/>
      </top>
      <bottom/>
      <diagonal/>
    </border>
    <border>
      <left style="hair">
        <color indexed="64"/>
      </left>
      <right style="hair">
        <color indexed="64"/>
      </right>
      <top style="thick">
        <color indexed="64"/>
      </top>
      <bottom/>
      <diagonal/>
    </border>
    <border>
      <left/>
      <right/>
      <top style="hair">
        <color indexed="64"/>
      </top>
      <bottom style="thick">
        <color indexed="64"/>
      </bottom>
      <diagonal/>
    </border>
    <border>
      <left style="thick">
        <color indexed="64"/>
      </left>
      <right/>
      <top style="thick">
        <color indexed="64"/>
      </top>
      <bottom style="hair">
        <color auto="1"/>
      </bottom>
      <diagonal/>
    </border>
    <border>
      <left style="thick">
        <color indexed="64"/>
      </left>
      <right style="hair">
        <color indexed="64"/>
      </right>
      <top/>
      <bottom/>
      <diagonal/>
    </border>
    <border>
      <left/>
      <right/>
      <top style="double">
        <color indexed="64"/>
      </top>
      <bottom style="hair">
        <color indexed="64"/>
      </bottom>
      <diagonal/>
    </border>
    <border>
      <left style="thick">
        <color indexed="64"/>
      </left>
      <right/>
      <top style="hair">
        <color indexed="64"/>
      </top>
      <bottom/>
      <diagonal/>
    </border>
  </borders>
  <cellStyleXfs count="5">
    <xf numFmtId="0" fontId="0" fillId="0" borderId="0"/>
    <xf numFmtId="0" fontId="1" fillId="2" borderId="0" applyNumberFormat="0" applyBorder="0" applyAlignment="0" applyProtection="0"/>
    <xf numFmtId="0" fontId="1" fillId="3" borderId="0" applyNumberFormat="0" applyBorder="0" applyAlignment="0" applyProtection="0"/>
    <xf numFmtId="0" fontId="2" fillId="0" borderId="0"/>
    <xf numFmtId="0" fontId="14" fillId="0" borderId="0" applyNumberFormat="0" applyFill="0" applyBorder="0" applyAlignment="0" applyProtection="0"/>
  </cellStyleXfs>
  <cellXfs count="650">
    <xf numFmtId="0" fontId="0" fillId="0" borderId="0" xfId="0"/>
    <xf numFmtId="0" fontId="1" fillId="2" borderId="0" xfId="1"/>
    <xf numFmtId="0" fontId="1" fillId="2" borderId="0" xfId="1" applyAlignment="1">
      <alignment wrapText="1"/>
    </xf>
    <xf numFmtId="0" fontId="0" fillId="0" borderId="2" xfId="0" applyFill="1" applyBorder="1"/>
    <xf numFmtId="0" fontId="0" fillId="0" borderId="0" xfId="0" applyFill="1"/>
    <xf numFmtId="0" fontId="0" fillId="0" borderId="0" xfId="0" applyAlignment="1">
      <alignment horizontal="left"/>
    </xf>
    <xf numFmtId="0" fontId="1" fillId="2" borderId="0" xfId="1" applyAlignment="1">
      <alignment horizontal="left"/>
    </xf>
    <xf numFmtId="0" fontId="1" fillId="0" borderId="0" xfId="1" applyFill="1" applyBorder="1"/>
    <xf numFmtId="0" fontId="1" fillId="0" borderId="2" xfId="1" applyFill="1" applyBorder="1"/>
    <xf numFmtId="0" fontId="0" fillId="4" borderId="0" xfId="0" applyFill="1"/>
    <xf numFmtId="0" fontId="1" fillId="5" borderId="0" xfId="1" applyFill="1" applyBorder="1"/>
    <xf numFmtId="0" fontId="0" fillId="5" borderId="0" xfId="0" applyFill="1" applyBorder="1"/>
    <xf numFmtId="0" fontId="0" fillId="0" borderId="0" xfId="0" applyAlignment="1">
      <alignment horizontal="center" vertical="center"/>
    </xf>
    <xf numFmtId="0" fontId="1" fillId="0" borderId="7" xfId="1" applyFill="1" applyBorder="1"/>
    <xf numFmtId="0" fontId="0" fillId="0" borderId="6" xfId="0" applyFill="1" applyBorder="1"/>
    <xf numFmtId="0" fontId="0" fillId="0" borderId="9" xfId="0" applyFill="1" applyBorder="1"/>
    <xf numFmtId="0" fontId="0" fillId="0" borderId="11" xfId="0" applyFill="1" applyBorder="1"/>
    <xf numFmtId="0" fontId="0" fillId="0" borderId="8" xfId="0" applyFill="1" applyBorder="1"/>
    <xf numFmtId="0" fontId="1" fillId="0" borderId="6" xfId="1" applyFill="1" applyBorder="1"/>
    <xf numFmtId="0" fontId="0" fillId="0" borderId="14" xfId="0" applyFill="1" applyBorder="1"/>
    <xf numFmtId="0" fontId="0" fillId="0" borderId="6" xfId="1" applyFont="1" applyFill="1" applyBorder="1"/>
    <xf numFmtId="0" fontId="0" fillId="0" borderId="7" xfId="1" applyFont="1" applyFill="1" applyBorder="1" applyAlignment="1"/>
    <xf numFmtId="0" fontId="4" fillId="2" borderId="0" xfId="1" applyFont="1"/>
    <xf numFmtId="0" fontId="4" fillId="0" borderId="0" xfId="0" applyFont="1" applyAlignment="1">
      <alignment vertical="center"/>
    </xf>
    <xf numFmtId="0" fontId="0" fillId="0" borderId="12" xfId="1" applyFont="1" applyFill="1" applyBorder="1"/>
    <xf numFmtId="0" fontId="1" fillId="0" borderId="12" xfId="1" applyFill="1" applyBorder="1"/>
    <xf numFmtId="0" fontId="0" fillId="0" borderId="17" xfId="1" applyFont="1" applyFill="1" applyBorder="1"/>
    <xf numFmtId="0" fontId="1" fillId="0" borderId="17" xfId="1" applyFill="1" applyBorder="1"/>
    <xf numFmtId="0" fontId="0" fillId="2" borderId="0" xfId="1" applyFont="1"/>
    <xf numFmtId="0" fontId="0" fillId="2" borderId="0" xfId="1" applyFont="1" applyAlignment="1">
      <alignment horizontal="left"/>
    </xf>
    <xf numFmtId="0" fontId="4" fillId="6" borderId="0" xfId="1" applyFont="1" applyFill="1" applyAlignment="1">
      <alignment horizontal="left"/>
    </xf>
    <xf numFmtId="0" fontId="0" fillId="2" borderId="0" xfId="1" applyFont="1" applyAlignment="1">
      <alignment horizontal="left" vertical="top"/>
    </xf>
    <xf numFmtId="0" fontId="0" fillId="2" borderId="0" xfId="1" applyFont="1" applyAlignment="1">
      <alignment vertical="top"/>
    </xf>
    <xf numFmtId="0" fontId="5" fillId="2" borderId="0" xfId="1" applyFont="1" applyAlignment="1">
      <alignment horizontal="left" wrapText="1"/>
    </xf>
    <xf numFmtId="0" fontId="7" fillId="6" borderId="0" xfId="1" applyFont="1" applyFill="1" applyAlignment="1">
      <alignment horizontal="left" wrapText="1"/>
    </xf>
    <xf numFmtId="0" fontId="4" fillId="6" borderId="0" xfId="1" applyFont="1" applyFill="1" applyAlignment="1">
      <alignment horizontal="left" wrapText="1"/>
    </xf>
    <xf numFmtId="0" fontId="1" fillId="2" borderId="0" xfId="1" applyFont="1" applyAlignment="1">
      <alignment vertical="top"/>
    </xf>
    <xf numFmtId="0" fontId="5" fillId="7" borderId="0" xfId="1" applyFont="1" applyFill="1" applyAlignment="1">
      <alignment horizontal="left" wrapText="1"/>
    </xf>
    <xf numFmtId="0" fontId="4" fillId="6" borderId="0" xfId="1" applyFont="1" applyFill="1"/>
    <xf numFmtId="0" fontId="4" fillId="7" borderId="0" xfId="1" applyFont="1" applyFill="1"/>
    <xf numFmtId="0" fontId="0" fillId="0" borderId="19" xfId="0" applyBorder="1"/>
    <xf numFmtId="0" fontId="0" fillId="0" borderId="19" xfId="0" applyBorder="1" applyAlignment="1">
      <alignment horizontal="left"/>
    </xf>
    <xf numFmtId="0" fontId="0" fillId="0" borderId="20" xfId="0" applyBorder="1"/>
    <xf numFmtId="0" fontId="0" fillId="0" borderId="1" xfId="0" applyBorder="1"/>
    <xf numFmtId="0" fontId="0" fillId="0" borderId="0" xfId="0" applyBorder="1"/>
    <xf numFmtId="0" fontId="4" fillId="0" borderId="19" xfId="0" applyFont="1" applyBorder="1"/>
    <xf numFmtId="0" fontId="4" fillId="0" borderId="1" xfId="0" applyFont="1" applyBorder="1"/>
    <xf numFmtId="0" fontId="4" fillId="2" borderId="0" xfId="1" applyFont="1" applyAlignment="1">
      <alignment horizontal="left" vertical="top"/>
    </xf>
    <xf numFmtId="0" fontId="4" fillId="7" borderId="0" xfId="1" applyFont="1" applyFill="1" applyAlignment="1">
      <alignment horizontal="left"/>
    </xf>
    <xf numFmtId="0" fontId="7" fillId="7" borderId="0" xfId="1" applyFont="1" applyFill="1" applyAlignment="1">
      <alignment horizontal="left" wrapText="1"/>
    </xf>
    <xf numFmtId="0" fontId="4" fillId="7" borderId="0" xfId="1" applyFont="1" applyFill="1" applyAlignment="1">
      <alignment horizontal="left" wrapText="1"/>
    </xf>
    <xf numFmtId="0" fontId="4" fillId="8" borderId="0" xfId="0" applyFont="1" applyFill="1" applyAlignment="1">
      <alignment horizontal="center"/>
    </xf>
    <xf numFmtId="0" fontId="7" fillId="8" borderId="0" xfId="0" applyFont="1" applyFill="1" applyAlignment="1">
      <alignment horizontal="center"/>
    </xf>
    <xf numFmtId="0" fontId="4" fillId="0" borderId="0" xfId="0" applyFont="1" applyBorder="1"/>
    <xf numFmtId="0" fontId="4" fillId="7" borderId="0" xfId="0" applyFont="1" applyFill="1" applyBorder="1"/>
    <xf numFmtId="0" fontId="0" fillId="7" borderId="0" xfId="0" applyFill="1" applyBorder="1"/>
    <xf numFmtId="0" fontId="0" fillId="7" borderId="0" xfId="0" applyFill="1" applyBorder="1" applyAlignment="1">
      <alignment horizontal="left"/>
    </xf>
    <xf numFmtId="0" fontId="4" fillId="7" borderId="2" xfId="0" applyFont="1" applyFill="1" applyBorder="1" applyAlignment="1">
      <alignment vertical="top"/>
    </xf>
    <xf numFmtId="0" fontId="4" fillId="7" borderId="0" xfId="0" applyFont="1" applyFill="1" applyBorder="1" applyAlignment="1">
      <alignment horizontal="left"/>
    </xf>
    <xf numFmtId="0" fontId="4" fillId="7" borderId="21" xfId="0" applyFont="1" applyFill="1" applyBorder="1" applyAlignment="1">
      <alignment vertical="top"/>
    </xf>
    <xf numFmtId="0" fontId="0" fillId="2" borderId="0" xfId="1" applyFont="1" applyBorder="1" applyAlignment="1">
      <alignment horizontal="left"/>
    </xf>
    <xf numFmtId="0" fontId="4" fillId="7" borderId="19" xfId="0" applyFont="1" applyFill="1" applyBorder="1"/>
    <xf numFmtId="0" fontId="0" fillId="7" borderId="19" xfId="0" applyFill="1" applyBorder="1"/>
    <xf numFmtId="0" fontId="4" fillId="7" borderId="19" xfId="0" applyFont="1" applyFill="1" applyBorder="1" applyAlignment="1">
      <alignment horizontal="left"/>
    </xf>
    <xf numFmtId="0" fontId="4" fillId="6" borderId="0" xfId="0" applyFont="1" applyFill="1" applyAlignment="1">
      <alignment horizontal="left"/>
    </xf>
    <xf numFmtId="0" fontId="0" fillId="9" borderId="0" xfId="1" applyFont="1" applyFill="1"/>
    <xf numFmtId="0" fontId="4" fillId="6" borderId="23" xfId="0" applyFont="1" applyFill="1" applyBorder="1" applyAlignment="1">
      <alignment horizontal="left"/>
    </xf>
    <xf numFmtId="0" fontId="4" fillId="6" borderId="23" xfId="0" applyFont="1" applyFill="1" applyBorder="1" applyAlignment="1">
      <alignment vertical="top"/>
    </xf>
    <xf numFmtId="0" fontId="4" fillId="6" borderId="23" xfId="2" applyFont="1" applyFill="1" applyBorder="1" applyAlignment="1">
      <alignment horizontal="left"/>
    </xf>
    <xf numFmtId="0" fontId="4" fillId="8" borderId="0" xfId="0" applyFont="1" applyFill="1" applyBorder="1" applyAlignment="1">
      <alignment horizontal="center"/>
    </xf>
    <xf numFmtId="0" fontId="0" fillId="2" borderId="0" xfId="1" applyFont="1" applyAlignment="1">
      <alignment horizontal="left" wrapText="1"/>
    </xf>
    <xf numFmtId="0" fontId="0" fillId="2" borderId="0" xfId="1" applyFont="1" applyAlignment="1">
      <alignment vertical="top" wrapText="1"/>
    </xf>
    <xf numFmtId="0" fontId="0" fillId="6" borderId="23" xfId="1" applyFont="1" applyFill="1" applyBorder="1"/>
    <xf numFmtId="0" fontId="0" fillId="2" borderId="23" xfId="1" applyFont="1" applyBorder="1"/>
    <xf numFmtId="0" fontId="0" fillId="2" borderId="23" xfId="1" applyFont="1" applyBorder="1" applyAlignment="1">
      <alignment horizontal="left"/>
    </xf>
    <xf numFmtId="0" fontId="4" fillId="2" borderId="23" xfId="1" applyFont="1" applyBorder="1"/>
    <xf numFmtId="0" fontId="1" fillId="2" borderId="23" xfId="1" applyBorder="1" applyAlignment="1">
      <alignment horizontal="left"/>
    </xf>
    <xf numFmtId="0" fontId="4" fillId="9" borderId="23" xfId="1" applyFont="1" applyFill="1" applyBorder="1"/>
    <xf numFmtId="0" fontId="0" fillId="9" borderId="23" xfId="1" applyFont="1" applyFill="1" applyBorder="1"/>
    <xf numFmtId="0" fontId="1" fillId="2" borderId="23" xfId="1" applyBorder="1"/>
    <xf numFmtId="0" fontId="4" fillId="2" borderId="0" xfId="1" applyFont="1" applyBorder="1"/>
    <xf numFmtId="0" fontId="0" fillId="2" borderId="0" xfId="1" applyFont="1" applyBorder="1"/>
    <xf numFmtId="0" fontId="1" fillId="2" borderId="0" xfId="1" applyBorder="1" applyAlignment="1">
      <alignment horizontal="left"/>
    </xf>
    <xf numFmtId="0" fontId="1" fillId="2" borderId="0" xfId="1" applyBorder="1"/>
    <xf numFmtId="0" fontId="4" fillId="6" borderId="23" xfId="1" applyFont="1" applyFill="1" applyBorder="1"/>
    <xf numFmtId="0" fontId="4" fillId="6" borderId="0" xfId="1" applyFont="1" applyFill="1" applyBorder="1"/>
    <xf numFmtId="0" fontId="0" fillId="2" borderId="19" xfId="1" applyFont="1" applyBorder="1" applyAlignment="1">
      <alignment horizontal="left"/>
    </xf>
    <xf numFmtId="0" fontId="0" fillId="0" borderId="7" xfId="1" applyNumberFormat="1" applyFont="1" applyFill="1" applyBorder="1"/>
    <xf numFmtId="0" fontId="4" fillId="2" borderId="0" xfId="1" applyFont="1" applyAlignment="1">
      <alignment vertical="top"/>
    </xf>
    <xf numFmtId="0" fontId="0" fillId="9" borderId="19" xfId="1" applyFont="1" applyFill="1" applyBorder="1"/>
    <xf numFmtId="14" fontId="0" fillId="0" borderId="7" xfId="1" applyNumberFormat="1" applyFont="1" applyFill="1" applyBorder="1"/>
    <xf numFmtId="0" fontId="0" fillId="10" borderId="23" xfId="0" applyFill="1" applyBorder="1"/>
    <xf numFmtId="0" fontId="0" fillId="10" borderId="23" xfId="0" applyFill="1" applyBorder="1" applyAlignment="1">
      <alignment horizontal="left"/>
    </xf>
    <xf numFmtId="0" fontId="0" fillId="10" borderId="0" xfId="0" applyFill="1" applyBorder="1"/>
    <xf numFmtId="0" fontId="0" fillId="10" borderId="0" xfId="0" applyFill="1" applyBorder="1" applyAlignment="1">
      <alignment horizontal="left"/>
    </xf>
    <xf numFmtId="0" fontId="0" fillId="10" borderId="0" xfId="0" applyFill="1"/>
    <xf numFmtId="0" fontId="0" fillId="10" borderId="0" xfId="0" applyFill="1" applyAlignment="1">
      <alignment horizontal="left"/>
    </xf>
    <xf numFmtId="0" fontId="0" fillId="11" borderId="0" xfId="0" applyFill="1" applyBorder="1" applyAlignment="1">
      <alignment vertical="top"/>
    </xf>
    <xf numFmtId="0" fontId="1" fillId="0" borderId="24" xfId="1" applyFill="1" applyBorder="1"/>
    <xf numFmtId="0" fontId="0" fillId="0" borderId="24" xfId="0" applyFill="1" applyBorder="1"/>
    <xf numFmtId="0" fontId="0" fillId="0" borderId="30" xfId="1" applyFont="1" applyFill="1" applyBorder="1"/>
    <xf numFmtId="0" fontId="0" fillId="0" borderId="24" xfId="1" applyFont="1" applyFill="1" applyBorder="1"/>
    <xf numFmtId="0" fontId="0" fillId="0" borderId="27" xfId="0" applyFill="1" applyBorder="1"/>
    <xf numFmtId="14" fontId="1" fillId="0" borderId="7" xfId="1" applyNumberFormat="1" applyFill="1" applyBorder="1"/>
    <xf numFmtId="3" fontId="1" fillId="0" borderId="7" xfId="1" applyNumberFormat="1" applyFill="1" applyBorder="1"/>
    <xf numFmtId="0" fontId="0" fillId="0" borderId="10" xfId="1" applyFont="1" applyFill="1" applyBorder="1"/>
    <xf numFmtId="0" fontId="0" fillId="0" borderId="33" xfId="1" applyFont="1" applyFill="1" applyBorder="1"/>
    <xf numFmtId="0" fontId="0" fillId="0" borderId="0" xfId="0"/>
    <xf numFmtId="0" fontId="0" fillId="0" borderId="0" xfId="0" applyFill="1" applyBorder="1"/>
    <xf numFmtId="0" fontId="0" fillId="0" borderId="0" xfId="0" applyFill="1"/>
    <xf numFmtId="0" fontId="0" fillId="0" borderId="7" xfId="0" applyFill="1" applyBorder="1"/>
    <xf numFmtId="0" fontId="0" fillId="0" borderId="7" xfId="1" applyFont="1" applyFill="1" applyBorder="1"/>
    <xf numFmtId="49" fontId="1" fillId="0" borderId="7" xfId="1" applyNumberFormat="1" applyFill="1" applyBorder="1"/>
    <xf numFmtId="49" fontId="0" fillId="0" borderId="7" xfId="1" applyNumberFormat="1" applyFont="1" applyFill="1" applyBorder="1"/>
    <xf numFmtId="0" fontId="0" fillId="12" borderId="23" xfId="0" applyFill="1" applyBorder="1"/>
    <xf numFmtId="0" fontId="0" fillId="12" borderId="23" xfId="0" applyFill="1" applyBorder="1" applyAlignment="1">
      <alignment horizontal="left"/>
    </xf>
    <xf numFmtId="0" fontId="0" fillId="12" borderId="0" xfId="0" applyFill="1" applyBorder="1"/>
    <xf numFmtId="0" fontId="4" fillId="12" borderId="0" xfId="0" applyFont="1" applyFill="1" applyBorder="1"/>
    <xf numFmtId="0" fontId="0" fillId="12" borderId="0" xfId="1" applyFont="1" applyFill="1" applyBorder="1" applyAlignment="1">
      <alignment horizontal="left"/>
    </xf>
    <xf numFmtId="0" fontId="0" fillId="12" borderId="0" xfId="0" applyFill="1" applyBorder="1" applyAlignment="1">
      <alignment horizontal="left"/>
    </xf>
    <xf numFmtId="0" fontId="0" fillId="12" borderId="0" xfId="0" applyFill="1" applyBorder="1" applyAlignment="1">
      <alignment horizontal="left" wrapText="1"/>
    </xf>
    <xf numFmtId="0" fontId="0" fillId="12" borderId="0" xfId="0" applyFill="1" applyBorder="1" applyAlignment="1">
      <alignment vertical="top"/>
    </xf>
    <xf numFmtId="0" fontId="4" fillId="12" borderId="0" xfId="0" applyFont="1" applyFill="1" applyBorder="1" applyAlignment="1">
      <alignment vertical="top"/>
    </xf>
    <xf numFmtId="0" fontId="0" fillId="12" borderId="0" xfId="1" applyFont="1" applyFill="1" applyBorder="1" applyAlignment="1">
      <alignment horizontal="left" wrapText="1"/>
    </xf>
    <xf numFmtId="0" fontId="0" fillId="12" borderId="0" xfId="1" applyFont="1" applyFill="1" applyBorder="1" applyAlignment="1">
      <alignment horizontal="left" vertical="top"/>
    </xf>
    <xf numFmtId="0" fontId="0" fillId="12" borderId="0" xfId="0" applyFill="1" applyAlignment="1">
      <alignment horizontal="left" wrapText="1"/>
    </xf>
    <xf numFmtId="0" fontId="10" fillId="12" borderId="0" xfId="0" applyFont="1" applyFill="1" applyBorder="1"/>
    <xf numFmtId="0" fontId="6" fillId="12" borderId="0" xfId="0" applyFont="1" applyFill="1" applyBorder="1"/>
    <xf numFmtId="0" fontId="10" fillId="12" borderId="0" xfId="0" applyFont="1" applyFill="1" applyBorder="1" applyAlignment="1">
      <alignment horizontal="left" vertical="top"/>
    </xf>
    <xf numFmtId="0" fontId="4" fillId="12" borderId="0" xfId="0" applyFont="1" applyFill="1" applyAlignment="1">
      <alignment horizontal="center"/>
    </xf>
    <xf numFmtId="0" fontId="7" fillId="12" borderId="0" xfId="0" applyFont="1" applyFill="1" applyBorder="1"/>
    <xf numFmtId="0" fontId="10" fillId="12" borderId="0" xfId="0" applyFont="1" applyFill="1" applyBorder="1" applyAlignment="1">
      <alignment vertical="top"/>
    </xf>
    <xf numFmtId="0" fontId="10" fillId="12" borderId="0" xfId="0" applyFont="1" applyFill="1" applyBorder="1" applyAlignment="1">
      <alignment vertical="top" wrapText="1"/>
    </xf>
    <xf numFmtId="0" fontId="11" fillId="12" borderId="0" xfId="0" applyFont="1" applyFill="1" applyBorder="1"/>
    <xf numFmtId="0" fontId="0" fillId="12" borderId="0" xfId="0" applyFill="1" applyAlignment="1">
      <alignment horizontal="left"/>
    </xf>
    <xf numFmtId="0" fontId="12" fillId="12" borderId="0" xfId="0" applyFont="1" applyFill="1" applyBorder="1" applyAlignment="1">
      <alignment horizontal="left"/>
    </xf>
    <xf numFmtId="0" fontId="0" fillId="12" borderId="0" xfId="0" applyFill="1" applyAlignment="1">
      <alignment horizontal="left" vertical="top"/>
    </xf>
    <xf numFmtId="0" fontId="0" fillId="12" borderId="2" xfId="0" applyFill="1" applyBorder="1"/>
    <xf numFmtId="0" fontId="0" fillId="12" borderId="0" xfId="0" applyFill="1"/>
    <xf numFmtId="0" fontId="4" fillId="12" borderId="0" xfId="0" applyFont="1" applyFill="1"/>
    <xf numFmtId="0" fontId="4" fillId="12" borderId="0" xfId="0" applyFont="1" applyFill="1" applyAlignment="1">
      <alignment vertical="top"/>
    </xf>
    <xf numFmtId="0" fontId="0" fillId="12" borderId="0" xfId="0" applyFill="1" applyBorder="1" applyAlignment="1">
      <alignment horizontal="left" vertical="top"/>
    </xf>
    <xf numFmtId="0" fontId="0" fillId="12" borderId="0" xfId="0" applyFill="1" applyAlignment="1">
      <alignment vertical="top"/>
    </xf>
    <xf numFmtId="0" fontId="11" fillId="12" borderId="0" xfId="0" applyFont="1" applyFill="1"/>
    <xf numFmtId="0" fontId="6" fillId="12" borderId="0" xfId="0" applyFont="1" applyFill="1"/>
    <xf numFmtId="0" fontId="10" fillId="12" borderId="0" xfId="0" applyFont="1" applyFill="1"/>
    <xf numFmtId="0" fontId="10" fillId="12" borderId="0" xfId="0" applyFont="1" applyFill="1" applyAlignment="1">
      <alignment vertical="top"/>
    </xf>
    <xf numFmtId="0" fontId="4" fillId="12" borderId="0" xfId="0" applyFont="1" applyFill="1" applyBorder="1" applyAlignment="1">
      <alignment horizontal="left" wrapText="1"/>
    </xf>
    <xf numFmtId="0" fontId="0" fillId="13" borderId="23" xfId="0" applyFill="1" applyBorder="1"/>
    <xf numFmtId="0" fontId="7" fillId="13" borderId="23" xfId="0" applyFont="1" applyFill="1" applyBorder="1"/>
    <xf numFmtId="0" fontId="0" fillId="13" borderId="0" xfId="0" applyFill="1" applyBorder="1"/>
    <xf numFmtId="0" fontId="7" fillId="13" borderId="0" xfId="0" applyFont="1" applyFill="1" applyBorder="1"/>
    <xf numFmtId="0" fontId="0" fillId="13" borderId="0" xfId="0" applyFill="1"/>
    <xf numFmtId="0" fontId="0" fillId="13" borderId="2" xfId="0" applyFill="1" applyBorder="1"/>
    <xf numFmtId="0" fontId="0" fillId="13" borderId="23" xfId="0" applyFill="1" applyBorder="1" applyAlignment="1">
      <alignment horizontal="left"/>
    </xf>
    <xf numFmtId="0" fontId="0" fillId="13" borderId="0" xfId="0" applyFill="1" applyBorder="1" applyAlignment="1">
      <alignment horizontal="left"/>
    </xf>
    <xf numFmtId="0" fontId="0" fillId="13" borderId="0" xfId="0" applyFill="1" applyAlignment="1">
      <alignment horizontal="left"/>
    </xf>
    <xf numFmtId="0" fontId="0" fillId="14" borderId="0" xfId="0" applyFill="1"/>
    <xf numFmtId="0" fontId="1" fillId="14" borderId="0" xfId="1" applyFill="1"/>
    <xf numFmtId="0" fontId="4" fillId="14" borderId="0" xfId="1" applyFont="1" applyFill="1"/>
    <xf numFmtId="0" fontId="4" fillId="14" borderId="23" xfId="0" applyFont="1" applyFill="1" applyBorder="1"/>
    <xf numFmtId="0" fontId="5" fillId="14" borderId="23" xfId="0" applyFont="1" applyFill="1" applyBorder="1" applyAlignment="1">
      <alignment vertical="top"/>
    </xf>
    <xf numFmtId="0" fontId="0" fillId="14" borderId="23" xfId="0" applyFill="1" applyBorder="1"/>
    <xf numFmtId="0" fontId="0" fillId="14" borderId="23" xfId="0" applyFill="1" applyBorder="1" applyAlignment="1">
      <alignment horizontal="left"/>
    </xf>
    <xf numFmtId="0" fontId="4" fillId="14" borderId="23" xfId="1" applyFont="1" applyFill="1" applyBorder="1" applyAlignment="1">
      <alignment vertical="top"/>
    </xf>
    <xf numFmtId="0" fontId="4" fillId="14" borderId="0" xfId="0" applyFont="1" applyFill="1" applyBorder="1"/>
    <xf numFmtId="0" fontId="5" fillId="14" borderId="0" xfId="0" applyFont="1" applyFill="1" applyBorder="1" applyAlignment="1">
      <alignment vertical="top"/>
    </xf>
    <xf numFmtId="0" fontId="0" fillId="14" borderId="0" xfId="0" applyFill="1" applyBorder="1"/>
    <xf numFmtId="0" fontId="0" fillId="14" borderId="0" xfId="0" applyFill="1" applyBorder="1" applyAlignment="1">
      <alignment horizontal="left"/>
    </xf>
    <xf numFmtId="0" fontId="4" fillId="14" borderId="0" xfId="1" applyFont="1" applyFill="1" applyBorder="1" applyAlignment="1">
      <alignment vertical="top"/>
    </xf>
    <xf numFmtId="0" fontId="0" fillId="14" borderId="0" xfId="0" applyFill="1" applyBorder="1" applyAlignment="1">
      <alignment vertical="top"/>
    </xf>
    <xf numFmtId="0" fontId="0" fillId="14" borderId="0" xfId="1" applyFont="1" applyFill="1" applyBorder="1" applyAlignment="1">
      <alignment horizontal="left" wrapText="1"/>
    </xf>
    <xf numFmtId="0" fontId="1" fillId="14" borderId="0" xfId="1" applyFill="1" applyBorder="1"/>
    <xf numFmtId="0" fontId="4" fillId="14" borderId="0" xfId="1" applyFont="1" applyFill="1" applyBorder="1"/>
    <xf numFmtId="0" fontId="5" fillId="14" borderId="0" xfId="0" applyFont="1" applyFill="1" applyBorder="1"/>
    <xf numFmtId="0" fontId="0" fillId="14" borderId="0" xfId="1" applyFont="1" applyFill="1" applyBorder="1"/>
    <xf numFmtId="0" fontId="5" fillId="14" borderId="0" xfId="1" applyFont="1" applyFill="1" applyAlignment="1">
      <alignment horizontal="left" vertical="top"/>
    </xf>
    <xf numFmtId="0" fontId="0" fillId="14" borderId="0" xfId="1" applyFont="1" applyFill="1" applyAlignment="1">
      <alignment horizontal="left" vertical="top"/>
    </xf>
    <xf numFmtId="0" fontId="5" fillId="14" borderId="0" xfId="1" applyFont="1" applyFill="1" applyAlignment="1">
      <alignment horizontal="left" wrapText="1"/>
    </xf>
    <xf numFmtId="0" fontId="1" fillId="14" borderId="0" xfId="1" applyFill="1" applyAlignment="1">
      <alignment horizontal="left"/>
    </xf>
    <xf numFmtId="0" fontId="0" fillId="14" borderId="0" xfId="1" applyFont="1" applyFill="1"/>
    <xf numFmtId="0" fontId="0" fillId="14" borderId="0" xfId="1" applyFont="1" applyFill="1" applyAlignment="1">
      <alignment horizontal="left"/>
    </xf>
    <xf numFmtId="0" fontId="0" fillId="14" borderId="0" xfId="1" applyFont="1" applyFill="1" applyAlignment="1">
      <alignment vertical="top"/>
    </xf>
    <xf numFmtId="0" fontId="1" fillId="14" borderId="0" xfId="1" applyFont="1" applyFill="1" applyAlignment="1">
      <alignment horizontal="left" wrapText="1"/>
    </xf>
    <xf numFmtId="0" fontId="0" fillId="14" borderId="0" xfId="1" applyFont="1" applyFill="1" applyAlignment="1">
      <alignment horizontal="left" wrapText="1"/>
    </xf>
    <xf numFmtId="0" fontId="5" fillId="14" borderId="0" xfId="1" applyFont="1" applyFill="1"/>
    <xf numFmtId="0" fontId="5" fillId="14" borderId="0" xfId="1" applyFont="1" applyFill="1" applyBorder="1"/>
    <xf numFmtId="0" fontId="0" fillId="14" borderId="0" xfId="1" applyFont="1" applyFill="1" applyBorder="1" applyAlignment="1">
      <alignment horizontal="left"/>
    </xf>
    <xf numFmtId="0" fontId="0" fillId="14" borderId="22" xfId="0" applyFill="1" applyBorder="1"/>
    <xf numFmtId="0" fontId="0" fillId="14" borderId="19" xfId="0" applyFill="1" applyBorder="1"/>
    <xf numFmtId="0" fontId="1" fillId="14" borderId="19" xfId="1" applyFill="1" applyBorder="1"/>
    <xf numFmtId="0" fontId="0" fillId="14" borderId="19" xfId="1" applyFont="1" applyFill="1" applyBorder="1"/>
    <xf numFmtId="0" fontId="0" fillId="14" borderId="19" xfId="1" applyFont="1" applyFill="1" applyBorder="1" applyAlignment="1">
      <alignment horizontal="left"/>
    </xf>
    <xf numFmtId="0" fontId="1" fillId="14" borderId="19" xfId="1" applyFill="1" applyBorder="1" applyAlignment="1">
      <alignment horizontal="left"/>
    </xf>
    <xf numFmtId="0" fontId="1" fillId="14" borderId="0" xfId="1" applyFill="1" applyAlignment="1">
      <alignment wrapText="1"/>
    </xf>
    <xf numFmtId="0" fontId="5" fillId="14" borderId="0" xfId="1" applyFont="1" applyFill="1" applyAlignment="1">
      <alignment horizontal="left"/>
    </xf>
    <xf numFmtId="0" fontId="1" fillId="14" borderId="0" xfId="1" applyFont="1" applyFill="1"/>
    <xf numFmtId="0" fontId="1" fillId="14" borderId="0" xfId="1" applyFont="1" applyFill="1" applyAlignment="1">
      <alignment horizontal="left"/>
    </xf>
    <xf numFmtId="0" fontId="10" fillId="14" borderId="0" xfId="1" applyFont="1" applyFill="1" applyAlignment="1">
      <alignment horizontal="left" wrapText="1"/>
    </xf>
    <xf numFmtId="0" fontId="4" fillId="14" borderId="0" xfId="0" applyFont="1" applyFill="1"/>
    <xf numFmtId="0" fontId="5" fillId="14" borderId="0" xfId="0" applyFont="1" applyFill="1"/>
    <xf numFmtId="0" fontId="13" fillId="14" borderId="0" xfId="0" applyFont="1" applyFill="1"/>
    <xf numFmtId="0" fontId="0" fillId="14" borderId="0" xfId="0" applyFill="1" applyAlignment="1">
      <alignment vertical="top"/>
    </xf>
    <xf numFmtId="0" fontId="0" fillId="14" borderId="0" xfId="0" applyFill="1" applyBorder="1" applyAlignment="1">
      <alignment horizontal="left" wrapText="1"/>
    </xf>
    <xf numFmtId="0" fontId="5" fillId="14" borderId="23" xfId="1" applyFont="1" applyFill="1" applyBorder="1" applyAlignment="1">
      <alignment vertical="top"/>
    </xf>
    <xf numFmtId="0" fontId="5" fillId="14" borderId="0" xfId="1" applyFont="1" applyFill="1" applyBorder="1" applyAlignment="1">
      <alignment vertical="top"/>
    </xf>
    <xf numFmtId="0" fontId="0" fillId="14" borderId="0" xfId="1" applyFont="1" applyFill="1" applyBorder="1" applyAlignment="1">
      <alignment horizontal="left" vertical="top"/>
    </xf>
    <xf numFmtId="0" fontId="1" fillId="14" borderId="0" xfId="1" applyFill="1" applyBorder="1" applyAlignment="1">
      <alignment horizontal="left"/>
    </xf>
    <xf numFmtId="0" fontId="0" fillId="14" borderId="0" xfId="0" applyFill="1" applyAlignment="1">
      <alignment horizontal="left" wrapText="1"/>
    </xf>
    <xf numFmtId="0" fontId="4" fillId="14" borderId="0" xfId="1" applyFont="1" applyFill="1" applyAlignment="1">
      <alignment horizontal="left"/>
    </xf>
    <xf numFmtId="0" fontId="4" fillId="14" borderId="0" xfId="1" applyFont="1" applyFill="1" applyAlignment="1">
      <alignment horizontal="right"/>
    </xf>
    <xf numFmtId="0" fontId="4" fillId="14" borderId="0" xfId="1" applyFont="1" applyFill="1" applyAlignment="1">
      <alignment horizontal="left" wrapText="1"/>
    </xf>
    <xf numFmtId="0" fontId="5" fillId="14" borderId="0" xfId="1" applyFont="1" applyFill="1" applyAlignment="1">
      <alignment vertical="top"/>
    </xf>
    <xf numFmtId="0" fontId="5" fillId="14" borderId="23" xfId="0" applyFont="1" applyFill="1" applyBorder="1"/>
    <xf numFmtId="0" fontId="0" fillId="14" borderId="0" xfId="0" applyFill="1" applyBorder="1" applyAlignment="1">
      <alignment horizontal="right"/>
    </xf>
    <xf numFmtId="0" fontId="8" fillId="14" borderId="0" xfId="0" applyFont="1" applyFill="1"/>
    <xf numFmtId="0" fontId="0" fillId="14" borderId="0" xfId="0" applyFill="1" applyAlignment="1">
      <alignment horizontal="left"/>
    </xf>
    <xf numFmtId="0" fontId="0" fillId="14" borderId="0" xfId="0" applyFill="1" applyBorder="1" applyAlignment="1">
      <alignment horizontal="left" vertical="top" wrapText="1"/>
    </xf>
    <xf numFmtId="0" fontId="0" fillId="14" borderId="0" xfId="0" applyFill="1" applyAlignment="1">
      <alignment horizontal="left" vertical="top"/>
    </xf>
    <xf numFmtId="0" fontId="4" fillId="14" borderId="23" xfId="1" applyFont="1" applyFill="1" applyBorder="1"/>
    <xf numFmtId="0" fontId="0" fillId="14" borderId="23" xfId="1" applyFont="1" applyFill="1" applyBorder="1"/>
    <xf numFmtId="0" fontId="0" fillId="14" borderId="23" xfId="2" applyFont="1" applyFill="1" applyBorder="1"/>
    <xf numFmtId="0" fontId="1" fillId="14" borderId="0" xfId="2" applyFill="1" applyBorder="1"/>
    <xf numFmtId="0" fontId="0" fillId="14" borderId="0" xfId="1" applyFont="1" applyFill="1" applyBorder="1" applyAlignment="1">
      <alignment vertical="top"/>
    </xf>
    <xf numFmtId="0" fontId="1" fillId="14" borderId="0" xfId="2" applyFill="1"/>
    <xf numFmtId="0" fontId="0" fillId="14" borderId="0" xfId="1" applyFont="1" applyFill="1" applyAlignment="1">
      <alignment wrapText="1"/>
    </xf>
    <xf numFmtId="0" fontId="4" fillId="14" borderId="0" xfId="2" applyFont="1" applyFill="1"/>
    <xf numFmtId="0" fontId="0" fillId="14" borderId="21" xfId="0" applyFill="1" applyBorder="1"/>
    <xf numFmtId="0" fontId="8" fillId="14" borderId="0" xfId="0" applyFont="1" applyFill="1" applyAlignment="1">
      <alignment horizontal="left"/>
    </xf>
    <xf numFmtId="0" fontId="4" fillId="14" borderId="0" xfId="0" applyFont="1" applyFill="1" applyAlignment="1">
      <alignment horizontal="left"/>
    </xf>
    <xf numFmtId="0" fontId="4" fillId="14" borderId="0" xfId="0" applyFont="1" applyFill="1" applyAlignment="1">
      <alignment horizontal="center"/>
    </xf>
    <xf numFmtId="0" fontId="9" fillId="14" borderId="0" xfId="0" applyFont="1" applyFill="1" applyAlignment="1">
      <alignment horizontal="center"/>
    </xf>
    <xf numFmtId="0" fontId="7" fillId="14" borderId="0" xfId="0" applyFont="1" applyFill="1" applyAlignment="1">
      <alignment horizontal="center"/>
    </xf>
    <xf numFmtId="0" fontId="8" fillId="14" borderId="0" xfId="1" applyFont="1" applyFill="1"/>
    <xf numFmtId="0" fontId="8" fillId="14" borderId="0" xfId="1" applyFont="1" applyFill="1" applyAlignment="1">
      <alignment vertical="top"/>
    </xf>
    <xf numFmtId="0" fontId="1" fillId="14" borderId="0" xfId="1" applyFont="1" applyFill="1" applyAlignment="1">
      <alignment vertical="top"/>
    </xf>
    <xf numFmtId="0" fontId="0" fillId="14" borderId="0" xfId="0" applyFill="1" applyBorder="1" applyAlignment="1">
      <alignment horizontal="left" vertical="top"/>
    </xf>
    <xf numFmtId="0" fontId="11" fillId="14" borderId="0" xfId="0" applyFont="1" applyFill="1" applyBorder="1"/>
    <xf numFmtId="0" fontId="11" fillId="14" borderId="0" xfId="0" applyFont="1" applyFill="1"/>
    <xf numFmtId="0" fontId="4" fillId="14" borderId="0" xfId="0" applyFont="1" applyFill="1" applyAlignment="1">
      <alignment horizontal="right"/>
    </xf>
    <xf numFmtId="0" fontId="0" fillId="16" borderId="0" xfId="0" applyFill="1"/>
    <xf numFmtId="0" fontId="0" fillId="16" borderId="0" xfId="0" applyFill="1" applyAlignment="1">
      <alignment horizontal="left"/>
    </xf>
    <xf numFmtId="0" fontId="0" fillId="10" borderId="2" xfId="0" applyFill="1" applyBorder="1" applyAlignment="1">
      <alignment vertical="top" wrapText="1"/>
    </xf>
    <xf numFmtId="0" fontId="0" fillId="10" borderId="2" xfId="0" applyFill="1" applyBorder="1"/>
    <xf numFmtId="0" fontId="0" fillId="15" borderId="2" xfId="0" applyFill="1" applyBorder="1"/>
    <xf numFmtId="0" fontId="0" fillId="15" borderId="0" xfId="0" applyFill="1"/>
    <xf numFmtId="0" fontId="0" fillId="15" borderId="0" xfId="0" applyFill="1" applyAlignment="1">
      <alignment horizontal="left"/>
    </xf>
    <xf numFmtId="0" fontId="0" fillId="17" borderId="23" xfId="0" applyFill="1" applyBorder="1"/>
    <xf numFmtId="0" fontId="4" fillId="17" borderId="23" xfId="0" applyFont="1" applyFill="1" applyBorder="1"/>
    <xf numFmtId="0" fontId="0" fillId="17" borderId="0" xfId="0" applyFill="1" applyBorder="1"/>
    <xf numFmtId="0" fontId="0" fillId="17" borderId="0" xfId="0" applyFill="1"/>
    <xf numFmtId="0" fontId="0" fillId="17" borderId="2" xfId="0" applyFill="1" applyBorder="1"/>
    <xf numFmtId="0" fontId="0" fillId="17" borderId="23" xfId="0" applyFill="1" applyBorder="1" applyAlignment="1">
      <alignment horizontal="left"/>
    </xf>
    <xf numFmtId="0" fontId="0" fillId="17" borderId="0" xfId="0" applyFill="1" applyBorder="1" applyAlignment="1">
      <alignment horizontal="left"/>
    </xf>
    <xf numFmtId="0" fontId="0" fillId="17" borderId="0" xfId="0" applyFill="1" applyAlignment="1">
      <alignment horizontal="left"/>
    </xf>
    <xf numFmtId="0" fontId="0" fillId="17" borderId="0" xfId="0" applyFill="1" applyAlignment="1">
      <alignment horizontal="left" vertical="top"/>
    </xf>
    <xf numFmtId="0" fontId="0" fillId="17" borderId="0" xfId="0" applyFill="1" applyAlignment="1">
      <alignment horizontal="left" wrapText="1"/>
    </xf>
    <xf numFmtId="0" fontId="0" fillId="18" borderId="0" xfId="0" applyFill="1"/>
    <xf numFmtId="0" fontId="0" fillId="18" borderId="0" xfId="0" applyFill="1" applyAlignment="1">
      <alignment horizontal="left"/>
    </xf>
    <xf numFmtId="0" fontId="0" fillId="19" borderId="0" xfId="0" applyFill="1"/>
    <xf numFmtId="0" fontId="0" fillId="19" borderId="0" xfId="0" applyFill="1" applyAlignment="1">
      <alignment horizontal="left"/>
    </xf>
    <xf numFmtId="0" fontId="4" fillId="16" borderId="0" xfId="0" applyFont="1" applyFill="1" applyAlignment="1">
      <alignment horizontal="center"/>
    </xf>
    <xf numFmtId="0" fontId="11" fillId="16" borderId="0" xfId="0" applyFont="1" applyFill="1"/>
    <xf numFmtId="0" fontId="3" fillId="0" borderId="0" xfId="1" applyFont="1" applyFill="1" applyBorder="1" applyAlignment="1">
      <alignment horizontal="center" vertic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0" xfId="1" applyFont="1" applyFill="1" applyBorder="1" applyAlignment="1">
      <alignment wrapText="1"/>
    </xf>
    <xf numFmtId="0" fontId="3" fillId="0" borderId="0" xfId="0" applyFont="1" applyFill="1"/>
    <xf numFmtId="0" fontId="3" fillId="0" borderId="0" xfId="0" applyFont="1"/>
    <xf numFmtId="0" fontId="3" fillId="6" borderId="0" xfId="0" applyFont="1" applyFill="1"/>
    <xf numFmtId="0" fontId="3" fillId="0" borderId="0" xfId="0" applyFont="1" applyFill="1" applyBorder="1"/>
    <xf numFmtId="0" fontId="1" fillId="0" borderId="9" xfId="1" applyFill="1" applyBorder="1"/>
    <xf numFmtId="0" fontId="1" fillId="0" borderId="11" xfId="1" applyFill="1" applyBorder="1"/>
    <xf numFmtId="0" fontId="0" fillId="0" borderId="11" xfId="1" applyFont="1" applyFill="1" applyBorder="1"/>
    <xf numFmtId="0" fontId="0" fillId="0" borderId="3" xfId="0" applyFill="1" applyBorder="1"/>
    <xf numFmtId="0" fontId="1" fillId="0" borderId="4" xfId="1" applyFill="1" applyBorder="1"/>
    <xf numFmtId="0" fontId="0" fillId="0" borderId="4" xfId="1" applyFont="1" applyFill="1" applyBorder="1"/>
    <xf numFmtId="49" fontId="1" fillId="0" borderId="4" xfId="1" applyNumberFormat="1" applyFill="1" applyBorder="1"/>
    <xf numFmtId="0" fontId="1" fillId="0" borderId="8" xfId="1" applyFill="1" applyBorder="1"/>
    <xf numFmtId="0" fontId="0" fillId="0" borderId="15" xfId="1" applyFont="1" applyFill="1" applyBorder="1"/>
    <xf numFmtId="0" fontId="0" fillId="0" borderId="8" xfId="1" applyFont="1" applyFill="1" applyBorder="1"/>
    <xf numFmtId="0" fontId="1" fillId="0" borderId="44" xfId="1" applyFill="1" applyBorder="1"/>
    <xf numFmtId="0" fontId="0" fillId="0" borderId="44" xfId="1" applyFont="1" applyFill="1" applyBorder="1"/>
    <xf numFmtId="49" fontId="1" fillId="0" borderId="12" xfId="1" applyNumberFormat="1" applyFill="1" applyBorder="1"/>
    <xf numFmtId="0" fontId="0" fillId="0" borderId="12" xfId="0" applyFill="1" applyBorder="1"/>
    <xf numFmtId="0" fontId="1" fillId="0" borderId="30" xfId="1" applyFill="1" applyBorder="1"/>
    <xf numFmtId="0" fontId="10" fillId="0" borderId="7" xfId="4" applyNumberFormat="1" applyFont="1" applyFill="1" applyBorder="1"/>
    <xf numFmtId="1" fontId="1" fillId="0" borderId="7" xfId="1" applyNumberFormat="1" applyFill="1" applyBorder="1"/>
    <xf numFmtId="1" fontId="1" fillId="0" borderId="12" xfId="1" applyNumberFormat="1" applyFill="1" applyBorder="1"/>
    <xf numFmtId="0" fontId="1" fillId="0" borderId="7" xfId="1" applyNumberFormat="1" applyFill="1" applyBorder="1"/>
    <xf numFmtId="1" fontId="0" fillId="0" borderId="7" xfId="1" applyNumberFormat="1" applyFont="1" applyFill="1" applyBorder="1"/>
    <xf numFmtId="0" fontId="0" fillId="0" borderId="9" xfId="1" applyFont="1" applyFill="1" applyBorder="1"/>
    <xf numFmtId="0" fontId="0" fillId="0" borderId="47" xfId="1" applyFont="1" applyFill="1" applyBorder="1"/>
    <xf numFmtId="0" fontId="1" fillId="0" borderId="33" xfId="1" applyFill="1" applyBorder="1"/>
    <xf numFmtId="0" fontId="0" fillId="0" borderId="48" xfId="1" applyFont="1" applyFill="1" applyBorder="1"/>
    <xf numFmtId="0" fontId="0" fillId="0" borderId="3" xfId="1" applyFont="1" applyFill="1" applyBorder="1"/>
    <xf numFmtId="0" fontId="0" fillId="0" borderId="39" xfId="1" applyFont="1" applyFill="1" applyBorder="1"/>
    <xf numFmtId="0" fontId="0" fillId="0" borderId="27" xfId="1" applyFont="1" applyFill="1" applyBorder="1"/>
    <xf numFmtId="49" fontId="1" fillId="0" borderId="24" xfId="1" applyNumberFormat="1" applyFill="1" applyBorder="1"/>
    <xf numFmtId="0" fontId="0" fillId="0" borderId="10" xfId="0" applyFill="1" applyBorder="1"/>
    <xf numFmtId="49" fontId="1" fillId="0" borderId="30" xfId="1" applyNumberFormat="1" applyFill="1" applyBorder="1"/>
    <xf numFmtId="0" fontId="0" fillId="0" borderId="49" xfId="1" applyFont="1" applyFill="1" applyBorder="1"/>
    <xf numFmtId="0" fontId="0" fillId="0" borderId="43" xfId="1" applyFont="1" applyFill="1" applyBorder="1"/>
    <xf numFmtId="0" fontId="0" fillId="0" borderId="49" xfId="0" applyFill="1" applyBorder="1"/>
    <xf numFmtId="0" fontId="0" fillId="0" borderId="44" xfId="0" applyFill="1" applyBorder="1"/>
    <xf numFmtId="0" fontId="0" fillId="0" borderId="28" xfId="1" applyFont="1" applyFill="1" applyBorder="1"/>
    <xf numFmtId="0" fontId="0" fillId="0" borderId="37" xfId="1" applyFont="1" applyFill="1" applyBorder="1"/>
    <xf numFmtId="0" fontId="0" fillId="0" borderId="42" xfId="1" applyFont="1" applyFill="1" applyBorder="1"/>
    <xf numFmtId="49" fontId="1" fillId="0" borderId="8" xfId="1" applyNumberFormat="1" applyFill="1" applyBorder="1"/>
    <xf numFmtId="14" fontId="1" fillId="0" borderId="43" xfId="1" applyNumberFormat="1" applyFill="1" applyBorder="1"/>
    <xf numFmtId="0" fontId="3" fillId="0" borderId="0" xfId="1" applyFont="1" applyFill="1" applyBorder="1" applyAlignment="1"/>
    <xf numFmtId="49" fontId="1" fillId="0" borderId="39" xfId="1" applyNumberFormat="1" applyFill="1" applyBorder="1"/>
    <xf numFmtId="0" fontId="0" fillId="0" borderId="5" xfId="1" applyFont="1" applyFill="1" applyBorder="1"/>
    <xf numFmtId="0" fontId="0" fillId="0" borderId="50" xfId="0" applyFill="1" applyBorder="1"/>
    <xf numFmtId="0" fontId="0" fillId="20" borderId="30" xfId="1" applyFont="1" applyFill="1" applyBorder="1" applyAlignment="1">
      <alignment horizontal="center" vertical="center" wrapText="1"/>
    </xf>
    <xf numFmtId="0" fontId="0" fillId="20" borderId="35" xfId="1" applyFont="1" applyFill="1" applyBorder="1" applyAlignment="1">
      <alignment horizontal="center" vertical="center" wrapText="1"/>
    </xf>
    <xf numFmtId="0" fontId="0" fillId="0" borderId="14" xfId="1" applyFont="1" applyFill="1" applyBorder="1"/>
    <xf numFmtId="1" fontId="1" fillId="0" borderId="44" xfId="1" applyNumberFormat="1" applyFill="1" applyBorder="1"/>
    <xf numFmtId="14" fontId="1" fillId="0" borderId="11" xfId="1" applyNumberFormat="1" applyFill="1" applyBorder="1"/>
    <xf numFmtId="49" fontId="1" fillId="0" borderId="5" xfId="1" applyNumberFormat="1" applyFill="1" applyBorder="1"/>
    <xf numFmtId="49" fontId="1" fillId="0" borderId="14" xfId="1" applyNumberFormat="1" applyFill="1" applyBorder="1"/>
    <xf numFmtId="49" fontId="1" fillId="0" borderId="15" xfId="1" applyNumberFormat="1" applyFill="1" applyBorder="1"/>
    <xf numFmtId="0" fontId="1" fillId="0" borderId="10" xfId="1" applyFill="1" applyBorder="1"/>
    <xf numFmtId="0" fontId="1" fillId="0" borderId="49" xfId="1" applyFill="1" applyBorder="1"/>
    <xf numFmtId="0" fontId="1" fillId="0" borderId="50" xfId="1" applyFill="1" applyBorder="1"/>
    <xf numFmtId="0" fontId="0" fillId="0" borderId="47" xfId="0" applyFill="1" applyBorder="1"/>
    <xf numFmtId="0" fontId="1" fillId="0" borderId="27" xfId="1" applyFill="1" applyBorder="1"/>
    <xf numFmtId="0" fontId="1" fillId="0" borderId="47" xfId="1" applyFill="1" applyBorder="1"/>
    <xf numFmtId="0" fontId="1" fillId="0" borderId="55" xfId="1" applyFill="1" applyBorder="1"/>
    <xf numFmtId="0" fontId="0" fillId="0" borderId="55" xfId="1" applyFont="1" applyFill="1" applyBorder="1"/>
    <xf numFmtId="1" fontId="1" fillId="0" borderId="50" xfId="1" applyNumberFormat="1" applyFill="1" applyBorder="1"/>
    <xf numFmtId="0" fontId="0" fillId="0" borderId="56" xfId="1" applyFont="1" applyFill="1" applyBorder="1"/>
    <xf numFmtId="0" fontId="0" fillId="0" borderId="57" xfId="1" applyFont="1" applyFill="1" applyBorder="1"/>
    <xf numFmtId="0" fontId="0" fillId="0" borderId="30" xfId="0" applyFill="1" applyBorder="1"/>
    <xf numFmtId="0" fontId="0" fillId="0" borderId="15" xfId="0" applyFill="1" applyBorder="1"/>
    <xf numFmtId="0" fontId="0" fillId="0" borderId="33" xfId="0" applyFill="1" applyBorder="1"/>
    <xf numFmtId="0" fontId="0" fillId="0" borderId="55" xfId="0" applyFill="1" applyBorder="1"/>
    <xf numFmtId="0" fontId="0" fillId="0" borderId="48" xfId="0" applyFill="1" applyBorder="1"/>
    <xf numFmtId="0" fontId="0" fillId="0" borderId="43" xfId="0" applyFill="1" applyBorder="1"/>
    <xf numFmtId="0" fontId="1" fillId="0" borderId="5" xfId="1" applyFill="1" applyBorder="1"/>
    <xf numFmtId="0" fontId="1" fillId="0" borderId="15" xfId="1" applyFill="1" applyBorder="1"/>
    <xf numFmtId="0" fontId="1" fillId="0" borderId="14" xfId="1" applyFill="1" applyBorder="1"/>
    <xf numFmtId="0" fontId="1" fillId="0" borderId="48" xfId="1" applyFill="1" applyBorder="1"/>
    <xf numFmtId="0" fontId="1" fillId="0" borderId="43" xfId="1" applyFill="1" applyBorder="1"/>
    <xf numFmtId="14" fontId="0" fillId="0" borderId="7" xfId="1" applyNumberFormat="1" applyFont="1" applyFill="1" applyBorder="1" applyAlignment="1">
      <alignment horizontal="right"/>
    </xf>
    <xf numFmtId="14" fontId="1" fillId="0" borderId="12" xfId="1" applyNumberFormat="1" applyFill="1" applyBorder="1"/>
    <xf numFmtId="0" fontId="0" fillId="0" borderId="18" xfId="1" applyFont="1" applyFill="1" applyBorder="1"/>
    <xf numFmtId="0" fontId="0" fillId="0" borderId="16" xfId="1" applyFont="1" applyFill="1" applyBorder="1"/>
    <xf numFmtId="14" fontId="1" fillId="0" borderId="17" xfId="1" applyNumberFormat="1" applyFill="1" applyBorder="1"/>
    <xf numFmtId="0" fontId="0" fillId="0" borderId="32" xfId="1" applyFont="1" applyFill="1" applyBorder="1"/>
    <xf numFmtId="14" fontId="1" fillId="0" borderId="44" xfId="1" applyNumberFormat="1" applyFill="1" applyBorder="1"/>
    <xf numFmtId="0" fontId="0" fillId="0" borderId="50" xfId="1" applyFont="1" applyFill="1" applyBorder="1"/>
    <xf numFmtId="0" fontId="0" fillId="20" borderId="26" xfId="1" applyFont="1" applyFill="1" applyBorder="1" applyAlignment="1">
      <alignment horizontal="center" vertical="center" wrapText="1"/>
    </xf>
    <xf numFmtId="14" fontId="1" fillId="0" borderId="24" xfId="1" applyNumberFormat="1" applyFill="1" applyBorder="1"/>
    <xf numFmtId="14" fontId="1" fillId="0" borderId="7" xfId="1" applyNumberFormat="1" applyFill="1" applyBorder="1" applyAlignment="1">
      <alignment horizontal="center"/>
    </xf>
    <xf numFmtId="14" fontId="0" fillId="0" borderId="7" xfId="1" applyNumberFormat="1" applyFont="1" applyFill="1" applyBorder="1" applyAlignment="1">
      <alignment horizontal="center"/>
    </xf>
    <xf numFmtId="0" fontId="0" fillId="0" borderId="6" xfId="1" applyFont="1" applyFill="1" applyBorder="1" applyAlignment="1">
      <alignment horizontal="right"/>
    </xf>
    <xf numFmtId="0" fontId="0" fillId="0" borderId="39" xfId="0" applyBorder="1" applyAlignment="1">
      <alignment vertical="center"/>
    </xf>
    <xf numFmtId="0" fontId="0" fillId="0" borderId="5" xfId="0" applyBorder="1" applyAlignment="1">
      <alignment vertical="center"/>
    </xf>
    <xf numFmtId="0" fontId="0" fillId="0" borderId="53" xfId="0" applyBorder="1" applyAlignment="1">
      <alignment vertical="center"/>
    </xf>
    <xf numFmtId="0" fontId="1" fillId="0" borderId="28" xfId="1" applyFill="1" applyBorder="1"/>
    <xf numFmtId="0" fontId="1" fillId="0" borderId="58" xfId="1" applyFill="1" applyBorder="1"/>
    <xf numFmtId="0" fontId="0" fillId="0" borderId="59" xfId="0" applyBorder="1" applyAlignment="1">
      <alignment vertical="center"/>
    </xf>
    <xf numFmtId="0" fontId="0" fillId="20" borderId="14" xfId="1" applyFont="1" applyFill="1" applyBorder="1" applyAlignment="1">
      <alignment vertical="center" textRotation="90"/>
    </xf>
    <xf numFmtId="0" fontId="0" fillId="20" borderId="11" xfId="1" applyFont="1" applyFill="1" applyBorder="1" applyAlignment="1">
      <alignment horizontal="center" vertical="center" textRotation="90" wrapText="1"/>
    </xf>
    <xf numFmtId="0" fontId="0" fillId="20" borderId="11" xfId="1" applyFont="1" applyFill="1" applyBorder="1" applyAlignment="1">
      <alignment horizontal="center" vertical="center"/>
    </xf>
    <xf numFmtId="0" fontId="3" fillId="20" borderId="7" xfId="1" applyFont="1" applyFill="1" applyBorder="1" applyAlignment="1">
      <alignment horizontal="center" vertical="center" textRotation="90"/>
    </xf>
    <xf numFmtId="0" fontId="3" fillId="20" borderId="7" xfId="1" applyFont="1" applyFill="1" applyBorder="1" applyAlignment="1">
      <alignment horizontal="center" vertical="center" textRotation="90" wrapText="1"/>
    </xf>
    <xf numFmtId="0" fontId="0" fillId="20" borderId="11" xfId="1" applyFont="1" applyFill="1" applyBorder="1" applyAlignment="1">
      <alignment horizontal="center" vertical="center" textRotation="90" wrapText="1"/>
    </xf>
    <xf numFmtId="0" fontId="0" fillId="20" borderId="11" xfId="1" applyFont="1" applyFill="1" applyBorder="1" applyAlignment="1">
      <alignment horizontal="center" vertical="center" textRotation="90"/>
    </xf>
    <xf numFmtId="0" fontId="0" fillId="20" borderId="7" xfId="1" applyFont="1" applyFill="1" applyBorder="1" applyAlignment="1">
      <alignment horizontal="center" vertical="center" textRotation="90" wrapText="1"/>
    </xf>
    <xf numFmtId="0" fontId="0" fillId="20" borderId="13" xfId="1" applyFont="1" applyFill="1" applyBorder="1" applyAlignment="1">
      <alignment horizontal="center" vertical="center" wrapText="1"/>
    </xf>
    <xf numFmtId="0" fontId="3" fillId="20" borderId="7" xfId="1" applyFont="1" applyFill="1" applyBorder="1" applyAlignment="1">
      <alignment vertical="center" textRotation="90"/>
    </xf>
    <xf numFmtId="0" fontId="0" fillId="20" borderId="27" xfId="1" applyFont="1" applyFill="1" applyBorder="1" applyAlignment="1">
      <alignment vertical="center"/>
    </xf>
    <xf numFmtId="0" fontId="0" fillId="20" borderId="36" xfId="1" applyFont="1" applyFill="1" applyBorder="1" applyAlignment="1">
      <alignment vertical="center"/>
    </xf>
    <xf numFmtId="0" fontId="0" fillId="20" borderId="11" xfId="1" applyFont="1" applyFill="1" applyBorder="1" applyAlignment="1">
      <alignment vertical="center" textRotation="90"/>
    </xf>
    <xf numFmtId="0" fontId="0" fillId="20" borderId="11" xfId="1" applyFont="1" applyFill="1" applyBorder="1" applyAlignment="1">
      <alignment vertical="center" textRotation="90" wrapText="1"/>
    </xf>
    <xf numFmtId="0" fontId="0" fillId="20" borderId="42" xfId="1" applyFont="1" applyFill="1" applyBorder="1" applyAlignment="1">
      <alignment vertical="center" textRotation="90"/>
    </xf>
    <xf numFmtId="0" fontId="0" fillId="20" borderId="30" xfId="1" applyFont="1" applyFill="1" applyBorder="1" applyAlignment="1">
      <alignment vertical="center"/>
    </xf>
    <xf numFmtId="0" fontId="0" fillId="20" borderId="37" xfId="1" applyFont="1" applyFill="1" applyBorder="1" applyAlignment="1">
      <alignment vertical="center"/>
    </xf>
    <xf numFmtId="0" fontId="3" fillId="20" borderId="31" xfId="1" applyFont="1" applyFill="1" applyBorder="1" applyAlignment="1">
      <alignment vertical="center" textRotation="90"/>
    </xf>
    <xf numFmtId="0" fontId="0" fillId="20" borderId="31" xfId="1" applyFont="1" applyFill="1" applyBorder="1" applyAlignment="1">
      <alignment vertical="center"/>
    </xf>
    <xf numFmtId="0" fontId="0" fillId="20" borderId="36" xfId="1" applyFont="1" applyFill="1" applyBorder="1" applyAlignment="1">
      <alignment vertical="center" wrapText="1"/>
    </xf>
    <xf numFmtId="0" fontId="0" fillId="20" borderId="31" xfId="1" applyFont="1" applyFill="1" applyBorder="1" applyAlignment="1">
      <alignment vertical="center" wrapText="1"/>
    </xf>
    <xf numFmtId="0" fontId="0" fillId="20" borderId="54" xfId="1" applyFont="1" applyFill="1" applyBorder="1" applyAlignment="1">
      <alignment vertical="center" textRotation="90"/>
    </xf>
    <xf numFmtId="0" fontId="0" fillId="20" borderId="52" xfId="1" applyFont="1" applyFill="1" applyBorder="1" applyAlignment="1">
      <alignment vertical="center" textRotation="90"/>
    </xf>
    <xf numFmtId="14" fontId="1" fillId="0" borderId="28" xfId="1" applyNumberFormat="1" applyFill="1" applyBorder="1"/>
    <xf numFmtId="0" fontId="1" fillId="0" borderId="25" xfId="1" applyNumberFormat="1" applyFill="1" applyBorder="1"/>
    <xf numFmtId="0" fontId="0" fillId="20" borderId="24" xfId="1" applyFont="1" applyFill="1" applyBorder="1" applyAlignment="1">
      <alignment horizontal="center" vertical="center" textRotation="90" wrapText="1"/>
    </xf>
    <xf numFmtId="0" fontId="0" fillId="20" borderId="7" xfId="1" applyFont="1" applyFill="1" applyBorder="1" applyAlignment="1">
      <alignment horizontal="center" vertical="center" textRotation="90"/>
    </xf>
    <xf numFmtId="0" fontId="14" fillId="0" borderId="7" xfId="4" applyFill="1" applyBorder="1"/>
    <xf numFmtId="14" fontId="14" fillId="0" borderId="7" xfId="4" applyNumberFormat="1" applyFill="1" applyBorder="1"/>
    <xf numFmtId="0" fontId="1" fillId="0" borderId="28" xfId="1" applyNumberFormat="1" applyFill="1" applyBorder="1"/>
    <xf numFmtId="0" fontId="0" fillId="0" borderId="6" xfId="1" applyFont="1" applyFill="1" applyBorder="1" applyAlignment="1">
      <alignment horizontal="center"/>
    </xf>
    <xf numFmtId="0" fontId="3" fillId="16" borderId="7" xfId="1" applyFont="1" applyFill="1" applyBorder="1" applyAlignment="1">
      <alignment horizontal="center" vertical="center" textRotation="90" wrapText="1"/>
    </xf>
    <xf numFmtId="0" fontId="0" fillId="0" borderId="7" xfId="1" applyFont="1" applyFill="1" applyBorder="1" applyAlignment="1">
      <alignment horizontal="right"/>
    </xf>
    <xf numFmtId="0" fontId="1" fillId="0" borderId="11" xfId="1" applyNumberFormat="1" applyFill="1" applyBorder="1"/>
    <xf numFmtId="14" fontId="1" fillId="0" borderId="33" xfId="1" applyNumberFormat="1" applyFill="1" applyBorder="1"/>
    <xf numFmtId="0" fontId="1" fillId="0" borderId="33" xfId="1" applyNumberFormat="1" applyFill="1" applyBorder="1"/>
    <xf numFmtId="0" fontId="0" fillId="0" borderId="47" xfId="1" applyNumberFormat="1" applyFont="1" applyFill="1" applyBorder="1"/>
    <xf numFmtId="14" fontId="14" fillId="0" borderId="33" xfId="4" applyNumberFormat="1" applyFill="1" applyBorder="1"/>
    <xf numFmtId="14" fontId="0" fillId="0" borderId="33" xfId="1" applyNumberFormat="1" applyFont="1" applyFill="1" applyBorder="1"/>
    <xf numFmtId="0" fontId="1" fillId="0" borderId="36" xfId="1" applyNumberFormat="1" applyFill="1" applyBorder="1"/>
    <xf numFmtId="14" fontId="1" fillId="0" borderId="61" xfId="1" applyNumberFormat="1" applyFill="1" applyBorder="1"/>
    <xf numFmtId="0" fontId="3" fillId="0" borderId="0" xfId="0" applyFont="1" applyFill="1" applyAlignment="1">
      <alignment wrapText="1"/>
    </xf>
    <xf numFmtId="0" fontId="10" fillId="19" borderId="0" xfId="1" applyFont="1" applyFill="1" applyBorder="1" applyAlignment="1">
      <alignment vertical="center" wrapText="1"/>
    </xf>
    <xf numFmtId="0" fontId="0" fillId="19" borderId="0" xfId="0" applyFill="1" applyBorder="1" applyAlignment="1">
      <alignment vertical="center" wrapText="1"/>
    </xf>
    <xf numFmtId="0" fontId="0" fillId="19" borderId="0" xfId="0" applyFill="1" applyBorder="1" applyAlignment="1">
      <alignment vertical="center"/>
    </xf>
    <xf numFmtId="0" fontId="0" fillId="20" borderId="11" xfId="1" applyFont="1" applyFill="1" applyBorder="1" applyAlignment="1">
      <alignment horizontal="center" vertical="center" textRotation="90" wrapText="1"/>
    </xf>
    <xf numFmtId="0" fontId="0" fillId="20" borderId="11" xfId="1" applyFont="1" applyFill="1" applyBorder="1" applyAlignment="1">
      <alignment horizontal="center" vertical="center" textRotation="90"/>
    </xf>
    <xf numFmtId="0" fontId="0" fillId="20" borderId="7" xfId="1" applyFont="1" applyFill="1" applyBorder="1" applyAlignment="1">
      <alignment horizontal="center" vertical="center" textRotation="90" wrapText="1"/>
    </xf>
    <xf numFmtId="0" fontId="0" fillId="20" borderId="11" xfId="1" applyFont="1" applyFill="1" applyBorder="1" applyAlignment="1">
      <alignment horizontal="center" vertical="center" textRotation="90" wrapText="1"/>
    </xf>
    <xf numFmtId="0" fontId="0" fillId="20" borderId="28" xfId="1" applyFont="1" applyFill="1" applyBorder="1" applyAlignment="1">
      <alignment horizontal="center" vertical="center"/>
    </xf>
    <xf numFmtId="0" fontId="0" fillId="20" borderId="11" xfId="1" applyFont="1" applyFill="1" applyBorder="1" applyAlignment="1">
      <alignment horizontal="center" vertical="center" textRotation="90" wrapText="1"/>
    </xf>
    <xf numFmtId="0" fontId="0" fillId="20" borderId="26" xfId="1" applyFont="1" applyFill="1" applyBorder="1" applyAlignment="1">
      <alignment horizontal="center" vertical="center" wrapText="1"/>
    </xf>
    <xf numFmtId="0" fontId="0" fillId="20" borderId="7" xfId="1" applyFont="1" applyFill="1" applyBorder="1" applyAlignment="1">
      <alignment horizontal="center" vertical="center" wrapText="1"/>
    </xf>
    <xf numFmtId="0" fontId="0" fillId="20" borderId="11" xfId="1" applyFont="1" applyFill="1" applyBorder="1" applyAlignment="1">
      <alignment horizontal="center" vertical="center" wrapText="1"/>
    </xf>
    <xf numFmtId="0" fontId="0" fillId="20" borderId="11" xfId="1" applyFont="1" applyFill="1" applyBorder="1" applyAlignment="1">
      <alignment horizontal="center" vertical="center" textRotation="90"/>
    </xf>
    <xf numFmtId="0" fontId="0" fillId="20" borderId="24" xfId="1" applyFont="1" applyFill="1" applyBorder="1" applyAlignment="1">
      <alignment horizontal="center" vertical="center" wrapText="1"/>
    </xf>
    <xf numFmtId="0" fontId="0" fillId="10" borderId="28" xfId="1" applyFont="1" applyFill="1" applyBorder="1" applyAlignment="1">
      <alignment horizontal="center" vertical="center" wrapText="1"/>
    </xf>
    <xf numFmtId="0" fontId="0" fillId="20" borderId="31" xfId="1" applyFont="1" applyFill="1" applyBorder="1" applyAlignment="1">
      <alignment horizontal="center" vertical="center"/>
    </xf>
    <xf numFmtId="0" fontId="0" fillId="20" borderId="36" xfId="1" applyFont="1" applyFill="1" applyBorder="1" applyAlignment="1">
      <alignment horizontal="center" vertical="center"/>
    </xf>
    <xf numFmtId="0" fontId="0" fillId="20" borderId="38" xfId="1" applyFont="1" applyFill="1" applyBorder="1" applyAlignment="1">
      <alignment horizontal="center" vertical="center"/>
    </xf>
    <xf numFmtId="0" fontId="0" fillId="20" borderId="7" xfId="1" applyFont="1" applyFill="1" applyBorder="1" applyAlignment="1">
      <alignment horizontal="center" vertical="center" textRotation="90" wrapText="1"/>
    </xf>
    <xf numFmtId="0" fontId="0" fillId="20" borderId="28" xfId="1" applyFont="1" applyFill="1" applyBorder="1" applyAlignment="1">
      <alignment horizontal="center" vertical="center"/>
    </xf>
    <xf numFmtId="0" fontId="0" fillId="20" borderId="11" xfId="1" applyFont="1" applyFill="1" applyBorder="1" applyAlignment="1">
      <alignment horizontal="center" vertical="center" textRotation="90" wrapText="1"/>
    </xf>
    <xf numFmtId="0" fontId="0" fillId="20" borderId="11" xfId="1" applyFont="1" applyFill="1" applyBorder="1" applyAlignment="1">
      <alignment horizontal="center" vertical="center" textRotation="90"/>
    </xf>
    <xf numFmtId="0" fontId="0" fillId="20" borderId="11" xfId="1" applyFont="1" applyFill="1" applyBorder="1" applyAlignment="1">
      <alignment horizontal="center" vertical="center" wrapText="1"/>
    </xf>
    <xf numFmtId="0" fontId="0" fillId="20" borderId="31" xfId="1" applyFont="1" applyFill="1" applyBorder="1" applyAlignment="1">
      <alignment horizontal="center" vertical="center"/>
    </xf>
    <xf numFmtId="0" fontId="3" fillId="20" borderId="7" xfId="1" applyFont="1" applyFill="1" applyBorder="1" applyAlignment="1">
      <alignment horizontal="center" vertical="center" wrapText="1"/>
    </xf>
    <xf numFmtId="0" fontId="0" fillId="20" borderId="36" xfId="1" applyFont="1" applyFill="1" applyBorder="1" applyAlignment="1">
      <alignment horizontal="center" vertical="center"/>
    </xf>
    <xf numFmtId="0" fontId="3" fillId="20" borderId="11" xfId="1" applyFont="1" applyFill="1" applyBorder="1" applyAlignment="1">
      <alignment horizontal="center" vertical="center" textRotation="90"/>
    </xf>
    <xf numFmtId="0" fontId="0" fillId="20" borderId="24" xfId="1" applyFont="1" applyFill="1" applyBorder="1" applyAlignment="1">
      <alignment vertical="center" wrapText="1"/>
    </xf>
    <xf numFmtId="0" fontId="0" fillId="20" borderId="28" xfId="1" applyFont="1" applyFill="1" applyBorder="1" applyAlignment="1">
      <alignment vertical="center" wrapText="1"/>
    </xf>
    <xf numFmtId="0" fontId="0" fillId="21" borderId="7" xfId="1" applyFont="1" applyFill="1" applyBorder="1" applyAlignment="1">
      <alignment horizontal="center" vertical="center" wrapText="1"/>
    </xf>
    <xf numFmtId="0" fontId="0" fillId="21" borderId="24" xfId="1" applyFont="1" applyFill="1" applyBorder="1" applyAlignment="1">
      <alignment horizontal="center" vertical="center" wrapText="1"/>
    </xf>
    <xf numFmtId="0" fontId="0" fillId="20" borderId="7" xfId="1" applyFont="1" applyFill="1" applyBorder="1" applyAlignment="1">
      <alignment horizontal="center" vertical="center" textRotation="90" wrapText="1"/>
    </xf>
    <xf numFmtId="0" fontId="0" fillId="0" borderId="7" xfId="1" applyNumberFormat="1" applyFont="1" applyFill="1" applyBorder="1" applyAlignment="1">
      <alignment horizontal="center"/>
    </xf>
    <xf numFmtId="0" fontId="1" fillId="0" borderId="12" xfId="1" applyNumberFormat="1" applyFill="1" applyBorder="1" applyAlignment="1">
      <alignment horizontal="right"/>
    </xf>
    <xf numFmtId="14" fontId="1" fillId="0" borderId="12" xfId="1" applyNumberFormat="1" applyFill="1" applyBorder="1" applyAlignment="1">
      <alignment horizontal="right"/>
    </xf>
    <xf numFmtId="0" fontId="1" fillId="0" borderId="12" xfId="1" applyNumberFormat="1" applyFill="1" applyBorder="1" applyAlignment="1">
      <alignment horizontal="center"/>
    </xf>
    <xf numFmtId="0" fontId="0" fillId="0" borderId="33" xfId="1" applyFont="1" applyFill="1" applyBorder="1" applyAlignment="1">
      <alignment horizontal="center"/>
    </xf>
    <xf numFmtId="0" fontId="0" fillId="0" borderId="28" xfId="1" applyNumberFormat="1" applyFont="1" applyFill="1" applyBorder="1"/>
    <xf numFmtId="0" fontId="0" fillId="20" borderId="24" xfId="1" applyFont="1" applyFill="1" applyBorder="1" applyAlignment="1">
      <alignment horizontal="center" vertical="center"/>
    </xf>
    <xf numFmtId="0" fontId="0" fillId="20" borderId="7" xfId="1" applyFont="1" applyFill="1" applyBorder="1" applyAlignment="1">
      <alignment horizontal="center" vertical="center" wrapText="1"/>
    </xf>
    <xf numFmtId="0" fontId="0" fillId="20" borderId="7" xfId="1" applyFont="1" applyFill="1" applyBorder="1" applyAlignment="1">
      <alignment horizontal="center" vertical="center" textRotation="90" wrapText="1"/>
    </xf>
    <xf numFmtId="0" fontId="3" fillId="20" borderId="7" xfId="1" applyFont="1" applyFill="1" applyBorder="1" applyAlignment="1">
      <alignment horizontal="center" vertical="center" textRotation="90" wrapText="1"/>
    </xf>
    <xf numFmtId="0" fontId="1" fillId="0" borderId="11" xfId="1" applyNumberFormat="1" applyFill="1" applyBorder="1" applyAlignment="1"/>
    <xf numFmtId="0" fontId="1" fillId="0" borderId="32" xfId="1" applyFill="1" applyBorder="1"/>
    <xf numFmtId="1" fontId="1" fillId="0" borderId="30" xfId="1" applyNumberFormat="1" applyFill="1" applyBorder="1"/>
    <xf numFmtId="0" fontId="0" fillId="0" borderId="7" xfId="1" applyFont="1" applyFill="1" applyBorder="1" applyAlignment="1">
      <alignment horizontal="right"/>
    </xf>
    <xf numFmtId="0" fontId="1" fillId="0" borderId="7" xfId="1" applyNumberFormat="1" applyFill="1" applyBorder="1" applyAlignment="1"/>
    <xf numFmtId="0" fontId="1" fillId="0" borderId="7" xfId="1" applyNumberFormat="1" applyFill="1" applyBorder="1" applyAlignment="1">
      <alignment horizontal="right"/>
    </xf>
    <xf numFmtId="0" fontId="1" fillId="0" borderId="8" xfId="1" applyNumberFormat="1" applyFill="1" applyBorder="1"/>
    <xf numFmtId="0" fontId="0" fillId="0" borderId="7" xfId="1" applyFont="1" applyFill="1" applyBorder="1" applyAlignment="1">
      <alignment horizontal="center" vertical="center" wrapText="1"/>
    </xf>
    <xf numFmtId="0" fontId="15" fillId="20" borderId="7" xfId="1" applyFont="1" applyFill="1" applyBorder="1" applyAlignment="1">
      <alignment horizontal="center" vertical="center" textRotation="90"/>
    </xf>
    <xf numFmtId="0" fontId="1" fillId="0" borderId="11" xfId="1" applyFill="1" applyBorder="1" applyAlignment="1"/>
    <xf numFmtId="0" fontId="1" fillId="0" borderId="14" xfId="1" applyNumberFormat="1" applyFill="1" applyBorder="1"/>
    <xf numFmtId="0" fontId="1" fillId="0" borderId="48" xfId="1" applyNumberFormat="1" applyFill="1" applyBorder="1"/>
    <xf numFmtId="0" fontId="0" fillId="0" borderId="31" xfId="0" applyBorder="1" applyAlignment="1">
      <alignment vertical="center"/>
    </xf>
    <xf numFmtId="0" fontId="0" fillId="0" borderId="52" xfId="0" applyBorder="1" applyAlignment="1">
      <alignment vertical="center"/>
    </xf>
    <xf numFmtId="0" fontId="0" fillId="20" borderId="24" xfId="1" applyFont="1" applyFill="1" applyBorder="1" applyAlignment="1">
      <alignment horizontal="center" vertical="center"/>
    </xf>
    <xf numFmtId="0" fontId="0" fillId="20" borderId="28" xfId="1" applyFont="1" applyFill="1" applyBorder="1" applyAlignment="1">
      <alignment horizontal="center" vertical="center"/>
    </xf>
    <xf numFmtId="0" fontId="0" fillId="20" borderId="30" xfId="1" applyFont="1" applyFill="1" applyBorder="1" applyAlignment="1">
      <alignment horizontal="center" vertical="center" wrapText="1"/>
    </xf>
    <xf numFmtId="0" fontId="0" fillId="20" borderId="35" xfId="1" applyFont="1" applyFill="1" applyBorder="1" applyAlignment="1">
      <alignment horizontal="center" vertical="center" wrapText="1"/>
    </xf>
    <xf numFmtId="0" fontId="0" fillId="20" borderId="7" xfId="1" applyFont="1" applyFill="1" applyBorder="1" applyAlignment="1">
      <alignment horizontal="center" vertical="center" textRotation="90" wrapText="1"/>
    </xf>
    <xf numFmtId="0" fontId="3" fillId="20" borderId="7" xfId="1" applyFont="1" applyFill="1" applyBorder="1" applyAlignment="1">
      <alignment horizontal="center" vertical="center" textRotation="90" wrapText="1"/>
    </xf>
    <xf numFmtId="0" fontId="0" fillId="20" borderId="7" xfId="1" applyFont="1" applyFill="1" applyBorder="1" applyAlignment="1">
      <alignment horizontal="center" vertical="center" wrapText="1"/>
    </xf>
    <xf numFmtId="0" fontId="0" fillId="20" borderId="36" xfId="1" applyFont="1" applyFill="1" applyBorder="1" applyAlignment="1">
      <alignment horizontal="center" vertical="center"/>
    </xf>
    <xf numFmtId="0" fontId="0" fillId="20" borderId="7" xfId="1" applyFont="1" applyFill="1" applyBorder="1" applyAlignment="1">
      <alignment horizontal="center" vertical="center" textRotation="90" wrapText="1"/>
    </xf>
    <xf numFmtId="0" fontId="3" fillId="20" borderId="7" xfId="1" applyFont="1" applyFill="1" applyBorder="1" applyAlignment="1">
      <alignment horizontal="center" vertical="center" textRotation="90" wrapText="1"/>
    </xf>
    <xf numFmtId="0" fontId="1" fillId="0" borderId="12" xfId="1" applyNumberFormat="1" applyFill="1" applyBorder="1" applyAlignment="1"/>
    <xf numFmtId="1" fontId="0" fillId="0" borderId="44" xfId="1" applyNumberFormat="1" applyFont="1" applyFill="1" applyBorder="1"/>
    <xf numFmtId="14" fontId="1" fillId="0" borderId="4" xfId="1" applyNumberFormat="1" applyFill="1" applyBorder="1"/>
    <xf numFmtId="49" fontId="1" fillId="0" borderId="43" xfId="1" applyNumberFormat="1" applyFill="1" applyBorder="1"/>
    <xf numFmtId="49" fontId="1" fillId="0" borderId="44" xfId="1" applyNumberFormat="1" applyFill="1" applyBorder="1"/>
    <xf numFmtId="0" fontId="0" fillId="20" borderId="7" xfId="1" applyFont="1" applyFill="1" applyBorder="1" applyAlignment="1">
      <alignment vertical="center"/>
    </xf>
    <xf numFmtId="0" fontId="15" fillId="20" borderId="8" xfId="1" applyFont="1" applyFill="1" applyBorder="1" applyAlignment="1">
      <alignment horizontal="center" vertical="center" textRotation="90"/>
    </xf>
    <xf numFmtId="0" fontId="1" fillId="0" borderId="24" xfId="1" applyNumberFormat="1" applyFill="1" applyBorder="1"/>
    <xf numFmtId="0" fontId="1" fillId="0" borderId="55" xfId="1" applyNumberFormat="1" applyFill="1" applyBorder="1"/>
    <xf numFmtId="0" fontId="0" fillId="20" borderId="24" xfId="1" applyFont="1" applyFill="1" applyBorder="1" applyAlignment="1">
      <alignment vertical="center"/>
    </xf>
    <xf numFmtId="0" fontId="0" fillId="20" borderId="28" xfId="1" applyFont="1" applyFill="1" applyBorder="1" applyAlignment="1">
      <alignment vertical="center"/>
    </xf>
    <xf numFmtId="0" fontId="11" fillId="20" borderId="7" xfId="1" applyFont="1" applyFill="1" applyBorder="1" applyAlignment="1">
      <alignment horizontal="center" vertical="center" textRotation="90" wrapText="1"/>
    </xf>
    <xf numFmtId="0" fontId="3" fillId="20" borderId="7" xfId="1" applyFont="1" applyFill="1" applyBorder="1" applyAlignment="1">
      <alignment horizontal="center" vertical="center"/>
    </xf>
    <xf numFmtId="0" fontId="0" fillId="20" borderId="25" xfId="1" applyFont="1" applyFill="1" applyBorder="1" applyAlignment="1">
      <alignment vertical="center"/>
    </xf>
    <xf numFmtId="0" fontId="0" fillId="20" borderId="38" xfId="1" applyFont="1" applyFill="1" applyBorder="1" applyAlignment="1">
      <alignment vertical="center"/>
    </xf>
    <xf numFmtId="0" fontId="1" fillId="0" borderId="17" xfId="1" applyNumberFormat="1" applyFill="1" applyBorder="1"/>
    <xf numFmtId="0" fontId="3" fillId="20" borderId="24" xfId="1" applyFont="1" applyFill="1" applyBorder="1" applyAlignment="1">
      <alignment horizontal="center" vertical="center" textRotation="90"/>
    </xf>
    <xf numFmtId="0" fontId="15" fillId="20" borderId="24" xfId="1" applyFont="1" applyFill="1" applyBorder="1" applyAlignment="1">
      <alignment horizontal="center" vertical="center" textRotation="90"/>
    </xf>
    <xf numFmtId="0" fontId="0" fillId="20" borderId="11" xfId="1" applyFont="1" applyFill="1" applyBorder="1" applyAlignment="1">
      <alignment vertical="center" wrapText="1"/>
    </xf>
    <xf numFmtId="0" fontId="3" fillId="0" borderId="0" xfId="0" applyFont="1" applyFill="1" applyAlignment="1">
      <alignment vertical="top"/>
    </xf>
    <xf numFmtId="14" fontId="1" fillId="0" borderId="30" xfId="1" applyNumberFormat="1" applyFill="1" applyBorder="1"/>
    <xf numFmtId="0" fontId="0" fillId="19" borderId="26" xfId="0" applyFill="1" applyBorder="1" applyAlignment="1">
      <alignment horizontal="center" vertical="center" wrapText="1"/>
    </xf>
    <xf numFmtId="0" fontId="0" fillId="19" borderId="35" xfId="0" applyFill="1" applyBorder="1" applyAlignment="1">
      <alignment horizontal="center" vertical="center" wrapText="1"/>
    </xf>
    <xf numFmtId="0" fontId="0" fillId="19" borderId="11" xfId="0" applyFill="1" applyBorder="1" applyAlignment="1">
      <alignment horizontal="center" vertical="center" wrapText="1"/>
    </xf>
    <xf numFmtId="0" fontId="0" fillId="19" borderId="12" xfId="0" applyFill="1" applyBorder="1" applyAlignment="1">
      <alignment horizontal="center" vertical="center" wrapText="1"/>
    </xf>
    <xf numFmtId="0" fontId="4" fillId="7" borderId="2" xfId="0" applyFont="1" applyFill="1" applyBorder="1" applyAlignment="1">
      <alignment horizontal="center" vertical="center"/>
    </xf>
    <xf numFmtId="0" fontId="4" fillId="7" borderId="22" xfId="0" applyFont="1" applyFill="1" applyBorder="1" applyAlignment="1">
      <alignment horizontal="center" vertical="center"/>
    </xf>
    <xf numFmtId="0" fontId="4" fillId="2" borderId="2" xfId="1" applyFont="1" applyBorder="1" applyAlignment="1">
      <alignment horizontal="center" vertical="center"/>
    </xf>
    <xf numFmtId="0" fontId="0" fillId="17" borderId="21" xfId="0" applyFill="1" applyBorder="1" applyAlignment="1">
      <alignment horizontal="left" vertical="top" wrapText="1"/>
    </xf>
    <xf numFmtId="0" fontId="0" fillId="17" borderId="2" xfId="0" applyFill="1" applyBorder="1" applyAlignment="1">
      <alignment horizontal="left" vertical="top" wrapText="1"/>
    </xf>
    <xf numFmtId="0" fontId="4" fillId="14" borderId="21" xfId="0" applyFont="1" applyFill="1" applyBorder="1" applyAlignment="1">
      <alignment horizontal="left" vertical="top" wrapText="1"/>
    </xf>
    <xf numFmtId="0" fontId="4" fillId="14" borderId="2" xfId="0" applyFont="1" applyFill="1" applyBorder="1" applyAlignment="1">
      <alignment horizontal="left" vertical="top" wrapText="1"/>
    </xf>
    <xf numFmtId="0" fontId="0" fillId="2" borderId="0" xfId="1" applyFont="1" applyAlignment="1">
      <alignment horizontal="left" vertical="top" wrapText="1"/>
    </xf>
    <xf numFmtId="0" fontId="0" fillId="12" borderId="0" xfId="0" applyFill="1" applyAlignment="1">
      <alignment horizontal="left" wrapText="1"/>
    </xf>
    <xf numFmtId="0" fontId="4" fillId="13" borderId="21" xfId="0" applyFont="1" applyFill="1" applyBorder="1" applyAlignment="1">
      <alignment horizontal="left" vertical="top" wrapText="1"/>
    </xf>
    <xf numFmtId="0" fontId="4" fillId="13" borderId="2" xfId="0" applyFont="1" applyFill="1" applyBorder="1" applyAlignment="1">
      <alignment horizontal="left" vertical="top" wrapText="1"/>
    </xf>
    <xf numFmtId="0" fontId="0" fillId="14" borderId="21" xfId="0" applyFill="1" applyBorder="1" applyAlignment="1">
      <alignment horizontal="left" vertical="top" wrapText="1"/>
    </xf>
    <xf numFmtId="0" fontId="0" fillId="14" borderId="2" xfId="0" applyFill="1" applyBorder="1" applyAlignment="1">
      <alignment horizontal="left" vertical="top" wrapText="1"/>
    </xf>
    <xf numFmtId="0" fontId="4" fillId="12" borderId="21" xfId="0" applyFont="1" applyFill="1" applyBorder="1" applyAlignment="1">
      <alignment horizontal="left" vertical="top" wrapText="1"/>
    </xf>
    <xf numFmtId="0" fontId="4" fillId="12" borderId="2" xfId="0" applyFont="1" applyFill="1" applyBorder="1" applyAlignment="1">
      <alignment horizontal="left" vertical="top" wrapText="1"/>
    </xf>
    <xf numFmtId="0" fontId="0" fillId="10" borderId="21" xfId="0" applyFill="1" applyBorder="1" applyAlignment="1">
      <alignment horizontal="left" vertical="top" wrapText="1"/>
    </xf>
    <xf numFmtId="0" fontId="0" fillId="10" borderId="2" xfId="0" applyFill="1" applyBorder="1" applyAlignment="1">
      <alignment horizontal="left" vertical="top" wrapText="1"/>
    </xf>
    <xf numFmtId="0" fontId="0" fillId="20" borderId="11" xfId="1" applyFont="1" applyFill="1" applyBorder="1" applyAlignment="1">
      <alignment horizontal="center" vertical="center" wrapText="1"/>
    </xf>
    <xf numFmtId="0" fontId="0" fillId="20" borderId="12" xfId="1" applyFont="1" applyFill="1" applyBorder="1" applyAlignment="1">
      <alignment horizontal="center" vertical="center" wrapText="1"/>
    </xf>
    <xf numFmtId="0" fontId="0" fillId="20" borderId="24" xfId="1" applyFont="1" applyFill="1" applyBorder="1" applyAlignment="1">
      <alignment horizontal="center" vertical="center"/>
    </xf>
    <xf numFmtId="0" fontId="0" fillId="20" borderId="25" xfId="1" applyFont="1" applyFill="1" applyBorder="1" applyAlignment="1">
      <alignment horizontal="center" vertical="center"/>
    </xf>
    <xf numFmtId="0" fontId="0" fillId="20" borderId="24" xfId="1" applyFont="1" applyFill="1" applyBorder="1" applyAlignment="1">
      <alignment horizontal="center" vertical="center" wrapText="1"/>
    </xf>
    <xf numFmtId="0" fontId="0" fillId="20" borderId="28" xfId="1" applyFont="1" applyFill="1" applyBorder="1" applyAlignment="1">
      <alignment horizontal="center" vertical="center" wrapText="1"/>
    </xf>
    <xf numFmtId="0" fontId="0" fillId="20" borderId="25" xfId="1" applyFont="1" applyFill="1" applyBorder="1" applyAlignment="1">
      <alignment horizontal="center" vertical="center" wrapText="1"/>
    </xf>
    <xf numFmtId="0" fontId="0" fillId="20" borderId="11" xfId="1" applyFont="1" applyFill="1" applyBorder="1" applyAlignment="1">
      <alignment horizontal="center" vertical="center" textRotation="90" wrapText="1"/>
    </xf>
    <xf numFmtId="0" fontId="0" fillId="20" borderId="12" xfId="1" applyFont="1" applyFill="1" applyBorder="1" applyAlignment="1">
      <alignment horizontal="center" vertical="center" textRotation="90" wrapText="1"/>
    </xf>
    <xf numFmtId="0" fontId="3" fillId="20" borderId="24" xfId="1" applyFont="1" applyFill="1" applyBorder="1" applyAlignment="1">
      <alignment horizontal="center" vertical="center" wrapText="1"/>
    </xf>
    <xf numFmtId="0" fontId="3" fillId="20" borderId="28" xfId="1" applyFont="1" applyFill="1" applyBorder="1" applyAlignment="1">
      <alignment horizontal="center" vertical="center" wrapText="1"/>
    </xf>
    <xf numFmtId="0" fontId="0" fillId="20" borderId="28" xfId="1" applyFont="1" applyFill="1" applyBorder="1" applyAlignment="1">
      <alignment horizontal="center" vertical="center"/>
    </xf>
    <xf numFmtId="0" fontId="0" fillId="20" borderId="27" xfId="1" applyFont="1" applyFill="1" applyBorder="1" applyAlignment="1">
      <alignment horizontal="center" vertical="center" wrapText="1"/>
    </xf>
    <xf numFmtId="0" fontId="0" fillId="20" borderId="30" xfId="1" applyFont="1" applyFill="1" applyBorder="1" applyAlignment="1">
      <alignment horizontal="center" vertical="center" wrapText="1"/>
    </xf>
    <xf numFmtId="0" fontId="0" fillId="20" borderId="7" xfId="1" applyFont="1" applyFill="1" applyBorder="1" applyAlignment="1">
      <alignment horizontal="center" vertical="center" wrapText="1"/>
    </xf>
    <xf numFmtId="0" fontId="0" fillId="20" borderId="13" xfId="1" applyFont="1" applyFill="1" applyBorder="1" applyAlignment="1">
      <alignment horizontal="center" vertical="center" wrapText="1"/>
    </xf>
    <xf numFmtId="0" fontId="3" fillId="20" borderId="9" xfId="1" applyFont="1" applyFill="1" applyBorder="1" applyAlignment="1">
      <alignment horizontal="center" vertical="center" wrapText="1"/>
    </xf>
    <xf numFmtId="0" fontId="3" fillId="20" borderId="10" xfId="1" applyFont="1" applyFill="1" applyBorder="1" applyAlignment="1">
      <alignment horizontal="center" vertical="center" wrapText="1"/>
    </xf>
    <xf numFmtId="0" fontId="0" fillId="20" borderId="13" xfId="1" applyFont="1" applyFill="1" applyBorder="1" applyAlignment="1">
      <alignment horizontal="center" vertical="center"/>
    </xf>
    <xf numFmtId="0" fontId="0" fillId="20" borderId="36" xfId="1" applyFont="1" applyFill="1" applyBorder="1" applyAlignment="1">
      <alignment horizontal="center" vertical="center" wrapText="1"/>
    </xf>
    <xf numFmtId="0" fontId="0" fillId="20" borderId="30" xfId="1" applyFont="1" applyFill="1" applyBorder="1" applyAlignment="1">
      <alignment horizontal="center" vertical="center"/>
    </xf>
    <xf numFmtId="0" fontId="0" fillId="20" borderId="31" xfId="1" applyFont="1" applyFill="1" applyBorder="1" applyAlignment="1">
      <alignment horizontal="center" vertical="center"/>
    </xf>
    <xf numFmtId="0" fontId="0" fillId="20" borderId="35" xfId="1" applyFont="1" applyFill="1" applyBorder="1" applyAlignment="1">
      <alignment horizontal="center" vertical="center"/>
    </xf>
    <xf numFmtId="0" fontId="0" fillId="20" borderId="35" xfId="1" applyFont="1" applyFill="1" applyBorder="1" applyAlignment="1">
      <alignment horizontal="center" vertical="center" wrapText="1"/>
    </xf>
    <xf numFmtId="0" fontId="0" fillId="20" borderId="42" xfId="1" applyFont="1" applyFill="1" applyBorder="1" applyAlignment="1">
      <alignment horizontal="center" vertical="center" textRotation="90"/>
    </xf>
    <xf numFmtId="0" fontId="0" fillId="20" borderId="15" xfId="1" applyFont="1" applyFill="1" applyBorder="1" applyAlignment="1">
      <alignment horizontal="center" vertical="center" textRotation="90"/>
    </xf>
    <xf numFmtId="0" fontId="0" fillId="20" borderId="26" xfId="1" applyFont="1" applyFill="1" applyBorder="1" applyAlignment="1">
      <alignment horizontal="center" vertical="center" wrapText="1"/>
    </xf>
    <xf numFmtId="0" fontId="0" fillId="20" borderId="7" xfId="1" applyFont="1" applyFill="1" applyBorder="1" applyAlignment="1">
      <alignment horizontal="center" vertical="center" textRotation="90" wrapText="1"/>
    </xf>
    <xf numFmtId="0" fontId="1" fillId="20" borderId="7" xfId="1" applyFont="1" applyFill="1" applyBorder="1" applyAlignment="1">
      <alignment horizontal="center" vertical="center" textRotation="90" wrapText="1"/>
    </xf>
    <xf numFmtId="0" fontId="0" fillId="20" borderId="27" xfId="1" applyFont="1" applyFill="1" applyBorder="1" applyAlignment="1">
      <alignment horizontal="center" vertical="center"/>
    </xf>
    <xf numFmtId="0" fontId="0" fillId="20" borderId="26" xfId="1" applyFont="1" applyFill="1" applyBorder="1" applyAlignment="1">
      <alignment horizontal="center" vertical="center"/>
    </xf>
    <xf numFmtId="0" fontId="3" fillId="20" borderId="25" xfId="1" applyFont="1" applyFill="1" applyBorder="1" applyAlignment="1">
      <alignment horizontal="center" vertical="center" wrapText="1"/>
    </xf>
    <xf numFmtId="0" fontId="0" fillId="20" borderId="38" xfId="1" applyFont="1" applyFill="1" applyBorder="1" applyAlignment="1">
      <alignment horizontal="center" vertical="center" wrapText="1"/>
    </xf>
    <xf numFmtId="0" fontId="0" fillId="20" borderId="14" xfId="1" applyFont="1" applyFill="1" applyBorder="1" applyAlignment="1">
      <alignment horizontal="center" vertical="center" wrapText="1"/>
    </xf>
    <xf numFmtId="0" fontId="0" fillId="20" borderId="15" xfId="1" applyFont="1" applyFill="1" applyBorder="1" applyAlignment="1">
      <alignment horizontal="center" vertical="center" wrapText="1"/>
    </xf>
    <xf numFmtId="0" fontId="0" fillId="20" borderId="7" xfId="1" applyFont="1" applyFill="1" applyBorder="1" applyAlignment="1">
      <alignment horizontal="center" vertical="center"/>
    </xf>
    <xf numFmtId="0" fontId="3" fillId="20" borderId="7" xfId="1" applyFont="1" applyFill="1" applyBorder="1" applyAlignment="1">
      <alignment horizontal="center" vertical="center" wrapText="1"/>
    </xf>
    <xf numFmtId="0" fontId="0" fillId="20" borderId="38" xfId="1" applyFont="1" applyFill="1" applyBorder="1" applyAlignment="1">
      <alignment horizontal="center" vertical="center"/>
    </xf>
    <xf numFmtId="0" fontId="0" fillId="14" borderId="13" xfId="1" applyFont="1" applyFill="1" applyBorder="1" applyAlignment="1">
      <alignment horizontal="center" vertical="center" wrapText="1"/>
    </xf>
    <xf numFmtId="0" fontId="0" fillId="14" borderId="28" xfId="1" applyFont="1" applyFill="1" applyBorder="1" applyAlignment="1">
      <alignment horizontal="center" vertical="center" wrapText="1"/>
    </xf>
    <xf numFmtId="0" fontId="0" fillId="20" borderId="31" xfId="1" applyFont="1" applyFill="1" applyBorder="1" applyAlignment="1">
      <alignment horizontal="center" vertical="center" wrapText="1"/>
    </xf>
    <xf numFmtId="0" fontId="0" fillId="4" borderId="24" xfId="1" applyFont="1" applyFill="1" applyBorder="1" applyAlignment="1">
      <alignment horizontal="center" vertical="center" wrapText="1"/>
    </xf>
    <xf numFmtId="0" fontId="0" fillId="4" borderId="28" xfId="1" applyFont="1" applyFill="1" applyBorder="1" applyAlignment="1">
      <alignment horizontal="center" vertical="center" wrapText="1"/>
    </xf>
    <xf numFmtId="0" fontId="0" fillId="4" borderId="38" xfId="1" applyFont="1" applyFill="1" applyBorder="1" applyAlignment="1">
      <alignment horizontal="center" vertical="center" wrapText="1"/>
    </xf>
    <xf numFmtId="0" fontId="0" fillId="10" borderId="24" xfId="1" applyFont="1" applyFill="1" applyBorder="1" applyAlignment="1">
      <alignment horizontal="center" vertical="center" wrapText="1"/>
    </xf>
    <xf numFmtId="0" fontId="0" fillId="10" borderId="28" xfId="1" applyFont="1" applyFill="1" applyBorder="1" applyAlignment="1">
      <alignment horizontal="center" vertical="center" wrapText="1"/>
    </xf>
    <xf numFmtId="0" fontId="0" fillId="10" borderId="25" xfId="1" applyFont="1" applyFill="1" applyBorder="1" applyAlignment="1">
      <alignment horizontal="center" vertical="center" wrapText="1"/>
    </xf>
    <xf numFmtId="0" fontId="0" fillId="20" borderId="36" xfId="1" applyFont="1" applyFill="1" applyBorder="1" applyAlignment="1">
      <alignment horizontal="center" vertical="center"/>
    </xf>
    <xf numFmtId="0" fontId="0" fillId="20" borderId="11" xfId="1" applyFont="1" applyFill="1" applyBorder="1" applyAlignment="1">
      <alignment horizontal="center" vertical="center"/>
    </xf>
    <xf numFmtId="0" fontId="0" fillId="20" borderId="12" xfId="1" applyFont="1" applyFill="1" applyBorder="1" applyAlignment="1">
      <alignment horizontal="center" vertical="center"/>
    </xf>
    <xf numFmtId="0" fontId="0" fillId="20" borderId="9" xfId="1" applyFont="1" applyFill="1" applyBorder="1" applyAlignment="1">
      <alignment horizontal="center" vertical="center"/>
    </xf>
    <xf numFmtId="0" fontId="0" fillId="20" borderId="10" xfId="1" applyFont="1" applyFill="1" applyBorder="1" applyAlignment="1">
      <alignment horizontal="center" vertical="center"/>
    </xf>
    <xf numFmtId="0" fontId="0" fillId="16" borderId="24" xfId="1" applyFont="1" applyFill="1" applyBorder="1" applyAlignment="1">
      <alignment horizontal="center" vertical="center" wrapText="1"/>
    </xf>
    <xf numFmtId="0" fontId="0" fillId="16" borderId="28" xfId="1" applyFont="1" applyFill="1" applyBorder="1" applyAlignment="1">
      <alignment horizontal="center" vertical="center" wrapText="1"/>
    </xf>
    <xf numFmtId="0" fontId="0" fillId="16" borderId="25" xfId="1" applyFont="1" applyFill="1" applyBorder="1" applyAlignment="1">
      <alignment horizontal="center" vertical="center" wrapText="1"/>
    </xf>
    <xf numFmtId="0" fontId="0" fillId="16" borderId="11" xfId="1" applyFont="1" applyFill="1" applyBorder="1" applyAlignment="1">
      <alignment horizontal="center" vertical="center" wrapText="1"/>
    </xf>
    <xf numFmtId="0" fontId="0" fillId="16" borderId="12" xfId="1" applyFont="1" applyFill="1" applyBorder="1" applyAlignment="1">
      <alignment horizontal="center" vertical="center" wrapText="1"/>
    </xf>
    <xf numFmtId="0" fontId="0" fillId="20" borderId="6" xfId="1" applyFont="1" applyFill="1" applyBorder="1" applyAlignment="1">
      <alignment horizontal="center" vertical="center" textRotation="90" wrapText="1"/>
    </xf>
    <xf numFmtId="0" fontId="3" fillId="0" borderId="40" xfId="1" applyFont="1" applyFill="1" applyBorder="1" applyAlignment="1">
      <alignment horizontal="left" vertical="top" wrapText="1"/>
    </xf>
    <xf numFmtId="0" fontId="3" fillId="0" borderId="0" xfId="0" applyFont="1" applyFill="1" applyAlignment="1">
      <alignment horizontal="left" vertical="top"/>
    </xf>
    <xf numFmtId="0" fontId="0" fillId="0" borderId="9" xfId="1" applyFont="1" applyFill="1" applyBorder="1" applyAlignment="1">
      <alignment horizontal="center"/>
    </xf>
    <xf numFmtId="0" fontId="0" fillId="0" borderId="60" xfId="1" applyFont="1" applyFill="1" applyBorder="1" applyAlignment="1">
      <alignment horizontal="center"/>
    </xf>
    <xf numFmtId="0" fontId="0" fillId="0" borderId="10" xfId="1" applyFont="1" applyFill="1" applyBorder="1" applyAlignment="1">
      <alignment horizontal="center"/>
    </xf>
    <xf numFmtId="0" fontId="1" fillId="0" borderId="11" xfId="1" applyNumberFormat="1" applyFill="1" applyBorder="1" applyAlignment="1">
      <alignment horizontal="right"/>
    </xf>
    <xf numFmtId="0" fontId="1" fillId="0" borderId="12" xfId="1" applyNumberFormat="1" applyFill="1" applyBorder="1" applyAlignment="1">
      <alignment horizontal="right"/>
    </xf>
    <xf numFmtId="0" fontId="1" fillId="0" borderId="37" xfId="1" applyNumberFormat="1" applyFill="1" applyBorder="1" applyAlignment="1">
      <alignment horizontal="right"/>
    </xf>
    <xf numFmtId="0" fontId="1" fillId="0" borderId="11" xfId="1" applyNumberFormat="1" applyFill="1" applyBorder="1" applyAlignment="1">
      <alignment horizontal="center"/>
    </xf>
    <xf numFmtId="0" fontId="1" fillId="0" borderId="12" xfId="1" applyNumberFormat="1" applyFill="1" applyBorder="1" applyAlignment="1">
      <alignment horizontal="center"/>
    </xf>
    <xf numFmtId="0" fontId="10" fillId="0" borderId="11" xfId="4" applyNumberFormat="1" applyFont="1" applyFill="1" applyBorder="1" applyAlignment="1">
      <alignment horizontal="right"/>
    </xf>
    <xf numFmtId="0" fontId="10" fillId="0" borderId="12" xfId="4" applyNumberFormat="1" applyFont="1" applyFill="1" applyBorder="1" applyAlignment="1">
      <alignment horizontal="right"/>
    </xf>
    <xf numFmtId="14" fontId="1" fillId="0" borderId="11" xfId="1" applyNumberFormat="1" applyFill="1" applyBorder="1" applyAlignment="1">
      <alignment horizontal="right"/>
    </xf>
    <xf numFmtId="14" fontId="1" fillId="0" borderId="12" xfId="1" applyNumberFormat="1" applyFill="1" applyBorder="1" applyAlignment="1">
      <alignment horizontal="right"/>
    </xf>
    <xf numFmtId="0" fontId="0" fillId="0" borderId="9" xfId="1" applyFont="1" applyFill="1" applyBorder="1" applyAlignment="1">
      <alignment horizontal="right"/>
    </xf>
    <xf numFmtId="0" fontId="0" fillId="0" borderId="60" xfId="1" applyFont="1" applyFill="1" applyBorder="1" applyAlignment="1">
      <alignment horizontal="right"/>
    </xf>
    <xf numFmtId="0" fontId="0" fillId="0" borderId="10" xfId="1" applyFont="1" applyFill="1" applyBorder="1" applyAlignment="1">
      <alignment horizontal="right"/>
    </xf>
    <xf numFmtId="14" fontId="1" fillId="0" borderId="11" xfId="1" applyNumberFormat="1" applyFill="1" applyBorder="1" applyAlignment="1">
      <alignment horizontal="center"/>
    </xf>
    <xf numFmtId="14" fontId="1" fillId="0" borderId="12" xfId="1" applyNumberFormat="1" applyFill="1" applyBorder="1" applyAlignment="1">
      <alignment horizontal="center"/>
    </xf>
    <xf numFmtId="0" fontId="1" fillId="0" borderId="11" xfId="1" applyFill="1" applyBorder="1" applyAlignment="1">
      <alignment horizontal="right"/>
    </xf>
    <xf numFmtId="0" fontId="1" fillId="0" borderId="12" xfId="1" applyFill="1" applyBorder="1" applyAlignment="1">
      <alignment horizontal="right"/>
    </xf>
    <xf numFmtId="0" fontId="1" fillId="0" borderId="11" xfId="1" applyNumberFormat="1" applyFill="1" applyBorder="1" applyAlignment="1"/>
    <xf numFmtId="0" fontId="1" fillId="0" borderId="12" xfId="1" applyNumberFormat="1" applyFill="1" applyBorder="1" applyAlignment="1"/>
    <xf numFmtId="0" fontId="3" fillId="20" borderId="9" xfId="1" applyFont="1" applyFill="1" applyBorder="1" applyAlignment="1">
      <alignment horizontal="center" vertical="center" textRotation="90" wrapText="1"/>
    </xf>
    <xf numFmtId="0" fontId="3" fillId="20" borderId="10" xfId="1" applyFont="1" applyFill="1" applyBorder="1" applyAlignment="1">
      <alignment horizontal="center" vertical="center" textRotation="90" wrapText="1"/>
    </xf>
    <xf numFmtId="0" fontId="1" fillId="20" borderId="11" xfId="1" applyFont="1" applyFill="1" applyBorder="1" applyAlignment="1">
      <alignment horizontal="center" vertical="center" textRotation="90" wrapText="1"/>
    </xf>
    <xf numFmtId="0" fontId="1" fillId="20" borderId="12" xfId="1" applyFont="1" applyFill="1" applyBorder="1" applyAlignment="1">
      <alignment horizontal="center" vertical="center" textRotation="90" wrapText="1"/>
    </xf>
    <xf numFmtId="0" fontId="6" fillId="20" borderId="11" xfId="1" applyFont="1" applyFill="1" applyBorder="1" applyAlignment="1">
      <alignment horizontal="center" vertical="center" textRotation="90" wrapText="1"/>
    </xf>
    <xf numFmtId="0" fontId="6" fillId="20" borderId="12" xfId="1" applyFont="1" applyFill="1" applyBorder="1" applyAlignment="1">
      <alignment horizontal="center" vertical="center" textRotation="90" wrapText="1"/>
    </xf>
    <xf numFmtId="0" fontId="3" fillId="20" borderId="7" xfId="1" applyFont="1" applyFill="1" applyBorder="1" applyAlignment="1">
      <alignment horizontal="center" vertical="center" textRotation="90" wrapText="1"/>
    </xf>
    <xf numFmtId="0" fontId="6" fillId="20" borderId="26" xfId="1" applyFont="1" applyFill="1" applyBorder="1" applyAlignment="1">
      <alignment horizontal="center" vertical="center" textRotation="90" wrapText="1"/>
    </xf>
    <xf numFmtId="0" fontId="6" fillId="20" borderId="41" xfId="1" applyFont="1" applyFill="1" applyBorder="1" applyAlignment="1">
      <alignment horizontal="center" vertical="center" textRotation="90" wrapText="1"/>
    </xf>
    <xf numFmtId="0" fontId="6" fillId="20" borderId="35" xfId="1" applyFont="1" applyFill="1" applyBorder="1" applyAlignment="1">
      <alignment horizontal="center" vertical="center" textRotation="90" wrapText="1"/>
    </xf>
    <xf numFmtId="0" fontId="0" fillId="23" borderId="28" xfId="1" applyFont="1" applyFill="1" applyBorder="1" applyAlignment="1">
      <alignment horizontal="center" vertical="center" wrapText="1"/>
    </xf>
    <xf numFmtId="0" fontId="0" fillId="20" borderId="11" xfId="1" applyFont="1" applyFill="1" applyBorder="1" applyAlignment="1">
      <alignment horizontal="center" vertical="center" textRotation="90"/>
    </xf>
    <xf numFmtId="0" fontId="0" fillId="20" borderId="12" xfId="1" applyFont="1" applyFill="1" applyBorder="1" applyAlignment="1">
      <alignment horizontal="center" vertical="center" textRotation="90"/>
    </xf>
    <xf numFmtId="0" fontId="0" fillId="22" borderId="24" xfId="1" applyFont="1" applyFill="1" applyBorder="1" applyAlignment="1">
      <alignment horizontal="center" vertical="center" wrapText="1"/>
    </xf>
    <xf numFmtId="0" fontId="0" fillId="22" borderId="28" xfId="1" applyFont="1" applyFill="1" applyBorder="1" applyAlignment="1">
      <alignment horizontal="center" vertical="center" wrapText="1"/>
    </xf>
    <xf numFmtId="0" fontId="0" fillId="4" borderId="25" xfId="1" applyFont="1" applyFill="1" applyBorder="1" applyAlignment="1">
      <alignment horizontal="center" vertical="center" wrapText="1"/>
    </xf>
    <xf numFmtId="0" fontId="0" fillId="0" borderId="46" xfId="0" applyBorder="1" applyAlignment="1">
      <alignment horizontal="center" vertical="center"/>
    </xf>
    <xf numFmtId="0" fontId="0" fillId="0" borderId="29" xfId="0" applyBorder="1" applyAlignment="1">
      <alignment horizontal="center" vertical="center"/>
    </xf>
    <xf numFmtId="0" fontId="0" fillId="0" borderId="51" xfId="0" applyBorder="1" applyAlignment="1">
      <alignment horizontal="center" vertical="center"/>
    </xf>
    <xf numFmtId="0" fontId="0" fillId="20" borderId="14" xfId="1" applyFont="1" applyFill="1" applyBorder="1" applyAlignment="1">
      <alignment horizontal="center" vertical="center" textRotation="90"/>
    </xf>
    <xf numFmtId="0" fontId="0" fillId="20" borderId="9" xfId="1" applyFont="1" applyFill="1" applyBorder="1" applyAlignment="1">
      <alignment horizontal="center" vertical="center" textRotation="90"/>
    </xf>
    <xf numFmtId="0" fontId="0" fillId="20" borderId="10" xfId="1" applyFont="1" applyFill="1" applyBorder="1" applyAlignment="1">
      <alignment horizontal="center" vertical="center" textRotation="90"/>
    </xf>
    <xf numFmtId="0" fontId="0" fillId="20" borderId="26" xfId="1" applyFont="1" applyFill="1" applyBorder="1" applyAlignment="1">
      <alignment horizontal="center" vertical="center" textRotation="90"/>
    </xf>
    <xf numFmtId="0" fontId="0" fillId="20" borderId="35" xfId="1" applyFont="1" applyFill="1" applyBorder="1" applyAlignment="1">
      <alignment horizontal="center" vertical="center" textRotation="90"/>
    </xf>
    <xf numFmtId="0" fontId="0" fillId="20" borderId="27" xfId="1" applyFont="1" applyFill="1" applyBorder="1" applyAlignment="1">
      <alignment horizontal="center" vertical="center" textRotation="90"/>
    </xf>
    <xf numFmtId="0" fontId="0" fillId="20" borderId="40" xfId="1" applyFont="1" applyFill="1" applyBorder="1" applyAlignment="1">
      <alignment horizontal="center" vertical="center" textRotation="90"/>
    </xf>
    <xf numFmtId="0" fontId="0" fillId="20" borderId="30" xfId="1" applyFont="1" applyFill="1" applyBorder="1" applyAlignment="1">
      <alignment horizontal="center" vertical="center" textRotation="90"/>
    </xf>
    <xf numFmtId="0" fontId="0" fillId="20" borderId="37" xfId="1" applyFont="1" applyFill="1" applyBorder="1" applyAlignment="1">
      <alignment horizontal="center" vertical="center" textRotation="90"/>
    </xf>
    <xf numFmtId="0" fontId="0" fillId="0" borderId="45" xfId="0" applyBorder="1" applyAlignment="1">
      <alignment horizontal="center" vertical="center"/>
    </xf>
    <xf numFmtId="0" fontId="3" fillId="20" borderId="11" xfId="1" applyFont="1" applyFill="1" applyBorder="1" applyAlignment="1">
      <alignment horizontal="center" vertical="center" wrapText="1"/>
    </xf>
    <xf numFmtId="0" fontId="3" fillId="20" borderId="37" xfId="1" applyFont="1" applyFill="1" applyBorder="1" applyAlignment="1">
      <alignment horizontal="center" vertical="center" wrapText="1"/>
    </xf>
    <xf numFmtId="0" fontId="3" fillId="20" borderId="12" xfId="1" applyFont="1" applyFill="1" applyBorder="1" applyAlignment="1">
      <alignment horizontal="center" vertical="center" wrapText="1"/>
    </xf>
    <xf numFmtId="0" fontId="0" fillId="20" borderId="37" xfId="1" applyFont="1" applyFill="1" applyBorder="1" applyAlignment="1">
      <alignment horizontal="center" vertical="center" wrapText="1"/>
    </xf>
    <xf numFmtId="0" fontId="0" fillId="20" borderId="37" xfId="1" applyFont="1" applyFill="1" applyBorder="1" applyAlignment="1">
      <alignment horizontal="center" vertical="center" textRotation="90" wrapText="1"/>
    </xf>
    <xf numFmtId="0" fontId="0" fillId="20" borderId="8" xfId="1" applyFont="1" applyFill="1" applyBorder="1" applyAlignment="1">
      <alignment horizontal="center" vertical="center" textRotation="90" wrapText="1"/>
    </xf>
    <xf numFmtId="0" fontId="0" fillId="20" borderId="27" xfId="1" applyFont="1" applyFill="1" applyBorder="1" applyAlignment="1">
      <alignment horizontal="center" vertical="center" textRotation="90" wrapText="1"/>
    </xf>
    <xf numFmtId="0" fontId="0" fillId="20" borderId="30" xfId="1" applyFont="1" applyFill="1" applyBorder="1" applyAlignment="1">
      <alignment horizontal="center" vertical="center" textRotation="90" wrapText="1"/>
    </xf>
    <xf numFmtId="0" fontId="0" fillId="20" borderId="36" xfId="1" applyFont="1" applyFill="1" applyBorder="1" applyAlignment="1">
      <alignment horizontal="center" vertical="center" textRotation="90"/>
    </xf>
    <xf numFmtId="0" fontId="0" fillId="20" borderId="31" xfId="1" applyFont="1" applyFill="1" applyBorder="1" applyAlignment="1">
      <alignment horizontal="center" vertical="center" textRotation="90"/>
    </xf>
    <xf numFmtId="0" fontId="0" fillId="0" borderId="34" xfId="0" applyBorder="1" applyAlignment="1">
      <alignment horizontal="center" vertical="center"/>
    </xf>
    <xf numFmtId="0" fontId="0" fillId="0" borderId="31" xfId="0" applyBorder="1" applyAlignment="1">
      <alignment horizontal="center" vertical="center"/>
    </xf>
    <xf numFmtId="0" fontId="0" fillId="0" borderId="52" xfId="0" applyBorder="1" applyAlignment="1">
      <alignment horizontal="center" vertical="center"/>
    </xf>
    <xf numFmtId="0" fontId="6" fillId="20" borderId="37" xfId="1" applyFont="1" applyFill="1" applyBorder="1" applyAlignment="1">
      <alignment horizontal="center" vertical="center" textRotation="90" wrapText="1"/>
    </xf>
    <xf numFmtId="0" fontId="11" fillId="20" borderId="11" xfId="1" applyFont="1" applyFill="1" applyBorder="1" applyAlignment="1">
      <alignment horizontal="center" vertical="center" textRotation="90" wrapText="1"/>
    </xf>
    <xf numFmtId="0" fontId="11" fillId="20" borderId="37" xfId="1" applyFont="1" applyFill="1" applyBorder="1" applyAlignment="1">
      <alignment horizontal="center" vertical="center" textRotation="90" wrapText="1"/>
    </xf>
    <xf numFmtId="0" fontId="11" fillId="20" borderId="12" xfId="1" applyFont="1" applyFill="1" applyBorder="1" applyAlignment="1">
      <alignment horizontal="center" vertical="center" textRotation="90" wrapText="1"/>
    </xf>
    <xf numFmtId="0" fontId="0" fillId="20" borderId="62" xfId="1" applyFont="1" applyFill="1" applyBorder="1" applyAlignment="1">
      <alignment horizontal="center" vertical="center"/>
    </xf>
    <xf numFmtId="0" fontId="0" fillId="20" borderId="34" xfId="1" applyFont="1" applyFill="1" applyBorder="1" applyAlignment="1">
      <alignment horizontal="center" vertical="center"/>
    </xf>
    <xf numFmtId="0" fontId="0" fillId="20" borderId="54" xfId="1" applyFont="1" applyFill="1" applyBorder="1" applyAlignment="1">
      <alignment horizontal="center" vertical="center"/>
    </xf>
    <xf numFmtId="0" fontId="0" fillId="20" borderId="52" xfId="1" applyFont="1" applyFill="1" applyBorder="1" applyAlignment="1">
      <alignment horizontal="center" vertical="center"/>
    </xf>
    <xf numFmtId="0" fontId="0" fillId="0" borderId="33" xfId="1" applyNumberFormat="1" applyFont="1" applyFill="1" applyBorder="1"/>
    <xf numFmtId="0" fontId="0" fillId="0" borderId="60" xfId="1" applyFont="1" applyFill="1" applyBorder="1"/>
    <xf numFmtId="0" fontId="1" fillId="0" borderId="37" xfId="1" applyFill="1" applyBorder="1"/>
    <xf numFmtId="0" fontId="0" fillId="0" borderId="40" xfId="1" applyFont="1" applyFill="1" applyBorder="1"/>
    <xf numFmtId="0" fontId="1" fillId="0" borderId="40" xfId="1" applyFill="1" applyBorder="1"/>
    <xf numFmtId="0" fontId="1" fillId="0" borderId="12" xfId="1" applyNumberFormat="1" applyFill="1" applyBorder="1"/>
  </cellXfs>
  <cellStyles count="5">
    <cellStyle name="20% - Énfasis1" xfId="1" builtinId="30"/>
    <cellStyle name="20% - Énfasis2" xfId="2" builtinId="34"/>
    <cellStyle name="Hipervínculo" xfId="4" builtinId="8"/>
    <cellStyle name="Normal" xfId="0" builtinId="0"/>
    <cellStyle name="Normal 3" xfId="3" xr:uid="{00000000-0005-0000-0000-000003000000}"/>
  </cellStyles>
  <dxfs count="0"/>
  <tableStyles count="0" defaultTableStyle="TableStyleMedium2" defaultPivotStyle="PivotStyleLight16"/>
  <colors>
    <mruColors>
      <color rgb="FFCC99FF"/>
      <color rgb="FFDA9694"/>
      <color rgb="FFFFFF66"/>
      <color rgb="FFFF9999"/>
      <color rgb="FFCC66FF"/>
      <color rgb="FF66FFFF"/>
      <color rgb="FFA6A6A6"/>
      <color rgb="FF948A54"/>
      <color rgb="FFCC990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3190875</xdr:colOff>
      <xdr:row>408</xdr:row>
      <xdr:rowOff>19050</xdr:rowOff>
    </xdr:from>
    <xdr:to>
      <xdr:col>8</xdr:col>
      <xdr:colOff>3428970</xdr:colOff>
      <xdr:row>408</xdr:row>
      <xdr:rowOff>266669</xdr:rowOff>
    </xdr:to>
    <xdr:pic>
      <xdr:nvPicPr>
        <xdr:cNvPr id="2" name="Imagen 1">
          <a:extLst>
            <a:ext uri="{FF2B5EF4-FFF2-40B4-BE49-F238E27FC236}">
              <a16:creationId xmlns:a16="http://schemas.microsoft.com/office/drawing/2014/main" id="{EEC20A0C-6EEE-4C9A-9B45-7C172EF1EC71}"/>
            </a:ext>
          </a:extLst>
        </xdr:cNvPr>
        <xdr:cNvPicPr>
          <a:picLocks noChangeAspect="1"/>
        </xdr:cNvPicPr>
      </xdr:nvPicPr>
      <xdr:blipFill>
        <a:blip xmlns:r="http://schemas.openxmlformats.org/officeDocument/2006/relationships" r:embed="rId1"/>
        <a:stretch>
          <a:fillRect/>
        </a:stretch>
      </xdr:blipFill>
      <xdr:spPr>
        <a:xfrm>
          <a:off x="15668625" y="171402375"/>
          <a:ext cx="238095" cy="24761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gventas22@gmail.com" TargetMode="External"/><Relationship Id="rId2" Type="http://schemas.openxmlformats.org/officeDocument/2006/relationships/hyperlink" Target="mailto:gventas@gmail.com" TargetMode="External"/><Relationship Id="rId1" Type="http://schemas.openxmlformats.org/officeDocument/2006/relationships/hyperlink" Target="mailto:gventas@gmail.com" TargetMode="External"/><Relationship Id="rId6" Type="http://schemas.openxmlformats.org/officeDocument/2006/relationships/printerSettings" Target="../printerSettings/printerSettings2.bin"/><Relationship Id="rId5" Type="http://schemas.openxmlformats.org/officeDocument/2006/relationships/hyperlink" Target="mailto:gventas@gmail.com" TargetMode="External"/><Relationship Id="rId4" Type="http://schemas.openxmlformats.org/officeDocument/2006/relationships/hyperlink" Target="mailto:msilva@latam.c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A96AC-1FFE-43FB-BB5A-AC83B9905F9C}">
  <dimension ref="A1:I859"/>
  <sheetViews>
    <sheetView zoomScaleNormal="100" zoomScaleSheetLayoutView="100" workbookViewId="0">
      <pane ySplit="1" topLeftCell="A716" activePane="bottomLeft" state="frozen"/>
      <selection activeCell="F13" sqref="F13"/>
      <selection pane="bottomLeft" activeCell="C785" sqref="C785"/>
    </sheetView>
  </sheetViews>
  <sheetFormatPr baseColWidth="10" defaultRowHeight="15" x14ac:dyDescent="0.25"/>
  <cols>
    <col min="1" max="1" width="5.85546875" style="44" customWidth="1"/>
    <col min="2" max="2" width="22" customWidth="1"/>
    <col min="3" max="3" width="26.85546875" bestFit="1" customWidth="1"/>
    <col min="4" max="4" width="22.28515625" bestFit="1" customWidth="1"/>
    <col min="5" max="5" width="27.42578125" bestFit="1" customWidth="1"/>
    <col min="6" max="6" width="25.85546875" bestFit="1" customWidth="1"/>
    <col min="7" max="7" width="25.85546875" style="5" bestFit="1" customWidth="1"/>
    <col min="8" max="8" width="25.85546875" style="5" customWidth="1"/>
    <col min="9" max="9" width="136" bestFit="1" customWidth="1"/>
  </cols>
  <sheetData>
    <row r="1" spans="1:9" s="44" customFormat="1" x14ac:dyDescent="0.25">
      <c r="A1" s="42"/>
      <c r="B1" s="45" t="s">
        <v>3</v>
      </c>
      <c r="C1" s="45" t="s">
        <v>4</v>
      </c>
      <c r="D1" s="45" t="s">
        <v>5</v>
      </c>
      <c r="E1" s="45"/>
      <c r="F1" s="40"/>
      <c r="G1" s="41"/>
      <c r="H1" s="41"/>
      <c r="I1" s="40"/>
    </row>
    <row r="2" spans="1:9" s="44" customFormat="1" x14ac:dyDescent="0.25">
      <c r="A2" s="46" t="s">
        <v>10</v>
      </c>
      <c r="B2" s="59" t="s">
        <v>65</v>
      </c>
      <c r="C2" s="54" t="s">
        <v>197</v>
      </c>
      <c r="D2" s="54"/>
      <c r="E2" s="54"/>
      <c r="F2" s="54" t="s">
        <v>198</v>
      </c>
      <c r="G2" s="29" t="s">
        <v>525</v>
      </c>
      <c r="H2" s="56"/>
      <c r="I2" s="55"/>
    </row>
    <row r="3" spans="1:9" s="44" customFormat="1" x14ac:dyDescent="0.25">
      <c r="A3" s="53"/>
      <c r="B3" s="57"/>
      <c r="C3" s="54"/>
      <c r="D3" s="54"/>
      <c r="E3" s="54"/>
      <c r="F3" s="54" t="s">
        <v>20</v>
      </c>
      <c r="G3" s="29" t="s">
        <v>525</v>
      </c>
      <c r="H3" s="56"/>
      <c r="I3" s="55"/>
    </row>
    <row r="4" spans="1:9" s="44" customFormat="1" x14ac:dyDescent="0.25">
      <c r="A4" s="53"/>
      <c r="B4" s="57"/>
      <c r="C4" s="54"/>
      <c r="D4" s="54"/>
      <c r="E4" s="54"/>
      <c r="F4" s="54" t="s">
        <v>24</v>
      </c>
      <c r="G4" s="29" t="s">
        <v>525</v>
      </c>
      <c r="H4" s="56"/>
      <c r="I4" s="55" t="s">
        <v>475</v>
      </c>
    </row>
    <row r="5" spans="1:9" s="44" customFormat="1" x14ac:dyDescent="0.25">
      <c r="A5" s="53"/>
      <c r="B5" s="57"/>
      <c r="C5" s="54"/>
      <c r="D5" s="54"/>
      <c r="E5" s="54"/>
      <c r="F5" s="54" t="s">
        <v>199</v>
      </c>
      <c r="G5" s="29" t="s">
        <v>525</v>
      </c>
      <c r="H5" s="56"/>
      <c r="I5" s="55" t="s">
        <v>476</v>
      </c>
    </row>
    <row r="6" spans="1:9" s="44" customFormat="1" x14ac:dyDescent="0.25">
      <c r="A6" s="53"/>
      <c r="B6" s="57"/>
      <c r="C6" s="54"/>
      <c r="D6" s="54"/>
      <c r="E6" s="54"/>
      <c r="F6" s="55"/>
      <c r="G6" s="29"/>
      <c r="H6" s="58" t="s">
        <v>200</v>
      </c>
      <c r="I6" s="55"/>
    </row>
    <row r="7" spans="1:9" s="44" customFormat="1" x14ac:dyDescent="0.25">
      <c r="A7" s="53"/>
      <c r="B7" s="57"/>
      <c r="C7" s="54"/>
      <c r="D7" s="54"/>
      <c r="E7" s="54"/>
      <c r="F7" s="55"/>
      <c r="G7" s="29"/>
      <c r="H7" s="58" t="s">
        <v>47</v>
      </c>
      <c r="I7" s="55"/>
    </row>
    <row r="8" spans="1:9" s="44" customFormat="1" x14ac:dyDescent="0.25">
      <c r="A8" s="53"/>
      <c r="B8" s="57"/>
      <c r="C8" s="54"/>
      <c r="D8" s="54"/>
      <c r="E8" s="54"/>
      <c r="F8" s="55"/>
      <c r="G8" s="60"/>
      <c r="H8" s="58" t="s">
        <v>506</v>
      </c>
      <c r="I8" s="55"/>
    </row>
    <row r="9" spans="1:9" s="44" customFormat="1" x14ac:dyDescent="0.25">
      <c r="A9" s="53"/>
      <c r="B9" s="57"/>
      <c r="C9" s="61"/>
      <c r="D9" s="61"/>
      <c r="E9" s="61"/>
      <c r="F9" s="62"/>
      <c r="G9" s="86"/>
      <c r="H9" s="63" t="s">
        <v>57</v>
      </c>
      <c r="I9" s="55" t="s">
        <v>505</v>
      </c>
    </row>
    <row r="10" spans="1:9" x14ac:dyDescent="0.25">
      <c r="B10" s="496" t="s">
        <v>0</v>
      </c>
      <c r="C10" s="22" t="s">
        <v>11</v>
      </c>
      <c r="D10" s="38" t="s">
        <v>12</v>
      </c>
      <c r="E10" s="28"/>
      <c r="F10" s="28" t="s">
        <v>14</v>
      </c>
      <c r="G10" s="29" t="s">
        <v>525</v>
      </c>
      <c r="H10" s="29"/>
      <c r="I10" s="1"/>
    </row>
    <row r="11" spans="1:9" x14ac:dyDescent="0.25">
      <c r="B11" s="496"/>
      <c r="C11" s="28" t="s">
        <v>13</v>
      </c>
      <c r="D11" s="28"/>
      <c r="E11" s="28"/>
      <c r="F11" s="28" t="s">
        <v>15</v>
      </c>
      <c r="G11" s="29" t="s">
        <v>525</v>
      </c>
      <c r="H11" s="29"/>
      <c r="I11" s="1"/>
    </row>
    <row r="12" spans="1:9" x14ac:dyDescent="0.25">
      <c r="B12" s="496"/>
      <c r="C12" s="1"/>
      <c r="D12" s="1"/>
      <c r="E12" s="1"/>
      <c r="F12" s="28" t="s">
        <v>16</v>
      </c>
      <c r="G12" s="29" t="s">
        <v>525</v>
      </c>
      <c r="H12" s="29"/>
      <c r="I12" s="1"/>
    </row>
    <row r="13" spans="1:9" ht="150" x14ac:dyDescent="0.25">
      <c r="A13" s="43"/>
      <c r="B13" s="496"/>
      <c r="C13" s="1"/>
      <c r="D13" s="1"/>
      <c r="E13" s="1"/>
      <c r="F13" s="32" t="s">
        <v>17</v>
      </c>
      <c r="G13" s="33" t="s">
        <v>470</v>
      </c>
      <c r="H13" s="33"/>
      <c r="I13" s="2"/>
    </row>
    <row r="14" spans="1:9" x14ac:dyDescent="0.25">
      <c r="A14" s="43"/>
      <c r="B14" s="496"/>
      <c r="C14" s="1"/>
      <c r="D14" s="1"/>
      <c r="E14" s="1"/>
      <c r="F14" s="28" t="s">
        <v>18</v>
      </c>
      <c r="G14" s="29" t="s">
        <v>32</v>
      </c>
      <c r="H14" s="29"/>
      <c r="I14" s="1"/>
    </row>
    <row r="15" spans="1:9" x14ac:dyDescent="0.25">
      <c r="A15" s="43"/>
      <c r="B15" s="496"/>
      <c r="C15" s="1"/>
      <c r="D15" s="1"/>
      <c r="E15" s="1"/>
      <c r="F15" s="28" t="s">
        <v>9</v>
      </c>
      <c r="G15" s="29" t="s">
        <v>2</v>
      </c>
      <c r="H15" s="29"/>
      <c r="I15" s="1"/>
    </row>
    <row r="16" spans="1:9" x14ac:dyDescent="0.25">
      <c r="A16" s="43"/>
      <c r="B16" s="496"/>
      <c r="C16" s="1"/>
      <c r="D16" s="1"/>
      <c r="E16" s="1"/>
      <c r="F16" s="28" t="s">
        <v>19</v>
      </c>
      <c r="G16" s="29" t="s">
        <v>33</v>
      </c>
      <c r="H16" s="29"/>
      <c r="I16" s="1"/>
    </row>
    <row r="17" spans="1:9" x14ac:dyDescent="0.25">
      <c r="A17" s="43"/>
      <c r="B17" s="496"/>
      <c r="C17" s="1"/>
      <c r="D17" s="1"/>
      <c r="E17" s="1"/>
      <c r="F17" s="28" t="s">
        <v>20</v>
      </c>
      <c r="G17" s="29" t="s">
        <v>525</v>
      </c>
      <c r="H17" s="29"/>
      <c r="I17" s="1"/>
    </row>
    <row r="18" spans="1:9" x14ac:dyDescent="0.25">
      <c r="A18" s="43"/>
      <c r="B18" s="496"/>
      <c r="C18" s="1"/>
      <c r="D18" s="1"/>
      <c r="E18" s="1"/>
      <c r="F18" s="22" t="s">
        <v>21</v>
      </c>
      <c r="G18" s="30" t="s">
        <v>12</v>
      </c>
      <c r="H18" s="48"/>
      <c r="I18" s="1"/>
    </row>
    <row r="19" spans="1:9" x14ac:dyDescent="0.25">
      <c r="A19" s="43"/>
      <c r="B19" s="496"/>
      <c r="C19" s="1"/>
      <c r="D19" s="1"/>
      <c r="E19" s="1"/>
      <c r="F19" s="31" t="s">
        <v>36</v>
      </c>
      <c r="G19" s="34" t="s">
        <v>39</v>
      </c>
      <c r="H19" s="49"/>
      <c r="I19" s="1"/>
    </row>
    <row r="20" spans="1:9" ht="60" x14ac:dyDescent="0.25">
      <c r="A20" s="43"/>
      <c r="B20" s="496"/>
      <c r="C20" s="1"/>
      <c r="D20" s="1"/>
      <c r="E20" s="1"/>
      <c r="F20" s="31" t="s">
        <v>22</v>
      </c>
      <c r="G20" s="33" t="s">
        <v>468</v>
      </c>
      <c r="H20" s="37"/>
      <c r="I20" s="1"/>
    </row>
    <row r="21" spans="1:9" x14ac:dyDescent="0.25">
      <c r="A21" s="43"/>
      <c r="B21" s="496"/>
      <c r="C21" s="1"/>
      <c r="D21" s="1"/>
      <c r="E21" s="1"/>
      <c r="F21" s="28" t="s">
        <v>23</v>
      </c>
      <c r="G21" s="29" t="s">
        <v>37</v>
      </c>
      <c r="H21" s="29"/>
      <c r="I21" s="1"/>
    </row>
    <row r="22" spans="1:9" x14ac:dyDescent="0.25">
      <c r="A22" s="43"/>
      <c r="B22" s="496"/>
      <c r="C22" s="1"/>
      <c r="D22" s="1"/>
      <c r="E22" s="1"/>
      <c r="F22" s="28" t="s">
        <v>24</v>
      </c>
      <c r="G22" s="29" t="s">
        <v>525</v>
      </c>
      <c r="H22" s="29"/>
      <c r="I22" s="1"/>
    </row>
    <row r="23" spans="1:9" x14ac:dyDescent="0.25">
      <c r="A23" s="43"/>
      <c r="B23" s="496"/>
      <c r="C23" s="1"/>
      <c r="D23" s="1"/>
      <c r="E23" s="1"/>
      <c r="F23" s="28" t="s">
        <v>26</v>
      </c>
      <c r="G23" s="29" t="s">
        <v>525</v>
      </c>
      <c r="H23" s="29"/>
      <c r="I23" s="1"/>
    </row>
    <row r="24" spans="1:9" ht="75" x14ac:dyDescent="0.25">
      <c r="A24" s="43"/>
      <c r="B24" s="496"/>
      <c r="C24" s="1"/>
      <c r="D24" s="1"/>
      <c r="E24" s="1"/>
      <c r="F24" s="32" t="s">
        <v>25</v>
      </c>
      <c r="G24" s="33" t="s">
        <v>471</v>
      </c>
      <c r="H24" s="33"/>
      <c r="I24" s="1"/>
    </row>
    <row r="25" spans="1:9" x14ac:dyDescent="0.25">
      <c r="A25" s="43"/>
      <c r="B25" s="496"/>
      <c r="C25" s="1"/>
      <c r="D25" s="1"/>
      <c r="E25" s="1"/>
      <c r="F25" s="28" t="s">
        <v>27</v>
      </c>
      <c r="G25" s="29" t="s">
        <v>34</v>
      </c>
      <c r="H25" s="29"/>
      <c r="I25" s="1"/>
    </row>
    <row r="26" spans="1:9" ht="75" x14ac:dyDescent="0.25">
      <c r="A26" s="43"/>
      <c r="B26" s="496"/>
      <c r="C26" s="1"/>
      <c r="D26" s="1"/>
      <c r="E26" s="1"/>
      <c r="F26" s="32" t="s">
        <v>28</v>
      </c>
      <c r="G26" s="33" t="s">
        <v>469</v>
      </c>
      <c r="H26" s="33"/>
      <c r="I26" s="1"/>
    </row>
    <row r="27" spans="1:9" ht="60" x14ac:dyDescent="0.25">
      <c r="A27" s="43"/>
      <c r="B27" s="496"/>
      <c r="C27" s="1"/>
      <c r="D27" s="1"/>
      <c r="E27" s="1"/>
      <c r="F27" s="28" t="s">
        <v>29</v>
      </c>
      <c r="G27" s="70" t="s">
        <v>416</v>
      </c>
      <c r="H27" s="29"/>
      <c r="I27" s="71" t="s">
        <v>474</v>
      </c>
    </row>
    <row r="28" spans="1:9" x14ac:dyDescent="0.25">
      <c r="A28" s="43"/>
      <c r="B28" s="496"/>
      <c r="C28" s="22" t="s">
        <v>11</v>
      </c>
      <c r="D28" s="84" t="s">
        <v>40</v>
      </c>
      <c r="E28" s="73"/>
      <c r="F28" s="73" t="s">
        <v>14</v>
      </c>
      <c r="G28" s="74" t="s">
        <v>525</v>
      </c>
      <c r="H28" s="74"/>
      <c r="I28" s="1"/>
    </row>
    <row r="29" spans="1:9" x14ac:dyDescent="0.25">
      <c r="A29" s="43"/>
      <c r="B29" s="496"/>
      <c r="C29" s="28" t="s">
        <v>13</v>
      </c>
      <c r="D29" s="28"/>
      <c r="E29" s="28"/>
      <c r="F29" s="28" t="s">
        <v>15</v>
      </c>
      <c r="G29" s="29" t="s">
        <v>525</v>
      </c>
      <c r="H29" s="29"/>
      <c r="I29" s="1"/>
    </row>
    <row r="30" spans="1:9" x14ac:dyDescent="0.25">
      <c r="A30" s="43"/>
      <c r="B30" s="496"/>
      <c r="C30" s="1"/>
      <c r="D30" s="1"/>
      <c r="E30" s="1"/>
      <c r="F30" s="28" t="s">
        <v>16</v>
      </c>
      <c r="G30" s="29" t="s">
        <v>525</v>
      </c>
      <c r="H30" s="29"/>
      <c r="I30" s="1"/>
    </row>
    <row r="31" spans="1:9" ht="150" x14ac:dyDescent="0.25">
      <c r="A31" s="43"/>
      <c r="B31" s="496"/>
      <c r="C31" s="1"/>
      <c r="D31" s="1"/>
      <c r="E31" s="1"/>
      <c r="F31" s="32" t="s">
        <v>17</v>
      </c>
      <c r="G31" s="33" t="s">
        <v>470</v>
      </c>
      <c r="H31" s="33"/>
      <c r="I31" s="2"/>
    </row>
    <row r="32" spans="1:9" x14ac:dyDescent="0.25">
      <c r="A32" s="43"/>
      <c r="B32" s="496"/>
      <c r="C32" s="1"/>
      <c r="D32" s="1"/>
      <c r="E32" s="1"/>
      <c r="F32" s="28" t="s">
        <v>18</v>
      </c>
      <c r="G32" s="29" t="s">
        <v>32</v>
      </c>
      <c r="H32" s="29"/>
      <c r="I32" s="1"/>
    </row>
    <row r="33" spans="1:9" x14ac:dyDescent="0.25">
      <c r="A33" s="43"/>
      <c r="B33" s="496"/>
      <c r="C33" s="1"/>
      <c r="D33" s="1"/>
      <c r="E33" s="1"/>
      <c r="F33" s="28" t="s">
        <v>9</v>
      </c>
      <c r="G33" s="29" t="s">
        <v>2</v>
      </c>
      <c r="H33" s="29"/>
      <c r="I33" s="1"/>
    </row>
    <row r="34" spans="1:9" x14ac:dyDescent="0.25">
      <c r="A34" s="43"/>
      <c r="B34" s="496"/>
      <c r="C34" s="1"/>
      <c r="D34" s="1"/>
      <c r="E34" s="1"/>
      <c r="F34" s="28" t="s">
        <v>19</v>
      </c>
      <c r="G34" s="29" t="s">
        <v>33</v>
      </c>
      <c r="H34" s="29"/>
      <c r="I34" s="1"/>
    </row>
    <row r="35" spans="1:9" x14ac:dyDescent="0.25">
      <c r="A35" s="43"/>
      <c r="B35" s="496"/>
      <c r="C35" s="1"/>
      <c r="D35" s="1"/>
      <c r="E35" s="1"/>
      <c r="F35" s="28" t="s">
        <v>20</v>
      </c>
      <c r="G35" s="29" t="s">
        <v>525</v>
      </c>
      <c r="H35" s="29"/>
      <c r="I35" s="1"/>
    </row>
    <row r="36" spans="1:9" x14ac:dyDescent="0.25">
      <c r="A36" s="43"/>
      <c r="B36" s="496"/>
      <c r="C36" s="1"/>
      <c r="D36" s="1"/>
      <c r="E36" s="1"/>
      <c r="F36" s="22" t="s">
        <v>21</v>
      </c>
      <c r="G36" s="30" t="s">
        <v>40</v>
      </c>
      <c r="H36" s="48"/>
      <c r="I36" s="1"/>
    </row>
    <row r="37" spans="1:9" x14ac:dyDescent="0.25">
      <c r="A37" s="43"/>
      <c r="B37" s="496"/>
      <c r="C37" s="1"/>
      <c r="D37" s="1"/>
      <c r="E37" s="1"/>
      <c r="F37" s="31" t="s">
        <v>36</v>
      </c>
      <c r="G37" s="34" t="s">
        <v>39</v>
      </c>
      <c r="H37" s="49"/>
      <c r="I37" s="1"/>
    </row>
    <row r="38" spans="1:9" ht="60" x14ac:dyDescent="0.25">
      <c r="A38" s="43"/>
      <c r="B38" s="496"/>
      <c r="C38" s="1"/>
      <c r="D38" s="1"/>
      <c r="E38" s="1"/>
      <c r="F38" s="31" t="s">
        <v>22</v>
      </c>
      <c r="G38" s="33" t="s">
        <v>468</v>
      </c>
      <c r="H38" s="33"/>
      <c r="I38" s="1"/>
    </row>
    <row r="39" spans="1:9" x14ac:dyDescent="0.25">
      <c r="A39" s="43"/>
      <c r="B39" s="496"/>
      <c r="C39" s="1"/>
      <c r="D39" s="1"/>
      <c r="E39" s="1"/>
      <c r="F39" s="28" t="s">
        <v>23</v>
      </c>
      <c r="G39" s="29" t="s">
        <v>37</v>
      </c>
      <c r="H39" s="29"/>
      <c r="I39" s="1"/>
    </row>
    <row r="40" spans="1:9" x14ac:dyDescent="0.25">
      <c r="A40" s="43"/>
      <c r="B40" s="496"/>
      <c r="C40" s="1"/>
      <c r="D40" s="1"/>
      <c r="E40" s="1"/>
      <c r="F40" s="28" t="s">
        <v>24</v>
      </c>
      <c r="G40" s="29" t="s">
        <v>525</v>
      </c>
      <c r="H40" s="29"/>
      <c r="I40" s="1"/>
    </row>
    <row r="41" spans="1:9" x14ac:dyDescent="0.25">
      <c r="A41" s="43"/>
      <c r="B41" s="496"/>
      <c r="C41" s="1"/>
      <c r="D41" s="1"/>
      <c r="E41" s="1"/>
      <c r="F41" s="28" t="s">
        <v>26</v>
      </c>
      <c r="G41" s="29" t="s">
        <v>525</v>
      </c>
      <c r="H41" s="29"/>
      <c r="I41" s="1"/>
    </row>
    <row r="42" spans="1:9" ht="75" x14ac:dyDescent="0.25">
      <c r="A42" s="43"/>
      <c r="B42" s="496"/>
      <c r="C42" s="1"/>
      <c r="D42" s="1"/>
      <c r="E42" s="1"/>
      <c r="F42" s="32" t="s">
        <v>25</v>
      </c>
      <c r="G42" s="33" t="s">
        <v>471</v>
      </c>
      <c r="H42" s="33"/>
      <c r="I42" s="1"/>
    </row>
    <row r="43" spans="1:9" x14ac:dyDescent="0.25">
      <c r="A43" s="43"/>
      <c r="B43" s="496"/>
      <c r="C43" s="1"/>
      <c r="D43" s="1"/>
      <c r="E43" s="1"/>
      <c r="F43" s="28" t="s">
        <v>27</v>
      </c>
      <c r="G43" s="29" t="s">
        <v>34</v>
      </c>
      <c r="H43" s="29"/>
      <c r="I43" s="1"/>
    </row>
    <row r="44" spans="1:9" ht="75" x14ac:dyDescent="0.25">
      <c r="A44" s="43"/>
      <c r="B44" s="496"/>
      <c r="C44" s="1"/>
      <c r="D44" s="1"/>
      <c r="E44" s="1"/>
      <c r="F44" s="32" t="s">
        <v>28</v>
      </c>
      <c r="G44" s="33" t="s">
        <v>472</v>
      </c>
      <c r="H44" s="33"/>
      <c r="I44" s="1"/>
    </row>
    <row r="45" spans="1:9" ht="59.25" customHeight="1" x14ac:dyDescent="0.25">
      <c r="A45" s="43"/>
      <c r="B45" s="496"/>
      <c r="C45" s="1"/>
      <c r="D45" s="1"/>
      <c r="E45" s="1"/>
      <c r="F45" s="28" t="s">
        <v>29</v>
      </c>
      <c r="G45" s="70" t="s">
        <v>416</v>
      </c>
      <c r="H45" s="29"/>
      <c r="I45" s="71" t="s">
        <v>473</v>
      </c>
    </row>
    <row r="46" spans="1:9" x14ac:dyDescent="0.25">
      <c r="A46" s="43"/>
      <c r="B46" s="496"/>
      <c r="C46" s="22" t="s">
        <v>11</v>
      </c>
      <c r="D46" s="72" t="s">
        <v>42</v>
      </c>
      <c r="E46" s="73"/>
      <c r="F46" s="73" t="s">
        <v>14</v>
      </c>
      <c r="G46" s="74" t="s">
        <v>525</v>
      </c>
      <c r="H46" s="74"/>
      <c r="I46" s="1"/>
    </row>
    <row r="47" spans="1:9" x14ac:dyDescent="0.25">
      <c r="A47" s="43"/>
      <c r="B47" s="496"/>
      <c r="C47" s="28" t="s">
        <v>13</v>
      </c>
      <c r="D47" s="28"/>
      <c r="E47" s="28"/>
      <c r="F47" s="28" t="s">
        <v>15</v>
      </c>
      <c r="G47" s="29" t="s">
        <v>525</v>
      </c>
      <c r="H47" s="29"/>
      <c r="I47" s="1"/>
    </row>
    <row r="48" spans="1:9" x14ac:dyDescent="0.25">
      <c r="A48" s="43"/>
      <c r="B48" s="496"/>
      <c r="C48" s="1"/>
      <c r="D48" s="1"/>
      <c r="E48" s="1"/>
      <c r="F48" s="28" t="s">
        <v>16</v>
      </c>
      <c r="G48" s="29" t="s">
        <v>525</v>
      </c>
      <c r="H48" s="29"/>
      <c r="I48" s="1"/>
    </row>
    <row r="49" spans="1:9" ht="150" x14ac:dyDescent="0.25">
      <c r="A49" s="43"/>
      <c r="B49" s="496"/>
      <c r="C49" s="1"/>
      <c r="D49" s="1"/>
      <c r="E49" s="1"/>
      <c r="F49" s="32" t="s">
        <v>17</v>
      </c>
      <c r="G49" s="33" t="s">
        <v>470</v>
      </c>
      <c r="H49" s="33"/>
      <c r="I49" s="2"/>
    </row>
    <row r="50" spans="1:9" x14ac:dyDescent="0.25">
      <c r="A50" s="43"/>
      <c r="B50" s="496"/>
      <c r="C50" s="1"/>
      <c r="D50" s="1"/>
      <c r="E50" s="1"/>
      <c r="F50" s="28" t="s">
        <v>18</v>
      </c>
      <c r="G50" s="29" t="s">
        <v>32</v>
      </c>
      <c r="H50" s="29"/>
      <c r="I50" s="1"/>
    </row>
    <row r="51" spans="1:9" x14ac:dyDescent="0.25">
      <c r="A51" s="43"/>
      <c r="B51" s="496"/>
      <c r="C51" s="1"/>
      <c r="D51" s="1"/>
      <c r="E51" s="1"/>
      <c r="F51" s="28" t="s">
        <v>9</v>
      </c>
      <c r="G51" s="29" t="s">
        <v>2</v>
      </c>
      <c r="H51" s="29"/>
      <c r="I51" s="1"/>
    </row>
    <row r="52" spans="1:9" x14ac:dyDescent="0.25">
      <c r="A52" s="43"/>
      <c r="B52" s="496"/>
      <c r="C52" s="1"/>
      <c r="D52" s="1"/>
      <c r="E52" s="1"/>
      <c r="F52" s="28" t="s">
        <v>19</v>
      </c>
      <c r="G52" s="29" t="s">
        <v>33</v>
      </c>
      <c r="H52" s="29"/>
      <c r="I52" s="1"/>
    </row>
    <row r="53" spans="1:9" x14ac:dyDescent="0.25">
      <c r="A53" s="43"/>
      <c r="B53" s="496"/>
      <c r="C53" s="1"/>
      <c r="D53" s="1"/>
      <c r="E53" s="1"/>
      <c r="F53" s="28" t="s">
        <v>20</v>
      </c>
      <c r="G53" s="29" t="s">
        <v>525</v>
      </c>
      <c r="H53" s="29"/>
      <c r="I53" s="1"/>
    </row>
    <row r="54" spans="1:9" x14ac:dyDescent="0.25">
      <c r="A54" s="43"/>
      <c r="B54" s="496"/>
      <c r="C54" s="1"/>
      <c r="D54" s="1"/>
      <c r="E54" s="1"/>
      <c r="F54" s="22" t="s">
        <v>21</v>
      </c>
      <c r="G54" s="30" t="s">
        <v>41</v>
      </c>
      <c r="H54" s="48"/>
      <c r="I54" s="1"/>
    </row>
    <row r="55" spans="1:9" x14ac:dyDescent="0.25">
      <c r="A55" s="43"/>
      <c r="B55" s="496"/>
      <c r="C55" s="1"/>
      <c r="D55" s="1"/>
      <c r="E55" s="1"/>
      <c r="F55" s="31" t="s">
        <v>36</v>
      </c>
      <c r="G55" s="34" t="s">
        <v>39</v>
      </c>
      <c r="H55" s="49"/>
      <c r="I55" s="1"/>
    </row>
    <row r="56" spans="1:9" ht="60" x14ac:dyDescent="0.25">
      <c r="A56" s="43"/>
      <c r="B56" s="496"/>
      <c r="C56" s="1"/>
      <c r="D56" s="1"/>
      <c r="E56" s="1"/>
      <c r="F56" s="31" t="s">
        <v>22</v>
      </c>
      <c r="G56" s="33" t="s">
        <v>468</v>
      </c>
      <c r="H56" s="33"/>
      <c r="I56" s="1"/>
    </row>
    <row r="57" spans="1:9" x14ac:dyDescent="0.25">
      <c r="A57" s="43"/>
      <c r="B57" s="496"/>
      <c r="C57" s="1"/>
      <c r="D57" s="1"/>
      <c r="E57" s="1"/>
      <c r="F57" s="28" t="s">
        <v>23</v>
      </c>
      <c r="G57" s="29" t="s">
        <v>37</v>
      </c>
      <c r="H57" s="29"/>
      <c r="I57" s="1"/>
    </row>
    <row r="58" spans="1:9" x14ac:dyDescent="0.25">
      <c r="A58" s="43"/>
      <c r="B58" s="496"/>
      <c r="C58" s="1"/>
      <c r="D58" s="1"/>
      <c r="E58" s="1"/>
      <c r="F58" s="28" t="s">
        <v>24</v>
      </c>
      <c r="G58" s="29" t="s">
        <v>525</v>
      </c>
      <c r="H58" s="29"/>
      <c r="I58" s="1"/>
    </row>
    <row r="59" spans="1:9" x14ac:dyDescent="0.25">
      <c r="A59" s="43"/>
      <c r="B59" s="496"/>
      <c r="C59" s="1"/>
      <c r="D59" s="1"/>
      <c r="E59" s="1"/>
      <c r="F59" s="28" t="s">
        <v>26</v>
      </c>
      <c r="G59" s="29" t="s">
        <v>525</v>
      </c>
      <c r="H59" s="29"/>
      <c r="I59" s="1"/>
    </row>
    <row r="60" spans="1:9" ht="75" x14ac:dyDescent="0.25">
      <c r="A60" s="43"/>
      <c r="B60" s="496"/>
      <c r="C60" s="1"/>
      <c r="D60" s="1"/>
      <c r="E60" s="1"/>
      <c r="F60" s="32" t="s">
        <v>25</v>
      </c>
      <c r="G60" s="33" t="s">
        <v>471</v>
      </c>
      <c r="H60" s="33"/>
      <c r="I60" s="1"/>
    </row>
    <row r="61" spans="1:9" x14ac:dyDescent="0.25">
      <c r="A61" s="43"/>
      <c r="B61" s="496"/>
      <c r="C61" s="1"/>
      <c r="D61" s="1"/>
      <c r="E61" s="1"/>
      <c r="F61" s="28" t="s">
        <v>27</v>
      </c>
      <c r="G61" s="29" t="s">
        <v>34</v>
      </c>
      <c r="H61" s="29"/>
      <c r="I61" s="1"/>
    </row>
    <row r="62" spans="1:9" ht="75" x14ac:dyDescent="0.25">
      <c r="A62" s="43"/>
      <c r="B62" s="496"/>
      <c r="C62" s="1"/>
      <c r="D62" s="1"/>
      <c r="E62" s="1"/>
      <c r="F62" s="32" t="s">
        <v>28</v>
      </c>
      <c r="G62" s="33" t="s">
        <v>472</v>
      </c>
      <c r="H62" s="33"/>
      <c r="I62" s="1"/>
    </row>
    <row r="63" spans="1:9" ht="60" customHeight="1" x14ac:dyDescent="0.25">
      <c r="A63" s="43"/>
      <c r="B63" s="496"/>
      <c r="C63" s="1"/>
      <c r="D63" s="1"/>
      <c r="E63" s="1"/>
      <c r="F63" s="32" t="s">
        <v>29</v>
      </c>
      <c r="G63" s="70" t="s">
        <v>416</v>
      </c>
      <c r="H63" s="29"/>
      <c r="I63" s="71" t="s">
        <v>477</v>
      </c>
    </row>
    <row r="64" spans="1:9" x14ac:dyDescent="0.25">
      <c r="A64" s="43"/>
      <c r="B64" s="496"/>
      <c r="C64" s="22" t="s">
        <v>11</v>
      </c>
      <c r="D64" s="84" t="s">
        <v>43</v>
      </c>
      <c r="E64" s="73"/>
      <c r="F64" s="73" t="s">
        <v>14</v>
      </c>
      <c r="G64" s="74" t="s">
        <v>525</v>
      </c>
      <c r="H64" s="74"/>
      <c r="I64" s="1"/>
    </row>
    <row r="65" spans="1:9" x14ac:dyDescent="0.25">
      <c r="A65" s="43"/>
      <c r="B65" s="496"/>
      <c r="C65" s="28" t="s">
        <v>13</v>
      </c>
      <c r="D65" s="28"/>
      <c r="E65" s="28"/>
      <c r="F65" s="28" t="s">
        <v>15</v>
      </c>
      <c r="G65" s="29" t="s">
        <v>525</v>
      </c>
      <c r="H65" s="29"/>
      <c r="I65" s="1"/>
    </row>
    <row r="66" spans="1:9" x14ac:dyDescent="0.25">
      <c r="A66" s="43"/>
      <c r="B66" s="496"/>
      <c r="C66" s="1"/>
      <c r="D66" s="1"/>
      <c r="E66" s="1"/>
      <c r="F66" s="28" t="s">
        <v>16</v>
      </c>
      <c r="G66" s="29" t="s">
        <v>525</v>
      </c>
      <c r="H66" s="29"/>
      <c r="I66" s="1"/>
    </row>
    <row r="67" spans="1:9" ht="150" x14ac:dyDescent="0.25">
      <c r="A67" s="43"/>
      <c r="B67" s="496"/>
      <c r="C67" s="1"/>
      <c r="D67" s="1"/>
      <c r="E67" s="1"/>
      <c r="F67" s="32" t="s">
        <v>17</v>
      </c>
      <c r="G67" s="33" t="s">
        <v>470</v>
      </c>
      <c r="H67" s="33"/>
      <c r="I67" s="2"/>
    </row>
    <row r="68" spans="1:9" x14ac:dyDescent="0.25">
      <c r="A68" s="43"/>
      <c r="B68" s="496"/>
      <c r="C68" s="1"/>
      <c r="D68" s="1"/>
      <c r="E68" s="1"/>
      <c r="F68" s="28" t="s">
        <v>18</v>
      </c>
      <c r="G68" s="29" t="s">
        <v>32</v>
      </c>
      <c r="H68" s="29"/>
      <c r="I68" s="1"/>
    </row>
    <row r="69" spans="1:9" x14ac:dyDescent="0.25">
      <c r="A69" s="43"/>
      <c r="B69" s="496"/>
      <c r="C69" s="1"/>
      <c r="D69" s="1"/>
      <c r="E69" s="1"/>
      <c r="F69" s="28" t="s">
        <v>9</v>
      </c>
      <c r="G69" s="29" t="s">
        <v>2</v>
      </c>
      <c r="H69" s="29"/>
      <c r="I69" s="1"/>
    </row>
    <row r="70" spans="1:9" x14ac:dyDescent="0.25">
      <c r="A70" s="43"/>
      <c r="B70" s="496"/>
      <c r="C70" s="1"/>
      <c r="D70" s="1"/>
      <c r="E70" s="1"/>
      <c r="F70" s="28" t="s">
        <v>19</v>
      </c>
      <c r="G70" s="29" t="s">
        <v>33</v>
      </c>
      <c r="H70" s="29"/>
      <c r="I70" s="1"/>
    </row>
    <row r="71" spans="1:9" x14ac:dyDescent="0.25">
      <c r="A71" s="43"/>
      <c r="B71" s="496"/>
      <c r="C71" s="1"/>
      <c r="D71" s="1"/>
      <c r="E71" s="1"/>
      <c r="F71" s="28" t="s">
        <v>20</v>
      </c>
      <c r="G71" s="29" t="s">
        <v>525</v>
      </c>
      <c r="H71" s="29"/>
      <c r="I71" s="1"/>
    </row>
    <row r="72" spans="1:9" x14ac:dyDescent="0.25">
      <c r="A72" s="43"/>
      <c r="B72" s="496"/>
      <c r="C72" s="1"/>
      <c r="D72" s="1"/>
      <c r="E72" s="1"/>
      <c r="F72" s="22" t="s">
        <v>21</v>
      </c>
      <c r="G72" s="30" t="s">
        <v>44</v>
      </c>
      <c r="H72" s="48"/>
      <c r="I72" s="1"/>
    </row>
    <row r="73" spans="1:9" x14ac:dyDescent="0.25">
      <c r="A73" s="43"/>
      <c r="B73" s="496"/>
      <c r="C73" s="1"/>
      <c r="D73" s="1"/>
      <c r="E73" s="1"/>
      <c r="F73" s="31" t="s">
        <v>36</v>
      </c>
      <c r="G73" s="34" t="s">
        <v>39</v>
      </c>
      <c r="H73" s="49"/>
      <c r="I73" s="1"/>
    </row>
    <row r="74" spans="1:9" ht="60" x14ac:dyDescent="0.25">
      <c r="A74" s="43"/>
      <c r="B74" s="496"/>
      <c r="C74" s="1"/>
      <c r="D74" s="1"/>
      <c r="E74" s="1"/>
      <c r="F74" s="31" t="s">
        <v>22</v>
      </c>
      <c r="G74" s="33" t="s">
        <v>468</v>
      </c>
      <c r="H74" s="33"/>
      <c r="I74" s="1"/>
    </row>
    <row r="75" spans="1:9" x14ac:dyDescent="0.25">
      <c r="A75" s="43"/>
      <c r="B75" s="496"/>
      <c r="C75" s="1"/>
      <c r="D75" s="1"/>
      <c r="E75" s="1"/>
      <c r="F75" s="28" t="s">
        <v>23</v>
      </c>
      <c r="G75" s="29" t="s">
        <v>37</v>
      </c>
      <c r="H75" s="29"/>
      <c r="I75" s="1"/>
    </row>
    <row r="76" spans="1:9" x14ac:dyDescent="0.25">
      <c r="A76" s="43"/>
      <c r="B76" s="496"/>
      <c r="C76" s="1"/>
      <c r="D76" s="1"/>
      <c r="E76" s="1"/>
      <c r="F76" s="28" t="s">
        <v>24</v>
      </c>
      <c r="G76" s="29" t="s">
        <v>525</v>
      </c>
      <c r="H76" s="29"/>
      <c r="I76" s="1"/>
    </row>
    <row r="77" spans="1:9" x14ac:dyDescent="0.25">
      <c r="A77" s="43"/>
      <c r="B77" s="496"/>
      <c r="C77" s="1"/>
      <c r="D77" s="1"/>
      <c r="E77" s="1"/>
      <c r="F77" s="28" t="s">
        <v>26</v>
      </c>
      <c r="G77" s="29" t="s">
        <v>525</v>
      </c>
      <c r="H77" s="29"/>
      <c r="I77" s="1"/>
    </row>
    <row r="78" spans="1:9" ht="75" x14ac:dyDescent="0.25">
      <c r="A78" s="43"/>
      <c r="B78" s="496"/>
      <c r="C78" s="1"/>
      <c r="D78" s="1"/>
      <c r="E78" s="1"/>
      <c r="F78" s="32" t="s">
        <v>25</v>
      </c>
      <c r="G78" s="33" t="s">
        <v>471</v>
      </c>
      <c r="H78" s="33"/>
      <c r="I78" s="1"/>
    </row>
    <row r="79" spans="1:9" x14ac:dyDescent="0.25">
      <c r="A79" s="43"/>
      <c r="B79" s="496"/>
      <c r="C79" s="1"/>
      <c r="D79" s="1"/>
      <c r="E79" s="1"/>
      <c r="F79" s="28" t="s">
        <v>27</v>
      </c>
      <c r="G79" s="29" t="s">
        <v>34</v>
      </c>
      <c r="H79" s="29"/>
      <c r="I79" s="1"/>
    </row>
    <row r="80" spans="1:9" ht="75" x14ac:dyDescent="0.25">
      <c r="A80" s="43"/>
      <c r="B80" s="496"/>
      <c r="C80" s="1"/>
      <c r="D80" s="1"/>
      <c r="E80" s="1"/>
      <c r="F80" s="32" t="s">
        <v>28</v>
      </c>
      <c r="G80" s="33" t="s">
        <v>472</v>
      </c>
      <c r="H80" s="33"/>
      <c r="I80" s="1"/>
    </row>
    <row r="81" spans="1:9" ht="60.75" customHeight="1" x14ac:dyDescent="0.25">
      <c r="A81" s="43"/>
      <c r="B81" s="496"/>
      <c r="C81" s="1"/>
      <c r="D81" s="1"/>
      <c r="E81" s="1"/>
      <c r="F81" s="32" t="s">
        <v>29</v>
      </c>
      <c r="G81" s="70" t="s">
        <v>416</v>
      </c>
      <c r="H81" s="29"/>
      <c r="I81" s="71" t="s">
        <v>478</v>
      </c>
    </row>
    <row r="82" spans="1:9" ht="14.25" customHeight="1" x14ac:dyDescent="0.25">
      <c r="A82" s="43"/>
      <c r="B82" s="496"/>
      <c r="C82" s="80" t="s">
        <v>11</v>
      </c>
      <c r="D82" s="84" t="s">
        <v>45</v>
      </c>
      <c r="E82" s="73"/>
      <c r="F82" s="73" t="s">
        <v>14</v>
      </c>
      <c r="G82" s="74" t="s">
        <v>525</v>
      </c>
      <c r="H82" s="76"/>
      <c r="I82" s="1"/>
    </row>
    <row r="83" spans="1:9" ht="14.25" customHeight="1" x14ac:dyDescent="0.25">
      <c r="A83" s="43"/>
      <c r="B83" s="496"/>
      <c r="C83" s="28" t="s">
        <v>13</v>
      </c>
      <c r="D83" s="28"/>
      <c r="E83" s="81"/>
      <c r="F83" s="28" t="s">
        <v>15</v>
      </c>
      <c r="G83" s="29" t="s">
        <v>525</v>
      </c>
      <c r="H83" s="82"/>
      <c r="I83" s="1"/>
    </row>
    <row r="84" spans="1:9" ht="14.25" customHeight="1" x14ac:dyDescent="0.25">
      <c r="A84" s="43"/>
      <c r="B84" s="496"/>
      <c r="C84" s="88"/>
      <c r="D84" s="80"/>
      <c r="E84" s="81"/>
      <c r="F84" s="28" t="s">
        <v>16</v>
      </c>
      <c r="G84" s="29" t="s">
        <v>525</v>
      </c>
      <c r="H84" s="82"/>
      <c r="I84" s="1"/>
    </row>
    <row r="85" spans="1:9" ht="150" x14ac:dyDescent="0.25">
      <c r="A85" s="43"/>
      <c r="B85" s="496"/>
      <c r="C85" s="88"/>
      <c r="D85" s="80"/>
      <c r="E85" s="81"/>
      <c r="F85" s="32" t="s">
        <v>17</v>
      </c>
      <c r="G85" s="33" t="s">
        <v>470</v>
      </c>
      <c r="H85" s="82"/>
      <c r="I85" s="1"/>
    </row>
    <row r="86" spans="1:9" ht="14.25" customHeight="1" x14ac:dyDescent="0.25">
      <c r="A86" s="43"/>
      <c r="B86" s="496"/>
      <c r="C86" s="88"/>
      <c r="D86" s="80"/>
      <c r="E86" s="81"/>
      <c r="F86" s="28" t="s">
        <v>18</v>
      </c>
      <c r="G86" s="29" t="s">
        <v>32</v>
      </c>
      <c r="H86" s="82"/>
      <c r="I86" s="1"/>
    </row>
    <row r="87" spans="1:9" ht="14.25" customHeight="1" x14ac:dyDescent="0.25">
      <c r="A87" s="43"/>
      <c r="B87" s="496"/>
      <c r="C87" s="88"/>
      <c r="D87" s="80"/>
      <c r="E87" s="81"/>
      <c r="F87" s="28" t="s">
        <v>9</v>
      </c>
      <c r="G87" s="29" t="s">
        <v>2</v>
      </c>
      <c r="H87" s="82"/>
      <c r="I87" s="1"/>
    </row>
    <row r="88" spans="1:9" ht="14.25" customHeight="1" x14ac:dyDescent="0.25">
      <c r="A88" s="43"/>
      <c r="B88" s="496"/>
      <c r="C88" s="88"/>
      <c r="D88" s="80"/>
      <c r="E88" s="81"/>
      <c r="F88" s="28" t="s">
        <v>19</v>
      </c>
      <c r="G88" s="29" t="s">
        <v>33</v>
      </c>
      <c r="H88" s="82"/>
      <c r="I88" s="1"/>
    </row>
    <row r="89" spans="1:9" ht="14.25" customHeight="1" x14ac:dyDescent="0.25">
      <c r="A89" s="43"/>
      <c r="B89" s="496"/>
      <c r="C89" s="88"/>
      <c r="D89" s="80"/>
      <c r="E89" s="81"/>
      <c r="F89" s="28" t="s">
        <v>20</v>
      </c>
      <c r="G89" s="29" t="s">
        <v>525</v>
      </c>
      <c r="H89" s="82"/>
      <c r="I89" s="1"/>
    </row>
    <row r="90" spans="1:9" ht="14.25" customHeight="1" x14ac:dyDescent="0.25">
      <c r="A90" s="43"/>
      <c r="B90" s="496"/>
      <c r="C90" s="88"/>
      <c r="D90" s="80"/>
      <c r="E90" s="81"/>
      <c r="F90" s="22" t="s">
        <v>21</v>
      </c>
      <c r="G90" s="30" t="s">
        <v>479</v>
      </c>
      <c r="H90" s="82"/>
      <c r="I90" s="1"/>
    </row>
    <row r="91" spans="1:9" ht="14.25" customHeight="1" x14ac:dyDescent="0.25">
      <c r="A91" s="43"/>
      <c r="B91" s="496"/>
      <c r="C91" s="88"/>
      <c r="D91" s="80"/>
      <c r="E91" s="81"/>
      <c r="F91" s="31" t="s">
        <v>36</v>
      </c>
      <c r="G91" s="34" t="s">
        <v>39</v>
      </c>
      <c r="H91" s="82"/>
      <c r="I91" s="1"/>
    </row>
    <row r="92" spans="1:9" ht="60" x14ac:dyDescent="0.25">
      <c r="A92" s="43"/>
      <c r="B92" s="496"/>
      <c r="C92" s="88"/>
      <c r="D92" s="80"/>
      <c r="E92" s="81"/>
      <c r="F92" s="31" t="s">
        <v>22</v>
      </c>
      <c r="G92" s="33" t="s">
        <v>468</v>
      </c>
      <c r="H92" s="82"/>
      <c r="I92" s="1"/>
    </row>
    <row r="93" spans="1:9" x14ac:dyDescent="0.25">
      <c r="A93" s="43"/>
      <c r="B93" s="496"/>
      <c r="C93" s="88"/>
      <c r="D93" s="80"/>
      <c r="E93" s="81"/>
      <c r="F93" s="28" t="s">
        <v>23</v>
      </c>
      <c r="G93" s="29" t="s">
        <v>37</v>
      </c>
      <c r="H93" s="82"/>
      <c r="I93" s="1"/>
    </row>
    <row r="94" spans="1:9" x14ac:dyDescent="0.25">
      <c r="A94" s="43"/>
      <c r="B94" s="496"/>
      <c r="C94" s="88"/>
      <c r="D94" s="80"/>
      <c r="E94" s="81"/>
      <c r="F94" s="28" t="s">
        <v>24</v>
      </c>
      <c r="G94" s="29" t="s">
        <v>525</v>
      </c>
      <c r="H94" s="82"/>
      <c r="I94" s="1"/>
    </row>
    <row r="95" spans="1:9" x14ac:dyDescent="0.25">
      <c r="A95" s="43"/>
      <c r="B95" s="496"/>
      <c r="C95" s="88"/>
      <c r="D95" s="80"/>
      <c r="E95" s="81"/>
      <c r="F95" s="28" t="s">
        <v>26</v>
      </c>
      <c r="G95" s="29" t="s">
        <v>525</v>
      </c>
      <c r="H95" s="82"/>
      <c r="I95" s="1"/>
    </row>
    <row r="96" spans="1:9" ht="75" x14ac:dyDescent="0.25">
      <c r="A96" s="43"/>
      <c r="B96" s="496"/>
      <c r="C96" s="88"/>
      <c r="D96" s="80"/>
      <c r="E96" s="81"/>
      <c r="F96" s="32" t="s">
        <v>25</v>
      </c>
      <c r="G96" s="33" t="s">
        <v>471</v>
      </c>
      <c r="H96" s="82"/>
      <c r="I96" s="1"/>
    </row>
    <row r="97" spans="1:9" x14ac:dyDescent="0.25">
      <c r="A97" s="43"/>
      <c r="B97" s="496"/>
      <c r="C97" s="88"/>
      <c r="D97" s="80"/>
      <c r="E97" s="81"/>
      <c r="F97" s="28" t="s">
        <v>27</v>
      </c>
      <c r="G97" s="29" t="s">
        <v>34</v>
      </c>
      <c r="H97" s="82"/>
      <c r="I97" s="1"/>
    </row>
    <row r="98" spans="1:9" ht="75" x14ac:dyDescent="0.25">
      <c r="A98" s="43"/>
      <c r="B98" s="496"/>
      <c r="C98" s="88"/>
      <c r="D98" s="80"/>
      <c r="E98" s="81"/>
      <c r="F98" s="32" t="s">
        <v>28</v>
      </c>
      <c r="G98" s="33" t="s">
        <v>472</v>
      </c>
      <c r="H98" s="82"/>
      <c r="I98" s="1"/>
    </row>
    <row r="99" spans="1:9" ht="58.5" customHeight="1" x14ac:dyDescent="0.25">
      <c r="A99" s="43"/>
      <c r="B99" s="496"/>
      <c r="C99" s="88"/>
      <c r="D99" s="80"/>
      <c r="E99" s="81"/>
      <c r="F99" s="32" t="s">
        <v>29</v>
      </c>
      <c r="G99" s="70" t="s">
        <v>416</v>
      </c>
      <c r="H99" s="82"/>
      <c r="I99" s="71" t="s">
        <v>487</v>
      </c>
    </row>
    <row r="100" spans="1:9" x14ac:dyDescent="0.25">
      <c r="A100" s="43"/>
      <c r="B100" s="496"/>
      <c r="C100" s="77" t="s">
        <v>11</v>
      </c>
      <c r="D100" s="78" t="s">
        <v>46</v>
      </c>
      <c r="E100" s="78"/>
      <c r="F100" s="79"/>
      <c r="G100" s="76"/>
      <c r="H100" s="76"/>
      <c r="I100" s="65" t="s">
        <v>293</v>
      </c>
    </row>
    <row r="101" spans="1:9" x14ac:dyDescent="0.25">
      <c r="A101" s="43"/>
      <c r="B101" s="496"/>
      <c r="C101" s="89" t="s">
        <v>13</v>
      </c>
      <c r="D101" s="65"/>
      <c r="E101" s="65"/>
      <c r="F101" s="1"/>
      <c r="G101" s="6"/>
      <c r="H101" s="6"/>
      <c r="I101" s="1"/>
    </row>
    <row r="102" spans="1:9" x14ac:dyDescent="0.25">
      <c r="A102" s="43"/>
      <c r="B102" s="496"/>
      <c r="C102" s="75" t="s">
        <v>11</v>
      </c>
      <c r="D102" s="84" t="s">
        <v>488</v>
      </c>
      <c r="E102" s="73"/>
      <c r="F102" s="73" t="s">
        <v>14</v>
      </c>
      <c r="G102" s="74" t="s">
        <v>525</v>
      </c>
      <c r="H102" s="76"/>
      <c r="I102" s="1"/>
    </row>
    <row r="103" spans="1:9" x14ac:dyDescent="0.25">
      <c r="A103" s="43"/>
      <c r="B103" s="496"/>
      <c r="C103" s="28" t="s">
        <v>13</v>
      </c>
      <c r="D103" s="28"/>
      <c r="E103" s="83"/>
      <c r="F103" s="28" t="s">
        <v>15</v>
      </c>
      <c r="G103" s="29" t="s">
        <v>525</v>
      </c>
      <c r="H103" s="82"/>
      <c r="I103" s="1"/>
    </row>
    <row r="104" spans="1:9" x14ac:dyDescent="0.25">
      <c r="A104" s="43"/>
      <c r="B104" s="496"/>
      <c r="C104" s="88"/>
      <c r="D104" s="28"/>
      <c r="E104" s="83"/>
      <c r="F104" s="28" t="s">
        <v>16</v>
      </c>
      <c r="G104" s="29" t="s">
        <v>525</v>
      </c>
      <c r="H104" s="82"/>
      <c r="I104" s="1"/>
    </row>
    <row r="105" spans="1:9" ht="150" x14ac:dyDescent="0.25">
      <c r="A105" s="43"/>
      <c r="B105" s="496"/>
      <c r="C105" s="88"/>
      <c r="D105" s="28"/>
      <c r="E105" s="83"/>
      <c r="F105" s="32" t="s">
        <v>17</v>
      </c>
      <c r="G105" s="33" t="s">
        <v>470</v>
      </c>
      <c r="H105" s="82"/>
      <c r="I105" s="1"/>
    </row>
    <row r="106" spans="1:9" x14ac:dyDescent="0.25">
      <c r="A106" s="43"/>
      <c r="B106" s="496"/>
      <c r="C106" s="88"/>
      <c r="D106" s="28"/>
      <c r="E106" s="83"/>
      <c r="F106" s="28" t="s">
        <v>18</v>
      </c>
      <c r="G106" s="29" t="s">
        <v>32</v>
      </c>
      <c r="H106" s="82"/>
      <c r="I106" s="1"/>
    </row>
    <row r="107" spans="1:9" x14ac:dyDescent="0.25">
      <c r="A107" s="43"/>
      <c r="B107" s="496"/>
      <c r="C107" s="88"/>
      <c r="D107" s="28"/>
      <c r="E107" s="83"/>
      <c r="F107" s="28" t="s">
        <v>9</v>
      </c>
      <c r="G107" s="29" t="s">
        <v>2</v>
      </c>
      <c r="H107" s="82"/>
      <c r="I107" s="1"/>
    </row>
    <row r="108" spans="1:9" x14ac:dyDescent="0.25">
      <c r="A108" s="43"/>
      <c r="B108" s="496"/>
      <c r="C108" s="88"/>
      <c r="D108" s="28"/>
      <c r="E108" s="83"/>
      <c r="F108" s="28" t="s">
        <v>19</v>
      </c>
      <c r="G108" s="29" t="s">
        <v>33</v>
      </c>
      <c r="H108" s="82"/>
      <c r="I108" s="1"/>
    </row>
    <row r="109" spans="1:9" x14ac:dyDescent="0.25">
      <c r="A109" s="43"/>
      <c r="B109" s="496"/>
      <c r="C109" s="88"/>
      <c r="D109" s="28"/>
      <c r="E109" s="83"/>
      <c r="F109" s="28" t="s">
        <v>20</v>
      </c>
      <c r="G109" s="29" t="s">
        <v>525</v>
      </c>
      <c r="H109" s="82"/>
      <c r="I109" s="1"/>
    </row>
    <row r="110" spans="1:9" x14ac:dyDescent="0.25">
      <c r="A110" s="43"/>
      <c r="B110" s="496"/>
      <c r="C110" s="88"/>
      <c r="D110" s="28"/>
      <c r="E110" s="83"/>
      <c r="F110" s="22" t="s">
        <v>21</v>
      </c>
      <c r="G110" s="30" t="s">
        <v>488</v>
      </c>
      <c r="H110" s="82"/>
      <c r="I110" s="1"/>
    </row>
    <row r="111" spans="1:9" x14ac:dyDescent="0.25">
      <c r="A111" s="43"/>
      <c r="B111" s="496"/>
      <c r="C111" s="88"/>
      <c r="D111" s="28"/>
      <c r="E111" s="83"/>
      <c r="F111" s="31" t="s">
        <v>36</v>
      </c>
      <c r="G111" s="34" t="s">
        <v>39</v>
      </c>
      <c r="H111" s="82"/>
      <c r="I111" s="1"/>
    </row>
    <row r="112" spans="1:9" ht="60" x14ac:dyDescent="0.25">
      <c r="A112" s="43"/>
      <c r="B112" s="496"/>
      <c r="C112" s="88"/>
      <c r="D112" s="28"/>
      <c r="E112" s="83"/>
      <c r="F112" s="31" t="s">
        <v>22</v>
      </c>
      <c r="G112" s="33" t="s">
        <v>468</v>
      </c>
      <c r="H112" s="82"/>
      <c r="I112" s="1"/>
    </row>
    <row r="113" spans="1:9" x14ac:dyDescent="0.25">
      <c r="A113" s="43"/>
      <c r="B113" s="496"/>
      <c r="C113" s="88"/>
      <c r="D113" s="28"/>
      <c r="E113" s="83"/>
      <c r="F113" s="28" t="s">
        <v>23</v>
      </c>
      <c r="G113" s="29" t="s">
        <v>37</v>
      </c>
      <c r="H113" s="82"/>
      <c r="I113" s="1"/>
    </row>
    <row r="114" spans="1:9" x14ac:dyDescent="0.25">
      <c r="A114" s="43"/>
      <c r="B114" s="496"/>
      <c r="C114" s="88"/>
      <c r="D114" s="28"/>
      <c r="E114" s="83"/>
      <c r="F114" s="28" t="s">
        <v>24</v>
      </c>
      <c r="G114" s="29" t="s">
        <v>525</v>
      </c>
      <c r="H114" s="82"/>
      <c r="I114" s="1"/>
    </row>
    <row r="115" spans="1:9" x14ac:dyDescent="0.25">
      <c r="A115" s="43"/>
      <c r="B115" s="496"/>
      <c r="C115" s="88"/>
      <c r="D115" s="28"/>
      <c r="E115" s="83"/>
      <c r="F115" s="28" t="s">
        <v>26</v>
      </c>
      <c r="G115" s="29" t="s">
        <v>525</v>
      </c>
      <c r="H115" s="82"/>
      <c r="I115" s="1"/>
    </row>
    <row r="116" spans="1:9" ht="75" x14ac:dyDescent="0.25">
      <c r="A116" s="43"/>
      <c r="B116" s="496"/>
      <c r="C116" s="88"/>
      <c r="D116" s="28"/>
      <c r="E116" s="83"/>
      <c r="F116" s="32" t="s">
        <v>25</v>
      </c>
      <c r="G116" s="33" t="s">
        <v>471</v>
      </c>
      <c r="H116" s="82"/>
      <c r="I116" s="1"/>
    </row>
    <row r="117" spans="1:9" x14ac:dyDescent="0.25">
      <c r="A117" s="43"/>
      <c r="B117" s="496"/>
      <c r="C117" s="88"/>
      <c r="D117" s="28"/>
      <c r="E117" s="83"/>
      <c r="F117" s="28" t="s">
        <v>27</v>
      </c>
      <c r="G117" s="29" t="s">
        <v>34</v>
      </c>
      <c r="H117" s="82"/>
      <c r="I117" s="1"/>
    </row>
    <row r="118" spans="1:9" ht="75" x14ac:dyDescent="0.25">
      <c r="A118" s="43"/>
      <c r="B118" s="496"/>
      <c r="C118" s="88"/>
      <c r="D118" s="28"/>
      <c r="E118" s="83"/>
      <c r="F118" s="32" t="s">
        <v>28</v>
      </c>
      <c r="G118" s="33" t="s">
        <v>472</v>
      </c>
      <c r="H118" s="82"/>
      <c r="I118" s="1"/>
    </row>
    <row r="119" spans="1:9" ht="60.75" customHeight="1" x14ac:dyDescent="0.25">
      <c r="A119" s="43"/>
      <c r="B119" s="496"/>
      <c r="C119" s="88"/>
      <c r="D119" s="28"/>
      <c r="E119" s="83"/>
      <c r="F119" s="32" t="s">
        <v>29</v>
      </c>
      <c r="G119" s="70" t="s">
        <v>416</v>
      </c>
      <c r="H119" s="82"/>
      <c r="I119" s="71" t="s">
        <v>489</v>
      </c>
    </row>
    <row r="120" spans="1:9" x14ac:dyDescent="0.25">
      <c r="A120" s="43"/>
      <c r="B120" s="498" t="s">
        <v>66</v>
      </c>
      <c r="C120" s="75" t="s">
        <v>47</v>
      </c>
      <c r="D120" s="84" t="s">
        <v>48</v>
      </c>
      <c r="E120" s="73"/>
      <c r="F120" s="73" t="s">
        <v>14</v>
      </c>
      <c r="G120" s="74" t="s">
        <v>525</v>
      </c>
      <c r="H120" s="74"/>
      <c r="I120" s="1"/>
    </row>
    <row r="121" spans="1:9" x14ac:dyDescent="0.25">
      <c r="A121" s="43"/>
      <c r="B121" s="498"/>
      <c r="C121" s="28" t="s">
        <v>13</v>
      </c>
      <c r="D121" s="28"/>
      <c r="E121" s="1"/>
      <c r="F121" s="28" t="s">
        <v>15</v>
      </c>
      <c r="G121" s="29" t="s">
        <v>525</v>
      </c>
      <c r="H121" s="29"/>
      <c r="I121" s="1"/>
    </row>
    <row r="122" spans="1:9" x14ac:dyDescent="0.25">
      <c r="A122" s="43"/>
      <c r="B122" s="498"/>
      <c r="C122" s="1"/>
      <c r="D122" s="1"/>
      <c r="E122" s="1"/>
      <c r="F122" s="28" t="s">
        <v>16</v>
      </c>
      <c r="G122" s="29" t="s">
        <v>525</v>
      </c>
      <c r="H122" s="29"/>
      <c r="I122" s="1"/>
    </row>
    <row r="123" spans="1:9" x14ac:dyDescent="0.25">
      <c r="A123" s="43"/>
      <c r="B123" s="498"/>
      <c r="C123" s="1"/>
      <c r="D123" s="1"/>
      <c r="E123" s="1"/>
      <c r="F123" s="32" t="s">
        <v>17</v>
      </c>
      <c r="G123" s="35" t="s">
        <v>48</v>
      </c>
      <c r="H123" s="50"/>
      <c r="I123" s="2"/>
    </row>
    <row r="124" spans="1:9" x14ac:dyDescent="0.25">
      <c r="A124" s="43"/>
      <c r="B124" s="498"/>
      <c r="C124" s="1"/>
      <c r="D124" s="1"/>
      <c r="E124" s="1"/>
      <c r="F124" s="28" t="s">
        <v>18</v>
      </c>
      <c r="G124" s="29" t="s">
        <v>32</v>
      </c>
      <c r="H124" s="29"/>
      <c r="I124" s="1"/>
    </row>
    <row r="125" spans="1:9" x14ac:dyDescent="0.25">
      <c r="A125" s="43"/>
      <c r="B125" s="498"/>
      <c r="C125" s="1"/>
      <c r="D125" s="1"/>
      <c r="E125" s="1"/>
      <c r="F125" s="28" t="s">
        <v>9</v>
      </c>
      <c r="G125" s="29" t="s">
        <v>2</v>
      </c>
      <c r="H125" s="29"/>
      <c r="I125" s="1"/>
    </row>
    <row r="126" spans="1:9" x14ac:dyDescent="0.25">
      <c r="A126" s="43"/>
      <c r="B126" s="498"/>
      <c r="C126" s="1"/>
      <c r="D126" s="1"/>
      <c r="E126" s="1"/>
      <c r="F126" s="28" t="s">
        <v>19</v>
      </c>
      <c r="G126" s="29" t="s">
        <v>33</v>
      </c>
      <c r="H126" s="29"/>
      <c r="I126" s="1"/>
    </row>
    <row r="127" spans="1:9" x14ac:dyDescent="0.25">
      <c r="A127" s="43"/>
      <c r="B127" s="498"/>
      <c r="C127" s="1"/>
      <c r="D127" s="1"/>
      <c r="E127" s="1"/>
      <c r="F127" s="28" t="s">
        <v>20</v>
      </c>
      <c r="G127" s="29" t="s">
        <v>525</v>
      </c>
      <c r="H127" s="29"/>
      <c r="I127" s="1"/>
    </row>
    <row r="128" spans="1:9" ht="255" x14ac:dyDescent="0.25">
      <c r="A128" s="43"/>
      <c r="B128" s="498"/>
      <c r="C128" s="1"/>
      <c r="D128" s="1"/>
      <c r="E128" s="1"/>
      <c r="F128" s="36" t="s">
        <v>21</v>
      </c>
      <c r="G128" s="37" t="s">
        <v>481</v>
      </c>
      <c r="H128" s="37"/>
      <c r="I128" s="1"/>
    </row>
    <row r="129" spans="1:9" x14ac:dyDescent="0.25">
      <c r="A129" s="43"/>
      <c r="B129" s="498"/>
      <c r="C129" s="1"/>
      <c r="D129" s="1"/>
      <c r="E129" s="1"/>
      <c r="F129" s="31" t="s">
        <v>36</v>
      </c>
      <c r="G129" s="34" t="s">
        <v>39</v>
      </c>
      <c r="H129" s="49"/>
      <c r="I129" s="1"/>
    </row>
    <row r="130" spans="1:9" ht="60" x14ac:dyDescent="0.25">
      <c r="A130" s="43"/>
      <c r="B130" s="498"/>
      <c r="C130" s="1"/>
      <c r="D130" s="1"/>
      <c r="E130" s="1"/>
      <c r="F130" s="31" t="s">
        <v>22</v>
      </c>
      <c r="G130" s="33" t="s">
        <v>490</v>
      </c>
      <c r="H130" s="33"/>
      <c r="I130" s="1"/>
    </row>
    <row r="131" spans="1:9" x14ac:dyDescent="0.25">
      <c r="A131" s="43"/>
      <c r="B131" s="498"/>
      <c r="C131" s="1"/>
      <c r="D131" s="1"/>
      <c r="E131" s="1"/>
      <c r="F131" s="28" t="s">
        <v>23</v>
      </c>
      <c r="G131" s="29" t="s">
        <v>37</v>
      </c>
      <c r="H131" s="29"/>
      <c r="I131" s="1"/>
    </row>
    <row r="132" spans="1:9" x14ac:dyDescent="0.25">
      <c r="A132" s="43"/>
      <c r="B132" s="498"/>
      <c r="C132" s="1"/>
      <c r="D132" s="1"/>
      <c r="E132" s="1"/>
      <c r="F132" s="28" t="s">
        <v>24</v>
      </c>
      <c r="G132" s="29" t="s">
        <v>525</v>
      </c>
      <c r="H132" s="29"/>
      <c r="I132" s="1"/>
    </row>
    <row r="133" spans="1:9" x14ac:dyDescent="0.25">
      <c r="A133" s="43"/>
      <c r="B133" s="498"/>
      <c r="C133" s="1"/>
      <c r="D133" s="1"/>
      <c r="E133" s="1"/>
      <c r="F133" s="28" t="s">
        <v>26</v>
      </c>
      <c r="G133" s="29" t="s">
        <v>525</v>
      </c>
      <c r="H133" s="29"/>
      <c r="I133" s="1"/>
    </row>
    <row r="134" spans="1:9" ht="75" x14ac:dyDescent="0.25">
      <c r="A134" s="43"/>
      <c r="B134" s="498"/>
      <c r="C134" s="1"/>
      <c r="D134" s="1"/>
      <c r="E134" s="1"/>
      <c r="F134" s="32" t="s">
        <v>25</v>
      </c>
      <c r="G134" s="33" t="s">
        <v>471</v>
      </c>
      <c r="H134" s="33"/>
      <c r="I134" s="1"/>
    </row>
    <row r="135" spans="1:9" x14ac:dyDescent="0.25">
      <c r="A135" s="43"/>
      <c r="B135" s="498"/>
      <c r="C135" s="1"/>
      <c r="D135" s="1"/>
      <c r="E135" s="1"/>
      <c r="F135" s="28" t="s">
        <v>27</v>
      </c>
      <c r="G135" s="29" t="s">
        <v>34</v>
      </c>
      <c r="H135" s="29"/>
      <c r="I135" s="1"/>
    </row>
    <row r="136" spans="1:9" ht="75" x14ac:dyDescent="0.25">
      <c r="A136" s="43"/>
      <c r="B136" s="498"/>
      <c r="C136" s="1"/>
      <c r="D136" s="1"/>
      <c r="E136" s="1"/>
      <c r="F136" s="32" t="s">
        <v>28</v>
      </c>
      <c r="G136" s="33" t="s">
        <v>472</v>
      </c>
      <c r="H136" s="33"/>
      <c r="I136" s="1"/>
    </row>
    <row r="137" spans="1:9" ht="60" x14ac:dyDescent="0.25">
      <c r="A137" s="43"/>
      <c r="B137" s="498"/>
      <c r="C137" s="1"/>
      <c r="D137" s="1"/>
      <c r="E137" s="1"/>
      <c r="F137" s="32" t="s">
        <v>29</v>
      </c>
      <c r="G137" s="70" t="s">
        <v>416</v>
      </c>
      <c r="H137" s="29"/>
      <c r="I137" s="71" t="s">
        <v>493</v>
      </c>
    </row>
    <row r="138" spans="1:9" x14ac:dyDescent="0.25">
      <c r="A138" s="43"/>
      <c r="B138" s="498"/>
      <c r="C138" s="75" t="s">
        <v>47</v>
      </c>
      <c r="D138" s="84" t="s">
        <v>49</v>
      </c>
      <c r="E138" s="73"/>
      <c r="F138" s="73" t="s">
        <v>14</v>
      </c>
      <c r="G138" s="74" t="s">
        <v>525</v>
      </c>
      <c r="H138" s="74"/>
      <c r="I138" s="1"/>
    </row>
    <row r="139" spans="1:9" x14ac:dyDescent="0.25">
      <c r="A139" s="43"/>
      <c r="B139" s="498"/>
      <c r="C139" s="28" t="s">
        <v>13</v>
      </c>
      <c r="D139" s="28"/>
      <c r="E139" s="1"/>
      <c r="F139" s="28" t="s">
        <v>15</v>
      </c>
      <c r="G139" s="29" t="s">
        <v>525</v>
      </c>
      <c r="H139" s="29"/>
      <c r="I139" s="1"/>
    </row>
    <row r="140" spans="1:9" x14ac:dyDescent="0.25">
      <c r="A140" s="43"/>
      <c r="B140" s="498"/>
      <c r="C140" s="1"/>
      <c r="D140" s="1"/>
      <c r="E140" s="1"/>
      <c r="F140" s="28" t="s">
        <v>16</v>
      </c>
      <c r="G140" s="29" t="s">
        <v>525</v>
      </c>
      <c r="H140" s="29"/>
      <c r="I140" s="1"/>
    </row>
    <row r="141" spans="1:9" x14ac:dyDescent="0.25">
      <c r="A141" s="43"/>
      <c r="B141" s="498"/>
      <c r="C141" s="1"/>
      <c r="D141" s="1"/>
      <c r="E141" s="1"/>
      <c r="F141" s="32" t="s">
        <v>17</v>
      </c>
      <c r="G141" s="35" t="s">
        <v>49</v>
      </c>
      <c r="H141" s="50"/>
      <c r="I141" s="2"/>
    </row>
    <row r="142" spans="1:9" x14ac:dyDescent="0.25">
      <c r="A142" s="43"/>
      <c r="B142" s="498"/>
      <c r="C142" s="1"/>
      <c r="D142" s="1"/>
      <c r="E142" s="1"/>
      <c r="F142" s="28" t="s">
        <v>18</v>
      </c>
      <c r="G142" s="29" t="s">
        <v>32</v>
      </c>
      <c r="H142" s="29"/>
      <c r="I142" s="1"/>
    </row>
    <row r="143" spans="1:9" x14ac:dyDescent="0.25">
      <c r="A143" s="43"/>
      <c r="B143" s="498"/>
      <c r="C143" s="1"/>
      <c r="D143" s="1"/>
      <c r="E143" s="1"/>
      <c r="F143" s="28" t="s">
        <v>9</v>
      </c>
      <c r="G143" s="29" t="s">
        <v>2</v>
      </c>
      <c r="H143" s="29"/>
      <c r="I143" s="1"/>
    </row>
    <row r="144" spans="1:9" x14ac:dyDescent="0.25">
      <c r="A144" s="43"/>
      <c r="B144" s="498"/>
      <c r="C144" s="1"/>
      <c r="D144" s="1"/>
      <c r="E144" s="1"/>
      <c r="F144" s="28" t="s">
        <v>19</v>
      </c>
      <c r="G144" s="29" t="s">
        <v>33</v>
      </c>
      <c r="H144" s="29"/>
      <c r="I144" s="1"/>
    </row>
    <row r="145" spans="1:9" x14ac:dyDescent="0.25">
      <c r="A145" s="43"/>
      <c r="B145" s="498"/>
      <c r="C145" s="1"/>
      <c r="D145" s="1"/>
      <c r="E145" s="1"/>
      <c r="F145" s="28" t="s">
        <v>20</v>
      </c>
      <c r="G145" s="29" t="s">
        <v>525</v>
      </c>
      <c r="H145" s="29"/>
      <c r="I145" s="1"/>
    </row>
    <row r="146" spans="1:9" ht="255" x14ac:dyDescent="0.25">
      <c r="A146" s="43"/>
      <c r="B146" s="498"/>
      <c r="C146" s="1"/>
      <c r="D146" s="1"/>
      <c r="E146" s="1"/>
      <c r="F146" s="36" t="s">
        <v>21</v>
      </c>
      <c r="G146" s="37" t="s">
        <v>481</v>
      </c>
      <c r="H146" s="37"/>
      <c r="I146" s="1"/>
    </row>
    <row r="147" spans="1:9" x14ac:dyDescent="0.25">
      <c r="A147" s="43"/>
      <c r="B147" s="498"/>
      <c r="C147" s="1"/>
      <c r="D147" s="1"/>
      <c r="E147" s="1"/>
      <c r="F147" s="31" t="s">
        <v>36</v>
      </c>
      <c r="G147" s="34" t="s">
        <v>39</v>
      </c>
      <c r="H147" s="33"/>
      <c r="I147" s="1"/>
    </row>
    <row r="148" spans="1:9" ht="60" x14ac:dyDescent="0.25">
      <c r="A148" s="43"/>
      <c r="B148" s="498"/>
      <c r="C148" s="1"/>
      <c r="D148" s="1"/>
      <c r="E148" s="1"/>
      <c r="F148" s="31" t="s">
        <v>22</v>
      </c>
      <c r="G148" s="33" t="s">
        <v>490</v>
      </c>
      <c r="H148" s="33"/>
      <c r="I148" s="1"/>
    </row>
    <row r="149" spans="1:9" x14ac:dyDescent="0.25">
      <c r="A149" s="43"/>
      <c r="B149" s="498"/>
      <c r="C149" s="1"/>
      <c r="D149" s="1"/>
      <c r="E149" s="1"/>
      <c r="F149" s="28" t="s">
        <v>23</v>
      </c>
      <c r="G149" s="29" t="s">
        <v>37</v>
      </c>
      <c r="H149" s="29"/>
      <c r="I149" s="1"/>
    </row>
    <row r="150" spans="1:9" x14ac:dyDescent="0.25">
      <c r="A150" s="43"/>
      <c r="B150" s="498"/>
      <c r="C150" s="1"/>
      <c r="D150" s="1"/>
      <c r="E150" s="1"/>
      <c r="F150" s="28" t="s">
        <v>24</v>
      </c>
      <c r="G150" s="29" t="s">
        <v>525</v>
      </c>
      <c r="H150" s="29"/>
      <c r="I150" s="1"/>
    </row>
    <row r="151" spans="1:9" x14ac:dyDescent="0.25">
      <c r="A151" s="43"/>
      <c r="B151" s="498"/>
      <c r="C151" s="1"/>
      <c r="D151" s="1"/>
      <c r="E151" s="1"/>
      <c r="F151" s="28" t="s">
        <v>26</v>
      </c>
      <c r="G151" s="29" t="s">
        <v>525</v>
      </c>
      <c r="H151" s="29"/>
      <c r="I151" s="1"/>
    </row>
    <row r="152" spans="1:9" ht="75" x14ac:dyDescent="0.25">
      <c r="A152" s="43"/>
      <c r="B152" s="498"/>
      <c r="C152" s="1"/>
      <c r="D152" s="1"/>
      <c r="E152" s="1"/>
      <c r="F152" s="32" t="s">
        <v>25</v>
      </c>
      <c r="G152" s="33" t="s">
        <v>471</v>
      </c>
      <c r="H152" s="33"/>
      <c r="I152" s="1"/>
    </row>
    <row r="153" spans="1:9" x14ac:dyDescent="0.25">
      <c r="A153" s="43"/>
      <c r="B153" s="498"/>
      <c r="C153" s="1"/>
      <c r="D153" s="1"/>
      <c r="E153" s="1"/>
      <c r="F153" s="28" t="s">
        <v>27</v>
      </c>
      <c r="G153" s="29" t="s">
        <v>34</v>
      </c>
      <c r="H153" s="29"/>
      <c r="I153" s="1"/>
    </row>
    <row r="154" spans="1:9" ht="75" x14ac:dyDescent="0.25">
      <c r="A154" s="43"/>
      <c r="B154" s="498"/>
      <c r="C154" s="1"/>
      <c r="D154" s="1"/>
      <c r="E154" s="1"/>
      <c r="F154" s="32" t="s">
        <v>28</v>
      </c>
      <c r="G154" s="33" t="s">
        <v>472</v>
      </c>
      <c r="H154" s="33"/>
      <c r="I154" s="1"/>
    </row>
    <row r="155" spans="1:9" ht="60" x14ac:dyDescent="0.25">
      <c r="A155" s="43"/>
      <c r="B155" s="498"/>
      <c r="C155" s="1"/>
      <c r="D155" s="1"/>
      <c r="E155" s="1"/>
      <c r="F155" s="32" t="s">
        <v>29</v>
      </c>
      <c r="G155" s="70" t="s">
        <v>416</v>
      </c>
      <c r="H155" s="29"/>
      <c r="I155" s="71" t="s">
        <v>492</v>
      </c>
    </row>
    <row r="156" spans="1:9" x14ac:dyDescent="0.25">
      <c r="A156" s="43"/>
      <c r="B156" s="498"/>
      <c r="C156" s="75" t="s">
        <v>47</v>
      </c>
      <c r="D156" s="84" t="s">
        <v>50</v>
      </c>
      <c r="E156" s="73"/>
      <c r="F156" s="73" t="s">
        <v>14</v>
      </c>
      <c r="G156" s="74" t="s">
        <v>525</v>
      </c>
      <c r="H156" s="74"/>
      <c r="I156" s="1"/>
    </row>
    <row r="157" spans="1:9" x14ac:dyDescent="0.25">
      <c r="A157" s="43"/>
      <c r="B157" s="498"/>
      <c r="C157" s="81" t="s">
        <v>13</v>
      </c>
      <c r="D157" s="81"/>
      <c r="E157" s="83"/>
      <c r="F157" s="81" t="s">
        <v>15</v>
      </c>
      <c r="G157" s="60" t="s">
        <v>525</v>
      </c>
      <c r="H157" s="60"/>
      <c r="I157" s="1"/>
    </row>
    <row r="158" spans="1:9" x14ac:dyDescent="0.25">
      <c r="A158" s="43"/>
      <c r="B158" s="498"/>
      <c r="C158" s="1"/>
      <c r="D158" s="1"/>
      <c r="E158" s="1"/>
      <c r="F158" s="28" t="s">
        <v>16</v>
      </c>
      <c r="G158" s="29" t="s">
        <v>525</v>
      </c>
      <c r="H158" s="29"/>
      <c r="I158" s="1"/>
    </row>
    <row r="159" spans="1:9" x14ac:dyDescent="0.25">
      <c r="A159" s="43"/>
      <c r="B159" s="498"/>
      <c r="C159" s="1"/>
      <c r="D159" s="1"/>
      <c r="E159" s="1"/>
      <c r="F159" s="32" t="s">
        <v>17</v>
      </c>
      <c r="G159" s="35" t="s">
        <v>50</v>
      </c>
      <c r="H159" s="50"/>
      <c r="I159" s="2"/>
    </row>
    <row r="160" spans="1:9" x14ac:dyDescent="0.25">
      <c r="A160" s="43"/>
      <c r="B160" s="498"/>
      <c r="C160" s="1"/>
      <c r="D160" s="1"/>
      <c r="E160" s="1"/>
      <c r="F160" s="28" t="s">
        <v>18</v>
      </c>
      <c r="G160" s="29" t="s">
        <v>32</v>
      </c>
      <c r="H160" s="29"/>
      <c r="I160" s="1"/>
    </row>
    <row r="161" spans="1:9" x14ac:dyDescent="0.25">
      <c r="A161" s="43"/>
      <c r="B161" s="498"/>
      <c r="C161" s="1"/>
      <c r="D161" s="1"/>
      <c r="E161" s="1"/>
      <c r="F161" s="28" t="s">
        <v>9</v>
      </c>
      <c r="G161" s="29" t="s">
        <v>2</v>
      </c>
      <c r="H161" s="29"/>
      <c r="I161" s="1"/>
    </row>
    <row r="162" spans="1:9" x14ac:dyDescent="0.25">
      <c r="A162" s="43"/>
      <c r="B162" s="498"/>
      <c r="C162" s="1"/>
      <c r="D162" s="1"/>
      <c r="E162" s="1"/>
      <c r="F162" s="28" t="s">
        <v>19</v>
      </c>
      <c r="G162" s="29" t="s">
        <v>33</v>
      </c>
      <c r="H162" s="29"/>
      <c r="I162" s="1"/>
    </row>
    <row r="163" spans="1:9" x14ac:dyDescent="0.25">
      <c r="A163" s="43"/>
      <c r="B163" s="498"/>
      <c r="C163" s="1"/>
      <c r="D163" s="1"/>
      <c r="E163" s="1"/>
      <c r="F163" s="28" t="s">
        <v>20</v>
      </c>
      <c r="G163" s="29" t="s">
        <v>525</v>
      </c>
      <c r="H163" s="29"/>
      <c r="I163" s="1"/>
    </row>
    <row r="164" spans="1:9" ht="255" x14ac:dyDescent="0.25">
      <c r="A164" s="43"/>
      <c r="B164" s="498"/>
      <c r="C164" s="1"/>
      <c r="D164" s="1"/>
      <c r="E164" s="1"/>
      <c r="F164" s="36" t="s">
        <v>21</v>
      </c>
      <c r="G164" s="37" t="s">
        <v>481</v>
      </c>
      <c r="H164" s="37"/>
      <c r="I164" s="1"/>
    </row>
    <row r="165" spans="1:9" x14ac:dyDescent="0.25">
      <c r="A165" s="43"/>
      <c r="B165" s="498"/>
      <c r="C165" s="1"/>
      <c r="D165" s="1"/>
      <c r="E165" s="1"/>
      <c r="F165" s="31" t="s">
        <v>36</v>
      </c>
      <c r="G165" s="34" t="s">
        <v>39</v>
      </c>
      <c r="H165" s="49"/>
      <c r="I165" s="1"/>
    </row>
    <row r="166" spans="1:9" ht="60" x14ac:dyDescent="0.25">
      <c r="A166" s="43"/>
      <c r="B166" s="498"/>
      <c r="C166" s="1"/>
      <c r="D166" s="1"/>
      <c r="E166" s="1"/>
      <c r="F166" s="31" t="s">
        <v>22</v>
      </c>
      <c r="G166" s="33" t="s">
        <v>490</v>
      </c>
      <c r="H166" s="33"/>
      <c r="I166" s="1"/>
    </row>
    <row r="167" spans="1:9" x14ac:dyDescent="0.25">
      <c r="A167" s="43"/>
      <c r="B167" s="498"/>
      <c r="C167" s="1"/>
      <c r="D167" s="1"/>
      <c r="E167" s="1"/>
      <c r="F167" s="28" t="s">
        <v>23</v>
      </c>
      <c r="G167" s="29" t="s">
        <v>37</v>
      </c>
      <c r="H167" s="29"/>
      <c r="I167" s="1"/>
    </row>
    <row r="168" spans="1:9" x14ac:dyDescent="0.25">
      <c r="A168" s="43"/>
      <c r="B168" s="498"/>
      <c r="C168" s="1"/>
      <c r="D168" s="1"/>
      <c r="E168" s="1"/>
      <c r="F168" s="28" t="s">
        <v>24</v>
      </c>
      <c r="G168" s="29" t="s">
        <v>525</v>
      </c>
      <c r="H168" s="29"/>
      <c r="I168" s="1"/>
    </row>
    <row r="169" spans="1:9" x14ac:dyDescent="0.25">
      <c r="A169" s="43"/>
      <c r="B169" s="498"/>
      <c r="C169" s="1"/>
      <c r="D169" s="1"/>
      <c r="E169" s="1"/>
      <c r="F169" s="28" t="s">
        <v>26</v>
      </c>
      <c r="G169" s="29" t="s">
        <v>525</v>
      </c>
      <c r="H169" s="29"/>
      <c r="I169" s="1"/>
    </row>
    <row r="170" spans="1:9" ht="75" x14ac:dyDescent="0.25">
      <c r="A170" s="43"/>
      <c r="B170" s="498"/>
      <c r="C170" s="1"/>
      <c r="D170" s="1"/>
      <c r="E170" s="1"/>
      <c r="F170" s="32" t="s">
        <v>25</v>
      </c>
      <c r="G170" s="33" t="s">
        <v>471</v>
      </c>
      <c r="H170" s="33"/>
      <c r="I170" s="1"/>
    </row>
    <row r="171" spans="1:9" x14ac:dyDescent="0.25">
      <c r="A171" s="43"/>
      <c r="B171" s="498"/>
      <c r="C171" s="1"/>
      <c r="D171" s="1"/>
      <c r="E171" s="1"/>
      <c r="F171" s="28" t="s">
        <v>27</v>
      </c>
      <c r="G171" s="29" t="s">
        <v>34</v>
      </c>
      <c r="H171" s="29"/>
      <c r="I171" s="1"/>
    </row>
    <row r="172" spans="1:9" ht="75" x14ac:dyDescent="0.25">
      <c r="A172" s="43"/>
      <c r="B172" s="498"/>
      <c r="C172" s="1"/>
      <c r="D172" s="1"/>
      <c r="E172" s="1"/>
      <c r="F172" s="32" t="s">
        <v>28</v>
      </c>
      <c r="G172" s="33" t="s">
        <v>472</v>
      </c>
      <c r="H172" s="33"/>
      <c r="I172" s="1"/>
    </row>
    <row r="173" spans="1:9" ht="60" x14ac:dyDescent="0.25">
      <c r="A173" s="43"/>
      <c r="B173" s="498"/>
      <c r="C173" s="1"/>
      <c r="D173" s="1"/>
      <c r="E173" s="1"/>
      <c r="F173" s="28" t="s">
        <v>29</v>
      </c>
      <c r="G173" s="70" t="s">
        <v>416</v>
      </c>
      <c r="H173" s="29"/>
      <c r="I173" s="71" t="s">
        <v>491</v>
      </c>
    </row>
    <row r="174" spans="1:9" x14ac:dyDescent="0.25">
      <c r="A174" s="43"/>
      <c r="B174" s="498"/>
      <c r="C174" s="75" t="s">
        <v>47</v>
      </c>
      <c r="D174" s="84" t="s">
        <v>51</v>
      </c>
      <c r="E174" s="73"/>
      <c r="F174" s="73" t="s">
        <v>14</v>
      </c>
      <c r="G174" s="74" t="s">
        <v>525</v>
      </c>
      <c r="H174" s="74"/>
      <c r="I174" s="1"/>
    </row>
    <row r="175" spans="1:9" x14ac:dyDescent="0.25">
      <c r="A175" s="43"/>
      <c r="B175" s="498"/>
      <c r="C175" s="81" t="s">
        <v>13</v>
      </c>
      <c r="D175" s="81"/>
      <c r="E175" s="83"/>
      <c r="F175" s="81" t="s">
        <v>15</v>
      </c>
      <c r="G175" s="60" t="s">
        <v>525</v>
      </c>
      <c r="H175" s="60"/>
      <c r="I175" s="1"/>
    </row>
    <row r="176" spans="1:9" x14ac:dyDescent="0.25">
      <c r="A176" s="43"/>
      <c r="B176" s="498"/>
      <c r="C176" s="1"/>
      <c r="D176" s="1"/>
      <c r="E176" s="1"/>
      <c r="F176" s="28" t="s">
        <v>16</v>
      </c>
      <c r="G176" s="29" t="s">
        <v>525</v>
      </c>
      <c r="H176" s="29"/>
      <c r="I176" s="1"/>
    </row>
    <row r="177" spans="1:9" x14ac:dyDescent="0.25">
      <c r="A177" s="43"/>
      <c r="B177" s="498"/>
      <c r="C177" s="1"/>
      <c r="D177" s="1"/>
      <c r="E177" s="1"/>
      <c r="F177" s="32" t="s">
        <v>17</v>
      </c>
      <c r="G177" s="35" t="s">
        <v>51</v>
      </c>
      <c r="H177" s="50"/>
      <c r="I177" s="2"/>
    </row>
    <row r="178" spans="1:9" x14ac:dyDescent="0.25">
      <c r="A178" s="43"/>
      <c r="B178" s="498"/>
      <c r="C178" s="1"/>
      <c r="D178" s="1"/>
      <c r="E178" s="1"/>
      <c r="F178" s="28" t="s">
        <v>18</v>
      </c>
      <c r="G178" s="29" t="s">
        <v>32</v>
      </c>
      <c r="H178" s="29"/>
      <c r="I178" s="1"/>
    </row>
    <row r="179" spans="1:9" x14ac:dyDescent="0.25">
      <c r="A179" s="43"/>
      <c r="B179" s="498"/>
      <c r="C179" s="1"/>
      <c r="D179" s="1"/>
      <c r="E179" s="1"/>
      <c r="F179" s="28" t="s">
        <v>9</v>
      </c>
      <c r="G179" s="29" t="s">
        <v>2</v>
      </c>
      <c r="H179" s="29"/>
      <c r="I179" s="1"/>
    </row>
    <row r="180" spans="1:9" x14ac:dyDescent="0.25">
      <c r="A180" s="43"/>
      <c r="B180" s="498"/>
      <c r="C180" s="1"/>
      <c r="D180" s="1"/>
      <c r="E180" s="1"/>
      <c r="F180" s="28" t="s">
        <v>19</v>
      </c>
      <c r="G180" s="29" t="s">
        <v>33</v>
      </c>
      <c r="H180" s="29"/>
      <c r="I180" s="1"/>
    </row>
    <row r="181" spans="1:9" x14ac:dyDescent="0.25">
      <c r="A181" s="43"/>
      <c r="B181" s="498"/>
      <c r="C181" s="1"/>
      <c r="D181" s="1"/>
      <c r="E181" s="1"/>
      <c r="F181" s="28" t="s">
        <v>20</v>
      </c>
      <c r="G181" s="29" t="s">
        <v>525</v>
      </c>
      <c r="H181" s="29"/>
      <c r="I181" s="1"/>
    </row>
    <row r="182" spans="1:9" ht="255" x14ac:dyDescent="0.25">
      <c r="A182" s="43"/>
      <c r="B182" s="498"/>
      <c r="C182" s="1"/>
      <c r="D182" s="1"/>
      <c r="E182" s="1"/>
      <c r="F182" s="36" t="s">
        <v>21</v>
      </c>
      <c r="G182" s="37" t="s">
        <v>481</v>
      </c>
      <c r="H182" s="37"/>
      <c r="I182" s="1"/>
    </row>
    <row r="183" spans="1:9" x14ac:dyDescent="0.25">
      <c r="A183" s="43"/>
      <c r="B183" s="498"/>
      <c r="C183" s="1"/>
      <c r="D183" s="1"/>
      <c r="E183" s="1"/>
      <c r="F183" s="31" t="s">
        <v>36</v>
      </c>
      <c r="G183" s="34" t="s">
        <v>39</v>
      </c>
      <c r="H183" s="49"/>
      <c r="I183" s="1"/>
    </row>
    <row r="184" spans="1:9" ht="60" x14ac:dyDescent="0.25">
      <c r="A184" s="43"/>
      <c r="B184" s="498"/>
      <c r="C184" s="1"/>
      <c r="D184" s="1"/>
      <c r="E184" s="1"/>
      <c r="F184" s="31" t="s">
        <v>22</v>
      </c>
      <c r="G184" s="33" t="s">
        <v>490</v>
      </c>
      <c r="H184" s="33"/>
      <c r="I184" s="1"/>
    </row>
    <row r="185" spans="1:9" x14ac:dyDescent="0.25">
      <c r="A185" s="43"/>
      <c r="B185" s="498"/>
      <c r="C185" s="1"/>
      <c r="D185" s="1"/>
      <c r="E185" s="1"/>
      <c r="F185" s="28" t="s">
        <v>23</v>
      </c>
      <c r="G185" s="29" t="s">
        <v>37</v>
      </c>
      <c r="H185" s="29"/>
      <c r="I185" s="1"/>
    </row>
    <row r="186" spans="1:9" x14ac:dyDescent="0.25">
      <c r="A186" s="43"/>
      <c r="B186" s="498"/>
      <c r="C186" s="1"/>
      <c r="D186" s="1"/>
      <c r="E186" s="1"/>
      <c r="F186" s="28" t="s">
        <v>24</v>
      </c>
      <c r="G186" s="29" t="s">
        <v>525</v>
      </c>
      <c r="H186" s="29"/>
      <c r="I186" s="1"/>
    </row>
    <row r="187" spans="1:9" x14ac:dyDescent="0.25">
      <c r="A187" s="43"/>
      <c r="B187" s="498"/>
      <c r="C187" s="1"/>
      <c r="D187" s="1"/>
      <c r="E187" s="1"/>
      <c r="F187" s="28" t="s">
        <v>26</v>
      </c>
      <c r="G187" s="29" t="s">
        <v>525</v>
      </c>
      <c r="H187" s="29"/>
      <c r="I187" s="1"/>
    </row>
    <row r="188" spans="1:9" ht="75" x14ac:dyDescent="0.25">
      <c r="A188" s="43"/>
      <c r="B188" s="498"/>
      <c r="C188" s="1"/>
      <c r="D188" s="1"/>
      <c r="E188" s="1"/>
      <c r="F188" s="32" t="s">
        <v>25</v>
      </c>
      <c r="G188" s="33" t="s">
        <v>471</v>
      </c>
      <c r="H188" s="33"/>
      <c r="I188" s="1"/>
    </row>
    <row r="189" spans="1:9" x14ac:dyDescent="0.25">
      <c r="A189" s="43"/>
      <c r="B189" s="498"/>
      <c r="C189" s="1"/>
      <c r="D189" s="1"/>
      <c r="E189" s="1"/>
      <c r="F189" s="28" t="s">
        <v>27</v>
      </c>
      <c r="G189" s="29" t="s">
        <v>34</v>
      </c>
      <c r="H189" s="29"/>
      <c r="I189" s="1"/>
    </row>
    <row r="190" spans="1:9" ht="75" x14ac:dyDescent="0.25">
      <c r="A190" s="43"/>
      <c r="B190" s="498"/>
      <c r="C190" s="1"/>
      <c r="D190" s="1"/>
      <c r="E190" s="1"/>
      <c r="F190" s="32" t="s">
        <v>28</v>
      </c>
      <c r="G190" s="33" t="s">
        <v>472</v>
      </c>
      <c r="H190" s="33"/>
      <c r="I190" s="1"/>
    </row>
    <row r="191" spans="1:9" ht="60" x14ac:dyDescent="0.25">
      <c r="A191" s="43"/>
      <c r="B191" s="498"/>
      <c r="C191" s="1"/>
      <c r="D191" s="1"/>
      <c r="E191" s="1"/>
      <c r="F191" s="28" t="s">
        <v>29</v>
      </c>
      <c r="G191" s="70" t="s">
        <v>416</v>
      </c>
      <c r="H191" s="29"/>
      <c r="I191" s="71" t="s">
        <v>494</v>
      </c>
    </row>
    <row r="192" spans="1:9" x14ac:dyDescent="0.25">
      <c r="A192" s="43"/>
      <c r="B192" s="498"/>
      <c r="C192" s="75" t="s">
        <v>47</v>
      </c>
      <c r="D192" s="84" t="s">
        <v>52</v>
      </c>
      <c r="E192" s="73"/>
      <c r="F192" s="73" t="s">
        <v>14</v>
      </c>
      <c r="G192" s="74" t="s">
        <v>525</v>
      </c>
      <c r="H192" s="74"/>
      <c r="I192" s="1"/>
    </row>
    <row r="193" spans="1:9" x14ac:dyDescent="0.25">
      <c r="A193" s="43"/>
      <c r="B193" s="498"/>
      <c r="C193" s="81" t="s">
        <v>13</v>
      </c>
      <c r="D193" s="81"/>
      <c r="E193" s="83"/>
      <c r="F193" s="81" t="s">
        <v>15</v>
      </c>
      <c r="G193" s="60" t="s">
        <v>525</v>
      </c>
      <c r="H193" s="60"/>
      <c r="I193" s="1"/>
    </row>
    <row r="194" spans="1:9" x14ac:dyDescent="0.25">
      <c r="A194" s="43"/>
      <c r="B194" s="498"/>
      <c r="C194" s="1"/>
      <c r="D194" s="1"/>
      <c r="E194" s="1"/>
      <c r="F194" s="28" t="s">
        <v>16</v>
      </c>
      <c r="G194" s="29" t="s">
        <v>525</v>
      </c>
      <c r="H194" s="29"/>
      <c r="I194" s="1"/>
    </row>
    <row r="195" spans="1:9" x14ac:dyDescent="0.25">
      <c r="A195" s="43"/>
      <c r="B195" s="498"/>
      <c r="C195" s="1"/>
      <c r="D195" s="1"/>
      <c r="E195" s="1"/>
      <c r="F195" s="32" t="s">
        <v>17</v>
      </c>
      <c r="G195" s="84" t="s">
        <v>52</v>
      </c>
      <c r="H195" s="50"/>
      <c r="I195" s="2"/>
    </row>
    <row r="196" spans="1:9" x14ac:dyDescent="0.25">
      <c r="A196" s="43"/>
      <c r="B196" s="498"/>
      <c r="C196" s="1"/>
      <c r="D196" s="1"/>
      <c r="E196" s="1"/>
      <c r="F196" s="28" t="s">
        <v>18</v>
      </c>
      <c r="G196" s="29" t="s">
        <v>32</v>
      </c>
      <c r="H196" s="29"/>
      <c r="I196" s="1"/>
    </row>
    <row r="197" spans="1:9" x14ac:dyDescent="0.25">
      <c r="A197" s="43"/>
      <c r="B197" s="498"/>
      <c r="C197" s="1"/>
      <c r="D197" s="1"/>
      <c r="E197" s="1"/>
      <c r="F197" s="28" t="s">
        <v>9</v>
      </c>
      <c r="G197" s="29" t="s">
        <v>2</v>
      </c>
      <c r="H197" s="29"/>
      <c r="I197" s="1"/>
    </row>
    <row r="198" spans="1:9" x14ac:dyDescent="0.25">
      <c r="A198" s="43"/>
      <c r="B198" s="498"/>
      <c r="C198" s="1"/>
      <c r="D198" s="1"/>
      <c r="E198" s="1"/>
      <c r="F198" s="28" t="s">
        <v>19</v>
      </c>
      <c r="G198" s="29" t="s">
        <v>33</v>
      </c>
      <c r="H198" s="29"/>
      <c r="I198" s="1"/>
    </row>
    <row r="199" spans="1:9" x14ac:dyDescent="0.25">
      <c r="A199" s="43"/>
      <c r="B199" s="498"/>
      <c r="C199" s="1"/>
      <c r="D199" s="1"/>
      <c r="E199" s="1"/>
      <c r="F199" s="28" t="s">
        <v>20</v>
      </c>
      <c r="G199" s="29" t="s">
        <v>525</v>
      </c>
      <c r="H199" s="29"/>
      <c r="I199" s="1"/>
    </row>
    <row r="200" spans="1:9" ht="255" x14ac:dyDescent="0.25">
      <c r="A200" s="43"/>
      <c r="B200" s="498"/>
      <c r="C200" s="1"/>
      <c r="D200" s="1"/>
      <c r="E200" s="1"/>
      <c r="F200" s="36" t="s">
        <v>21</v>
      </c>
      <c r="G200" s="37" t="s">
        <v>481</v>
      </c>
      <c r="H200" s="37"/>
      <c r="I200" s="1"/>
    </row>
    <row r="201" spans="1:9" x14ac:dyDescent="0.25">
      <c r="A201" s="43"/>
      <c r="B201" s="498"/>
      <c r="C201" s="1"/>
      <c r="D201" s="1"/>
      <c r="E201" s="1"/>
      <c r="F201" s="31" t="s">
        <v>36</v>
      </c>
      <c r="G201" s="34" t="s">
        <v>39</v>
      </c>
      <c r="H201" s="49"/>
      <c r="I201" s="1"/>
    </row>
    <row r="202" spans="1:9" ht="60" x14ac:dyDescent="0.25">
      <c r="A202" s="43"/>
      <c r="B202" s="498"/>
      <c r="C202" s="1"/>
      <c r="D202" s="1"/>
      <c r="E202" s="1"/>
      <c r="F202" s="31" t="s">
        <v>22</v>
      </c>
      <c r="G202" s="33" t="s">
        <v>490</v>
      </c>
      <c r="H202" s="33"/>
      <c r="I202" s="1"/>
    </row>
    <row r="203" spans="1:9" x14ac:dyDescent="0.25">
      <c r="A203" s="43"/>
      <c r="B203" s="498"/>
      <c r="C203" s="1"/>
      <c r="D203" s="1"/>
      <c r="E203" s="1"/>
      <c r="F203" s="28" t="s">
        <v>23</v>
      </c>
      <c r="G203" s="29" t="s">
        <v>37</v>
      </c>
      <c r="H203" s="29"/>
      <c r="I203" s="1"/>
    </row>
    <row r="204" spans="1:9" x14ac:dyDescent="0.25">
      <c r="A204" s="43"/>
      <c r="B204" s="498"/>
      <c r="C204" s="1"/>
      <c r="D204" s="1"/>
      <c r="E204" s="1"/>
      <c r="F204" s="28" t="s">
        <v>24</v>
      </c>
      <c r="G204" s="29" t="s">
        <v>525</v>
      </c>
      <c r="H204" s="29"/>
      <c r="I204" s="1"/>
    </row>
    <row r="205" spans="1:9" x14ac:dyDescent="0.25">
      <c r="A205" s="43"/>
      <c r="B205" s="498"/>
      <c r="C205" s="1"/>
      <c r="D205" s="1"/>
      <c r="E205" s="1"/>
      <c r="F205" s="28" t="s">
        <v>26</v>
      </c>
      <c r="G205" s="29" t="s">
        <v>525</v>
      </c>
      <c r="H205" s="29"/>
      <c r="I205" s="1"/>
    </row>
    <row r="206" spans="1:9" ht="75" x14ac:dyDescent="0.25">
      <c r="A206" s="43"/>
      <c r="B206" s="498"/>
      <c r="C206" s="1"/>
      <c r="D206" s="1"/>
      <c r="E206" s="1"/>
      <c r="F206" s="32" t="s">
        <v>25</v>
      </c>
      <c r="G206" s="33" t="s">
        <v>471</v>
      </c>
      <c r="H206" s="33"/>
      <c r="I206" s="1"/>
    </row>
    <row r="207" spans="1:9" x14ac:dyDescent="0.25">
      <c r="A207" s="43"/>
      <c r="B207" s="498"/>
      <c r="C207" s="1"/>
      <c r="D207" s="1"/>
      <c r="E207" s="1"/>
      <c r="F207" s="28" t="s">
        <v>27</v>
      </c>
      <c r="G207" s="29" t="s">
        <v>34</v>
      </c>
      <c r="H207" s="29"/>
      <c r="I207" s="1"/>
    </row>
    <row r="208" spans="1:9" ht="75" x14ac:dyDescent="0.25">
      <c r="A208" s="43"/>
      <c r="B208" s="498"/>
      <c r="C208" s="1"/>
      <c r="D208" s="1"/>
      <c r="E208" s="1"/>
      <c r="F208" s="32" t="s">
        <v>28</v>
      </c>
      <c r="G208" s="33" t="s">
        <v>472</v>
      </c>
      <c r="H208" s="33"/>
      <c r="I208" s="1"/>
    </row>
    <row r="209" spans="1:9" ht="60" x14ac:dyDescent="0.25">
      <c r="A209" s="43"/>
      <c r="B209" s="498"/>
      <c r="C209" s="1"/>
      <c r="D209" s="1"/>
      <c r="E209" s="1"/>
      <c r="F209" s="32" t="s">
        <v>29</v>
      </c>
      <c r="G209" s="70" t="s">
        <v>416</v>
      </c>
      <c r="H209" s="29"/>
      <c r="I209" s="71" t="s">
        <v>495</v>
      </c>
    </row>
    <row r="210" spans="1:9" x14ac:dyDescent="0.25">
      <c r="A210" s="43"/>
      <c r="B210" s="498"/>
      <c r="C210" s="75" t="s">
        <v>47</v>
      </c>
      <c r="D210" s="84" t="s">
        <v>53</v>
      </c>
      <c r="E210" s="73"/>
      <c r="F210" s="73" t="s">
        <v>14</v>
      </c>
      <c r="G210" s="74" t="s">
        <v>525</v>
      </c>
      <c r="H210" s="74"/>
      <c r="I210" s="1"/>
    </row>
    <row r="211" spans="1:9" x14ac:dyDescent="0.25">
      <c r="A211" s="43"/>
      <c r="B211" s="498"/>
      <c r="C211" s="81" t="s">
        <v>13</v>
      </c>
      <c r="D211" s="81"/>
      <c r="E211" s="83"/>
      <c r="F211" s="81" t="s">
        <v>15</v>
      </c>
      <c r="G211" s="60" t="s">
        <v>525</v>
      </c>
      <c r="H211" s="60"/>
      <c r="I211" s="1"/>
    </row>
    <row r="212" spans="1:9" x14ac:dyDescent="0.25">
      <c r="A212" s="43"/>
      <c r="B212" s="498"/>
      <c r="C212" s="1"/>
      <c r="D212" s="1"/>
      <c r="E212" s="1"/>
      <c r="F212" s="28" t="s">
        <v>16</v>
      </c>
      <c r="G212" s="29" t="s">
        <v>525</v>
      </c>
      <c r="H212" s="29"/>
      <c r="I212" s="1"/>
    </row>
    <row r="213" spans="1:9" x14ac:dyDescent="0.25">
      <c r="A213" s="43"/>
      <c r="B213" s="498"/>
      <c r="C213" s="1"/>
      <c r="D213" s="1"/>
      <c r="E213" s="1"/>
      <c r="F213" s="32" t="s">
        <v>17</v>
      </c>
      <c r="G213" s="85" t="s">
        <v>53</v>
      </c>
      <c r="H213" s="50"/>
      <c r="I213" s="2"/>
    </row>
    <row r="214" spans="1:9" x14ac:dyDescent="0.25">
      <c r="A214" s="43"/>
      <c r="B214" s="498"/>
      <c r="C214" s="1"/>
      <c r="D214" s="1"/>
      <c r="E214" s="1"/>
      <c r="F214" s="28" t="s">
        <v>18</v>
      </c>
      <c r="G214" s="29" t="s">
        <v>32</v>
      </c>
      <c r="H214" s="29"/>
      <c r="I214" s="1"/>
    </row>
    <row r="215" spans="1:9" x14ac:dyDescent="0.25">
      <c r="A215" s="43"/>
      <c r="B215" s="498"/>
      <c r="C215" s="1"/>
      <c r="D215" s="1"/>
      <c r="E215" s="1"/>
      <c r="F215" s="28" t="s">
        <v>9</v>
      </c>
      <c r="G215" s="29" t="s">
        <v>2</v>
      </c>
      <c r="H215" s="29"/>
      <c r="I215" s="1"/>
    </row>
    <row r="216" spans="1:9" x14ac:dyDescent="0.25">
      <c r="A216" s="43"/>
      <c r="B216" s="498"/>
      <c r="C216" s="1"/>
      <c r="D216" s="1"/>
      <c r="E216" s="1"/>
      <c r="F216" s="28" t="s">
        <v>19</v>
      </c>
      <c r="G216" s="29" t="s">
        <v>33</v>
      </c>
      <c r="H216" s="29"/>
      <c r="I216" s="1"/>
    </row>
    <row r="217" spans="1:9" x14ac:dyDescent="0.25">
      <c r="A217" s="43"/>
      <c r="B217" s="498"/>
      <c r="C217" s="1"/>
      <c r="D217" s="1"/>
      <c r="E217" s="1"/>
      <c r="F217" s="28" t="s">
        <v>20</v>
      </c>
      <c r="G217" s="29" t="s">
        <v>525</v>
      </c>
      <c r="H217" s="29"/>
      <c r="I217" s="1"/>
    </row>
    <row r="218" spans="1:9" ht="255" x14ac:dyDescent="0.25">
      <c r="A218" s="43"/>
      <c r="B218" s="498"/>
      <c r="C218" s="1"/>
      <c r="D218" s="1"/>
      <c r="E218" s="1"/>
      <c r="F218" s="36" t="s">
        <v>21</v>
      </c>
      <c r="G218" s="37" t="s">
        <v>481</v>
      </c>
      <c r="H218" s="37"/>
      <c r="I218" s="1"/>
    </row>
    <row r="219" spans="1:9" x14ac:dyDescent="0.25">
      <c r="A219" s="43"/>
      <c r="B219" s="498"/>
      <c r="C219" s="1"/>
      <c r="D219" s="1"/>
      <c r="E219" s="1"/>
      <c r="F219" s="31" t="s">
        <v>36</v>
      </c>
      <c r="G219" s="34" t="s">
        <v>39</v>
      </c>
      <c r="H219" s="49"/>
      <c r="I219" s="1"/>
    </row>
    <row r="220" spans="1:9" ht="60" x14ac:dyDescent="0.25">
      <c r="A220" s="43"/>
      <c r="B220" s="498"/>
      <c r="C220" s="1"/>
      <c r="D220" s="1"/>
      <c r="E220" s="1"/>
      <c r="F220" s="31" t="s">
        <v>22</v>
      </c>
      <c r="G220" s="33" t="s">
        <v>490</v>
      </c>
      <c r="H220" s="33"/>
      <c r="I220" s="1"/>
    </row>
    <row r="221" spans="1:9" x14ac:dyDescent="0.25">
      <c r="A221" s="43"/>
      <c r="B221" s="498"/>
      <c r="C221" s="1"/>
      <c r="D221" s="1"/>
      <c r="E221" s="1"/>
      <c r="F221" s="28" t="s">
        <v>23</v>
      </c>
      <c r="G221" s="29" t="s">
        <v>37</v>
      </c>
      <c r="H221" s="29"/>
      <c r="I221" s="1"/>
    </row>
    <row r="222" spans="1:9" x14ac:dyDescent="0.25">
      <c r="A222" s="43"/>
      <c r="B222" s="498"/>
      <c r="C222" s="1"/>
      <c r="D222" s="1"/>
      <c r="E222" s="1"/>
      <c r="F222" s="28" t="s">
        <v>24</v>
      </c>
      <c r="G222" s="29" t="s">
        <v>525</v>
      </c>
      <c r="H222" s="29"/>
      <c r="I222" s="1"/>
    </row>
    <row r="223" spans="1:9" x14ac:dyDescent="0.25">
      <c r="A223" s="43"/>
      <c r="B223" s="498"/>
      <c r="C223" s="1"/>
      <c r="D223" s="1"/>
      <c r="E223" s="1"/>
      <c r="F223" s="28" t="s">
        <v>26</v>
      </c>
      <c r="G223" s="29" t="s">
        <v>525</v>
      </c>
      <c r="H223" s="29"/>
      <c r="I223" s="1"/>
    </row>
    <row r="224" spans="1:9" ht="75" x14ac:dyDescent="0.25">
      <c r="A224" s="43"/>
      <c r="B224" s="498"/>
      <c r="C224" s="1"/>
      <c r="D224" s="1"/>
      <c r="E224" s="1"/>
      <c r="F224" s="32" t="s">
        <v>25</v>
      </c>
      <c r="G224" s="33" t="s">
        <v>471</v>
      </c>
      <c r="H224" s="33"/>
      <c r="I224" s="1"/>
    </row>
    <row r="225" spans="1:9" x14ac:dyDescent="0.25">
      <c r="A225" s="43"/>
      <c r="B225" s="498"/>
      <c r="C225" s="1"/>
      <c r="D225" s="1"/>
      <c r="E225" s="1"/>
      <c r="F225" s="28" t="s">
        <v>27</v>
      </c>
      <c r="G225" s="29" t="s">
        <v>34</v>
      </c>
      <c r="H225" s="29"/>
      <c r="I225" s="1"/>
    </row>
    <row r="226" spans="1:9" ht="75" x14ac:dyDescent="0.25">
      <c r="A226" s="43"/>
      <c r="B226" s="498"/>
      <c r="C226" s="1"/>
      <c r="D226" s="1"/>
      <c r="E226" s="1"/>
      <c r="F226" s="32" t="s">
        <v>28</v>
      </c>
      <c r="G226" s="33" t="s">
        <v>472</v>
      </c>
      <c r="H226" s="33"/>
      <c r="I226" s="1"/>
    </row>
    <row r="227" spans="1:9" ht="60" x14ac:dyDescent="0.25">
      <c r="A227" s="43"/>
      <c r="B227" s="498"/>
      <c r="C227" s="1"/>
      <c r="D227" s="1"/>
      <c r="E227" s="1"/>
      <c r="F227" s="28" t="s">
        <v>29</v>
      </c>
      <c r="G227" s="70" t="s">
        <v>416</v>
      </c>
      <c r="H227" s="29"/>
      <c r="I227" s="71" t="s">
        <v>496</v>
      </c>
    </row>
    <row r="228" spans="1:9" x14ac:dyDescent="0.25">
      <c r="A228" s="43"/>
      <c r="B228" s="498"/>
      <c r="C228" s="75" t="s">
        <v>47</v>
      </c>
      <c r="D228" s="84" t="s">
        <v>54</v>
      </c>
      <c r="E228" s="73"/>
      <c r="F228" s="73" t="s">
        <v>14</v>
      </c>
      <c r="G228" s="74" t="s">
        <v>525</v>
      </c>
      <c r="H228" s="74"/>
      <c r="I228" s="1"/>
    </row>
    <row r="229" spans="1:9" x14ac:dyDescent="0.25">
      <c r="A229" s="43"/>
      <c r="B229" s="498"/>
      <c r="C229" s="81" t="s">
        <v>13</v>
      </c>
      <c r="D229" s="81"/>
      <c r="E229" s="83"/>
      <c r="F229" s="81" t="s">
        <v>15</v>
      </c>
      <c r="G229" s="60" t="s">
        <v>525</v>
      </c>
      <c r="H229" s="60"/>
      <c r="I229" s="1"/>
    </row>
    <row r="230" spans="1:9" x14ac:dyDescent="0.25">
      <c r="A230" s="43"/>
      <c r="B230" s="498"/>
      <c r="C230" s="1"/>
      <c r="D230" s="1"/>
      <c r="E230" s="1"/>
      <c r="F230" s="28" t="s">
        <v>16</v>
      </c>
      <c r="G230" s="29" t="s">
        <v>525</v>
      </c>
      <c r="H230" s="29"/>
      <c r="I230" s="1"/>
    </row>
    <row r="231" spans="1:9" x14ac:dyDescent="0.25">
      <c r="A231" s="43"/>
      <c r="B231" s="498"/>
      <c r="C231" s="1"/>
      <c r="D231" s="1"/>
      <c r="E231" s="1"/>
      <c r="F231" s="32" t="s">
        <v>17</v>
      </c>
      <c r="G231" s="38" t="s">
        <v>54</v>
      </c>
      <c r="H231" s="50"/>
      <c r="I231" s="2"/>
    </row>
    <row r="232" spans="1:9" x14ac:dyDescent="0.25">
      <c r="A232" s="43"/>
      <c r="B232" s="498"/>
      <c r="C232" s="1"/>
      <c r="D232" s="1"/>
      <c r="E232" s="1"/>
      <c r="F232" s="28" t="s">
        <v>18</v>
      </c>
      <c r="G232" s="29" t="s">
        <v>32</v>
      </c>
      <c r="H232" s="29"/>
      <c r="I232" s="1"/>
    </row>
    <row r="233" spans="1:9" x14ac:dyDescent="0.25">
      <c r="A233" s="43"/>
      <c r="B233" s="498"/>
      <c r="C233" s="1"/>
      <c r="D233" s="1"/>
      <c r="E233" s="1"/>
      <c r="F233" s="28" t="s">
        <v>9</v>
      </c>
      <c r="G233" s="29" t="s">
        <v>2</v>
      </c>
      <c r="H233" s="29"/>
      <c r="I233" s="1"/>
    </row>
    <row r="234" spans="1:9" x14ac:dyDescent="0.25">
      <c r="A234" s="43"/>
      <c r="B234" s="498"/>
      <c r="C234" s="1"/>
      <c r="D234" s="1"/>
      <c r="E234" s="1"/>
      <c r="F234" s="28" t="s">
        <v>19</v>
      </c>
      <c r="G234" s="29" t="s">
        <v>33</v>
      </c>
      <c r="H234" s="29"/>
      <c r="I234" s="1"/>
    </row>
    <row r="235" spans="1:9" x14ac:dyDescent="0.25">
      <c r="A235" s="43"/>
      <c r="B235" s="498"/>
      <c r="C235" s="1"/>
      <c r="D235" s="1"/>
      <c r="E235" s="1"/>
      <c r="F235" s="28" t="s">
        <v>20</v>
      </c>
      <c r="G235" s="29" t="s">
        <v>525</v>
      </c>
      <c r="H235" s="29"/>
      <c r="I235" s="1"/>
    </row>
    <row r="236" spans="1:9" ht="255" x14ac:dyDescent="0.25">
      <c r="A236" s="43"/>
      <c r="B236" s="498"/>
      <c r="C236" s="1"/>
      <c r="D236" s="1"/>
      <c r="E236" s="1"/>
      <c r="F236" s="36" t="s">
        <v>21</v>
      </c>
      <c r="G236" s="37" t="s">
        <v>481</v>
      </c>
      <c r="H236" s="37"/>
      <c r="I236" s="1"/>
    </row>
    <row r="237" spans="1:9" x14ac:dyDescent="0.25">
      <c r="A237" s="43"/>
      <c r="B237" s="498"/>
      <c r="C237" s="1"/>
      <c r="D237" s="1"/>
      <c r="E237" s="1"/>
      <c r="F237" s="31" t="s">
        <v>36</v>
      </c>
      <c r="G237" s="34" t="s">
        <v>39</v>
      </c>
      <c r="H237" s="49"/>
      <c r="I237" s="1"/>
    </row>
    <row r="238" spans="1:9" ht="60" x14ac:dyDescent="0.25">
      <c r="A238" s="43"/>
      <c r="B238" s="498"/>
      <c r="C238" s="1"/>
      <c r="D238" s="1"/>
      <c r="E238" s="1"/>
      <c r="F238" s="31" t="s">
        <v>22</v>
      </c>
      <c r="G238" s="33" t="s">
        <v>490</v>
      </c>
      <c r="H238" s="33"/>
      <c r="I238" s="1"/>
    </row>
    <row r="239" spans="1:9" x14ac:dyDescent="0.25">
      <c r="A239" s="43"/>
      <c r="B239" s="498"/>
      <c r="C239" s="1"/>
      <c r="D239" s="1"/>
      <c r="E239" s="1"/>
      <c r="F239" s="28" t="s">
        <v>23</v>
      </c>
      <c r="G239" s="29" t="s">
        <v>37</v>
      </c>
      <c r="H239" s="29"/>
      <c r="I239" s="1"/>
    </row>
    <row r="240" spans="1:9" x14ac:dyDescent="0.25">
      <c r="A240" s="43"/>
      <c r="B240" s="498"/>
      <c r="C240" s="1"/>
      <c r="D240" s="1"/>
      <c r="E240" s="1"/>
      <c r="F240" s="28" t="s">
        <v>24</v>
      </c>
      <c r="G240" s="29" t="s">
        <v>525</v>
      </c>
      <c r="H240" s="29"/>
      <c r="I240" s="1"/>
    </row>
    <row r="241" spans="1:9" x14ac:dyDescent="0.25">
      <c r="A241" s="43"/>
      <c r="B241" s="498"/>
      <c r="C241" s="1"/>
      <c r="D241" s="1"/>
      <c r="E241" s="1"/>
      <c r="F241" s="28" t="s">
        <v>26</v>
      </c>
      <c r="G241" s="29" t="s">
        <v>525</v>
      </c>
      <c r="H241" s="29"/>
      <c r="I241" s="1"/>
    </row>
    <row r="242" spans="1:9" ht="75" x14ac:dyDescent="0.25">
      <c r="A242" s="43"/>
      <c r="B242" s="498"/>
      <c r="C242" s="1"/>
      <c r="D242" s="1"/>
      <c r="E242" s="1"/>
      <c r="F242" s="32" t="s">
        <v>25</v>
      </c>
      <c r="G242" s="33" t="s">
        <v>471</v>
      </c>
      <c r="H242" s="33"/>
      <c r="I242" s="1"/>
    </row>
    <row r="243" spans="1:9" x14ac:dyDescent="0.25">
      <c r="A243" s="43"/>
      <c r="B243" s="498"/>
      <c r="C243" s="1"/>
      <c r="D243" s="1"/>
      <c r="E243" s="1"/>
      <c r="F243" s="28" t="s">
        <v>27</v>
      </c>
      <c r="G243" s="29" t="s">
        <v>34</v>
      </c>
      <c r="H243" s="29"/>
      <c r="I243" s="1"/>
    </row>
    <row r="244" spans="1:9" ht="75" x14ac:dyDescent="0.25">
      <c r="A244" s="43"/>
      <c r="B244" s="498"/>
      <c r="C244" s="1"/>
      <c r="D244" s="1"/>
      <c r="E244" s="1"/>
      <c r="F244" s="32" t="s">
        <v>28</v>
      </c>
      <c r="G244" s="33" t="s">
        <v>472</v>
      </c>
      <c r="H244" s="33"/>
      <c r="I244" s="1"/>
    </row>
    <row r="245" spans="1:9" ht="60" x14ac:dyDescent="0.25">
      <c r="A245" s="43"/>
      <c r="B245" s="498"/>
      <c r="C245" s="1"/>
      <c r="D245" s="1"/>
      <c r="E245" s="1"/>
      <c r="F245" s="28" t="s">
        <v>29</v>
      </c>
      <c r="G245" s="70" t="s">
        <v>416</v>
      </c>
      <c r="H245" s="29"/>
      <c r="I245" s="71" t="s">
        <v>497</v>
      </c>
    </row>
    <row r="246" spans="1:9" x14ac:dyDescent="0.25">
      <c r="A246" s="43"/>
      <c r="B246" s="498"/>
      <c r="C246" s="75" t="s">
        <v>47</v>
      </c>
      <c r="D246" s="84" t="s">
        <v>55</v>
      </c>
      <c r="E246" s="73"/>
      <c r="F246" s="73" t="s">
        <v>14</v>
      </c>
      <c r="G246" s="74" t="s">
        <v>525</v>
      </c>
      <c r="H246" s="74"/>
      <c r="I246" s="1"/>
    </row>
    <row r="247" spans="1:9" x14ac:dyDescent="0.25">
      <c r="A247" s="43"/>
      <c r="B247" s="498"/>
      <c r="C247" s="81" t="s">
        <v>13</v>
      </c>
      <c r="D247" s="81"/>
      <c r="E247" s="83"/>
      <c r="F247" s="81" t="s">
        <v>15</v>
      </c>
      <c r="G247" s="60" t="s">
        <v>525</v>
      </c>
      <c r="H247" s="60"/>
      <c r="I247" s="1"/>
    </row>
    <row r="248" spans="1:9" x14ac:dyDescent="0.25">
      <c r="A248" s="43"/>
      <c r="B248" s="498"/>
      <c r="C248" s="1"/>
      <c r="D248" s="1"/>
      <c r="E248" s="1"/>
      <c r="F248" s="28" t="s">
        <v>16</v>
      </c>
      <c r="G248" s="29" t="s">
        <v>525</v>
      </c>
      <c r="H248" s="29"/>
      <c r="I248" s="1"/>
    </row>
    <row r="249" spans="1:9" x14ac:dyDescent="0.25">
      <c r="A249" s="43"/>
      <c r="B249" s="498"/>
      <c r="C249" s="1"/>
      <c r="D249" s="1"/>
      <c r="E249" s="1"/>
      <c r="F249" s="32" t="s">
        <v>17</v>
      </c>
      <c r="G249" s="38" t="s">
        <v>55</v>
      </c>
      <c r="H249" s="50"/>
      <c r="I249" s="2"/>
    </row>
    <row r="250" spans="1:9" x14ac:dyDescent="0.25">
      <c r="A250" s="43"/>
      <c r="B250" s="498"/>
      <c r="C250" s="1"/>
      <c r="D250" s="1"/>
      <c r="E250" s="1"/>
      <c r="F250" s="28" t="s">
        <v>18</v>
      </c>
      <c r="G250" s="29" t="s">
        <v>32</v>
      </c>
      <c r="H250" s="29"/>
      <c r="I250" s="1"/>
    </row>
    <row r="251" spans="1:9" x14ac:dyDescent="0.25">
      <c r="A251" s="43"/>
      <c r="B251" s="498"/>
      <c r="C251" s="1"/>
      <c r="D251" s="1"/>
      <c r="E251" s="1"/>
      <c r="F251" s="28" t="s">
        <v>9</v>
      </c>
      <c r="G251" s="29" t="s">
        <v>2</v>
      </c>
      <c r="H251" s="29"/>
      <c r="I251" s="1"/>
    </row>
    <row r="252" spans="1:9" x14ac:dyDescent="0.25">
      <c r="A252" s="43"/>
      <c r="B252" s="498"/>
      <c r="C252" s="1"/>
      <c r="D252" s="1"/>
      <c r="E252" s="1"/>
      <c r="F252" s="28" t="s">
        <v>19</v>
      </c>
      <c r="G252" s="29" t="s">
        <v>33</v>
      </c>
      <c r="H252" s="29"/>
      <c r="I252" s="1"/>
    </row>
    <row r="253" spans="1:9" x14ac:dyDescent="0.25">
      <c r="A253" s="43"/>
      <c r="B253" s="498"/>
      <c r="C253" s="1"/>
      <c r="D253" s="1"/>
      <c r="E253" s="1"/>
      <c r="F253" s="28" t="s">
        <v>20</v>
      </c>
      <c r="G253" s="29" t="s">
        <v>525</v>
      </c>
      <c r="H253" s="29"/>
      <c r="I253" s="1"/>
    </row>
    <row r="254" spans="1:9" ht="255" x14ac:dyDescent="0.25">
      <c r="A254" s="43"/>
      <c r="B254" s="498"/>
      <c r="C254" s="1"/>
      <c r="D254" s="1"/>
      <c r="E254" s="1"/>
      <c r="F254" s="36" t="s">
        <v>21</v>
      </c>
      <c r="G254" s="37" t="s">
        <v>481</v>
      </c>
      <c r="H254" s="37"/>
      <c r="I254" s="1"/>
    </row>
    <row r="255" spans="1:9" x14ac:dyDescent="0.25">
      <c r="A255" s="43"/>
      <c r="B255" s="498"/>
      <c r="C255" s="1"/>
      <c r="D255" s="1"/>
      <c r="E255" s="1"/>
      <c r="F255" s="31" t="s">
        <v>36</v>
      </c>
      <c r="G255" s="34" t="s">
        <v>39</v>
      </c>
      <c r="H255" s="49"/>
      <c r="I255" s="1"/>
    </row>
    <row r="256" spans="1:9" ht="60" x14ac:dyDescent="0.25">
      <c r="A256" s="43"/>
      <c r="B256" s="498"/>
      <c r="C256" s="1"/>
      <c r="D256" s="1"/>
      <c r="E256" s="1"/>
      <c r="F256" s="31" t="s">
        <v>22</v>
      </c>
      <c r="G256" s="33" t="s">
        <v>490</v>
      </c>
      <c r="H256" s="33"/>
      <c r="I256" s="1"/>
    </row>
    <row r="257" spans="1:9" x14ac:dyDescent="0.25">
      <c r="A257" s="43"/>
      <c r="B257" s="498"/>
      <c r="C257" s="1"/>
      <c r="D257" s="1"/>
      <c r="E257" s="1"/>
      <c r="F257" s="28" t="s">
        <v>23</v>
      </c>
      <c r="G257" s="29" t="s">
        <v>37</v>
      </c>
      <c r="H257" s="29"/>
      <c r="I257" s="1"/>
    </row>
    <row r="258" spans="1:9" x14ac:dyDescent="0.25">
      <c r="A258" s="43"/>
      <c r="B258" s="498"/>
      <c r="C258" s="1"/>
      <c r="D258" s="1"/>
      <c r="E258" s="1"/>
      <c r="F258" s="28" t="s">
        <v>24</v>
      </c>
      <c r="G258" s="29" t="s">
        <v>525</v>
      </c>
      <c r="H258" s="29"/>
      <c r="I258" s="1"/>
    </row>
    <row r="259" spans="1:9" x14ac:dyDescent="0.25">
      <c r="A259" s="43"/>
      <c r="B259" s="498"/>
      <c r="C259" s="1"/>
      <c r="D259" s="1"/>
      <c r="E259" s="1"/>
      <c r="F259" s="28" t="s">
        <v>26</v>
      </c>
      <c r="G259" s="29" t="s">
        <v>525</v>
      </c>
      <c r="H259" s="29"/>
      <c r="I259" s="1"/>
    </row>
    <row r="260" spans="1:9" ht="75" x14ac:dyDescent="0.25">
      <c r="A260" s="43"/>
      <c r="B260" s="498"/>
      <c r="C260" s="1"/>
      <c r="D260" s="1"/>
      <c r="E260" s="1"/>
      <c r="F260" s="32" t="s">
        <v>25</v>
      </c>
      <c r="G260" s="33" t="s">
        <v>471</v>
      </c>
      <c r="H260" s="33"/>
      <c r="I260" s="1"/>
    </row>
    <row r="261" spans="1:9" x14ac:dyDescent="0.25">
      <c r="A261" s="43"/>
      <c r="B261" s="498"/>
      <c r="C261" s="1"/>
      <c r="D261" s="1"/>
      <c r="E261" s="1"/>
      <c r="F261" s="28" t="s">
        <v>27</v>
      </c>
      <c r="G261" s="29" t="s">
        <v>34</v>
      </c>
      <c r="H261" s="29"/>
      <c r="I261" s="1"/>
    </row>
    <row r="262" spans="1:9" ht="75" x14ac:dyDescent="0.25">
      <c r="A262" s="43"/>
      <c r="B262" s="498"/>
      <c r="C262" s="1"/>
      <c r="D262" s="1"/>
      <c r="E262" s="1"/>
      <c r="F262" s="32" t="s">
        <v>28</v>
      </c>
      <c r="G262" s="33" t="s">
        <v>472</v>
      </c>
      <c r="H262" s="33"/>
      <c r="I262" s="1"/>
    </row>
    <row r="263" spans="1:9" ht="60" x14ac:dyDescent="0.25">
      <c r="A263" s="43"/>
      <c r="B263" s="498"/>
      <c r="C263" s="1"/>
      <c r="D263" s="1"/>
      <c r="E263" s="1"/>
      <c r="F263" s="28" t="s">
        <v>29</v>
      </c>
      <c r="G263" s="70" t="s">
        <v>416</v>
      </c>
      <c r="H263" s="29"/>
      <c r="I263" s="71" t="s">
        <v>498</v>
      </c>
    </row>
    <row r="264" spans="1:9" x14ac:dyDescent="0.25">
      <c r="A264" s="43"/>
      <c r="B264" s="498"/>
      <c r="C264" s="75" t="s">
        <v>47</v>
      </c>
      <c r="D264" s="84" t="s">
        <v>56</v>
      </c>
      <c r="E264" s="73"/>
      <c r="F264" s="73" t="s">
        <v>14</v>
      </c>
      <c r="G264" s="74" t="s">
        <v>525</v>
      </c>
      <c r="H264" s="74"/>
      <c r="I264" s="1"/>
    </row>
    <row r="265" spans="1:9" x14ac:dyDescent="0.25">
      <c r="A265" s="43"/>
      <c r="B265" s="498"/>
      <c r="C265" s="81" t="s">
        <v>13</v>
      </c>
      <c r="D265" s="81"/>
      <c r="E265" s="83"/>
      <c r="F265" s="81" t="s">
        <v>15</v>
      </c>
      <c r="G265" s="60" t="s">
        <v>525</v>
      </c>
      <c r="H265" s="60"/>
      <c r="I265" s="1"/>
    </row>
    <row r="266" spans="1:9" x14ac:dyDescent="0.25">
      <c r="A266" s="43"/>
      <c r="B266" s="498"/>
      <c r="C266" s="1"/>
      <c r="D266" s="1"/>
      <c r="E266" s="1"/>
      <c r="F266" s="28" t="s">
        <v>16</v>
      </c>
      <c r="G266" s="29" t="s">
        <v>525</v>
      </c>
      <c r="H266" s="29"/>
      <c r="I266" s="1"/>
    </row>
    <row r="267" spans="1:9" x14ac:dyDescent="0.25">
      <c r="A267" s="43"/>
      <c r="B267" s="498"/>
      <c r="C267" s="1"/>
      <c r="D267" s="1"/>
      <c r="E267" s="1"/>
      <c r="F267" s="32" t="s">
        <v>17</v>
      </c>
      <c r="G267" s="38" t="s">
        <v>56</v>
      </c>
      <c r="H267" s="50"/>
      <c r="I267" s="2"/>
    </row>
    <row r="268" spans="1:9" x14ac:dyDescent="0.25">
      <c r="A268" s="43"/>
      <c r="B268" s="498"/>
      <c r="C268" s="1"/>
      <c r="D268" s="1"/>
      <c r="E268" s="1"/>
      <c r="F268" s="28" t="s">
        <v>18</v>
      </c>
      <c r="G268" s="29" t="s">
        <v>32</v>
      </c>
      <c r="H268" s="29"/>
      <c r="I268" s="1"/>
    </row>
    <row r="269" spans="1:9" x14ac:dyDescent="0.25">
      <c r="A269" s="43"/>
      <c r="B269" s="498"/>
      <c r="C269" s="1"/>
      <c r="D269" s="1"/>
      <c r="E269" s="1"/>
      <c r="F269" s="28" t="s">
        <v>9</v>
      </c>
      <c r="G269" s="29" t="s">
        <v>2</v>
      </c>
      <c r="H269" s="29"/>
      <c r="I269" s="1"/>
    </row>
    <row r="270" spans="1:9" x14ac:dyDescent="0.25">
      <c r="A270" s="43"/>
      <c r="B270" s="498"/>
      <c r="C270" s="1"/>
      <c r="D270" s="1"/>
      <c r="E270" s="1"/>
      <c r="F270" s="28" t="s">
        <v>19</v>
      </c>
      <c r="G270" s="29" t="s">
        <v>33</v>
      </c>
      <c r="H270" s="29"/>
      <c r="I270" s="1"/>
    </row>
    <row r="271" spans="1:9" x14ac:dyDescent="0.25">
      <c r="A271" s="43"/>
      <c r="B271" s="498"/>
      <c r="C271" s="1"/>
      <c r="D271" s="1"/>
      <c r="E271" s="1"/>
      <c r="F271" s="28" t="s">
        <v>20</v>
      </c>
      <c r="G271" s="29" t="s">
        <v>525</v>
      </c>
      <c r="H271" s="29"/>
      <c r="I271" s="1"/>
    </row>
    <row r="272" spans="1:9" ht="255" x14ac:dyDescent="0.25">
      <c r="A272" s="43"/>
      <c r="B272" s="498"/>
      <c r="C272" s="1"/>
      <c r="D272" s="1"/>
      <c r="E272" s="1"/>
      <c r="F272" s="36" t="s">
        <v>21</v>
      </c>
      <c r="G272" s="37" t="s">
        <v>481</v>
      </c>
      <c r="H272" s="37"/>
      <c r="I272" s="1"/>
    </row>
    <row r="273" spans="1:9" x14ac:dyDescent="0.25">
      <c r="A273" s="43"/>
      <c r="B273" s="498"/>
      <c r="C273" s="1"/>
      <c r="D273" s="1"/>
      <c r="E273" s="1"/>
      <c r="F273" s="31" t="s">
        <v>36</v>
      </c>
      <c r="G273" s="34" t="s">
        <v>39</v>
      </c>
      <c r="H273" s="49"/>
      <c r="I273" s="1"/>
    </row>
    <row r="274" spans="1:9" ht="60" x14ac:dyDescent="0.25">
      <c r="A274" s="43"/>
      <c r="B274" s="498"/>
      <c r="C274" s="1"/>
      <c r="D274" s="1"/>
      <c r="E274" s="1"/>
      <c r="F274" s="31" t="s">
        <v>22</v>
      </c>
      <c r="G274" s="33" t="s">
        <v>490</v>
      </c>
      <c r="H274" s="33"/>
      <c r="I274" s="1"/>
    </row>
    <row r="275" spans="1:9" x14ac:dyDescent="0.25">
      <c r="A275" s="43"/>
      <c r="B275" s="498"/>
      <c r="C275" s="1"/>
      <c r="D275" s="1"/>
      <c r="E275" s="1"/>
      <c r="F275" s="28" t="s">
        <v>23</v>
      </c>
      <c r="G275" s="29" t="s">
        <v>37</v>
      </c>
      <c r="H275" s="29"/>
      <c r="I275" s="1"/>
    </row>
    <row r="276" spans="1:9" x14ac:dyDescent="0.25">
      <c r="A276" s="43"/>
      <c r="B276" s="498"/>
      <c r="C276" s="1"/>
      <c r="D276" s="1"/>
      <c r="E276" s="1"/>
      <c r="F276" s="28" t="s">
        <v>24</v>
      </c>
      <c r="G276" s="29" t="s">
        <v>525</v>
      </c>
      <c r="H276" s="29"/>
      <c r="I276" s="1"/>
    </row>
    <row r="277" spans="1:9" x14ac:dyDescent="0.25">
      <c r="A277" s="43"/>
      <c r="B277" s="498"/>
      <c r="C277" s="1"/>
      <c r="D277" s="1"/>
      <c r="E277" s="1"/>
      <c r="F277" s="28" t="s">
        <v>26</v>
      </c>
      <c r="G277" s="29" t="s">
        <v>525</v>
      </c>
      <c r="H277" s="29"/>
      <c r="I277" s="1"/>
    </row>
    <row r="278" spans="1:9" ht="75" x14ac:dyDescent="0.25">
      <c r="A278" s="43"/>
      <c r="B278" s="498"/>
      <c r="C278" s="1"/>
      <c r="D278" s="1"/>
      <c r="E278" s="1"/>
      <c r="F278" s="32" t="s">
        <v>25</v>
      </c>
      <c r="G278" s="33" t="s">
        <v>471</v>
      </c>
      <c r="H278" s="33"/>
      <c r="I278" s="1"/>
    </row>
    <row r="279" spans="1:9" x14ac:dyDescent="0.25">
      <c r="A279" s="43"/>
      <c r="B279" s="498"/>
      <c r="C279" s="1"/>
      <c r="D279" s="1"/>
      <c r="E279" s="1"/>
      <c r="F279" s="28" t="s">
        <v>27</v>
      </c>
      <c r="G279" s="29" t="s">
        <v>34</v>
      </c>
      <c r="H279" s="29"/>
      <c r="I279" s="1"/>
    </row>
    <row r="280" spans="1:9" ht="75" x14ac:dyDescent="0.25">
      <c r="A280" s="43"/>
      <c r="B280" s="498"/>
      <c r="C280" s="1"/>
      <c r="D280" s="1"/>
      <c r="E280" s="1"/>
      <c r="F280" s="32" t="s">
        <v>28</v>
      </c>
      <c r="G280" s="33" t="s">
        <v>472</v>
      </c>
      <c r="H280" s="33"/>
      <c r="I280" s="1"/>
    </row>
    <row r="281" spans="1:9" ht="60" x14ac:dyDescent="0.25">
      <c r="A281" s="43"/>
      <c r="B281" s="498"/>
      <c r="C281" s="1"/>
      <c r="D281" s="1"/>
      <c r="E281" s="1"/>
      <c r="F281" s="32" t="s">
        <v>29</v>
      </c>
      <c r="G281" s="70" t="s">
        <v>416</v>
      </c>
      <c r="H281" s="29"/>
      <c r="I281" s="71" t="s">
        <v>499</v>
      </c>
    </row>
    <row r="282" spans="1:9" x14ac:dyDescent="0.25">
      <c r="A282" s="43"/>
      <c r="B282" s="496" t="s">
        <v>0</v>
      </c>
      <c r="C282" s="75" t="s">
        <v>57</v>
      </c>
      <c r="D282" s="84" t="s">
        <v>58</v>
      </c>
      <c r="E282" s="74"/>
      <c r="F282" s="73" t="s">
        <v>14</v>
      </c>
      <c r="G282" s="74" t="s">
        <v>525</v>
      </c>
      <c r="H282" s="74"/>
      <c r="I282" s="1"/>
    </row>
    <row r="283" spans="1:9" x14ac:dyDescent="0.25">
      <c r="A283" s="43"/>
      <c r="B283" s="496"/>
      <c r="C283" s="28" t="s">
        <v>13</v>
      </c>
      <c r="D283" s="28"/>
      <c r="E283" s="28"/>
      <c r="F283" s="28" t="s">
        <v>15</v>
      </c>
      <c r="G283" s="29" t="s">
        <v>525</v>
      </c>
      <c r="H283" s="29"/>
      <c r="I283" s="1"/>
    </row>
    <row r="284" spans="1:9" x14ac:dyDescent="0.25">
      <c r="A284" s="43"/>
      <c r="B284" s="496"/>
      <c r="C284" s="1"/>
      <c r="D284" s="1"/>
      <c r="E284" s="1"/>
      <c r="F284" s="28" t="s">
        <v>16</v>
      </c>
      <c r="G284" s="29" t="s">
        <v>525</v>
      </c>
      <c r="H284" s="29"/>
      <c r="I284" s="1"/>
    </row>
    <row r="285" spans="1:9" ht="150" x14ac:dyDescent="0.25">
      <c r="A285" s="43"/>
      <c r="B285" s="496"/>
      <c r="C285" s="1"/>
      <c r="D285" s="1"/>
      <c r="E285" s="1"/>
      <c r="F285" s="32" t="s">
        <v>17</v>
      </c>
      <c r="G285" s="33" t="s">
        <v>500</v>
      </c>
      <c r="H285" s="33"/>
      <c r="I285" s="2"/>
    </row>
    <row r="286" spans="1:9" x14ac:dyDescent="0.25">
      <c r="A286" s="43"/>
      <c r="B286" s="496"/>
      <c r="C286" s="1"/>
      <c r="D286" s="1"/>
      <c r="E286" s="1"/>
      <c r="F286" s="28" t="s">
        <v>18</v>
      </c>
      <c r="G286" s="29" t="s">
        <v>32</v>
      </c>
      <c r="H286" s="29"/>
      <c r="I286" s="1"/>
    </row>
    <row r="287" spans="1:9" x14ac:dyDescent="0.25">
      <c r="A287" s="43"/>
      <c r="B287" s="496"/>
      <c r="C287" s="1"/>
      <c r="D287" s="1"/>
      <c r="E287" s="1"/>
      <c r="F287" s="28" t="s">
        <v>9</v>
      </c>
      <c r="G287" s="29" t="s">
        <v>2</v>
      </c>
      <c r="H287" s="29"/>
      <c r="I287" s="1"/>
    </row>
    <row r="288" spans="1:9" x14ac:dyDescent="0.25">
      <c r="A288" s="43"/>
      <c r="B288" s="496"/>
      <c r="C288" s="1"/>
      <c r="D288" s="1"/>
      <c r="E288" s="1"/>
      <c r="F288" s="28" t="s">
        <v>19</v>
      </c>
      <c r="G288" s="29" t="s">
        <v>33</v>
      </c>
      <c r="H288" s="29"/>
      <c r="I288" s="1"/>
    </row>
    <row r="289" spans="1:9" x14ac:dyDescent="0.25">
      <c r="A289" s="43"/>
      <c r="B289" s="496"/>
      <c r="C289" s="1"/>
      <c r="D289" s="1"/>
      <c r="E289" s="1"/>
      <c r="F289" s="28" t="s">
        <v>20</v>
      </c>
      <c r="G289" s="29" t="s">
        <v>525</v>
      </c>
      <c r="H289" s="29"/>
      <c r="I289" s="1"/>
    </row>
    <row r="290" spans="1:9" x14ac:dyDescent="0.25">
      <c r="A290" s="43"/>
      <c r="B290" s="496"/>
      <c r="C290" s="1"/>
      <c r="D290" s="1"/>
      <c r="E290" s="1"/>
      <c r="F290" s="22" t="s">
        <v>21</v>
      </c>
      <c r="G290" s="30" t="s">
        <v>59</v>
      </c>
      <c r="H290" s="48"/>
      <c r="I290" s="1"/>
    </row>
    <row r="291" spans="1:9" x14ac:dyDescent="0.25">
      <c r="A291" s="43"/>
      <c r="B291" s="496"/>
      <c r="C291" s="1"/>
      <c r="D291" s="1"/>
      <c r="E291" s="1"/>
      <c r="F291" s="31" t="s">
        <v>36</v>
      </c>
      <c r="G291" s="34" t="s">
        <v>60</v>
      </c>
      <c r="H291" s="49"/>
      <c r="I291" s="1"/>
    </row>
    <row r="292" spans="1:9" ht="60" x14ac:dyDescent="0.25">
      <c r="A292" s="43"/>
      <c r="B292" s="496"/>
      <c r="C292" s="1"/>
      <c r="D292" s="1"/>
      <c r="E292" s="1"/>
      <c r="F292" s="31" t="s">
        <v>22</v>
      </c>
      <c r="G292" s="33" t="s">
        <v>490</v>
      </c>
      <c r="H292" s="33"/>
      <c r="I292" s="1"/>
    </row>
    <row r="293" spans="1:9" x14ac:dyDescent="0.25">
      <c r="A293" s="43"/>
      <c r="B293" s="496"/>
      <c r="C293" s="1"/>
      <c r="D293" s="1"/>
      <c r="E293" s="1"/>
      <c r="F293" s="28" t="s">
        <v>23</v>
      </c>
      <c r="G293" s="29" t="s">
        <v>37</v>
      </c>
      <c r="H293" s="29"/>
      <c r="I293" s="1"/>
    </row>
    <row r="294" spans="1:9" x14ac:dyDescent="0.25">
      <c r="A294" s="43"/>
      <c r="B294" s="496"/>
      <c r="C294" s="1"/>
      <c r="D294" s="1"/>
      <c r="E294" s="1"/>
      <c r="F294" s="28" t="s">
        <v>24</v>
      </c>
      <c r="G294" s="29" t="s">
        <v>525</v>
      </c>
      <c r="H294" s="29"/>
      <c r="I294" s="1"/>
    </row>
    <row r="295" spans="1:9" x14ac:dyDescent="0.25">
      <c r="A295" s="43"/>
      <c r="B295" s="496"/>
      <c r="C295" s="1"/>
      <c r="D295" s="1"/>
      <c r="E295" s="1"/>
      <c r="F295" s="28" t="s">
        <v>26</v>
      </c>
      <c r="G295" s="29" t="s">
        <v>525</v>
      </c>
      <c r="H295" s="29"/>
      <c r="I295" s="1"/>
    </row>
    <row r="296" spans="1:9" ht="75" x14ac:dyDescent="0.25">
      <c r="A296" s="43"/>
      <c r="B296" s="496"/>
      <c r="C296" s="1"/>
      <c r="D296" s="1"/>
      <c r="E296" s="1"/>
      <c r="F296" s="32" t="s">
        <v>25</v>
      </c>
      <c r="G296" s="33" t="s">
        <v>471</v>
      </c>
      <c r="H296" s="33"/>
      <c r="I296" s="1"/>
    </row>
    <row r="297" spans="1:9" x14ac:dyDescent="0.25">
      <c r="A297" s="43"/>
      <c r="B297" s="496"/>
      <c r="C297" s="1"/>
      <c r="D297" s="1"/>
      <c r="E297" s="1"/>
      <c r="F297" s="28" t="s">
        <v>27</v>
      </c>
      <c r="G297" s="29" t="s">
        <v>34</v>
      </c>
      <c r="H297" s="29"/>
      <c r="I297" s="1"/>
    </row>
    <row r="298" spans="1:9" ht="75" x14ac:dyDescent="0.25">
      <c r="A298" s="43"/>
      <c r="B298" s="496"/>
      <c r="C298" s="1"/>
      <c r="D298" s="1"/>
      <c r="E298" s="1"/>
      <c r="F298" s="32" t="s">
        <v>28</v>
      </c>
      <c r="G298" s="33" t="s">
        <v>472</v>
      </c>
      <c r="H298" s="33"/>
      <c r="I298" s="1"/>
    </row>
    <row r="299" spans="1:9" ht="64.5" customHeight="1" x14ac:dyDescent="0.25">
      <c r="A299" s="43"/>
      <c r="B299" s="496"/>
      <c r="C299" s="1"/>
      <c r="D299" s="1"/>
      <c r="E299" s="1"/>
      <c r="F299" s="32" t="s">
        <v>29</v>
      </c>
      <c r="G299" s="70" t="s">
        <v>416</v>
      </c>
      <c r="H299" s="29"/>
      <c r="I299" s="71" t="s">
        <v>501</v>
      </c>
    </row>
    <row r="300" spans="1:9" ht="45" customHeight="1" x14ac:dyDescent="0.25">
      <c r="A300" s="43"/>
      <c r="B300" s="496"/>
      <c r="C300" s="75" t="s">
        <v>57</v>
      </c>
      <c r="D300" s="84" t="s">
        <v>61</v>
      </c>
      <c r="E300" s="79"/>
      <c r="F300" s="79"/>
      <c r="G300" s="76"/>
      <c r="H300" s="76"/>
      <c r="I300" s="503" t="s">
        <v>502</v>
      </c>
    </row>
    <row r="301" spans="1:9" x14ac:dyDescent="0.25">
      <c r="A301" s="43"/>
      <c r="B301" s="496"/>
      <c r="C301" s="28" t="s">
        <v>13</v>
      </c>
      <c r="D301" s="28"/>
      <c r="E301" s="1"/>
      <c r="F301" s="1"/>
      <c r="G301" s="6"/>
      <c r="H301" s="6"/>
      <c r="I301" s="503"/>
    </row>
    <row r="302" spans="1:9" ht="43.5" customHeight="1" x14ac:dyDescent="0.25">
      <c r="A302" s="43"/>
      <c r="B302" s="496"/>
      <c r="C302" s="22" t="s">
        <v>57</v>
      </c>
      <c r="D302" s="38" t="s">
        <v>62</v>
      </c>
      <c r="E302" s="1"/>
      <c r="F302" s="1"/>
      <c r="G302" s="6"/>
      <c r="H302" s="6"/>
      <c r="I302" s="503" t="s">
        <v>503</v>
      </c>
    </row>
    <row r="303" spans="1:9" x14ac:dyDescent="0.25">
      <c r="A303" s="43"/>
      <c r="B303" s="496"/>
      <c r="C303" s="28" t="s">
        <v>13</v>
      </c>
      <c r="D303" s="28"/>
      <c r="E303" s="1"/>
      <c r="F303" s="1"/>
      <c r="G303" s="6"/>
      <c r="H303" s="6"/>
      <c r="I303" s="503"/>
    </row>
    <row r="304" spans="1:9" ht="44.25" customHeight="1" x14ac:dyDescent="0.25">
      <c r="A304" s="43"/>
      <c r="B304" s="496"/>
      <c r="C304" s="22" t="s">
        <v>57</v>
      </c>
      <c r="D304" s="38" t="s">
        <v>63</v>
      </c>
      <c r="E304" s="1"/>
      <c r="F304" s="1"/>
      <c r="G304" s="6"/>
      <c r="H304" s="6"/>
      <c r="I304" s="503" t="s">
        <v>504</v>
      </c>
    </row>
    <row r="305" spans="1:9" x14ac:dyDescent="0.25">
      <c r="A305" s="43"/>
      <c r="B305" s="497"/>
      <c r="C305" s="47"/>
      <c r="D305" s="22"/>
      <c r="E305" s="39"/>
      <c r="F305" s="1"/>
      <c r="G305" s="6"/>
      <c r="H305" s="6"/>
      <c r="I305" s="503"/>
    </row>
    <row r="306" spans="1:9" ht="15" customHeight="1" x14ac:dyDescent="0.25">
      <c r="A306" s="43"/>
      <c r="B306" s="501" t="s">
        <v>176</v>
      </c>
      <c r="C306" s="66" t="s">
        <v>64</v>
      </c>
      <c r="D306" s="160" t="s">
        <v>177</v>
      </c>
      <c r="E306" s="161" t="s">
        <v>206</v>
      </c>
      <c r="F306" s="162" t="s">
        <v>24</v>
      </c>
      <c r="G306" s="163" t="s">
        <v>509</v>
      </c>
      <c r="H306" s="164" t="s">
        <v>179</v>
      </c>
      <c r="I306" s="162"/>
    </row>
    <row r="307" spans="1:9" ht="60" x14ac:dyDescent="0.25">
      <c r="A307" s="43"/>
      <c r="B307" s="502"/>
      <c r="C307" s="157"/>
      <c r="D307" s="167"/>
      <c r="E307" s="166"/>
      <c r="F307" s="170" t="s">
        <v>69</v>
      </c>
      <c r="G307" s="171" t="s">
        <v>416</v>
      </c>
      <c r="H307" s="169"/>
      <c r="I307" s="167"/>
    </row>
    <row r="308" spans="1:9" x14ac:dyDescent="0.25">
      <c r="A308" s="43"/>
      <c r="B308" s="502"/>
      <c r="C308" s="157"/>
      <c r="D308" s="167"/>
      <c r="E308" s="166"/>
      <c r="F308" s="170" t="s">
        <v>264</v>
      </c>
      <c r="G308" s="171" t="s">
        <v>526</v>
      </c>
      <c r="H308" s="172"/>
      <c r="I308" s="167"/>
    </row>
    <row r="309" spans="1:9" x14ac:dyDescent="0.25">
      <c r="A309" s="43"/>
      <c r="B309" s="502"/>
      <c r="C309" s="157"/>
      <c r="D309" s="173"/>
      <c r="E309" s="174" t="s">
        <v>178</v>
      </c>
      <c r="F309" s="167" t="s">
        <v>9</v>
      </c>
      <c r="G309" s="175" t="s">
        <v>2</v>
      </c>
      <c r="H309" s="172"/>
      <c r="I309" s="167"/>
    </row>
    <row r="310" spans="1:9" x14ac:dyDescent="0.25">
      <c r="A310" s="43"/>
      <c r="B310" s="157"/>
      <c r="C310" s="157"/>
      <c r="D310" s="158"/>
      <c r="E310" s="195"/>
      <c r="F310" s="180" t="s">
        <v>180</v>
      </c>
      <c r="G310" s="181" t="s">
        <v>186</v>
      </c>
      <c r="H310" s="179"/>
      <c r="I310" s="158"/>
    </row>
    <row r="311" spans="1:9" x14ac:dyDescent="0.25">
      <c r="A311" s="43"/>
      <c r="B311" s="157"/>
      <c r="C311" s="157"/>
      <c r="D311" s="157"/>
      <c r="E311" s="158"/>
      <c r="F311" s="180" t="s">
        <v>181</v>
      </c>
      <c r="G311" s="181" t="s">
        <v>186</v>
      </c>
      <c r="H311" s="179"/>
      <c r="I311" s="158"/>
    </row>
    <row r="312" spans="1:9" x14ac:dyDescent="0.25">
      <c r="A312" s="43"/>
      <c r="B312" s="157"/>
      <c r="C312" s="157"/>
      <c r="D312" s="157"/>
      <c r="E312" s="158"/>
      <c r="F312" s="180" t="s">
        <v>203</v>
      </c>
      <c r="G312" s="181" t="s">
        <v>186</v>
      </c>
      <c r="H312" s="179"/>
      <c r="I312" s="158"/>
    </row>
    <row r="313" spans="1:9" x14ac:dyDescent="0.25">
      <c r="A313" s="43"/>
      <c r="B313" s="157"/>
      <c r="C313" s="157"/>
      <c r="D313" s="158"/>
      <c r="E313" s="158"/>
      <c r="F313" s="180" t="s">
        <v>73</v>
      </c>
      <c r="G313" s="181" t="s">
        <v>186</v>
      </c>
      <c r="H313" s="179"/>
      <c r="I313" s="158"/>
    </row>
    <row r="314" spans="1:9" x14ac:dyDescent="0.25">
      <c r="A314" s="43"/>
      <c r="B314" s="157"/>
      <c r="C314" s="157"/>
      <c r="D314" s="158"/>
      <c r="E314" s="158"/>
      <c r="F314" s="180" t="s">
        <v>182</v>
      </c>
      <c r="G314" s="181" t="s">
        <v>186</v>
      </c>
      <c r="H314" s="179"/>
      <c r="I314" s="158"/>
    </row>
    <row r="315" spans="1:9" x14ac:dyDescent="0.25">
      <c r="A315" s="43"/>
      <c r="B315" s="157"/>
      <c r="C315" s="157"/>
      <c r="D315" s="158"/>
      <c r="E315" s="158"/>
      <c r="F315" s="180" t="s">
        <v>75</v>
      </c>
      <c r="G315" s="181" t="s">
        <v>186</v>
      </c>
      <c r="H315" s="179"/>
      <c r="I315" s="194"/>
    </row>
    <row r="316" spans="1:9" x14ac:dyDescent="0.25">
      <c r="A316" s="43"/>
      <c r="B316" s="157"/>
      <c r="C316" s="157"/>
      <c r="D316" s="158"/>
      <c r="E316" s="158"/>
      <c r="F316" s="180" t="s">
        <v>183</v>
      </c>
      <c r="G316" s="181" t="s">
        <v>105</v>
      </c>
      <c r="H316" s="179"/>
      <c r="I316" s="158"/>
    </row>
    <row r="317" spans="1:9" x14ac:dyDescent="0.25">
      <c r="A317" s="43"/>
      <c r="B317" s="157"/>
      <c r="C317" s="157"/>
      <c r="D317" s="158"/>
      <c r="E317" s="180" t="s">
        <v>187</v>
      </c>
      <c r="F317" s="180" t="s">
        <v>86</v>
      </c>
      <c r="G317" s="181" t="s">
        <v>525</v>
      </c>
      <c r="H317" s="179"/>
      <c r="I317" s="158"/>
    </row>
    <row r="318" spans="1:9" x14ac:dyDescent="0.25">
      <c r="A318" s="43"/>
      <c r="B318" s="157"/>
      <c r="C318" s="157"/>
      <c r="D318" s="158"/>
      <c r="E318" s="158"/>
      <c r="F318" s="180" t="s">
        <v>88</v>
      </c>
      <c r="G318" s="181" t="s">
        <v>525</v>
      </c>
      <c r="H318" s="179"/>
      <c r="I318" s="158"/>
    </row>
    <row r="319" spans="1:9" x14ac:dyDescent="0.25">
      <c r="A319" s="43"/>
      <c r="B319" s="157"/>
      <c r="C319" s="157"/>
      <c r="D319" s="158"/>
      <c r="E319" s="158"/>
      <c r="F319" s="180" t="s">
        <v>89</v>
      </c>
      <c r="G319" s="181" t="s">
        <v>525</v>
      </c>
      <c r="H319" s="179"/>
      <c r="I319" s="158"/>
    </row>
    <row r="320" spans="1:9" x14ac:dyDescent="0.25">
      <c r="A320" s="43"/>
      <c r="B320" s="157"/>
      <c r="C320" s="157"/>
      <c r="D320" s="158"/>
      <c r="E320" s="158"/>
      <c r="F320" s="180" t="s">
        <v>90</v>
      </c>
      <c r="G320" s="181" t="s">
        <v>525</v>
      </c>
      <c r="H320" s="179"/>
      <c r="I320" s="158"/>
    </row>
    <row r="321" spans="1:9" x14ac:dyDescent="0.25">
      <c r="A321" s="43"/>
      <c r="B321" s="157"/>
      <c r="C321" s="157"/>
      <c r="D321" s="158"/>
      <c r="E321" s="158"/>
      <c r="F321" s="196" t="s">
        <v>87</v>
      </c>
      <c r="G321" s="197" t="s">
        <v>190</v>
      </c>
      <c r="H321" s="179"/>
      <c r="I321" s="158"/>
    </row>
    <row r="322" spans="1:9" x14ac:dyDescent="0.25">
      <c r="A322" s="43"/>
      <c r="B322" s="157"/>
      <c r="C322" s="157"/>
      <c r="D322" s="158"/>
      <c r="E322" s="158"/>
      <c r="F322" s="177" t="s">
        <v>96</v>
      </c>
      <c r="G322" s="198" t="s">
        <v>191</v>
      </c>
      <c r="H322" s="179"/>
      <c r="I322" s="158"/>
    </row>
    <row r="323" spans="1:9" x14ac:dyDescent="0.25">
      <c r="A323" s="43"/>
      <c r="B323" s="157"/>
      <c r="C323" s="157"/>
      <c r="D323" s="158"/>
      <c r="E323" s="158"/>
      <c r="F323" s="177" t="s">
        <v>188</v>
      </c>
      <c r="G323" s="178" t="s">
        <v>105</v>
      </c>
      <c r="H323" s="179"/>
      <c r="I323" s="158"/>
    </row>
    <row r="324" spans="1:9" x14ac:dyDescent="0.25">
      <c r="A324" s="43"/>
      <c r="B324" s="157"/>
      <c r="C324" s="157"/>
      <c r="D324" s="159"/>
      <c r="E324" s="158"/>
      <c r="F324" s="159" t="s">
        <v>189</v>
      </c>
      <c r="G324" s="181" t="s">
        <v>527</v>
      </c>
      <c r="H324" s="179"/>
      <c r="I324" s="158"/>
    </row>
    <row r="325" spans="1:9" ht="135" x14ac:dyDescent="0.25">
      <c r="A325" s="43"/>
      <c r="B325" s="157"/>
      <c r="C325" s="157"/>
      <c r="D325" s="158"/>
      <c r="E325" s="176" t="s">
        <v>17</v>
      </c>
      <c r="F325" s="177" t="s">
        <v>17</v>
      </c>
      <c r="G325" s="178" t="s">
        <v>35</v>
      </c>
      <c r="H325" s="179"/>
      <c r="I325" s="158"/>
    </row>
    <row r="326" spans="1:9" x14ac:dyDescent="0.25">
      <c r="A326" s="43"/>
      <c r="B326" s="157"/>
      <c r="C326" s="157"/>
      <c r="D326" s="158"/>
      <c r="E326" s="158"/>
      <c r="F326" s="180" t="s">
        <v>192</v>
      </c>
      <c r="G326" s="181" t="s">
        <v>511</v>
      </c>
      <c r="H326" s="179"/>
      <c r="I326" s="158"/>
    </row>
    <row r="327" spans="1:9" x14ac:dyDescent="0.25">
      <c r="A327" s="43"/>
      <c r="B327" s="157"/>
      <c r="C327" s="157"/>
      <c r="D327" s="158"/>
      <c r="E327" s="158"/>
      <c r="F327" s="182" t="s">
        <v>193</v>
      </c>
      <c r="G327" s="183" t="s">
        <v>512</v>
      </c>
      <c r="H327" s="179"/>
      <c r="I327" s="158"/>
    </row>
    <row r="328" spans="1:9" x14ac:dyDescent="0.25">
      <c r="A328" s="43"/>
      <c r="B328" s="157"/>
      <c r="C328" s="157"/>
      <c r="D328" s="158"/>
      <c r="E328" s="158"/>
      <c r="F328" s="180" t="s">
        <v>194</v>
      </c>
      <c r="G328" s="181" t="s">
        <v>513</v>
      </c>
      <c r="H328" s="179"/>
      <c r="I328" s="158"/>
    </row>
    <row r="329" spans="1:9" x14ac:dyDescent="0.25">
      <c r="A329" s="43"/>
      <c r="B329" s="157"/>
      <c r="C329" s="157"/>
      <c r="D329" s="158"/>
      <c r="E329" s="158"/>
      <c r="F329" s="182" t="s">
        <v>117</v>
      </c>
      <c r="G329" s="184" t="s">
        <v>186</v>
      </c>
      <c r="H329" s="179"/>
      <c r="I329" s="158"/>
    </row>
    <row r="330" spans="1:9" x14ac:dyDescent="0.25">
      <c r="A330" s="43"/>
      <c r="B330" s="157"/>
      <c r="C330" s="157"/>
      <c r="D330" s="158"/>
      <c r="E330" s="185" t="s">
        <v>195</v>
      </c>
      <c r="F330" s="180" t="s">
        <v>195</v>
      </c>
      <c r="G330" s="181" t="s">
        <v>105</v>
      </c>
      <c r="H330" s="179"/>
      <c r="I330" s="158"/>
    </row>
    <row r="331" spans="1:9" x14ac:dyDescent="0.25">
      <c r="A331" s="43"/>
      <c r="B331" s="157"/>
      <c r="C331" s="157"/>
      <c r="D331" s="158"/>
      <c r="E331" s="186" t="s">
        <v>196</v>
      </c>
      <c r="F331" s="175" t="s">
        <v>196</v>
      </c>
      <c r="G331" s="187" t="s">
        <v>105</v>
      </c>
      <c r="H331" s="179"/>
      <c r="I331" s="158"/>
    </row>
    <row r="332" spans="1:9" x14ac:dyDescent="0.25">
      <c r="A332" s="43"/>
      <c r="B332" s="188"/>
      <c r="C332" s="189"/>
      <c r="D332" s="190"/>
      <c r="E332" s="190"/>
      <c r="F332" s="191"/>
      <c r="G332" s="192"/>
      <c r="H332" s="193"/>
      <c r="I332" s="191" t="s">
        <v>514</v>
      </c>
    </row>
    <row r="333" spans="1:9" x14ac:dyDescent="0.25">
      <c r="A333" s="43"/>
      <c r="B333" s="157"/>
      <c r="C333" s="64" t="s">
        <v>64</v>
      </c>
      <c r="D333" s="199" t="s">
        <v>201</v>
      </c>
      <c r="E333" s="200" t="s">
        <v>206</v>
      </c>
      <c r="F333" s="167" t="s">
        <v>24</v>
      </c>
      <c r="G333" s="168" t="s">
        <v>509</v>
      </c>
      <c r="H333" s="169" t="s">
        <v>179</v>
      </c>
      <c r="I333" s="158"/>
    </row>
    <row r="334" spans="1:9" ht="60" x14ac:dyDescent="0.25">
      <c r="A334" s="43"/>
      <c r="B334" s="157"/>
      <c r="C334" s="157"/>
      <c r="D334" s="158"/>
      <c r="E334" s="201"/>
      <c r="F334" s="202" t="s">
        <v>69</v>
      </c>
      <c r="G334" s="184" t="s">
        <v>416</v>
      </c>
      <c r="H334" s="179"/>
      <c r="I334" s="158"/>
    </row>
    <row r="335" spans="1:9" x14ac:dyDescent="0.25">
      <c r="A335" s="43"/>
      <c r="B335" s="157"/>
      <c r="C335" s="157"/>
      <c r="D335" s="158"/>
      <c r="E335" s="200"/>
      <c r="F335" s="157" t="s">
        <v>208</v>
      </c>
      <c r="G335" s="181" t="s">
        <v>515</v>
      </c>
      <c r="H335" s="179"/>
      <c r="I335" s="158"/>
    </row>
    <row r="336" spans="1:9" x14ac:dyDescent="0.25">
      <c r="A336" s="43"/>
      <c r="B336" s="157"/>
      <c r="C336" s="157"/>
      <c r="D336" s="158"/>
      <c r="E336" s="200" t="s">
        <v>178</v>
      </c>
      <c r="F336" s="157" t="s">
        <v>9</v>
      </c>
      <c r="G336" s="180" t="s">
        <v>2</v>
      </c>
      <c r="H336" s="179"/>
      <c r="I336" s="158"/>
    </row>
    <row r="337" spans="1:9" x14ac:dyDescent="0.25">
      <c r="A337" s="43"/>
      <c r="B337" s="157"/>
      <c r="C337" s="157"/>
      <c r="D337" s="158"/>
      <c r="E337" s="195"/>
      <c r="F337" s="180" t="s">
        <v>180</v>
      </c>
      <c r="G337" s="181" t="s">
        <v>186</v>
      </c>
      <c r="H337" s="179"/>
      <c r="I337" s="158"/>
    </row>
    <row r="338" spans="1:9" x14ac:dyDescent="0.25">
      <c r="A338" s="43"/>
      <c r="B338" s="157"/>
      <c r="C338" s="157"/>
      <c r="D338" s="158"/>
      <c r="E338" s="185"/>
      <c r="F338" s="180" t="s">
        <v>181</v>
      </c>
      <c r="G338" s="181" t="s">
        <v>186</v>
      </c>
      <c r="H338" s="179"/>
      <c r="I338" s="158"/>
    </row>
    <row r="339" spans="1:9" x14ac:dyDescent="0.25">
      <c r="A339" s="43"/>
      <c r="B339" s="157"/>
      <c r="C339" s="157"/>
      <c r="D339" s="158"/>
      <c r="E339" s="185"/>
      <c r="F339" s="180" t="s">
        <v>203</v>
      </c>
      <c r="G339" s="181" t="s">
        <v>105</v>
      </c>
      <c r="H339" s="179"/>
      <c r="I339" s="158"/>
    </row>
    <row r="340" spans="1:9" x14ac:dyDescent="0.25">
      <c r="A340" s="43"/>
      <c r="B340" s="157"/>
      <c r="C340" s="157"/>
      <c r="D340" s="158"/>
      <c r="E340" s="185"/>
      <c r="F340" s="180" t="s">
        <v>204</v>
      </c>
      <c r="G340" s="181" t="s">
        <v>186</v>
      </c>
      <c r="H340" s="179"/>
      <c r="I340" s="158"/>
    </row>
    <row r="341" spans="1:9" x14ac:dyDescent="0.25">
      <c r="A341" s="43"/>
      <c r="B341" s="157"/>
      <c r="C341" s="157"/>
      <c r="D341" s="158"/>
      <c r="E341" s="185"/>
      <c r="F341" s="180" t="s">
        <v>205</v>
      </c>
      <c r="G341" s="181" t="s">
        <v>186</v>
      </c>
      <c r="H341" s="179"/>
      <c r="I341" s="158"/>
    </row>
    <row r="342" spans="1:9" ht="45" x14ac:dyDescent="0.25">
      <c r="A342" s="43"/>
      <c r="B342" s="157"/>
      <c r="C342" s="157"/>
      <c r="D342" s="158"/>
      <c r="E342" s="185"/>
      <c r="F342" s="170" t="s">
        <v>70</v>
      </c>
      <c r="G342" s="203" t="s">
        <v>223</v>
      </c>
      <c r="H342" s="179"/>
      <c r="I342" s="158"/>
    </row>
    <row r="343" spans="1:9" x14ac:dyDescent="0.25">
      <c r="A343" s="43"/>
      <c r="B343" s="157"/>
      <c r="C343" s="157"/>
      <c r="D343" s="158"/>
      <c r="E343" s="185"/>
      <c r="F343" s="180" t="s">
        <v>516</v>
      </c>
      <c r="G343" s="181" t="s">
        <v>262</v>
      </c>
      <c r="H343" s="179"/>
      <c r="I343" s="158"/>
    </row>
    <row r="344" spans="1:9" x14ac:dyDescent="0.25">
      <c r="A344" s="43"/>
      <c r="B344" s="157"/>
      <c r="C344" s="157"/>
      <c r="D344" s="158"/>
      <c r="E344" s="185"/>
      <c r="F344" s="180" t="s">
        <v>75</v>
      </c>
      <c r="G344" s="181" t="s">
        <v>186</v>
      </c>
      <c r="H344" s="179"/>
      <c r="I344" s="158"/>
    </row>
    <row r="345" spans="1:9" x14ac:dyDescent="0.25">
      <c r="A345" s="43"/>
      <c r="B345" s="157"/>
      <c r="C345" s="157"/>
      <c r="D345" s="158"/>
      <c r="E345" s="185"/>
      <c r="F345" s="180" t="s">
        <v>183</v>
      </c>
      <c r="G345" s="181" t="s">
        <v>105</v>
      </c>
      <c r="H345" s="179"/>
      <c r="I345" s="158"/>
    </row>
    <row r="346" spans="1:9" x14ac:dyDescent="0.25">
      <c r="A346" s="43"/>
      <c r="B346" s="157"/>
      <c r="C346" s="157"/>
      <c r="D346" s="158"/>
      <c r="E346" s="185"/>
      <c r="F346" s="180" t="s">
        <v>517</v>
      </c>
      <c r="G346" s="181" t="s">
        <v>519</v>
      </c>
      <c r="H346" s="179"/>
      <c r="I346" s="158"/>
    </row>
    <row r="347" spans="1:9" x14ac:dyDescent="0.25">
      <c r="A347" s="43"/>
      <c r="B347" s="157"/>
      <c r="C347" s="157"/>
      <c r="D347" s="158"/>
      <c r="E347" s="185"/>
      <c r="F347" s="180" t="s">
        <v>518</v>
      </c>
      <c r="G347" s="181" t="s">
        <v>519</v>
      </c>
      <c r="H347" s="179"/>
      <c r="I347" s="158"/>
    </row>
    <row r="348" spans="1:9" x14ac:dyDescent="0.25">
      <c r="A348" s="43"/>
      <c r="B348" s="157"/>
      <c r="C348" s="157"/>
      <c r="D348" s="158"/>
      <c r="E348" s="185" t="s">
        <v>187</v>
      </c>
      <c r="F348" s="180" t="s">
        <v>86</v>
      </c>
      <c r="G348" s="181" t="s">
        <v>185</v>
      </c>
      <c r="H348" s="179"/>
      <c r="I348" s="180"/>
    </row>
    <row r="349" spans="1:9" x14ac:dyDescent="0.25">
      <c r="A349" s="43"/>
      <c r="B349" s="157"/>
      <c r="C349" s="157"/>
      <c r="D349" s="158"/>
      <c r="E349" s="185"/>
      <c r="F349" s="180" t="s">
        <v>88</v>
      </c>
      <c r="G349" s="181" t="s">
        <v>185</v>
      </c>
      <c r="H349" s="179"/>
      <c r="I349" s="180"/>
    </row>
    <row r="350" spans="1:9" x14ac:dyDescent="0.25">
      <c r="A350" s="43"/>
      <c r="B350" s="157"/>
      <c r="C350" s="157"/>
      <c r="D350" s="158"/>
      <c r="E350" s="185"/>
      <c r="F350" s="180" t="s">
        <v>89</v>
      </c>
      <c r="G350" s="181" t="s">
        <v>185</v>
      </c>
      <c r="H350" s="179"/>
      <c r="I350" s="180"/>
    </row>
    <row r="351" spans="1:9" x14ac:dyDescent="0.25">
      <c r="A351" s="43"/>
      <c r="B351" s="157"/>
      <c r="C351" s="157"/>
      <c r="D351" s="158"/>
      <c r="E351" s="185"/>
      <c r="F351" s="180" t="s">
        <v>90</v>
      </c>
      <c r="G351" s="181" t="s">
        <v>185</v>
      </c>
      <c r="H351" s="179"/>
      <c r="I351" s="180"/>
    </row>
    <row r="352" spans="1:9" x14ac:dyDescent="0.25">
      <c r="A352" s="43"/>
      <c r="B352" s="157"/>
      <c r="C352" s="157"/>
      <c r="D352" s="158"/>
      <c r="E352" s="185"/>
      <c r="F352" s="196" t="s">
        <v>87</v>
      </c>
      <c r="G352" s="197" t="s">
        <v>190</v>
      </c>
      <c r="H352" s="179"/>
      <c r="I352" s="158"/>
    </row>
    <row r="353" spans="1:9" x14ac:dyDescent="0.25">
      <c r="A353" s="43"/>
      <c r="B353" s="157"/>
      <c r="C353" s="157"/>
      <c r="D353" s="158"/>
      <c r="E353" s="185"/>
      <c r="F353" s="177" t="s">
        <v>210</v>
      </c>
      <c r="G353" s="181" t="s">
        <v>519</v>
      </c>
      <c r="H353" s="179"/>
      <c r="I353" s="158"/>
    </row>
    <row r="354" spans="1:9" ht="30" x14ac:dyDescent="0.25">
      <c r="A354" s="43"/>
      <c r="B354" s="157"/>
      <c r="C354" s="157"/>
      <c r="D354" s="158"/>
      <c r="E354" s="185"/>
      <c r="F354" s="177" t="s">
        <v>94</v>
      </c>
      <c r="G354" s="183" t="s">
        <v>226</v>
      </c>
      <c r="H354" s="179"/>
      <c r="I354" s="158"/>
    </row>
    <row r="355" spans="1:9" x14ac:dyDescent="0.25">
      <c r="A355" s="43"/>
      <c r="B355" s="157"/>
      <c r="C355" s="157"/>
      <c r="D355" s="158"/>
      <c r="E355" s="185" t="s">
        <v>211</v>
      </c>
      <c r="F355" s="180" t="s">
        <v>96</v>
      </c>
      <c r="G355" s="181" t="s">
        <v>520</v>
      </c>
      <c r="H355" s="179"/>
      <c r="I355" s="158"/>
    </row>
    <row r="356" spans="1:9" x14ac:dyDescent="0.25">
      <c r="A356" s="43"/>
      <c r="B356" s="157"/>
      <c r="C356" s="157"/>
      <c r="D356" s="158"/>
      <c r="E356" s="185"/>
      <c r="F356" s="180" t="s">
        <v>97</v>
      </c>
      <c r="G356" s="181" t="s">
        <v>185</v>
      </c>
      <c r="H356" s="181" t="s">
        <v>105</v>
      </c>
      <c r="I356" s="158"/>
    </row>
    <row r="357" spans="1:9" x14ac:dyDescent="0.25">
      <c r="A357" s="43"/>
      <c r="B357" s="157"/>
      <c r="C357" s="157"/>
      <c r="D357" s="158"/>
      <c r="E357" s="185"/>
      <c r="F357" s="180" t="s">
        <v>110</v>
      </c>
      <c r="G357" s="181" t="s">
        <v>521</v>
      </c>
      <c r="H357" s="179"/>
      <c r="I357" s="158"/>
    </row>
    <row r="358" spans="1:9" ht="30" x14ac:dyDescent="0.25">
      <c r="A358" s="43"/>
      <c r="B358" s="157"/>
      <c r="C358" s="157"/>
      <c r="D358" s="158"/>
      <c r="E358" s="185"/>
      <c r="F358" s="182" t="s">
        <v>95</v>
      </c>
      <c r="G358" s="183" t="s">
        <v>226</v>
      </c>
      <c r="H358" s="179"/>
      <c r="I358" s="158"/>
    </row>
    <row r="359" spans="1:9" ht="30" x14ac:dyDescent="0.25">
      <c r="A359" s="43"/>
      <c r="B359" s="157"/>
      <c r="C359" s="157"/>
      <c r="D359" s="158"/>
      <c r="E359" s="185"/>
      <c r="F359" s="182" t="s">
        <v>212</v>
      </c>
      <c r="G359" s="184" t="s">
        <v>522</v>
      </c>
      <c r="H359" s="179"/>
      <c r="I359" s="158"/>
    </row>
    <row r="360" spans="1:9" x14ac:dyDescent="0.25">
      <c r="A360" s="43"/>
      <c r="B360" s="157"/>
      <c r="C360" s="157"/>
      <c r="D360" s="158"/>
      <c r="E360" s="185"/>
      <c r="F360" s="180" t="s">
        <v>99</v>
      </c>
      <c r="G360" s="181" t="s">
        <v>525</v>
      </c>
      <c r="H360" s="179"/>
      <c r="I360" s="158"/>
    </row>
    <row r="361" spans="1:9" x14ac:dyDescent="0.25">
      <c r="A361" s="43"/>
      <c r="B361" s="157"/>
      <c r="C361" s="157"/>
      <c r="D361" s="158"/>
      <c r="E361" s="185" t="s">
        <v>214</v>
      </c>
      <c r="F361" s="180"/>
      <c r="G361" s="181" t="s">
        <v>202</v>
      </c>
      <c r="H361" s="179"/>
      <c r="I361" s="180" t="s">
        <v>523</v>
      </c>
    </row>
    <row r="362" spans="1:9" ht="135" x14ac:dyDescent="0.25">
      <c r="A362" s="43"/>
      <c r="B362" s="157"/>
      <c r="C362" s="157"/>
      <c r="D362" s="158"/>
      <c r="E362" s="176" t="s">
        <v>17</v>
      </c>
      <c r="F362" s="177" t="s">
        <v>17</v>
      </c>
      <c r="G362" s="178" t="s">
        <v>35</v>
      </c>
      <c r="H362" s="179"/>
      <c r="I362" s="158"/>
    </row>
    <row r="363" spans="1:9" x14ac:dyDescent="0.25">
      <c r="A363" s="43"/>
      <c r="B363" s="157"/>
      <c r="C363" s="157"/>
      <c r="D363" s="158"/>
      <c r="E363" s="185"/>
      <c r="F363" s="180" t="s">
        <v>192</v>
      </c>
      <c r="G363" s="181" t="s">
        <v>511</v>
      </c>
      <c r="H363" s="179"/>
      <c r="I363" s="158"/>
    </row>
    <row r="364" spans="1:9" x14ac:dyDescent="0.25">
      <c r="A364" s="43"/>
      <c r="B364" s="157"/>
      <c r="C364" s="157"/>
      <c r="D364" s="158"/>
      <c r="E364" s="185"/>
      <c r="F364" s="180" t="s">
        <v>215</v>
      </c>
      <c r="G364" s="181" t="s">
        <v>511</v>
      </c>
      <c r="H364" s="179"/>
      <c r="I364" s="158"/>
    </row>
    <row r="365" spans="1:9" x14ac:dyDescent="0.25">
      <c r="A365" s="43"/>
      <c r="B365" s="157"/>
      <c r="C365" s="157"/>
      <c r="D365" s="158"/>
      <c r="E365" s="185"/>
      <c r="F365" s="182" t="s">
        <v>193</v>
      </c>
      <c r="G365" s="183" t="s">
        <v>512</v>
      </c>
      <c r="H365" s="179"/>
      <c r="I365" s="158"/>
    </row>
    <row r="366" spans="1:9" x14ac:dyDescent="0.25">
      <c r="A366" s="43"/>
      <c r="B366" s="157"/>
      <c r="C366" s="157"/>
      <c r="D366" s="158"/>
      <c r="E366" s="185"/>
      <c r="F366" s="180" t="s">
        <v>194</v>
      </c>
      <c r="G366" s="181" t="s">
        <v>513</v>
      </c>
      <c r="H366" s="179"/>
      <c r="I366" s="158"/>
    </row>
    <row r="367" spans="1:9" x14ac:dyDescent="0.25">
      <c r="A367" s="43"/>
      <c r="B367" s="157"/>
      <c r="C367" s="157"/>
      <c r="D367" s="158"/>
      <c r="E367" s="185"/>
      <c r="F367" s="182" t="s">
        <v>117</v>
      </c>
      <c r="G367" s="184" t="s">
        <v>186</v>
      </c>
      <c r="H367" s="179"/>
      <c r="I367" s="158"/>
    </row>
    <row r="368" spans="1:9" x14ac:dyDescent="0.25">
      <c r="A368" s="43"/>
      <c r="B368" s="157"/>
      <c r="C368" s="157"/>
      <c r="D368" s="158"/>
      <c r="E368" s="185" t="s">
        <v>217</v>
      </c>
      <c r="F368" s="180" t="s">
        <v>195</v>
      </c>
      <c r="G368" s="181" t="s">
        <v>105</v>
      </c>
      <c r="H368" s="179"/>
      <c r="I368" s="194"/>
    </row>
    <row r="369" spans="1:9" x14ac:dyDescent="0.25">
      <c r="A369" s="43"/>
      <c r="B369" s="157"/>
      <c r="C369" s="157"/>
      <c r="D369" s="158"/>
      <c r="E369" s="185"/>
      <c r="F369" s="180" t="s">
        <v>528</v>
      </c>
      <c r="G369" s="181"/>
      <c r="H369" s="179"/>
      <c r="I369" s="175" t="s">
        <v>524</v>
      </c>
    </row>
    <row r="370" spans="1:9" x14ac:dyDescent="0.25">
      <c r="A370" s="43"/>
      <c r="B370" s="501" t="s">
        <v>219</v>
      </c>
      <c r="C370" s="66" t="s">
        <v>64</v>
      </c>
      <c r="D370" s="160" t="s">
        <v>220</v>
      </c>
      <c r="E370" s="204" t="s">
        <v>206</v>
      </c>
      <c r="F370" s="162" t="s">
        <v>24</v>
      </c>
      <c r="G370" s="163" t="s">
        <v>509</v>
      </c>
      <c r="H370" s="164" t="s">
        <v>179</v>
      </c>
      <c r="I370" s="162"/>
    </row>
    <row r="371" spans="1:9" x14ac:dyDescent="0.25">
      <c r="A371" s="43"/>
      <c r="B371" s="502"/>
      <c r="C371" s="167"/>
      <c r="D371" s="165"/>
      <c r="E371" s="205"/>
      <c r="F371" s="167" t="s">
        <v>14</v>
      </c>
      <c r="G371" s="168" t="s">
        <v>510</v>
      </c>
      <c r="H371" s="169"/>
      <c r="I371" s="167"/>
    </row>
    <row r="372" spans="1:9" x14ac:dyDescent="0.25">
      <c r="A372" s="43"/>
      <c r="B372" s="502"/>
      <c r="C372" s="167"/>
      <c r="D372" s="165"/>
      <c r="E372" s="205"/>
      <c r="F372" s="167" t="s">
        <v>20</v>
      </c>
      <c r="G372" s="168" t="s">
        <v>510</v>
      </c>
      <c r="H372" s="169"/>
      <c r="I372" s="167"/>
    </row>
    <row r="373" spans="1:9" ht="60" x14ac:dyDescent="0.25">
      <c r="A373" s="43"/>
      <c r="B373" s="502"/>
      <c r="C373" s="167"/>
      <c r="D373" s="173"/>
      <c r="E373" s="205"/>
      <c r="F373" s="206" t="s">
        <v>69</v>
      </c>
      <c r="G373" s="171" t="s">
        <v>416</v>
      </c>
      <c r="H373" s="207"/>
      <c r="I373" s="172"/>
    </row>
    <row r="374" spans="1:9" x14ac:dyDescent="0.25">
      <c r="A374" s="43"/>
      <c r="B374" s="502"/>
      <c r="C374" s="167"/>
      <c r="D374" s="172"/>
      <c r="E374" s="186"/>
      <c r="F374" s="175" t="s">
        <v>208</v>
      </c>
      <c r="G374" s="181" t="s">
        <v>515</v>
      </c>
      <c r="H374" s="207"/>
      <c r="I374" s="172"/>
    </row>
    <row r="375" spans="1:9" x14ac:dyDescent="0.25">
      <c r="A375" s="43"/>
      <c r="B375" s="157"/>
      <c r="C375" s="157"/>
      <c r="D375" s="158"/>
      <c r="E375" s="185"/>
      <c r="F375" s="180" t="s">
        <v>221</v>
      </c>
      <c r="G375" s="181" t="s">
        <v>222</v>
      </c>
      <c r="H375" s="179"/>
      <c r="I375" s="180" t="s">
        <v>529</v>
      </c>
    </row>
    <row r="376" spans="1:9" x14ac:dyDescent="0.25">
      <c r="A376" s="43"/>
      <c r="B376" s="157"/>
      <c r="C376" s="157"/>
      <c r="D376" s="158"/>
      <c r="E376" s="185" t="s">
        <v>178</v>
      </c>
      <c r="F376" s="180" t="s">
        <v>9</v>
      </c>
      <c r="G376" s="181" t="s">
        <v>2</v>
      </c>
      <c r="H376" s="179"/>
      <c r="I376" s="158"/>
    </row>
    <row r="377" spans="1:9" x14ac:dyDescent="0.25">
      <c r="A377" s="43"/>
      <c r="B377" s="157"/>
      <c r="C377" s="157"/>
      <c r="D377" s="159"/>
      <c r="E377" s="185"/>
      <c r="F377" s="180" t="s">
        <v>180</v>
      </c>
      <c r="G377" s="181" t="s">
        <v>186</v>
      </c>
      <c r="H377" s="179"/>
      <c r="I377" s="158"/>
    </row>
    <row r="378" spans="1:9" x14ac:dyDescent="0.25">
      <c r="A378" s="43"/>
      <c r="B378" s="157"/>
      <c r="C378" s="157"/>
      <c r="D378" s="158"/>
      <c r="E378" s="185"/>
      <c r="F378" s="180" t="s">
        <v>181</v>
      </c>
      <c r="G378" s="181" t="s">
        <v>186</v>
      </c>
      <c r="H378" s="179"/>
      <c r="I378" s="158"/>
    </row>
    <row r="379" spans="1:9" x14ac:dyDescent="0.25">
      <c r="A379" s="43"/>
      <c r="B379" s="157"/>
      <c r="C379" s="157"/>
      <c r="D379" s="158"/>
      <c r="E379" s="185"/>
      <c r="F379" s="180" t="s">
        <v>203</v>
      </c>
      <c r="G379" s="181" t="s">
        <v>186</v>
      </c>
      <c r="H379" s="179"/>
      <c r="I379" s="158"/>
    </row>
    <row r="380" spans="1:9" x14ac:dyDescent="0.25">
      <c r="A380" s="43"/>
      <c r="B380" s="157"/>
      <c r="C380" s="157"/>
      <c r="D380" s="158"/>
      <c r="E380" s="185"/>
      <c r="F380" s="180" t="s">
        <v>73</v>
      </c>
      <c r="G380" s="181" t="s">
        <v>186</v>
      </c>
      <c r="H380" s="179"/>
      <c r="I380" s="158"/>
    </row>
    <row r="381" spans="1:9" x14ac:dyDescent="0.25">
      <c r="A381" s="43"/>
      <c r="B381" s="157"/>
      <c r="C381" s="157"/>
      <c r="D381" s="158"/>
      <c r="E381" s="185"/>
      <c r="F381" s="180" t="s">
        <v>182</v>
      </c>
      <c r="G381" s="181" t="s">
        <v>186</v>
      </c>
      <c r="H381" s="179"/>
      <c r="I381" s="158"/>
    </row>
    <row r="382" spans="1:9" x14ac:dyDescent="0.25">
      <c r="A382" s="43"/>
      <c r="B382" s="157"/>
      <c r="C382" s="157"/>
      <c r="D382" s="158"/>
      <c r="E382" s="185"/>
      <c r="F382" s="180" t="s">
        <v>75</v>
      </c>
      <c r="G382" s="181" t="s">
        <v>186</v>
      </c>
      <c r="H382" s="179"/>
      <c r="I382" s="158"/>
    </row>
    <row r="383" spans="1:9" ht="45" x14ac:dyDescent="0.25">
      <c r="A383" s="43"/>
      <c r="B383" s="157"/>
      <c r="C383" s="157"/>
      <c r="D383" s="158"/>
      <c r="E383" s="185"/>
      <c r="F383" s="182" t="s">
        <v>70</v>
      </c>
      <c r="G383" s="208" t="s">
        <v>223</v>
      </c>
      <c r="H383" s="179"/>
      <c r="I383" s="158"/>
    </row>
    <row r="384" spans="1:9" x14ac:dyDescent="0.25">
      <c r="A384" s="43"/>
      <c r="B384" s="157"/>
      <c r="C384" s="157"/>
      <c r="D384" s="159"/>
      <c r="E384" s="185" t="s">
        <v>150</v>
      </c>
      <c r="F384" s="180" t="s">
        <v>88</v>
      </c>
      <c r="G384" s="181" t="s">
        <v>525</v>
      </c>
      <c r="H384" s="179"/>
      <c r="I384" s="158"/>
    </row>
    <row r="385" spans="1:9" x14ac:dyDescent="0.25">
      <c r="A385" s="43"/>
      <c r="B385" s="157"/>
      <c r="C385" s="157"/>
      <c r="D385" s="158"/>
      <c r="E385" s="185"/>
      <c r="F385" s="180" t="s">
        <v>89</v>
      </c>
      <c r="G385" s="181" t="s">
        <v>525</v>
      </c>
      <c r="H385" s="179"/>
      <c r="I385" s="158"/>
    </row>
    <row r="386" spans="1:9" x14ac:dyDescent="0.25">
      <c r="A386" s="43"/>
      <c r="B386" s="157"/>
      <c r="C386" s="157"/>
      <c r="D386" s="158"/>
      <c r="E386" s="185"/>
      <c r="F386" s="180" t="s">
        <v>90</v>
      </c>
      <c r="G386" s="181" t="s">
        <v>525</v>
      </c>
      <c r="H386" s="179"/>
      <c r="I386" s="158"/>
    </row>
    <row r="387" spans="1:9" x14ac:dyDescent="0.25">
      <c r="A387" s="43"/>
      <c r="B387" s="157"/>
      <c r="C387" s="157"/>
      <c r="D387" s="158"/>
      <c r="E387" s="185"/>
      <c r="F387" s="180" t="s">
        <v>87</v>
      </c>
      <c r="G387" s="181" t="s">
        <v>190</v>
      </c>
      <c r="H387" s="179"/>
      <c r="I387" s="158"/>
    </row>
    <row r="388" spans="1:9" x14ac:dyDescent="0.25">
      <c r="A388" s="43"/>
      <c r="B388" s="157"/>
      <c r="C388" s="157"/>
      <c r="D388" s="158"/>
      <c r="E388" s="185"/>
      <c r="F388" s="180" t="s">
        <v>93</v>
      </c>
      <c r="G388" s="209" t="s">
        <v>530</v>
      </c>
      <c r="H388" s="179"/>
      <c r="I388" s="180" t="s">
        <v>535</v>
      </c>
    </row>
    <row r="389" spans="1:9" x14ac:dyDescent="0.25">
      <c r="A389" s="43"/>
      <c r="B389" s="157"/>
      <c r="C389" s="157"/>
      <c r="D389" s="158"/>
      <c r="E389" s="185"/>
      <c r="F389" s="180" t="s">
        <v>224</v>
      </c>
      <c r="G389" s="181" t="s">
        <v>531</v>
      </c>
      <c r="H389" s="179"/>
      <c r="I389" s="180"/>
    </row>
    <row r="390" spans="1:9" x14ac:dyDescent="0.25">
      <c r="A390" s="43"/>
      <c r="B390" s="157"/>
      <c r="C390" s="157"/>
      <c r="D390" s="158"/>
      <c r="E390" s="185"/>
      <c r="F390" s="180" t="s">
        <v>225</v>
      </c>
      <c r="G390" s="181" t="s">
        <v>532</v>
      </c>
      <c r="H390" s="179"/>
      <c r="I390" s="180" t="s">
        <v>533</v>
      </c>
    </row>
    <row r="391" spans="1:9" x14ac:dyDescent="0.25">
      <c r="A391" s="43"/>
      <c r="B391" s="157"/>
      <c r="C391" s="157"/>
      <c r="D391" s="210"/>
      <c r="E391" s="185"/>
      <c r="F391" s="182" t="s">
        <v>95</v>
      </c>
      <c r="G391" s="211" t="s">
        <v>534</v>
      </c>
      <c r="H391" s="179"/>
      <c r="I391" s="180" t="s">
        <v>227</v>
      </c>
    </row>
    <row r="392" spans="1:9" x14ac:dyDescent="0.25">
      <c r="A392" s="43"/>
      <c r="B392" s="157"/>
      <c r="C392" s="157"/>
      <c r="D392" s="158"/>
      <c r="E392" s="185" t="s">
        <v>211</v>
      </c>
      <c r="F392" s="180" t="s">
        <v>228</v>
      </c>
      <c r="G392" s="181" t="s">
        <v>230</v>
      </c>
      <c r="H392" s="179"/>
      <c r="I392" s="158"/>
    </row>
    <row r="393" spans="1:9" x14ac:dyDescent="0.25">
      <c r="A393" s="43"/>
      <c r="B393" s="157"/>
      <c r="C393" s="157"/>
      <c r="D393" s="158"/>
      <c r="E393" s="185"/>
      <c r="F393" s="180" t="s">
        <v>229</v>
      </c>
      <c r="G393" s="181" t="s">
        <v>231</v>
      </c>
      <c r="H393" s="179"/>
      <c r="I393" s="158"/>
    </row>
    <row r="394" spans="1:9" ht="30" x14ac:dyDescent="0.25">
      <c r="A394" s="43"/>
      <c r="B394" s="157"/>
      <c r="C394" s="157"/>
      <c r="D394" s="158"/>
      <c r="E394" s="185"/>
      <c r="F394" s="182" t="s">
        <v>6</v>
      </c>
      <c r="G394" s="184" t="s">
        <v>232</v>
      </c>
      <c r="H394" s="179"/>
      <c r="I394" s="158"/>
    </row>
    <row r="395" spans="1:9" ht="30" x14ac:dyDescent="0.25">
      <c r="A395" s="43"/>
      <c r="B395" s="157"/>
      <c r="C395" s="157"/>
      <c r="D395" s="158"/>
      <c r="E395" s="185"/>
      <c r="F395" s="182" t="s">
        <v>99</v>
      </c>
      <c r="G395" s="184" t="s">
        <v>233</v>
      </c>
      <c r="H395" s="179"/>
      <c r="I395" s="158"/>
    </row>
    <row r="396" spans="1:9" x14ac:dyDescent="0.25">
      <c r="A396" s="43"/>
      <c r="B396" s="157"/>
      <c r="C396" s="157"/>
      <c r="D396" s="158"/>
      <c r="E396" s="185"/>
      <c r="F396" s="180" t="s">
        <v>213</v>
      </c>
      <c r="G396" s="181" t="s">
        <v>525</v>
      </c>
      <c r="H396" s="179"/>
      <c r="I396" s="158"/>
    </row>
    <row r="397" spans="1:9" ht="30" x14ac:dyDescent="0.25">
      <c r="A397" s="43"/>
      <c r="B397" s="157"/>
      <c r="C397" s="157"/>
      <c r="D397" s="158"/>
      <c r="E397" s="212" t="s">
        <v>214</v>
      </c>
      <c r="F397" s="182" t="s">
        <v>234</v>
      </c>
      <c r="G397" s="184" t="s">
        <v>236</v>
      </c>
      <c r="H397" s="179"/>
      <c r="I397" s="180" t="s">
        <v>238</v>
      </c>
    </row>
    <row r="398" spans="1:9" ht="60" x14ac:dyDescent="0.25">
      <c r="A398" s="43"/>
      <c r="B398" s="157"/>
      <c r="C398" s="157"/>
      <c r="D398" s="158"/>
      <c r="E398" s="158"/>
      <c r="F398" s="182" t="s">
        <v>235</v>
      </c>
      <c r="G398" s="184" t="s">
        <v>237</v>
      </c>
      <c r="H398" s="179"/>
      <c r="I398" s="158"/>
    </row>
    <row r="399" spans="1:9" ht="135" x14ac:dyDescent="0.25">
      <c r="A399" s="43"/>
      <c r="B399" s="157"/>
      <c r="C399" s="157"/>
      <c r="D399" s="158"/>
      <c r="E399" s="176" t="s">
        <v>17</v>
      </c>
      <c r="F399" s="177" t="s">
        <v>17</v>
      </c>
      <c r="G399" s="178" t="s">
        <v>35</v>
      </c>
      <c r="H399" s="179"/>
      <c r="I399" s="158"/>
    </row>
    <row r="400" spans="1:9" x14ac:dyDescent="0.25">
      <c r="A400" s="43"/>
      <c r="B400" s="157"/>
      <c r="C400" s="157"/>
      <c r="D400" s="158"/>
      <c r="E400" s="185"/>
      <c r="F400" s="180" t="s">
        <v>192</v>
      </c>
      <c r="G400" s="181" t="s">
        <v>511</v>
      </c>
      <c r="H400" s="179"/>
      <c r="I400" s="158"/>
    </row>
    <row r="401" spans="1:9" x14ac:dyDescent="0.25">
      <c r="A401" s="43"/>
      <c r="B401" s="157"/>
      <c r="C401" s="157"/>
      <c r="D401" s="158"/>
      <c r="E401" s="185"/>
      <c r="F401" s="180" t="s">
        <v>215</v>
      </c>
      <c r="G401" s="181" t="s">
        <v>511</v>
      </c>
      <c r="H401" s="179"/>
      <c r="I401" s="158"/>
    </row>
    <row r="402" spans="1:9" x14ac:dyDescent="0.25">
      <c r="A402" s="43"/>
      <c r="B402" s="157"/>
      <c r="C402" s="157"/>
      <c r="D402" s="158"/>
      <c r="E402" s="185"/>
      <c r="F402" s="182" t="s">
        <v>193</v>
      </c>
      <c r="G402" s="183" t="s">
        <v>512</v>
      </c>
      <c r="H402" s="179"/>
      <c r="I402" s="158"/>
    </row>
    <row r="403" spans="1:9" x14ac:dyDescent="0.25">
      <c r="A403" s="43"/>
      <c r="B403" s="157"/>
      <c r="C403" s="157"/>
      <c r="D403" s="158"/>
      <c r="E403" s="185"/>
      <c r="F403" s="180" t="s">
        <v>194</v>
      </c>
      <c r="G403" s="181" t="s">
        <v>513</v>
      </c>
      <c r="H403" s="179"/>
      <c r="I403" s="158"/>
    </row>
    <row r="404" spans="1:9" x14ac:dyDescent="0.25">
      <c r="A404" s="43"/>
      <c r="B404" s="157"/>
      <c r="C404" s="157"/>
      <c r="D404" s="158"/>
      <c r="E404" s="185"/>
      <c r="F404" s="182" t="s">
        <v>117</v>
      </c>
      <c r="G404" s="184" t="s">
        <v>186</v>
      </c>
      <c r="H404" s="179"/>
      <c r="I404" s="158"/>
    </row>
    <row r="405" spans="1:9" x14ac:dyDescent="0.25">
      <c r="A405" s="43"/>
      <c r="B405" s="157"/>
      <c r="C405" s="157"/>
      <c r="D405" s="158"/>
      <c r="E405" s="185" t="s">
        <v>217</v>
      </c>
      <c r="F405" s="180" t="s">
        <v>195</v>
      </c>
      <c r="G405" s="181" t="s">
        <v>105</v>
      </c>
      <c r="H405" s="179"/>
      <c r="I405" s="194"/>
    </row>
    <row r="406" spans="1:9" x14ac:dyDescent="0.25">
      <c r="A406" s="43"/>
      <c r="B406" s="501" t="s">
        <v>101</v>
      </c>
      <c r="C406" s="67" t="s">
        <v>64</v>
      </c>
      <c r="D406" s="160" t="s">
        <v>67</v>
      </c>
      <c r="E406" s="213" t="s">
        <v>206</v>
      </c>
      <c r="F406" s="162" t="s">
        <v>24</v>
      </c>
      <c r="G406" s="163" t="s">
        <v>509</v>
      </c>
      <c r="H406" s="164" t="s">
        <v>179</v>
      </c>
      <c r="I406" s="162"/>
    </row>
    <row r="407" spans="1:9" ht="60" x14ac:dyDescent="0.25">
      <c r="A407" s="43"/>
      <c r="B407" s="502"/>
      <c r="C407" s="214"/>
      <c r="D407" s="167"/>
      <c r="E407" s="166" t="s">
        <v>68</v>
      </c>
      <c r="F407" s="170" t="s">
        <v>69</v>
      </c>
      <c r="G407" s="203" t="s">
        <v>416</v>
      </c>
      <c r="H407" s="168"/>
      <c r="I407" s="167"/>
    </row>
    <row r="408" spans="1:9" ht="45" x14ac:dyDescent="0.25">
      <c r="A408" s="43"/>
      <c r="B408" s="502"/>
      <c r="C408" s="167"/>
      <c r="D408" s="167"/>
      <c r="E408" s="167"/>
      <c r="F408" s="170" t="s">
        <v>70</v>
      </c>
      <c r="G408" s="203" t="s">
        <v>223</v>
      </c>
      <c r="H408" s="168"/>
      <c r="I408" s="167" t="s">
        <v>538</v>
      </c>
    </row>
    <row r="409" spans="1:9" ht="45" x14ac:dyDescent="0.25">
      <c r="A409" s="43"/>
      <c r="B409" s="502"/>
      <c r="C409" s="167"/>
      <c r="D409" s="167"/>
      <c r="E409" s="167"/>
      <c r="F409" s="97" t="s">
        <v>70</v>
      </c>
      <c r="G409" s="217" t="s">
        <v>539</v>
      </c>
      <c r="H409" s="203" t="s">
        <v>540</v>
      </c>
      <c r="I409" s="97" t="s">
        <v>541</v>
      </c>
    </row>
    <row r="410" spans="1:9" x14ac:dyDescent="0.25">
      <c r="A410" s="43"/>
      <c r="B410" s="502"/>
      <c r="C410" s="167"/>
      <c r="D410" s="167"/>
      <c r="E410" s="167"/>
      <c r="F410" s="167" t="s">
        <v>71</v>
      </c>
      <c r="G410" s="168" t="s">
        <v>76</v>
      </c>
      <c r="H410" s="168"/>
      <c r="I410" s="167"/>
    </row>
    <row r="411" spans="1:9" ht="30" x14ac:dyDescent="0.25">
      <c r="A411" s="43"/>
      <c r="B411" s="157"/>
      <c r="C411" s="157"/>
      <c r="D411" s="157"/>
      <c r="E411" s="157"/>
      <c r="F411" s="202" t="s">
        <v>72</v>
      </c>
      <c r="G411" s="208" t="s">
        <v>226</v>
      </c>
      <c r="H411" s="216"/>
      <c r="I411" s="157"/>
    </row>
    <row r="412" spans="1:9" x14ac:dyDescent="0.25">
      <c r="A412" s="43"/>
      <c r="B412" s="157"/>
      <c r="C412" s="157"/>
      <c r="D412" s="157"/>
      <c r="E412" s="157"/>
      <c r="F412" s="157" t="s">
        <v>73</v>
      </c>
      <c r="G412" s="216" t="s">
        <v>77</v>
      </c>
      <c r="H412" s="216"/>
      <c r="I412" s="157"/>
    </row>
    <row r="413" spans="1:9" x14ac:dyDescent="0.25">
      <c r="A413" s="43"/>
      <c r="B413" s="157"/>
      <c r="C413" s="157"/>
      <c r="D413" s="157"/>
      <c r="E413" s="157"/>
      <c r="F413" s="157" t="s">
        <v>74</v>
      </c>
      <c r="G413" s="216" t="s">
        <v>77</v>
      </c>
      <c r="H413" s="216"/>
      <c r="I413" s="157"/>
    </row>
    <row r="414" spans="1:9" x14ac:dyDescent="0.25">
      <c r="A414" s="43"/>
      <c r="B414" s="157"/>
      <c r="C414" s="157"/>
      <c r="D414" s="157"/>
      <c r="E414" s="157"/>
      <c r="F414" s="157" t="s">
        <v>75</v>
      </c>
      <c r="G414" s="216" t="s">
        <v>77</v>
      </c>
      <c r="H414" s="216"/>
      <c r="I414" s="157"/>
    </row>
    <row r="415" spans="1:9" x14ac:dyDescent="0.25">
      <c r="A415" s="43"/>
      <c r="B415" s="157"/>
      <c r="C415" s="157"/>
      <c r="D415" s="199"/>
      <c r="E415" s="215" t="s">
        <v>78</v>
      </c>
      <c r="F415" s="157" t="s">
        <v>79</v>
      </c>
      <c r="G415" s="216" t="s">
        <v>536</v>
      </c>
      <c r="H415" s="216"/>
      <c r="I415" s="216" t="s">
        <v>82</v>
      </c>
    </row>
    <row r="416" spans="1:9" x14ac:dyDescent="0.25">
      <c r="A416" s="43"/>
      <c r="B416" s="157"/>
      <c r="C416" s="157"/>
      <c r="D416" s="199"/>
      <c r="E416" s="200"/>
      <c r="F416" s="157" t="s">
        <v>80</v>
      </c>
      <c r="G416" s="216" t="s">
        <v>76</v>
      </c>
      <c r="H416" s="216"/>
      <c r="I416" s="157"/>
    </row>
    <row r="417" spans="1:9" x14ac:dyDescent="0.25">
      <c r="A417" s="43"/>
      <c r="B417" s="157"/>
      <c r="C417" s="157"/>
      <c r="D417" s="199"/>
      <c r="E417" s="200"/>
      <c r="F417" s="157" t="s">
        <v>81</v>
      </c>
      <c r="G417" s="216" t="s">
        <v>537</v>
      </c>
      <c r="H417" s="216"/>
      <c r="I417" s="216" t="s">
        <v>83</v>
      </c>
    </row>
    <row r="418" spans="1:9" x14ac:dyDescent="0.25">
      <c r="A418" s="43"/>
      <c r="B418" s="157"/>
      <c r="C418" s="157"/>
      <c r="D418" s="199"/>
      <c r="E418" s="215" t="s">
        <v>542</v>
      </c>
      <c r="F418" s="157" t="s">
        <v>543</v>
      </c>
      <c r="G418" s="216" t="s">
        <v>536</v>
      </c>
      <c r="H418" s="216"/>
      <c r="I418" s="216" t="s">
        <v>544</v>
      </c>
    </row>
    <row r="419" spans="1:9" x14ac:dyDescent="0.25">
      <c r="A419" s="43"/>
      <c r="B419" s="157"/>
      <c r="C419" s="157"/>
      <c r="D419" s="199"/>
      <c r="E419" s="200" t="s">
        <v>84</v>
      </c>
      <c r="F419" s="157" t="s">
        <v>85</v>
      </c>
      <c r="G419" s="216" t="s">
        <v>100</v>
      </c>
      <c r="H419" s="216"/>
      <c r="I419" s="157"/>
    </row>
    <row r="420" spans="1:9" ht="30" x14ac:dyDescent="0.25">
      <c r="A420" s="43"/>
      <c r="B420" s="157"/>
      <c r="C420" s="157"/>
      <c r="D420" s="199"/>
      <c r="E420" s="200"/>
      <c r="F420" s="218" t="s">
        <v>86</v>
      </c>
      <c r="G420" s="208" t="s">
        <v>302</v>
      </c>
      <c r="H420" s="208"/>
      <c r="I420" s="157"/>
    </row>
    <row r="421" spans="1:9" x14ac:dyDescent="0.25">
      <c r="A421" s="43"/>
      <c r="B421" s="157"/>
      <c r="C421" s="157"/>
      <c r="D421" s="199"/>
      <c r="E421" s="157"/>
      <c r="F421" s="157" t="s">
        <v>87</v>
      </c>
      <c r="G421" s="216" t="s">
        <v>190</v>
      </c>
      <c r="H421" s="216"/>
      <c r="I421" s="157"/>
    </row>
    <row r="422" spans="1:9" x14ac:dyDescent="0.25">
      <c r="A422" s="43"/>
      <c r="B422" s="157"/>
      <c r="C422" s="157"/>
      <c r="D422" s="199"/>
      <c r="E422" s="157"/>
      <c r="F422" s="157" t="s">
        <v>88</v>
      </c>
      <c r="G422" s="216" t="s">
        <v>525</v>
      </c>
      <c r="H422" s="216"/>
      <c r="I422" s="157"/>
    </row>
    <row r="423" spans="1:9" x14ac:dyDescent="0.25">
      <c r="A423" s="43"/>
      <c r="B423" s="157"/>
      <c r="C423" s="157"/>
      <c r="D423" s="199"/>
      <c r="E423" s="157"/>
      <c r="F423" s="157" t="s">
        <v>89</v>
      </c>
      <c r="G423" s="216" t="s">
        <v>525</v>
      </c>
      <c r="H423" s="216"/>
      <c r="I423" s="157"/>
    </row>
    <row r="424" spans="1:9" x14ac:dyDescent="0.25">
      <c r="A424" s="43"/>
      <c r="B424" s="157"/>
      <c r="C424" s="157"/>
      <c r="D424" s="199"/>
      <c r="E424" s="157"/>
      <c r="F424" s="157" t="s">
        <v>90</v>
      </c>
      <c r="G424" s="216" t="s">
        <v>525</v>
      </c>
      <c r="H424" s="216"/>
      <c r="I424" s="157"/>
    </row>
    <row r="425" spans="1:9" x14ac:dyDescent="0.25">
      <c r="A425" s="43"/>
      <c r="B425" s="157"/>
      <c r="C425" s="157"/>
      <c r="D425" s="199"/>
      <c r="E425" s="157"/>
      <c r="F425" s="157" t="s">
        <v>91</v>
      </c>
      <c r="G425" s="216" t="s">
        <v>102</v>
      </c>
      <c r="H425" s="216"/>
      <c r="I425" s="157"/>
    </row>
    <row r="426" spans="1:9" x14ac:dyDescent="0.25">
      <c r="A426" s="43"/>
      <c r="B426" s="157"/>
      <c r="C426" s="157"/>
      <c r="D426" s="199"/>
      <c r="E426" s="157"/>
      <c r="F426" s="157"/>
      <c r="G426" s="216" t="s">
        <v>103</v>
      </c>
      <c r="H426" s="216"/>
      <c r="I426" s="157"/>
    </row>
    <row r="427" spans="1:9" ht="75" x14ac:dyDescent="0.25">
      <c r="A427" s="43"/>
      <c r="B427" s="157"/>
      <c r="C427" s="157"/>
      <c r="D427" s="199"/>
      <c r="E427" s="157"/>
      <c r="F427" s="218" t="s">
        <v>92</v>
      </c>
      <c r="G427" s="208" t="s">
        <v>104</v>
      </c>
      <c r="H427" s="208"/>
      <c r="I427" s="157"/>
    </row>
    <row r="428" spans="1:9" x14ac:dyDescent="0.25">
      <c r="A428" s="43"/>
      <c r="B428" s="157"/>
      <c r="C428" s="157"/>
      <c r="D428" s="199"/>
      <c r="E428" s="157"/>
      <c r="F428" s="157" t="s">
        <v>93</v>
      </c>
      <c r="G428" s="216" t="s">
        <v>105</v>
      </c>
      <c r="H428" s="216"/>
      <c r="I428" s="157"/>
    </row>
    <row r="429" spans="1:9" x14ac:dyDescent="0.25">
      <c r="A429" s="43"/>
      <c r="B429" s="157"/>
      <c r="C429" s="157"/>
      <c r="D429" s="199"/>
      <c r="E429" s="157"/>
      <c r="F429" s="157" t="s">
        <v>94</v>
      </c>
      <c r="G429" s="216" t="s">
        <v>106</v>
      </c>
      <c r="H429" s="216"/>
      <c r="I429" s="157"/>
    </row>
    <row r="430" spans="1:9" x14ac:dyDescent="0.25">
      <c r="A430" s="43"/>
      <c r="B430" s="157"/>
      <c r="C430" s="157"/>
      <c r="D430" s="199"/>
      <c r="E430" s="157"/>
      <c r="F430" s="157" t="s">
        <v>95</v>
      </c>
      <c r="G430" s="208" t="s">
        <v>107</v>
      </c>
      <c r="H430" s="208"/>
      <c r="I430" s="157" t="s">
        <v>109</v>
      </c>
    </row>
    <row r="431" spans="1:9" x14ac:dyDescent="0.25">
      <c r="A431" s="43"/>
      <c r="B431" s="157"/>
      <c r="C431" s="157"/>
      <c r="D431" s="199"/>
      <c r="E431" s="157"/>
      <c r="F431" s="157"/>
      <c r="G431" s="208" t="s">
        <v>108</v>
      </c>
      <c r="H431" s="208"/>
      <c r="I431" s="157"/>
    </row>
    <row r="432" spans="1:9" x14ac:dyDescent="0.25">
      <c r="A432" s="43"/>
      <c r="B432" s="157"/>
      <c r="C432" s="157"/>
      <c r="D432" s="199"/>
      <c r="E432" s="157"/>
      <c r="F432" s="157" t="s">
        <v>96</v>
      </c>
      <c r="G432" s="181" t="s">
        <v>230</v>
      </c>
      <c r="H432" s="216"/>
      <c r="I432" s="157"/>
    </row>
    <row r="433" spans="1:9" x14ac:dyDescent="0.25">
      <c r="A433" s="43"/>
      <c r="B433" s="157"/>
      <c r="C433" s="157"/>
      <c r="D433" s="199"/>
      <c r="E433" s="157"/>
      <c r="F433" s="157" t="s">
        <v>97</v>
      </c>
      <c r="G433" s="216" t="s">
        <v>105</v>
      </c>
      <c r="H433" s="216"/>
      <c r="I433" s="157"/>
    </row>
    <row r="434" spans="1:9" x14ac:dyDescent="0.25">
      <c r="A434" s="43"/>
      <c r="B434" s="157"/>
      <c r="C434" s="157"/>
      <c r="D434" s="199"/>
      <c r="E434" s="157"/>
      <c r="F434" s="157" t="s">
        <v>98</v>
      </c>
      <c r="G434" s="216" t="s">
        <v>105</v>
      </c>
      <c r="H434" s="216"/>
      <c r="I434" s="157"/>
    </row>
    <row r="435" spans="1:9" x14ac:dyDescent="0.25">
      <c r="A435" s="43"/>
      <c r="B435" s="157"/>
      <c r="C435" s="157"/>
      <c r="D435" s="199"/>
      <c r="E435" s="157"/>
      <c r="F435" s="157" t="s">
        <v>110</v>
      </c>
      <c r="G435" s="216" t="s">
        <v>111</v>
      </c>
      <c r="H435" s="216"/>
      <c r="I435" s="157"/>
    </row>
    <row r="436" spans="1:9" x14ac:dyDescent="0.25">
      <c r="A436" s="43"/>
      <c r="B436" s="157"/>
      <c r="C436" s="157"/>
      <c r="D436" s="199"/>
      <c r="E436" s="157"/>
      <c r="F436" s="157" t="s">
        <v>99</v>
      </c>
      <c r="G436" s="216" t="s">
        <v>525</v>
      </c>
      <c r="H436" s="216"/>
      <c r="I436" s="157"/>
    </row>
    <row r="437" spans="1:9" x14ac:dyDescent="0.25">
      <c r="A437" s="43"/>
      <c r="B437" s="157"/>
      <c r="C437" s="157"/>
      <c r="D437" s="199"/>
      <c r="E437" s="157" t="s">
        <v>115</v>
      </c>
      <c r="F437" s="157" t="s">
        <v>112</v>
      </c>
      <c r="G437" s="216" t="s">
        <v>105</v>
      </c>
      <c r="H437" s="216"/>
      <c r="I437" s="157" t="s">
        <v>116</v>
      </c>
    </row>
    <row r="438" spans="1:9" x14ac:dyDescent="0.25">
      <c r="A438" s="43"/>
      <c r="B438" s="157"/>
      <c r="C438" s="157"/>
      <c r="D438" s="199"/>
      <c r="E438" s="157"/>
      <c r="F438" s="157" t="s">
        <v>113</v>
      </c>
      <c r="G438" s="216" t="s">
        <v>105</v>
      </c>
      <c r="H438" s="216"/>
      <c r="I438" s="157"/>
    </row>
    <row r="439" spans="1:9" x14ac:dyDescent="0.25">
      <c r="A439" s="43"/>
      <c r="B439" s="157"/>
      <c r="C439" s="157"/>
      <c r="D439" s="199"/>
      <c r="E439" s="157"/>
      <c r="F439" s="157" t="s">
        <v>114</v>
      </c>
      <c r="G439" s="216" t="s">
        <v>105</v>
      </c>
      <c r="H439" s="216"/>
      <c r="I439" s="157" t="s">
        <v>119</v>
      </c>
    </row>
    <row r="440" spans="1:9" x14ac:dyDescent="0.25">
      <c r="A440" s="43"/>
      <c r="B440" s="157"/>
      <c r="C440" s="157"/>
      <c r="D440" s="199"/>
      <c r="E440" s="157" t="s">
        <v>117</v>
      </c>
      <c r="F440" s="157" t="s">
        <v>118</v>
      </c>
      <c r="G440" s="216"/>
      <c r="H440" s="216"/>
      <c r="I440" s="189" t="s">
        <v>120</v>
      </c>
    </row>
    <row r="441" spans="1:9" x14ac:dyDescent="0.25">
      <c r="A441" s="43"/>
      <c r="B441" s="507" t="s">
        <v>207</v>
      </c>
      <c r="C441" s="68" t="s">
        <v>64</v>
      </c>
      <c r="D441" s="219" t="s">
        <v>171</v>
      </c>
      <c r="E441" s="219"/>
      <c r="F441" s="220" t="s">
        <v>14</v>
      </c>
      <c r="G441" s="163" t="s">
        <v>525</v>
      </c>
      <c r="H441" s="163"/>
      <c r="I441" s="221" t="s">
        <v>172</v>
      </c>
    </row>
    <row r="442" spans="1:9" x14ac:dyDescent="0.25">
      <c r="A442" s="43"/>
      <c r="B442" s="508"/>
      <c r="C442" s="222"/>
      <c r="D442" s="175"/>
      <c r="E442" s="175"/>
      <c r="F442" s="175" t="s">
        <v>15</v>
      </c>
      <c r="G442" s="168" t="s">
        <v>525</v>
      </c>
      <c r="H442" s="168"/>
      <c r="I442" s="222"/>
    </row>
    <row r="443" spans="1:9" x14ac:dyDescent="0.25">
      <c r="A443" s="43"/>
      <c r="B443" s="508"/>
      <c r="C443" s="222"/>
      <c r="D443" s="175"/>
      <c r="E443" s="175"/>
      <c r="F443" s="175" t="s">
        <v>16</v>
      </c>
      <c r="G443" s="168" t="s">
        <v>525</v>
      </c>
      <c r="H443" s="172"/>
      <c r="I443" s="222"/>
    </row>
    <row r="444" spans="1:9" x14ac:dyDescent="0.25">
      <c r="A444" s="43"/>
      <c r="B444" s="508"/>
      <c r="C444" s="222"/>
      <c r="D444" s="223"/>
      <c r="E444" s="223"/>
      <c r="F444" s="223" t="s">
        <v>17</v>
      </c>
      <c r="G444" s="168" t="s">
        <v>525</v>
      </c>
      <c r="H444" s="172"/>
      <c r="I444" s="222"/>
    </row>
    <row r="445" spans="1:9" x14ac:dyDescent="0.25">
      <c r="A445" s="43"/>
      <c r="B445" s="157"/>
      <c r="C445" s="226"/>
      <c r="D445" s="180"/>
      <c r="E445" s="180"/>
      <c r="F445" s="180" t="s">
        <v>18</v>
      </c>
      <c r="G445" s="180" t="s">
        <v>184</v>
      </c>
      <c r="H445" s="158"/>
      <c r="I445" s="224"/>
    </row>
    <row r="446" spans="1:9" x14ac:dyDescent="0.25">
      <c r="A446" s="43"/>
      <c r="B446" s="157"/>
      <c r="C446" s="224"/>
      <c r="D446" s="180"/>
      <c r="E446" s="180"/>
      <c r="F446" s="180" t="s">
        <v>9</v>
      </c>
      <c r="G446" s="216" t="s">
        <v>76</v>
      </c>
      <c r="H446" s="158"/>
      <c r="I446" s="224"/>
    </row>
    <row r="447" spans="1:9" x14ac:dyDescent="0.25">
      <c r="A447" s="43"/>
      <c r="B447" s="157"/>
      <c r="C447" s="224"/>
      <c r="D447" s="180"/>
      <c r="E447" s="180"/>
      <c r="F447" s="180" t="s">
        <v>19</v>
      </c>
      <c r="G447" s="180" t="s">
        <v>33</v>
      </c>
      <c r="H447" s="158"/>
      <c r="I447" s="224"/>
    </row>
    <row r="448" spans="1:9" x14ac:dyDescent="0.25">
      <c r="A448" s="43"/>
      <c r="B448" s="157"/>
      <c r="C448" s="224"/>
      <c r="D448" s="180"/>
      <c r="E448" s="180"/>
      <c r="F448" s="180" t="s">
        <v>20</v>
      </c>
      <c r="G448" s="168" t="s">
        <v>525</v>
      </c>
      <c r="H448" s="158"/>
      <c r="I448" s="224"/>
    </row>
    <row r="449" spans="1:9" ht="14.25" customHeight="1" x14ac:dyDescent="0.25">
      <c r="A449" s="43"/>
      <c r="B449" s="157"/>
      <c r="C449" s="158"/>
      <c r="D449" s="159"/>
      <c r="E449" s="159"/>
      <c r="F449" s="196" t="s">
        <v>21</v>
      </c>
      <c r="G449" s="168" t="s">
        <v>525</v>
      </c>
      <c r="H449" s="179"/>
      <c r="I449" s="158"/>
    </row>
    <row r="450" spans="1:9" ht="14.25" customHeight="1" x14ac:dyDescent="0.25">
      <c r="A450" s="43"/>
      <c r="B450" s="157"/>
      <c r="C450" s="158"/>
      <c r="D450" s="177"/>
      <c r="E450" s="177"/>
      <c r="F450" s="177" t="s">
        <v>36</v>
      </c>
      <c r="G450" s="168" t="s">
        <v>525</v>
      </c>
      <c r="H450" s="179"/>
      <c r="I450" s="158"/>
    </row>
    <row r="451" spans="1:9" ht="14.25" customHeight="1" x14ac:dyDescent="0.25">
      <c r="A451" s="43"/>
      <c r="B451" s="157"/>
      <c r="C451" s="158"/>
      <c r="D451" s="177"/>
      <c r="E451" s="177"/>
      <c r="F451" s="177" t="s">
        <v>22</v>
      </c>
      <c r="G451" s="168" t="s">
        <v>525</v>
      </c>
      <c r="H451" s="179"/>
      <c r="I451" s="158"/>
    </row>
    <row r="452" spans="1:9" ht="14.25" customHeight="1" x14ac:dyDescent="0.25">
      <c r="A452" s="43"/>
      <c r="B452" s="157"/>
      <c r="C452" s="158"/>
      <c r="D452" s="180"/>
      <c r="E452" s="180"/>
      <c r="F452" s="180" t="s">
        <v>23</v>
      </c>
      <c r="G452" s="181" t="s">
        <v>37</v>
      </c>
      <c r="H452" s="179"/>
      <c r="I452" s="158"/>
    </row>
    <row r="453" spans="1:9" ht="14.25" customHeight="1" x14ac:dyDescent="0.25">
      <c r="A453" s="43"/>
      <c r="B453" s="157"/>
      <c r="C453" s="158"/>
      <c r="D453" s="180"/>
      <c r="E453" s="180"/>
      <c r="F453" s="180" t="s">
        <v>24</v>
      </c>
      <c r="G453" s="168" t="s">
        <v>525</v>
      </c>
      <c r="H453" s="179"/>
      <c r="I453" s="158"/>
    </row>
    <row r="454" spans="1:9" ht="14.25" customHeight="1" x14ac:dyDescent="0.25">
      <c r="A454" s="43"/>
      <c r="B454" s="157"/>
      <c r="C454" s="158"/>
      <c r="D454" s="180"/>
      <c r="E454" s="180"/>
      <c r="F454" s="180" t="s">
        <v>26</v>
      </c>
      <c r="G454" s="168" t="s">
        <v>525</v>
      </c>
      <c r="H454" s="179"/>
      <c r="I454" s="158"/>
    </row>
    <row r="455" spans="1:9" ht="14.25" customHeight="1" x14ac:dyDescent="0.25">
      <c r="A455" s="43"/>
      <c r="B455" s="157"/>
      <c r="C455" s="158"/>
      <c r="D455" s="182"/>
      <c r="E455" s="182"/>
      <c r="F455" s="182" t="s">
        <v>25</v>
      </c>
      <c r="G455" s="168" t="s">
        <v>525</v>
      </c>
      <c r="H455" s="179"/>
      <c r="I455" s="158"/>
    </row>
    <row r="456" spans="1:9" ht="14.25" customHeight="1" x14ac:dyDescent="0.25">
      <c r="A456" s="43"/>
      <c r="B456" s="157"/>
      <c r="C456" s="158"/>
      <c r="D456" s="180"/>
      <c r="E456" s="180"/>
      <c r="F456" s="180" t="s">
        <v>27</v>
      </c>
      <c r="G456" s="168" t="s">
        <v>525</v>
      </c>
      <c r="H456" s="179"/>
      <c r="I456" s="158"/>
    </row>
    <row r="457" spans="1:9" ht="14.25" customHeight="1" x14ac:dyDescent="0.25">
      <c r="A457" s="43"/>
      <c r="B457" s="157"/>
      <c r="C457" s="158"/>
      <c r="D457" s="182"/>
      <c r="E457" s="182"/>
      <c r="F457" s="182" t="s">
        <v>28</v>
      </c>
      <c r="G457" s="168" t="s">
        <v>525</v>
      </c>
      <c r="H457" s="179"/>
      <c r="I457" s="158"/>
    </row>
    <row r="458" spans="1:9" ht="60" x14ac:dyDescent="0.25">
      <c r="A458" s="43"/>
      <c r="B458" s="157"/>
      <c r="C458" s="158"/>
      <c r="D458" s="180"/>
      <c r="E458" s="180"/>
      <c r="F458" s="182" t="s">
        <v>29</v>
      </c>
      <c r="G458" s="225" t="s">
        <v>416</v>
      </c>
      <c r="H458" s="179"/>
      <c r="I458" s="158"/>
    </row>
    <row r="459" spans="1:9" ht="14.25" customHeight="1" x14ac:dyDescent="0.25">
      <c r="A459" s="43"/>
      <c r="B459" s="157"/>
      <c r="C459" s="158"/>
      <c r="D459" s="158"/>
      <c r="E459" s="158"/>
      <c r="F459" s="180" t="s">
        <v>173</v>
      </c>
      <c r="G459" s="181" t="s">
        <v>174</v>
      </c>
      <c r="H459" s="179"/>
      <c r="I459" s="180" t="s">
        <v>175</v>
      </c>
    </row>
    <row r="460" spans="1:9" x14ac:dyDescent="0.25">
      <c r="A460" s="43"/>
      <c r="B460" s="227"/>
      <c r="C460" s="68" t="s">
        <v>64</v>
      </c>
      <c r="D460" s="160" t="s">
        <v>121</v>
      </c>
      <c r="E460" s="160"/>
      <c r="F460" s="162" t="s">
        <v>122</v>
      </c>
      <c r="G460" s="163"/>
      <c r="H460" s="163"/>
      <c r="I460" s="162" t="s">
        <v>138</v>
      </c>
    </row>
    <row r="461" spans="1:9" x14ac:dyDescent="0.25">
      <c r="A461" s="43"/>
      <c r="B461" s="157"/>
      <c r="C461" s="157"/>
      <c r="D461" s="199"/>
      <c r="E461" s="157"/>
      <c r="F461" s="157"/>
      <c r="G461" s="228" t="s">
        <v>17</v>
      </c>
      <c r="H461" s="216" t="s">
        <v>86</v>
      </c>
      <c r="I461" s="157"/>
    </row>
    <row r="462" spans="1:9" x14ac:dyDescent="0.25">
      <c r="A462" s="43"/>
      <c r="B462" s="157"/>
      <c r="C462" s="157"/>
      <c r="D462" s="199"/>
      <c r="E462" s="157"/>
      <c r="F462" s="157"/>
      <c r="G462" s="228"/>
      <c r="H462" s="216" t="s">
        <v>17</v>
      </c>
      <c r="I462" s="157"/>
    </row>
    <row r="463" spans="1:9" x14ac:dyDescent="0.25">
      <c r="A463" s="43"/>
      <c r="B463" s="157"/>
      <c r="C463" s="157"/>
      <c r="D463" s="199"/>
      <c r="E463" s="157"/>
      <c r="F463" s="157"/>
      <c r="G463" s="228"/>
      <c r="H463" s="216" t="s">
        <v>139</v>
      </c>
      <c r="I463" s="157"/>
    </row>
    <row r="464" spans="1:9" x14ac:dyDescent="0.25">
      <c r="A464" s="43"/>
      <c r="B464" s="157"/>
      <c r="C464" s="157"/>
      <c r="D464" s="199"/>
      <c r="E464" s="157"/>
      <c r="F464" s="157"/>
      <c r="G464" s="228"/>
      <c r="H464" s="216" t="s">
        <v>140</v>
      </c>
      <c r="I464" s="157"/>
    </row>
    <row r="465" spans="1:9" x14ac:dyDescent="0.25">
      <c r="A465" s="43"/>
      <c r="B465" s="157"/>
      <c r="C465" s="157"/>
      <c r="D465" s="199"/>
      <c r="E465" s="157"/>
      <c r="F465" s="157"/>
      <c r="G465" s="228" t="s">
        <v>123</v>
      </c>
      <c r="H465" s="216"/>
      <c r="I465" s="157" t="s">
        <v>133</v>
      </c>
    </row>
    <row r="466" spans="1:9" x14ac:dyDescent="0.25">
      <c r="A466" s="43"/>
      <c r="B466" s="157"/>
      <c r="C466" s="157"/>
      <c r="D466" s="199"/>
      <c r="E466" s="157"/>
      <c r="F466" s="157"/>
      <c r="G466" s="228" t="s">
        <v>124</v>
      </c>
      <c r="H466" s="229" t="s">
        <v>132</v>
      </c>
      <c r="I466" s="157" t="s">
        <v>134</v>
      </c>
    </row>
    <row r="467" spans="1:9" x14ac:dyDescent="0.25">
      <c r="A467" s="43"/>
      <c r="B467" s="157"/>
      <c r="C467" s="157"/>
      <c r="D467" s="199"/>
      <c r="E467" s="157"/>
      <c r="F467" s="157"/>
      <c r="G467" s="228" t="s">
        <v>125</v>
      </c>
      <c r="H467" s="229" t="s">
        <v>132</v>
      </c>
      <c r="I467" s="157"/>
    </row>
    <row r="468" spans="1:9" x14ac:dyDescent="0.25">
      <c r="A468" s="43"/>
      <c r="B468" s="157"/>
      <c r="C468" s="157"/>
      <c r="D468" s="199"/>
      <c r="E468" s="157"/>
      <c r="F468" s="157"/>
      <c r="G468" s="228" t="s">
        <v>126</v>
      </c>
      <c r="H468" s="216"/>
      <c r="I468" s="157" t="s">
        <v>130</v>
      </c>
    </row>
    <row r="469" spans="1:9" x14ac:dyDescent="0.25">
      <c r="A469" s="43"/>
      <c r="B469" s="157"/>
      <c r="C469" s="157"/>
      <c r="D469" s="199"/>
      <c r="E469" s="157"/>
      <c r="F469" s="157"/>
      <c r="G469" s="228" t="s">
        <v>127</v>
      </c>
      <c r="H469" s="229" t="s">
        <v>137</v>
      </c>
      <c r="I469" s="157" t="s">
        <v>136</v>
      </c>
    </row>
    <row r="470" spans="1:9" x14ac:dyDescent="0.25">
      <c r="A470" s="43"/>
      <c r="B470" s="157"/>
      <c r="C470" s="157"/>
      <c r="D470" s="199"/>
      <c r="E470" s="157"/>
      <c r="F470" s="157"/>
      <c r="G470" s="228" t="s">
        <v>128</v>
      </c>
      <c r="H470" s="216"/>
      <c r="I470" s="157" t="s">
        <v>135</v>
      </c>
    </row>
    <row r="471" spans="1:9" x14ac:dyDescent="0.25">
      <c r="A471" s="43"/>
      <c r="B471" s="157"/>
      <c r="C471" s="157"/>
      <c r="D471" s="199"/>
      <c r="E471" s="157"/>
      <c r="F471" s="157"/>
      <c r="G471" s="228" t="s">
        <v>129</v>
      </c>
      <c r="H471" s="216"/>
      <c r="I471" s="157" t="s">
        <v>131</v>
      </c>
    </row>
    <row r="472" spans="1:9" x14ac:dyDescent="0.25">
      <c r="A472" s="43"/>
      <c r="B472" s="157"/>
      <c r="C472" s="157"/>
      <c r="D472" s="199"/>
      <c r="E472" s="157"/>
      <c r="F472" s="157"/>
      <c r="G472" s="216"/>
      <c r="H472" s="216"/>
      <c r="I472" s="157" t="s">
        <v>142</v>
      </c>
    </row>
    <row r="473" spans="1:9" x14ac:dyDescent="0.25">
      <c r="A473" s="43"/>
      <c r="B473" s="157"/>
      <c r="C473" s="157"/>
      <c r="D473" s="199"/>
      <c r="E473" s="51" t="s">
        <v>141</v>
      </c>
      <c r="F473" s="230"/>
      <c r="G473" s="216"/>
      <c r="H473" s="216"/>
      <c r="I473" s="157" t="s">
        <v>143</v>
      </c>
    </row>
    <row r="474" spans="1:9" x14ac:dyDescent="0.25">
      <c r="A474" s="43"/>
      <c r="B474" s="157"/>
      <c r="C474" s="157"/>
      <c r="D474" s="199"/>
      <c r="E474" s="51" t="s">
        <v>144</v>
      </c>
      <c r="F474" s="230"/>
      <c r="G474" s="216"/>
      <c r="H474" s="216"/>
      <c r="I474" s="157" t="s">
        <v>145</v>
      </c>
    </row>
    <row r="475" spans="1:9" x14ac:dyDescent="0.25">
      <c r="A475" s="43"/>
      <c r="B475" s="157"/>
      <c r="C475" s="157"/>
      <c r="D475" s="199"/>
      <c r="E475" s="230"/>
      <c r="F475" s="230"/>
      <c r="G475" s="216"/>
      <c r="H475" s="216"/>
      <c r="I475" s="157" t="s">
        <v>148</v>
      </c>
    </row>
    <row r="476" spans="1:9" x14ac:dyDescent="0.25">
      <c r="A476" s="43"/>
      <c r="B476" s="157"/>
      <c r="C476" s="157"/>
      <c r="D476" s="199"/>
      <c r="E476" s="230"/>
      <c r="F476" s="230"/>
      <c r="G476" s="216"/>
      <c r="H476" s="216"/>
      <c r="I476" s="157" t="s">
        <v>147</v>
      </c>
    </row>
    <row r="477" spans="1:9" x14ac:dyDescent="0.25">
      <c r="A477" s="43"/>
      <c r="B477" s="157"/>
      <c r="C477" s="157"/>
      <c r="D477" s="199"/>
      <c r="E477" s="51" t="s">
        <v>146</v>
      </c>
      <c r="F477" s="230"/>
      <c r="G477" s="229" t="s">
        <v>149</v>
      </c>
      <c r="H477" s="216"/>
      <c r="I477" s="157" t="s">
        <v>154</v>
      </c>
    </row>
    <row r="478" spans="1:9" x14ac:dyDescent="0.25">
      <c r="A478" s="43"/>
      <c r="B478" s="157"/>
      <c r="C478" s="157"/>
      <c r="D478" s="199"/>
      <c r="E478" s="231"/>
      <c r="F478" s="231"/>
      <c r="G478" s="229" t="s">
        <v>150</v>
      </c>
      <c r="H478" s="216"/>
      <c r="I478" s="157" t="s">
        <v>155</v>
      </c>
    </row>
    <row r="479" spans="1:9" ht="45" x14ac:dyDescent="0.25">
      <c r="A479" s="43"/>
      <c r="B479" s="157"/>
      <c r="C479" s="157"/>
      <c r="D479" s="199"/>
      <c r="E479" s="231"/>
      <c r="F479" s="231"/>
      <c r="G479" s="229" t="s">
        <v>151</v>
      </c>
      <c r="H479" s="208" t="s">
        <v>152</v>
      </c>
      <c r="I479" s="218" t="s">
        <v>156</v>
      </c>
    </row>
    <row r="480" spans="1:9" x14ac:dyDescent="0.25">
      <c r="A480" s="43"/>
      <c r="B480" s="157"/>
      <c r="C480" s="157"/>
      <c r="D480" s="199"/>
      <c r="E480" s="231"/>
      <c r="F480" s="231"/>
      <c r="G480" s="216"/>
      <c r="H480" s="216" t="s">
        <v>153</v>
      </c>
      <c r="I480" s="157"/>
    </row>
    <row r="481" spans="1:9" x14ac:dyDescent="0.25">
      <c r="A481" s="43"/>
      <c r="B481" s="157"/>
      <c r="C481" s="157"/>
      <c r="D481" s="199"/>
      <c r="E481" s="52" t="s">
        <v>157</v>
      </c>
      <c r="F481" s="229" t="s">
        <v>158</v>
      </c>
      <c r="G481" s="229"/>
      <c r="H481" s="216"/>
      <c r="I481" s="157" t="s">
        <v>161</v>
      </c>
    </row>
    <row r="482" spans="1:9" x14ac:dyDescent="0.25">
      <c r="A482" s="43"/>
      <c r="B482" s="157"/>
      <c r="C482" s="157"/>
      <c r="D482" s="199"/>
      <c r="E482" s="231"/>
      <c r="F482" s="229" t="s">
        <v>159</v>
      </c>
      <c r="G482" s="229"/>
      <c r="H482" s="216"/>
      <c r="I482" s="157" t="s">
        <v>162</v>
      </c>
    </row>
    <row r="483" spans="1:9" x14ac:dyDescent="0.25">
      <c r="A483" s="43"/>
      <c r="B483" s="157"/>
      <c r="C483" s="157"/>
      <c r="D483" s="199"/>
      <c r="E483" s="231"/>
      <c r="F483" s="229" t="s">
        <v>160</v>
      </c>
      <c r="G483" s="229"/>
      <c r="H483" s="216"/>
      <c r="I483" s="157"/>
    </row>
    <row r="484" spans="1:9" x14ac:dyDescent="0.25">
      <c r="A484" s="43"/>
      <c r="B484" s="157"/>
      <c r="C484" s="157"/>
      <c r="D484" s="199"/>
      <c r="E484" s="52" t="s">
        <v>163</v>
      </c>
      <c r="F484" s="232"/>
      <c r="G484" s="216" t="s">
        <v>164</v>
      </c>
      <c r="H484" s="216"/>
      <c r="I484" s="157" t="s">
        <v>168</v>
      </c>
    </row>
    <row r="485" spans="1:9" x14ac:dyDescent="0.25">
      <c r="A485" s="43"/>
      <c r="B485" s="157"/>
      <c r="C485" s="157"/>
      <c r="D485" s="199"/>
      <c r="E485" s="230"/>
      <c r="F485" s="231"/>
      <c r="G485" s="216" t="s">
        <v>165</v>
      </c>
      <c r="H485" s="216"/>
      <c r="I485" s="157"/>
    </row>
    <row r="486" spans="1:9" x14ac:dyDescent="0.25">
      <c r="A486" s="43"/>
      <c r="B486" s="157"/>
      <c r="C486" s="157"/>
      <c r="D486" s="199"/>
      <c r="E486" s="230"/>
      <c r="F486" s="231"/>
      <c r="G486" s="216" t="s">
        <v>166</v>
      </c>
      <c r="H486" s="216"/>
      <c r="I486" s="157"/>
    </row>
    <row r="487" spans="1:9" x14ac:dyDescent="0.25">
      <c r="A487" s="43"/>
      <c r="B487" s="157"/>
      <c r="C487" s="157"/>
      <c r="D487" s="199"/>
      <c r="E487" s="230"/>
      <c r="F487" s="231"/>
      <c r="G487" s="216" t="s">
        <v>167</v>
      </c>
      <c r="H487" s="216"/>
      <c r="I487" s="157" t="s">
        <v>169</v>
      </c>
    </row>
    <row r="488" spans="1:9" x14ac:dyDescent="0.25">
      <c r="A488" s="43"/>
      <c r="B488" s="157"/>
      <c r="C488" s="157"/>
      <c r="D488" s="199"/>
      <c r="E488" s="230"/>
      <c r="F488" s="231"/>
      <c r="G488" s="216"/>
      <c r="H488" s="216"/>
      <c r="I488" s="157" t="s">
        <v>170</v>
      </c>
    </row>
    <row r="489" spans="1:9" x14ac:dyDescent="0.25">
      <c r="A489" s="43"/>
      <c r="B489" s="157"/>
      <c r="C489" s="157"/>
      <c r="D489" s="199"/>
      <c r="E489" s="230"/>
      <c r="F489" s="231"/>
      <c r="G489" s="216"/>
      <c r="H489" s="216"/>
      <c r="I489" s="157"/>
    </row>
    <row r="490" spans="1:9" x14ac:dyDescent="0.25">
      <c r="A490" s="43"/>
      <c r="B490" s="157"/>
      <c r="C490" s="199" t="s">
        <v>370</v>
      </c>
      <c r="D490" s="199" t="s">
        <v>13</v>
      </c>
      <c r="E490" s="199"/>
      <c r="F490" s="180"/>
      <c r="G490" s="179"/>
      <c r="H490" s="179"/>
      <c r="I490" s="180" t="s">
        <v>240</v>
      </c>
    </row>
    <row r="491" spans="1:9" x14ac:dyDescent="0.25">
      <c r="A491" s="43"/>
      <c r="B491" s="157"/>
      <c r="C491" s="199"/>
      <c r="D491" s="52" t="s">
        <v>67</v>
      </c>
      <c r="E491" s="199"/>
      <c r="F491" s="233" t="s">
        <v>248</v>
      </c>
      <c r="G491" s="181" t="s">
        <v>216</v>
      </c>
      <c r="H491" s="181" t="s">
        <v>247</v>
      </c>
      <c r="I491" s="180" t="s">
        <v>241</v>
      </c>
    </row>
    <row r="492" spans="1:9" ht="30" x14ac:dyDescent="0.25">
      <c r="A492" s="43"/>
      <c r="B492" s="157"/>
      <c r="C492" s="157"/>
      <c r="D492" s="158"/>
      <c r="E492" s="158"/>
      <c r="F492" s="234" t="s">
        <v>123</v>
      </c>
      <c r="G492" s="218" t="s">
        <v>269</v>
      </c>
      <c r="H492" s="184" t="s">
        <v>270</v>
      </c>
      <c r="I492" s="180" t="s">
        <v>267</v>
      </c>
    </row>
    <row r="493" spans="1:9" ht="60" x14ac:dyDescent="0.25">
      <c r="A493" s="43"/>
      <c r="B493" s="157"/>
      <c r="C493" s="157"/>
      <c r="D493" s="158"/>
      <c r="E493" s="158"/>
      <c r="F493" s="235" t="s">
        <v>249</v>
      </c>
      <c r="G493" s="202" t="s">
        <v>250</v>
      </c>
      <c r="H493" s="184" t="s">
        <v>237</v>
      </c>
      <c r="I493" s="177" t="s">
        <v>268</v>
      </c>
    </row>
    <row r="494" spans="1:9" x14ac:dyDescent="0.25">
      <c r="A494" s="43"/>
      <c r="B494" s="157"/>
      <c r="C494" s="157"/>
      <c r="D494" s="158"/>
      <c r="E494" s="158"/>
      <c r="F494" s="196"/>
      <c r="G494" s="202" t="s">
        <v>251</v>
      </c>
      <c r="H494" s="184" t="s">
        <v>202</v>
      </c>
      <c r="I494" s="177" t="s">
        <v>271</v>
      </c>
    </row>
    <row r="495" spans="1:9" x14ac:dyDescent="0.25">
      <c r="A495" s="43"/>
      <c r="B495" s="157"/>
      <c r="C495" s="157"/>
      <c r="D495" s="158"/>
      <c r="E495" s="158"/>
      <c r="F495" s="196"/>
      <c r="G495" s="216" t="s">
        <v>252</v>
      </c>
      <c r="H495" s="181" t="s">
        <v>202</v>
      </c>
      <c r="I495" s="180"/>
    </row>
    <row r="496" spans="1:9" x14ac:dyDescent="0.25">
      <c r="A496" s="43"/>
      <c r="B496" s="157"/>
      <c r="C496" s="157"/>
      <c r="D496" s="158"/>
      <c r="E496" s="158"/>
      <c r="F496" s="180" t="s">
        <v>272</v>
      </c>
      <c r="G496" s="216"/>
      <c r="H496" s="181" t="s">
        <v>202</v>
      </c>
      <c r="I496" s="180" t="s">
        <v>273</v>
      </c>
    </row>
    <row r="497" spans="1:9" x14ac:dyDescent="0.25">
      <c r="A497" s="43"/>
      <c r="B497" s="157"/>
      <c r="C497" s="157"/>
      <c r="D497" s="158"/>
      <c r="E497" s="158"/>
      <c r="F497" s="180" t="s">
        <v>117</v>
      </c>
      <c r="G497" s="216"/>
      <c r="H497" s="181" t="s">
        <v>202</v>
      </c>
      <c r="I497" s="180" t="s">
        <v>273</v>
      </c>
    </row>
    <row r="498" spans="1:9" x14ac:dyDescent="0.25">
      <c r="A498" s="43"/>
      <c r="B498" s="157"/>
      <c r="C498" s="157"/>
      <c r="D498" s="158"/>
      <c r="E498" s="158"/>
      <c r="F498" s="233" t="s">
        <v>242</v>
      </c>
      <c r="G498" s="216" t="s">
        <v>274</v>
      </c>
      <c r="H498" s="179"/>
      <c r="I498" s="158"/>
    </row>
    <row r="499" spans="1:9" x14ac:dyDescent="0.25">
      <c r="A499" s="43"/>
      <c r="B499" s="157"/>
      <c r="C499" s="157"/>
      <c r="D499" s="158"/>
      <c r="E499" s="158"/>
      <c r="F499" s="233" t="s">
        <v>243</v>
      </c>
      <c r="G499" s="216" t="s">
        <v>9</v>
      </c>
      <c r="H499" s="181" t="s">
        <v>2</v>
      </c>
      <c r="I499" s="180" t="s">
        <v>275</v>
      </c>
    </row>
    <row r="500" spans="1:9" x14ac:dyDescent="0.25">
      <c r="A500" s="43"/>
      <c r="B500" s="157"/>
      <c r="C500" s="157"/>
      <c r="D500" s="158"/>
      <c r="E500" s="158"/>
      <c r="F500" s="233"/>
      <c r="G500" s="216" t="s">
        <v>253</v>
      </c>
      <c r="H500" s="181" t="s">
        <v>186</v>
      </c>
      <c r="I500" s="158"/>
    </row>
    <row r="501" spans="1:9" x14ac:dyDescent="0.25">
      <c r="A501" s="43"/>
      <c r="B501" s="157"/>
      <c r="C501" s="157"/>
      <c r="D501" s="158"/>
      <c r="E501" s="158"/>
      <c r="F501" s="233"/>
      <c r="G501" s="216" t="s">
        <v>254</v>
      </c>
      <c r="H501" s="181" t="s">
        <v>186</v>
      </c>
      <c r="I501" s="158"/>
    </row>
    <row r="502" spans="1:9" x14ac:dyDescent="0.25">
      <c r="A502" s="43"/>
      <c r="B502" s="157"/>
      <c r="C502" s="157"/>
      <c r="D502" s="158"/>
      <c r="E502" s="158"/>
      <c r="F502" s="233"/>
      <c r="G502" s="216" t="s">
        <v>255</v>
      </c>
      <c r="H502" s="181" t="s">
        <v>186</v>
      </c>
      <c r="I502" s="158"/>
    </row>
    <row r="503" spans="1:9" x14ac:dyDescent="0.25">
      <c r="A503" s="43"/>
      <c r="B503" s="157"/>
      <c r="C503" s="157"/>
      <c r="D503" s="158"/>
      <c r="E503" s="158"/>
      <c r="F503" s="233"/>
      <c r="G503" s="216" t="s">
        <v>256</v>
      </c>
      <c r="H503" s="181" t="s">
        <v>262</v>
      </c>
      <c r="I503" s="158"/>
    </row>
    <row r="504" spans="1:9" x14ac:dyDescent="0.25">
      <c r="A504" s="43"/>
      <c r="B504" s="157"/>
      <c r="C504" s="157"/>
      <c r="D504" s="158"/>
      <c r="E504" s="158"/>
      <c r="F504" s="233"/>
      <c r="G504" s="216" t="s">
        <v>257</v>
      </c>
      <c r="H504" s="181" t="s">
        <v>261</v>
      </c>
      <c r="I504" s="158"/>
    </row>
    <row r="505" spans="1:9" x14ac:dyDescent="0.25">
      <c r="A505" s="43"/>
      <c r="B505" s="157"/>
      <c r="C505" s="157"/>
      <c r="D505" s="158"/>
      <c r="E505" s="158"/>
      <c r="F505" s="233"/>
      <c r="G505" s="216" t="s">
        <v>258</v>
      </c>
      <c r="H505" s="181" t="s">
        <v>260</v>
      </c>
      <c r="I505" s="158"/>
    </row>
    <row r="506" spans="1:9" x14ac:dyDescent="0.25">
      <c r="A506" s="43"/>
      <c r="B506" s="157"/>
      <c r="C506" s="157"/>
      <c r="D506" s="158"/>
      <c r="E506" s="158"/>
      <c r="F506" s="233"/>
      <c r="G506" s="216" t="s">
        <v>73</v>
      </c>
      <c r="H506" s="181" t="s">
        <v>186</v>
      </c>
      <c r="I506" s="158"/>
    </row>
    <row r="507" spans="1:9" x14ac:dyDescent="0.25">
      <c r="A507" s="43"/>
      <c r="B507" s="157"/>
      <c r="C507" s="157"/>
      <c r="D507" s="158"/>
      <c r="E507" s="158"/>
      <c r="F507" s="233"/>
      <c r="G507" s="216" t="s">
        <v>182</v>
      </c>
      <c r="H507" s="181" t="s">
        <v>186</v>
      </c>
      <c r="I507" s="158"/>
    </row>
    <row r="508" spans="1:9" x14ac:dyDescent="0.25">
      <c r="A508" s="43"/>
      <c r="B508" s="157"/>
      <c r="C508" s="157"/>
      <c r="D508" s="158"/>
      <c r="E508" s="158"/>
      <c r="F508" s="233"/>
      <c r="G508" s="216" t="s">
        <v>259</v>
      </c>
      <c r="H508" s="181" t="s">
        <v>261</v>
      </c>
      <c r="I508" s="158"/>
    </row>
    <row r="509" spans="1:9" x14ac:dyDescent="0.25">
      <c r="A509" s="43"/>
      <c r="B509" s="157"/>
      <c r="C509" s="157"/>
      <c r="D509" s="158"/>
      <c r="E509" s="158"/>
      <c r="F509" s="233" t="s">
        <v>244</v>
      </c>
      <c r="G509" s="216" t="s">
        <v>263</v>
      </c>
      <c r="H509" s="181" t="s">
        <v>265</v>
      </c>
      <c r="I509" s="180" t="s">
        <v>277</v>
      </c>
    </row>
    <row r="510" spans="1:9" x14ac:dyDescent="0.25">
      <c r="A510" s="43"/>
      <c r="B510" s="157"/>
      <c r="C510" s="157"/>
      <c r="D510" s="158"/>
      <c r="E510" s="158"/>
      <c r="F510" s="196" t="s">
        <v>263</v>
      </c>
      <c r="G510" s="216" t="s">
        <v>264</v>
      </c>
      <c r="H510" s="181" t="s">
        <v>266</v>
      </c>
      <c r="I510" s="158"/>
    </row>
    <row r="511" spans="1:9" x14ac:dyDescent="0.25">
      <c r="A511" s="43"/>
      <c r="B511" s="157"/>
      <c r="C511" s="157"/>
      <c r="D511" s="158"/>
      <c r="E511" s="158"/>
      <c r="F511" s="196"/>
      <c r="G511" s="216" t="s">
        <v>255</v>
      </c>
      <c r="H511" s="181" t="s">
        <v>276</v>
      </c>
      <c r="I511" s="158"/>
    </row>
    <row r="512" spans="1:9" x14ac:dyDescent="0.25">
      <c r="A512" s="43"/>
      <c r="B512" s="157"/>
      <c r="C512" s="157"/>
      <c r="D512" s="158"/>
      <c r="E512" s="158"/>
      <c r="F512" s="233" t="s">
        <v>245</v>
      </c>
      <c r="G512" s="216"/>
      <c r="H512" s="179"/>
      <c r="I512" s="180" t="s">
        <v>283</v>
      </c>
    </row>
    <row r="513" spans="1:9" x14ac:dyDescent="0.25">
      <c r="A513" s="43"/>
      <c r="B513" s="157"/>
      <c r="C513" s="157"/>
      <c r="D513" s="158"/>
      <c r="E513" s="158"/>
      <c r="F513" s="196" t="s">
        <v>278</v>
      </c>
      <c r="G513" s="216"/>
      <c r="H513" s="179"/>
      <c r="I513" s="158"/>
    </row>
    <row r="514" spans="1:9" x14ac:dyDescent="0.25">
      <c r="A514" s="43"/>
      <c r="B514" s="157"/>
      <c r="C514" s="157"/>
      <c r="D514" s="158"/>
      <c r="E514" s="158"/>
      <c r="F514" s="180" t="s">
        <v>279</v>
      </c>
      <c r="G514" s="216"/>
      <c r="H514" s="179"/>
      <c r="I514" s="158"/>
    </row>
    <row r="515" spans="1:9" x14ac:dyDescent="0.25">
      <c r="A515" s="43"/>
      <c r="B515" s="157"/>
      <c r="C515" s="157"/>
      <c r="D515" s="158"/>
      <c r="E515" s="158"/>
      <c r="F515" s="180" t="s">
        <v>280</v>
      </c>
      <c r="G515" s="216"/>
      <c r="H515" s="179"/>
      <c r="I515" s="158"/>
    </row>
    <row r="516" spans="1:9" x14ac:dyDescent="0.25">
      <c r="A516" s="43"/>
      <c r="B516" s="157"/>
      <c r="C516" s="157"/>
      <c r="D516" s="158"/>
      <c r="E516" s="158"/>
      <c r="F516" s="180" t="s">
        <v>281</v>
      </c>
      <c r="G516" s="216"/>
      <c r="H516" s="179"/>
      <c r="I516" s="158"/>
    </row>
    <row r="517" spans="1:9" x14ac:dyDescent="0.25">
      <c r="A517" s="43"/>
      <c r="B517" s="157"/>
      <c r="C517" s="157"/>
      <c r="D517" s="158"/>
      <c r="E517" s="158"/>
      <c r="F517" s="180" t="s">
        <v>282</v>
      </c>
      <c r="G517" s="216"/>
      <c r="H517" s="179"/>
      <c r="I517" s="180" t="s">
        <v>284</v>
      </c>
    </row>
    <row r="518" spans="1:9" x14ac:dyDescent="0.25">
      <c r="A518" s="43"/>
      <c r="B518" s="157"/>
      <c r="C518" s="157"/>
      <c r="D518" s="158"/>
      <c r="E518" s="158"/>
      <c r="F518" s="233" t="s">
        <v>128</v>
      </c>
      <c r="G518" s="216" t="s">
        <v>285</v>
      </c>
      <c r="H518" s="179"/>
      <c r="I518" s="158"/>
    </row>
    <row r="519" spans="1:9" x14ac:dyDescent="0.25">
      <c r="A519" s="43"/>
      <c r="B519" s="157"/>
      <c r="C519" s="157"/>
      <c r="D519" s="158"/>
      <c r="E519" s="158"/>
      <c r="F519" s="233" t="s">
        <v>246</v>
      </c>
      <c r="G519" s="216" t="s">
        <v>286</v>
      </c>
      <c r="H519" s="179"/>
      <c r="I519" s="180" t="s">
        <v>287</v>
      </c>
    </row>
    <row r="520" spans="1:9" x14ac:dyDescent="0.25">
      <c r="A520" s="43"/>
      <c r="B520" s="157"/>
      <c r="C520" s="157"/>
      <c r="D520" s="158"/>
      <c r="E520" s="51" t="s">
        <v>288</v>
      </c>
      <c r="F520" s="230"/>
      <c r="G520" s="216"/>
      <c r="H520" s="216"/>
      <c r="I520" s="157" t="s">
        <v>289</v>
      </c>
    </row>
    <row r="521" spans="1:9" x14ac:dyDescent="0.25">
      <c r="A521" s="43"/>
      <c r="B521" s="157"/>
      <c r="C521" s="157"/>
      <c r="D521" s="158"/>
      <c r="E521" s="51" t="s">
        <v>146</v>
      </c>
      <c r="F521" s="233"/>
      <c r="G521" s="216" t="s">
        <v>290</v>
      </c>
      <c r="H521" s="181" t="s">
        <v>247</v>
      </c>
      <c r="I521" s="180"/>
    </row>
    <row r="522" spans="1:9" ht="45" x14ac:dyDescent="0.25">
      <c r="A522" s="43"/>
      <c r="B522" s="157"/>
      <c r="C522" s="157"/>
      <c r="D522" s="158"/>
      <c r="E522" s="158"/>
      <c r="F522" s="233"/>
      <c r="G522" s="218" t="s">
        <v>291</v>
      </c>
      <c r="H522" s="184" t="s">
        <v>292</v>
      </c>
      <c r="I522" s="180" t="s">
        <v>294</v>
      </c>
    </row>
    <row r="523" spans="1:9" x14ac:dyDescent="0.25">
      <c r="A523" s="43"/>
      <c r="B523" s="157"/>
      <c r="C523" s="157"/>
      <c r="D523" s="158"/>
      <c r="E523" s="158"/>
      <c r="F523" s="233"/>
      <c r="G523" s="216"/>
      <c r="H523" s="179"/>
      <c r="I523" s="180"/>
    </row>
    <row r="524" spans="1:9" x14ac:dyDescent="0.25">
      <c r="A524" s="43"/>
      <c r="B524" s="157"/>
      <c r="C524" s="157"/>
      <c r="D524" s="158"/>
      <c r="E524" s="158"/>
      <c r="F524" s="233"/>
      <c r="G524" s="216"/>
      <c r="H524" s="179"/>
      <c r="I524" s="180"/>
    </row>
    <row r="525" spans="1:9" x14ac:dyDescent="0.25">
      <c r="A525" s="43"/>
      <c r="B525" s="157"/>
      <c r="C525" s="157"/>
      <c r="D525" s="158"/>
      <c r="E525" s="158"/>
      <c r="F525" s="233"/>
      <c r="G525" s="216"/>
      <c r="H525" s="179"/>
      <c r="I525" s="180"/>
    </row>
    <row r="526" spans="1:9" x14ac:dyDescent="0.25">
      <c r="A526" s="43"/>
      <c r="B526" s="157"/>
      <c r="C526" s="157"/>
      <c r="D526" s="158"/>
      <c r="E526" s="158"/>
      <c r="F526" s="180"/>
      <c r="G526" s="179"/>
      <c r="H526" s="179"/>
      <c r="I526" s="158"/>
    </row>
    <row r="527" spans="1:9" x14ac:dyDescent="0.25">
      <c r="A527" s="43"/>
      <c r="B527" s="501" t="s">
        <v>371</v>
      </c>
      <c r="C527" s="160" t="s">
        <v>64</v>
      </c>
      <c r="D527" s="160"/>
      <c r="E527" s="160" t="s">
        <v>348</v>
      </c>
      <c r="F527" s="162"/>
      <c r="G527" s="163" t="s">
        <v>198</v>
      </c>
      <c r="H527" s="163" t="s">
        <v>31</v>
      </c>
      <c r="I527" s="162"/>
    </row>
    <row r="528" spans="1:9" x14ac:dyDescent="0.25">
      <c r="A528" s="43"/>
      <c r="B528" s="502"/>
      <c r="C528" s="167"/>
      <c r="D528" s="165"/>
      <c r="E528" s="167"/>
      <c r="F528" s="167"/>
      <c r="G528" s="168" t="s">
        <v>331</v>
      </c>
      <c r="H528" s="168" t="s">
        <v>309</v>
      </c>
      <c r="I528" s="167"/>
    </row>
    <row r="529" spans="1:9" x14ac:dyDescent="0.25">
      <c r="A529" s="43"/>
      <c r="B529" s="502"/>
      <c r="C529" s="167"/>
      <c r="D529" s="165"/>
      <c r="E529" s="167"/>
      <c r="F529" s="167"/>
      <c r="G529" s="168" t="s">
        <v>332</v>
      </c>
      <c r="H529" s="168" t="s">
        <v>309</v>
      </c>
      <c r="I529" s="167"/>
    </row>
    <row r="530" spans="1:9" ht="45" x14ac:dyDescent="0.25">
      <c r="A530" s="43"/>
      <c r="B530" s="502"/>
      <c r="C530" s="167"/>
      <c r="D530" s="167"/>
      <c r="E530" s="167"/>
      <c r="F530" s="167"/>
      <c r="G530" s="236" t="s">
        <v>86</v>
      </c>
      <c r="H530" s="203" t="s">
        <v>334</v>
      </c>
      <c r="I530" s="170" t="s">
        <v>344</v>
      </c>
    </row>
    <row r="531" spans="1:9" x14ac:dyDescent="0.25">
      <c r="A531" s="43"/>
      <c r="B531" s="502"/>
      <c r="C531" s="167"/>
      <c r="D531" s="167"/>
      <c r="E531" s="167"/>
      <c r="F531" s="69" t="s">
        <v>333</v>
      </c>
      <c r="G531" s="168"/>
      <c r="H531" s="168"/>
      <c r="I531" s="237" t="s">
        <v>343</v>
      </c>
    </row>
    <row r="532" spans="1:9" x14ac:dyDescent="0.25">
      <c r="A532" s="43"/>
      <c r="B532" s="157"/>
      <c r="C532" s="157"/>
      <c r="D532" s="199"/>
      <c r="E532" s="157"/>
      <c r="F532" s="215" t="s">
        <v>218</v>
      </c>
      <c r="G532" s="216"/>
      <c r="H532" s="216"/>
      <c r="I532" s="157" t="s">
        <v>346</v>
      </c>
    </row>
    <row r="533" spans="1:9" x14ac:dyDescent="0.25">
      <c r="A533" s="43"/>
      <c r="B533" s="157"/>
      <c r="C533" s="157"/>
      <c r="D533" s="199"/>
      <c r="E533" s="157"/>
      <c r="F533" s="215" t="s">
        <v>129</v>
      </c>
      <c r="G533" s="216"/>
      <c r="H533" s="216"/>
      <c r="I533" s="157" t="s">
        <v>345</v>
      </c>
    </row>
    <row r="534" spans="1:9" x14ac:dyDescent="0.25">
      <c r="A534" s="43"/>
      <c r="B534" s="157"/>
      <c r="C534" s="157"/>
      <c r="D534" s="199"/>
      <c r="E534" s="157"/>
      <c r="F534" s="157"/>
      <c r="G534" s="216"/>
      <c r="H534" s="216"/>
      <c r="I534" s="238" t="s">
        <v>347</v>
      </c>
    </row>
    <row r="535" spans="1:9" x14ac:dyDescent="0.25">
      <c r="A535" s="43"/>
      <c r="B535" s="157"/>
      <c r="C535" s="157"/>
      <c r="D535" s="199"/>
      <c r="E535" s="157"/>
      <c r="F535" s="157"/>
      <c r="G535" s="216"/>
      <c r="H535" s="216"/>
      <c r="I535" s="238"/>
    </row>
    <row r="536" spans="1:9" x14ac:dyDescent="0.25">
      <c r="A536" s="43"/>
      <c r="B536" s="157"/>
      <c r="C536" s="157"/>
      <c r="D536" s="199"/>
      <c r="E536" s="157"/>
      <c r="F536" s="157"/>
      <c r="G536" s="216"/>
      <c r="H536" s="216"/>
      <c r="I536" s="238"/>
    </row>
    <row r="537" spans="1:9" x14ac:dyDescent="0.25">
      <c r="A537" s="43"/>
      <c r="B537" s="157"/>
      <c r="C537" s="157"/>
      <c r="D537" s="199"/>
      <c r="E537" s="157"/>
      <c r="F537" s="157"/>
      <c r="G537" s="216"/>
      <c r="H537" s="216"/>
      <c r="I537" s="238"/>
    </row>
    <row r="538" spans="1:9" x14ac:dyDescent="0.25">
      <c r="A538" s="43"/>
      <c r="B538" s="157"/>
      <c r="C538" s="157"/>
      <c r="D538" s="199"/>
      <c r="E538" s="157"/>
      <c r="F538" s="157"/>
      <c r="G538" s="216"/>
      <c r="H538" s="216"/>
      <c r="I538" s="238"/>
    </row>
    <row r="539" spans="1:9" x14ac:dyDescent="0.25">
      <c r="A539" s="43"/>
      <c r="B539" s="157"/>
      <c r="C539" s="157"/>
      <c r="D539" s="199"/>
      <c r="E539" s="157"/>
      <c r="F539" s="157"/>
      <c r="G539" s="216"/>
      <c r="H539" s="216"/>
      <c r="I539" s="238"/>
    </row>
    <row r="540" spans="1:9" x14ac:dyDescent="0.25">
      <c r="A540" s="43"/>
      <c r="B540" s="157"/>
      <c r="C540" s="157"/>
      <c r="D540" s="199"/>
      <c r="E540" s="157"/>
      <c r="F540" s="157"/>
      <c r="G540" s="216"/>
      <c r="H540" s="216"/>
      <c r="I540" s="238"/>
    </row>
    <row r="541" spans="1:9" x14ac:dyDescent="0.25">
      <c r="A541" s="43"/>
      <c r="B541" s="157"/>
      <c r="C541" s="157"/>
      <c r="D541" s="199"/>
      <c r="E541" s="157"/>
      <c r="F541" s="157"/>
      <c r="G541" s="216"/>
      <c r="H541" s="216"/>
      <c r="I541" s="238"/>
    </row>
    <row r="542" spans="1:9" x14ac:dyDescent="0.25">
      <c r="A542" s="43"/>
      <c r="B542" s="157"/>
      <c r="C542" s="157"/>
      <c r="D542" s="199"/>
      <c r="E542" s="157"/>
      <c r="F542" s="157"/>
      <c r="G542" s="216"/>
      <c r="H542" s="216"/>
      <c r="I542" s="238"/>
    </row>
    <row r="543" spans="1:9" x14ac:dyDescent="0.25">
      <c r="A543" s="43"/>
      <c r="B543" s="157"/>
      <c r="C543" s="199" t="s">
        <v>64</v>
      </c>
      <c r="D543" s="199"/>
      <c r="E543" s="199" t="s">
        <v>349</v>
      </c>
      <c r="F543" s="157"/>
      <c r="G543" s="216" t="s">
        <v>198</v>
      </c>
      <c r="H543" s="216" t="s">
        <v>31</v>
      </c>
      <c r="I543" s="157"/>
    </row>
    <row r="544" spans="1:9" x14ac:dyDescent="0.25">
      <c r="A544" s="43"/>
      <c r="B544" s="157"/>
      <c r="C544" s="157"/>
      <c r="D544" s="199"/>
      <c r="E544" s="157"/>
      <c r="F544" s="157"/>
      <c r="G544" s="216" t="s">
        <v>331</v>
      </c>
      <c r="H544" s="216" t="s">
        <v>309</v>
      </c>
      <c r="I544" s="157"/>
    </row>
    <row r="545" spans="1:9" x14ac:dyDescent="0.25">
      <c r="A545" s="43"/>
      <c r="B545" s="157"/>
      <c r="C545" s="157"/>
      <c r="D545" s="199"/>
      <c r="E545" s="157"/>
      <c r="F545" s="157"/>
      <c r="G545" s="216" t="s">
        <v>332</v>
      </c>
      <c r="H545" s="216" t="s">
        <v>309</v>
      </c>
      <c r="I545" s="157"/>
    </row>
    <row r="546" spans="1:9" ht="45" x14ac:dyDescent="0.25">
      <c r="A546" s="43"/>
      <c r="B546" s="157"/>
      <c r="C546" s="157"/>
      <c r="D546" s="199"/>
      <c r="E546" s="157"/>
      <c r="F546" s="157"/>
      <c r="G546" s="218" t="s">
        <v>86</v>
      </c>
      <c r="H546" s="208" t="s">
        <v>334</v>
      </c>
      <c r="I546" s="202" t="s">
        <v>344</v>
      </c>
    </row>
    <row r="547" spans="1:9" x14ac:dyDescent="0.25">
      <c r="A547" s="43"/>
      <c r="B547" s="157"/>
      <c r="C547" s="157"/>
      <c r="D547" s="157"/>
      <c r="E547" s="157"/>
      <c r="F547" s="51" t="s">
        <v>333</v>
      </c>
      <c r="G547" s="216"/>
      <c r="H547" s="216"/>
      <c r="I547" s="238" t="s">
        <v>343</v>
      </c>
    </row>
    <row r="548" spans="1:9" x14ac:dyDescent="0.25">
      <c r="A548" s="43"/>
      <c r="B548" s="157"/>
      <c r="C548" s="157"/>
      <c r="D548" s="157"/>
      <c r="E548" s="157"/>
      <c r="F548" s="157"/>
      <c r="G548" s="216"/>
      <c r="H548" s="216"/>
      <c r="I548" s="157" t="s">
        <v>346</v>
      </c>
    </row>
    <row r="549" spans="1:9" x14ac:dyDescent="0.25">
      <c r="A549" s="43"/>
      <c r="B549" s="157"/>
      <c r="C549" s="157"/>
      <c r="D549" s="157"/>
      <c r="E549" s="157"/>
      <c r="F549" s="157"/>
      <c r="G549" s="216"/>
      <c r="H549" s="216"/>
      <c r="I549" s="157" t="s">
        <v>345</v>
      </c>
    </row>
    <row r="550" spans="1:9" x14ac:dyDescent="0.25">
      <c r="A550" s="43"/>
      <c r="B550" s="157"/>
      <c r="C550" s="157"/>
      <c r="D550" s="239"/>
      <c r="E550" s="157"/>
      <c r="F550" s="157"/>
      <c r="G550" s="216"/>
      <c r="H550" s="216"/>
      <c r="I550" s="238" t="s">
        <v>347</v>
      </c>
    </row>
    <row r="551" spans="1:9" x14ac:dyDescent="0.25">
      <c r="A551" s="43"/>
      <c r="B551" s="157"/>
      <c r="C551" s="157"/>
      <c r="D551" s="157"/>
      <c r="E551" s="157"/>
      <c r="F551" s="51" t="s">
        <v>350</v>
      </c>
      <c r="G551" s="216"/>
      <c r="H551" s="216"/>
      <c r="I551" s="157"/>
    </row>
    <row r="552" spans="1:9" x14ac:dyDescent="0.25">
      <c r="A552" s="43"/>
      <c r="B552" s="157"/>
      <c r="C552" s="157"/>
      <c r="D552" s="157"/>
      <c r="E552" s="157"/>
      <c r="F552" s="51" t="s">
        <v>351</v>
      </c>
      <c r="G552" s="216"/>
      <c r="H552" s="216"/>
      <c r="I552" s="157"/>
    </row>
    <row r="553" spans="1:9" x14ac:dyDescent="0.25">
      <c r="A553" s="43"/>
      <c r="B553" s="157"/>
      <c r="C553" s="157"/>
      <c r="D553" s="157"/>
      <c r="E553" s="157"/>
      <c r="F553" s="51" t="s">
        <v>288</v>
      </c>
      <c r="G553" s="216"/>
      <c r="H553" s="216"/>
      <c r="I553" s="157"/>
    </row>
    <row r="554" spans="1:9" x14ac:dyDescent="0.25">
      <c r="A554" s="43"/>
      <c r="B554" s="157"/>
      <c r="C554" s="157"/>
      <c r="D554" s="157"/>
      <c r="E554" s="157"/>
      <c r="F554" s="51" t="s">
        <v>352</v>
      </c>
      <c r="G554" s="216"/>
      <c r="H554" s="216"/>
      <c r="I554" s="157"/>
    </row>
    <row r="555" spans="1:9" x14ac:dyDescent="0.25">
      <c r="A555" s="43"/>
      <c r="B555" s="157"/>
      <c r="C555" s="157"/>
      <c r="D555" s="157"/>
      <c r="E555" s="157"/>
      <c r="F555" s="51" t="s">
        <v>353</v>
      </c>
      <c r="G555" s="216"/>
      <c r="H555" s="216"/>
      <c r="I555" s="157"/>
    </row>
    <row r="556" spans="1:9" x14ac:dyDescent="0.25">
      <c r="A556" s="43"/>
      <c r="B556" s="157"/>
      <c r="C556" s="157"/>
      <c r="D556" s="157"/>
      <c r="E556" s="157"/>
      <c r="F556" s="51" t="s">
        <v>354</v>
      </c>
      <c r="G556" s="216"/>
      <c r="H556" s="216"/>
      <c r="I556" s="157"/>
    </row>
    <row r="557" spans="1:9" x14ac:dyDescent="0.25">
      <c r="A557" s="43"/>
      <c r="B557" s="157"/>
      <c r="C557" s="157"/>
      <c r="D557" s="157"/>
      <c r="E557" s="157"/>
      <c r="F557" s="51" t="s">
        <v>355</v>
      </c>
      <c r="G557" s="216"/>
      <c r="H557" s="216"/>
      <c r="I557" s="157"/>
    </row>
    <row r="558" spans="1:9" x14ac:dyDescent="0.25">
      <c r="A558" s="43"/>
      <c r="B558" s="157"/>
      <c r="C558" s="199" t="s">
        <v>64</v>
      </c>
      <c r="D558" s="157"/>
      <c r="E558" s="199" t="s">
        <v>372</v>
      </c>
      <c r="F558" s="230"/>
      <c r="G558" s="216" t="s">
        <v>199</v>
      </c>
      <c r="H558" s="216" t="s">
        <v>303</v>
      </c>
      <c r="I558" s="199" t="s">
        <v>373</v>
      </c>
    </row>
    <row r="559" spans="1:9" x14ac:dyDescent="0.25">
      <c r="A559" s="43"/>
      <c r="B559" s="157"/>
      <c r="C559" s="157"/>
      <c r="D559" s="157"/>
      <c r="E559" s="157"/>
      <c r="F559" s="230"/>
      <c r="G559" s="216" t="s">
        <v>24</v>
      </c>
      <c r="H559" s="216" t="s">
        <v>369</v>
      </c>
      <c r="I559" s="157" t="s">
        <v>374</v>
      </c>
    </row>
    <row r="560" spans="1:9" x14ac:dyDescent="0.25">
      <c r="A560" s="43"/>
      <c r="B560" s="157"/>
      <c r="C560" s="157"/>
      <c r="D560" s="157"/>
      <c r="E560" s="157"/>
      <c r="F560" s="230"/>
      <c r="G560" s="216"/>
      <c r="H560" s="216"/>
      <c r="I560" s="157" t="s">
        <v>375</v>
      </c>
    </row>
    <row r="561" spans="1:9" x14ac:dyDescent="0.25">
      <c r="A561" s="43"/>
      <c r="B561" s="157"/>
      <c r="C561" s="157"/>
      <c r="D561" s="157"/>
      <c r="E561" s="157"/>
      <c r="F561" s="230"/>
      <c r="G561" s="216"/>
      <c r="H561" s="216"/>
      <c r="I561" s="238" t="s">
        <v>376</v>
      </c>
    </row>
    <row r="562" spans="1:9" s="107" customFormat="1" x14ac:dyDescent="0.25">
      <c r="A562" s="43"/>
      <c r="B562" s="157"/>
      <c r="C562" s="157"/>
      <c r="D562" s="157"/>
      <c r="E562" s="157"/>
      <c r="F562" s="230"/>
      <c r="G562" s="216"/>
      <c r="H562" s="216"/>
      <c r="I562" s="238"/>
    </row>
    <row r="563" spans="1:9" s="107" customFormat="1" x14ac:dyDescent="0.25">
      <c r="A563" s="43"/>
      <c r="B563" s="157"/>
      <c r="C563" s="157"/>
      <c r="D563" s="157"/>
      <c r="E563" s="157"/>
      <c r="F563" s="230"/>
      <c r="G563" s="216"/>
      <c r="H563" s="216"/>
      <c r="I563" s="238"/>
    </row>
    <row r="564" spans="1:9" s="107" customFormat="1" x14ac:dyDescent="0.25">
      <c r="A564" s="43"/>
      <c r="B564" s="157"/>
      <c r="C564" s="157"/>
      <c r="D564" s="157"/>
      <c r="E564" s="157"/>
      <c r="F564" s="230"/>
      <c r="G564" s="216"/>
      <c r="H564" s="216"/>
      <c r="I564" s="238"/>
    </row>
    <row r="565" spans="1:9" s="107" customFormat="1" x14ac:dyDescent="0.25">
      <c r="A565" s="43"/>
      <c r="B565" s="157"/>
      <c r="C565" s="157"/>
      <c r="D565" s="157"/>
      <c r="E565" s="157"/>
      <c r="F565" s="230"/>
      <c r="G565" s="216"/>
      <c r="H565" s="216"/>
      <c r="I565" s="238"/>
    </row>
    <row r="566" spans="1:9" s="107" customFormat="1" x14ac:dyDescent="0.25">
      <c r="A566" s="43"/>
      <c r="B566" s="157"/>
      <c r="C566" s="157"/>
      <c r="D566" s="157"/>
      <c r="E566" s="157"/>
      <c r="F566" s="230"/>
      <c r="G566" s="216"/>
      <c r="H566" s="216"/>
      <c r="I566" s="238"/>
    </row>
    <row r="567" spans="1:9" s="107" customFormat="1" x14ac:dyDescent="0.25">
      <c r="A567" s="43"/>
      <c r="B567" s="157"/>
      <c r="C567" s="157"/>
      <c r="D567" s="157"/>
      <c r="E567" s="157"/>
      <c r="F567" s="230"/>
      <c r="G567" s="216"/>
      <c r="H567" s="216"/>
      <c r="I567" s="238"/>
    </row>
    <row r="568" spans="1:9" s="107" customFormat="1" x14ac:dyDescent="0.25">
      <c r="A568" s="43"/>
      <c r="B568" s="240"/>
      <c r="C568" s="240"/>
      <c r="D568" s="240"/>
      <c r="E568" s="240"/>
      <c r="F568" s="261"/>
      <c r="G568" s="241"/>
      <c r="H568" s="241"/>
      <c r="I568" s="262"/>
    </row>
    <row r="569" spans="1:9" s="107" customFormat="1" x14ac:dyDescent="0.25">
      <c r="A569" s="43"/>
      <c r="B569" s="240"/>
      <c r="C569" s="240"/>
      <c r="D569" s="240"/>
      <c r="E569" s="240"/>
      <c r="F569" s="261"/>
      <c r="G569" s="241"/>
      <c r="H569" s="241"/>
      <c r="I569" s="262"/>
    </row>
    <row r="570" spans="1:9" s="107" customFormat="1" x14ac:dyDescent="0.25">
      <c r="A570" s="43"/>
      <c r="B570" s="240"/>
      <c r="C570" s="240"/>
      <c r="D570" s="240"/>
      <c r="E570" s="240"/>
      <c r="F570" s="261"/>
      <c r="G570" s="241"/>
      <c r="H570" s="241"/>
      <c r="I570" s="262"/>
    </row>
    <row r="571" spans="1:9" s="107" customFormat="1" x14ac:dyDescent="0.25">
      <c r="A571" s="43"/>
      <c r="B571" s="240"/>
      <c r="C571" s="240"/>
      <c r="D571" s="240"/>
      <c r="E571" s="240"/>
      <c r="F571" s="261"/>
      <c r="G571" s="241"/>
      <c r="H571" s="241"/>
      <c r="I571" s="262"/>
    </row>
    <row r="572" spans="1:9" s="107" customFormat="1" x14ac:dyDescent="0.25">
      <c r="A572" s="43"/>
      <c r="B572" s="240"/>
      <c r="C572" s="240"/>
      <c r="D572" s="240"/>
      <c r="E572" s="240"/>
      <c r="F572" s="261"/>
      <c r="G572" s="241"/>
      <c r="H572" s="241"/>
      <c r="I572" s="262"/>
    </row>
    <row r="573" spans="1:9" s="107" customFormat="1" x14ac:dyDescent="0.25">
      <c r="A573" s="43"/>
      <c r="B573" s="240"/>
      <c r="C573" s="240"/>
      <c r="D573" s="240"/>
      <c r="E573" s="240"/>
      <c r="F573" s="261"/>
      <c r="G573" s="241"/>
      <c r="H573" s="241"/>
      <c r="I573" s="262"/>
    </row>
    <row r="574" spans="1:9" s="107" customFormat="1" x14ac:dyDescent="0.25">
      <c r="A574" s="43"/>
      <c r="B574" s="240"/>
      <c r="C574" s="240"/>
      <c r="D574" s="240"/>
      <c r="E574" s="240"/>
      <c r="F574" s="261"/>
      <c r="G574" s="241"/>
      <c r="H574" s="241"/>
      <c r="I574" s="262"/>
    </row>
    <row r="575" spans="1:9" s="107" customFormat="1" x14ac:dyDescent="0.25">
      <c r="A575" s="43"/>
      <c r="B575" s="240"/>
      <c r="C575" s="240"/>
      <c r="D575" s="240"/>
      <c r="E575" s="240"/>
      <c r="F575" s="261"/>
      <c r="G575" s="241"/>
      <c r="H575" s="241"/>
      <c r="I575" s="262"/>
    </row>
    <row r="576" spans="1:9" s="107" customFormat="1" x14ac:dyDescent="0.25">
      <c r="A576" s="43"/>
      <c r="B576" s="240"/>
      <c r="C576" s="240"/>
      <c r="D576" s="240"/>
      <c r="E576" s="240"/>
      <c r="F576" s="261"/>
      <c r="G576" s="241"/>
      <c r="H576" s="241"/>
      <c r="I576" s="262"/>
    </row>
    <row r="577" spans="1:9" s="107" customFormat="1" x14ac:dyDescent="0.25">
      <c r="A577" s="43"/>
      <c r="B577" s="240"/>
      <c r="C577" s="240"/>
      <c r="D577" s="240"/>
      <c r="E577" s="240"/>
      <c r="F577" s="261"/>
      <c r="G577" s="241"/>
      <c r="H577" s="241"/>
      <c r="I577" s="262"/>
    </row>
    <row r="578" spans="1:9" s="107" customFormat="1" x14ac:dyDescent="0.25">
      <c r="A578" s="43"/>
      <c r="B578" s="240"/>
      <c r="C578" s="240"/>
      <c r="D578" s="240"/>
      <c r="E578" s="240"/>
      <c r="F578" s="261"/>
      <c r="G578" s="241"/>
      <c r="H578" s="241"/>
      <c r="I578" s="262"/>
    </row>
    <row r="579" spans="1:9" s="107" customFormat="1" x14ac:dyDescent="0.25">
      <c r="A579" s="43"/>
      <c r="B579" s="240"/>
      <c r="C579" s="240"/>
      <c r="D579" s="240"/>
      <c r="E579" s="240"/>
      <c r="F579" s="261"/>
      <c r="G579" s="241"/>
      <c r="H579" s="241"/>
      <c r="I579" s="262"/>
    </row>
    <row r="580" spans="1:9" s="107" customFormat="1" x14ac:dyDescent="0.25">
      <c r="A580" s="43"/>
      <c r="B580" s="240"/>
      <c r="C580" s="240"/>
      <c r="D580" s="240"/>
      <c r="E580" s="240"/>
      <c r="F580" s="261"/>
      <c r="G580" s="241"/>
      <c r="H580" s="241"/>
      <c r="I580" s="262"/>
    </row>
    <row r="581" spans="1:9" s="107" customFormat="1" x14ac:dyDescent="0.25">
      <c r="A581" s="43"/>
      <c r="B581" s="240"/>
      <c r="C581" s="240"/>
      <c r="D581" s="240"/>
      <c r="E581" s="240"/>
      <c r="F581" s="261"/>
      <c r="G581" s="241"/>
      <c r="H581" s="241"/>
      <c r="I581" s="262"/>
    </row>
    <row r="582" spans="1:9" s="107" customFormat="1" x14ac:dyDescent="0.25">
      <c r="A582" s="43"/>
      <c r="B582" s="240"/>
      <c r="C582" s="240"/>
      <c r="D582" s="240"/>
      <c r="E582" s="240"/>
      <c r="F582" s="261"/>
      <c r="G582" s="241"/>
      <c r="H582" s="241"/>
      <c r="I582" s="262"/>
    </row>
    <row r="583" spans="1:9" x14ac:dyDescent="0.25">
      <c r="A583" s="43"/>
      <c r="B583" s="240"/>
      <c r="C583" s="240"/>
      <c r="D583" s="240"/>
      <c r="E583" s="240"/>
      <c r="F583" s="261"/>
      <c r="G583" s="241"/>
      <c r="H583" s="241"/>
      <c r="I583" s="240"/>
    </row>
    <row r="584" spans="1:9" x14ac:dyDescent="0.25">
      <c r="A584" s="43"/>
      <c r="B584" s="240"/>
      <c r="C584" s="240"/>
      <c r="D584" s="240"/>
      <c r="E584" s="240"/>
      <c r="F584" s="240"/>
      <c r="G584" s="241"/>
      <c r="H584" s="241"/>
      <c r="I584" s="240"/>
    </row>
    <row r="585" spans="1:9" x14ac:dyDescent="0.25">
      <c r="A585" s="43"/>
      <c r="B585" s="240"/>
      <c r="C585" s="240"/>
      <c r="D585" s="240"/>
      <c r="E585" s="240"/>
      <c r="F585" s="240"/>
      <c r="G585" s="241"/>
      <c r="H585" s="241"/>
      <c r="I585" s="240"/>
    </row>
    <row r="586" spans="1:9" x14ac:dyDescent="0.25">
      <c r="A586" s="43"/>
      <c r="B586" s="240"/>
      <c r="C586" s="240"/>
      <c r="D586" s="240"/>
      <c r="E586" s="240"/>
      <c r="F586" s="240"/>
      <c r="G586" s="241"/>
      <c r="H586" s="241"/>
      <c r="I586" s="240"/>
    </row>
    <row r="587" spans="1:9" x14ac:dyDescent="0.25">
      <c r="A587" s="43"/>
      <c r="B587" s="240"/>
      <c r="C587" s="240"/>
      <c r="D587" s="240"/>
      <c r="E587" s="240"/>
      <c r="F587" s="240"/>
      <c r="G587" s="241"/>
      <c r="H587" s="241"/>
      <c r="I587" s="240"/>
    </row>
    <row r="588" spans="1:9" x14ac:dyDescent="0.25">
      <c r="A588" s="43"/>
      <c r="B588" s="240"/>
      <c r="C588" s="240"/>
      <c r="D588" s="240"/>
      <c r="E588" s="240"/>
      <c r="F588" s="240"/>
      <c r="G588" s="241"/>
      <c r="H588" s="241"/>
      <c r="I588" s="240"/>
    </row>
    <row r="589" spans="1:9" s="107" customFormat="1" x14ac:dyDescent="0.25">
      <c r="A589" s="44"/>
      <c r="B589" s="240"/>
      <c r="C589" s="240"/>
      <c r="D589" s="240"/>
      <c r="E589" s="240"/>
      <c r="F589" s="240"/>
      <c r="G589" s="241"/>
      <c r="H589" s="241"/>
      <c r="I589" s="240"/>
    </row>
    <row r="590" spans="1:9" x14ac:dyDescent="0.25">
      <c r="B590" s="509" t="s">
        <v>295</v>
      </c>
      <c r="C590" s="114" t="s">
        <v>297</v>
      </c>
      <c r="D590" s="114"/>
      <c r="E590" s="114"/>
      <c r="F590" s="114"/>
      <c r="G590" s="115"/>
      <c r="H590" s="115"/>
      <c r="I590" s="114"/>
    </row>
    <row r="591" spans="1:9" x14ac:dyDescent="0.25">
      <c r="B591" s="510"/>
      <c r="C591" s="116"/>
      <c r="D591" s="116"/>
      <c r="E591" s="117" t="s">
        <v>359</v>
      </c>
      <c r="F591" s="116" t="s">
        <v>198</v>
      </c>
      <c r="G591" s="118" t="s">
        <v>308</v>
      </c>
      <c r="H591" s="119"/>
      <c r="I591" s="116"/>
    </row>
    <row r="592" spans="1:9" x14ac:dyDescent="0.25">
      <c r="B592" s="510"/>
      <c r="C592" s="116"/>
      <c r="D592" s="116"/>
      <c r="E592" s="116"/>
      <c r="F592" s="116" t="s">
        <v>331</v>
      </c>
      <c r="G592" s="119" t="s">
        <v>361</v>
      </c>
      <c r="H592" s="119"/>
      <c r="I592" s="116"/>
    </row>
    <row r="593" spans="2:9" x14ac:dyDescent="0.25">
      <c r="B593" s="510"/>
      <c r="C593" s="116"/>
      <c r="D593" s="116"/>
      <c r="E593" s="116"/>
      <c r="F593" s="116" t="s">
        <v>332</v>
      </c>
      <c r="G593" s="119" t="s">
        <v>361</v>
      </c>
      <c r="H593" s="119"/>
      <c r="I593" s="116" t="s">
        <v>362</v>
      </c>
    </row>
    <row r="594" spans="2:9" x14ac:dyDescent="0.25">
      <c r="B594" s="510"/>
      <c r="C594" s="116"/>
      <c r="D594" s="116"/>
      <c r="E594" s="117" t="s">
        <v>377</v>
      </c>
      <c r="F594" s="116" t="s">
        <v>198</v>
      </c>
      <c r="G594" s="118" t="s">
        <v>308</v>
      </c>
      <c r="H594" s="119"/>
      <c r="I594" s="116"/>
    </row>
    <row r="595" spans="2:9" x14ac:dyDescent="0.25">
      <c r="B595" s="510"/>
      <c r="C595" s="116"/>
      <c r="D595" s="116"/>
      <c r="E595" s="116"/>
      <c r="F595" s="116" t="s">
        <v>20</v>
      </c>
      <c r="G595" s="118" t="s">
        <v>308</v>
      </c>
      <c r="H595" s="119"/>
      <c r="I595" s="116"/>
    </row>
    <row r="596" spans="2:9" x14ac:dyDescent="0.25">
      <c r="B596" s="510"/>
      <c r="C596" s="116"/>
      <c r="D596" s="116"/>
      <c r="E596" s="116"/>
      <c r="F596" s="116" t="s">
        <v>24</v>
      </c>
      <c r="G596" s="118" t="s">
        <v>308</v>
      </c>
      <c r="H596" s="119"/>
      <c r="I596" s="116"/>
    </row>
    <row r="597" spans="2:9" x14ac:dyDescent="0.25">
      <c r="B597" s="510"/>
      <c r="C597" s="116"/>
      <c r="D597" s="116"/>
      <c r="E597" s="116"/>
      <c r="F597" s="116" t="s">
        <v>378</v>
      </c>
      <c r="G597" s="119" t="s">
        <v>365</v>
      </c>
      <c r="H597" s="119"/>
      <c r="I597" s="116"/>
    </row>
    <row r="598" spans="2:9" x14ac:dyDescent="0.25">
      <c r="B598" s="510"/>
      <c r="C598" s="116"/>
      <c r="D598" s="116"/>
      <c r="E598" s="116"/>
      <c r="F598" s="116" t="s">
        <v>379</v>
      </c>
      <c r="G598" s="119" t="s">
        <v>30</v>
      </c>
      <c r="H598" s="119"/>
      <c r="I598" s="116"/>
    </row>
    <row r="599" spans="2:9" ht="30" x14ac:dyDescent="0.25">
      <c r="B599" s="510"/>
      <c r="C599" s="116"/>
      <c r="D599" s="116"/>
      <c r="E599" s="116"/>
      <c r="F599" s="116" t="s">
        <v>380</v>
      </c>
      <c r="G599" s="120" t="s">
        <v>302</v>
      </c>
      <c r="H599" s="119"/>
      <c r="I599" s="116"/>
    </row>
    <row r="600" spans="2:9" x14ac:dyDescent="0.25">
      <c r="B600" s="510"/>
      <c r="C600" s="116"/>
      <c r="D600" s="116"/>
      <c r="E600" s="116"/>
      <c r="F600" s="116" t="s">
        <v>88</v>
      </c>
      <c r="G600" s="119" t="s">
        <v>30</v>
      </c>
      <c r="H600" s="119"/>
      <c r="I600" s="116"/>
    </row>
    <row r="601" spans="2:9" x14ac:dyDescent="0.25">
      <c r="B601" s="510"/>
      <c r="C601" s="116"/>
      <c r="D601" s="116"/>
      <c r="E601" s="116"/>
      <c r="F601" s="116" t="s">
        <v>364</v>
      </c>
      <c r="G601" s="119" t="s">
        <v>361</v>
      </c>
      <c r="H601" s="119"/>
      <c r="I601" s="116"/>
    </row>
    <row r="602" spans="2:9" ht="60" x14ac:dyDescent="0.25">
      <c r="B602" s="510"/>
      <c r="C602" s="116"/>
      <c r="D602" s="116"/>
      <c r="E602" s="116"/>
      <c r="F602" s="121" t="s">
        <v>212</v>
      </c>
      <c r="G602" s="120" t="s">
        <v>38</v>
      </c>
      <c r="H602" s="119"/>
      <c r="I602" s="116"/>
    </row>
    <row r="603" spans="2:9" x14ac:dyDescent="0.25">
      <c r="B603" s="510"/>
      <c r="C603" s="116"/>
      <c r="D603" s="116"/>
      <c r="E603" s="116"/>
      <c r="F603" s="116" t="s">
        <v>199</v>
      </c>
      <c r="G603" s="119" t="s">
        <v>303</v>
      </c>
      <c r="H603" s="119"/>
      <c r="I603" s="116"/>
    </row>
    <row r="604" spans="2:9" x14ac:dyDescent="0.25">
      <c r="B604" s="510"/>
      <c r="C604" s="116"/>
      <c r="D604" s="116"/>
      <c r="E604" s="116"/>
      <c r="F604" s="116" t="s">
        <v>378</v>
      </c>
      <c r="G604" s="119" t="s">
        <v>69</v>
      </c>
      <c r="H604" s="119"/>
      <c r="I604" s="116"/>
    </row>
    <row r="605" spans="2:9" x14ac:dyDescent="0.25">
      <c r="B605" s="510"/>
      <c r="C605" s="116"/>
      <c r="D605" s="116"/>
      <c r="E605" s="116"/>
      <c r="F605" s="116" t="s">
        <v>310</v>
      </c>
      <c r="G605" s="119" t="s">
        <v>311</v>
      </c>
      <c r="H605" s="119"/>
      <c r="I605" s="116" t="s">
        <v>381</v>
      </c>
    </row>
    <row r="606" spans="2:9" ht="90" x14ac:dyDescent="0.25">
      <c r="B606" s="510"/>
      <c r="C606" s="116"/>
      <c r="D606" s="116"/>
      <c r="E606" s="122" t="s">
        <v>363</v>
      </c>
      <c r="F606" s="121" t="s">
        <v>198</v>
      </c>
      <c r="G606" s="123" t="s">
        <v>312</v>
      </c>
      <c r="H606" s="124" t="s">
        <v>308</v>
      </c>
      <c r="I606" s="116"/>
    </row>
    <row r="607" spans="2:9" x14ac:dyDescent="0.25">
      <c r="B607" s="510"/>
      <c r="C607" s="116"/>
      <c r="D607" s="116"/>
      <c r="E607" s="116"/>
      <c r="F607" s="116" t="s">
        <v>20</v>
      </c>
      <c r="G607" s="118" t="s">
        <v>308</v>
      </c>
      <c r="H607" s="119"/>
      <c r="I607" s="116"/>
    </row>
    <row r="608" spans="2:9" x14ac:dyDescent="0.25">
      <c r="B608" s="510"/>
      <c r="C608" s="116"/>
      <c r="D608" s="116"/>
      <c r="E608" s="116"/>
      <c r="F608" s="116" t="s">
        <v>24</v>
      </c>
      <c r="G608" s="118" t="s">
        <v>308</v>
      </c>
      <c r="H608" s="119"/>
      <c r="I608" s="116"/>
    </row>
    <row r="609" spans="2:9" x14ac:dyDescent="0.25">
      <c r="B609" s="510"/>
      <c r="C609" s="116"/>
      <c r="D609" s="116"/>
      <c r="E609" s="116"/>
      <c r="F609" s="116" t="s">
        <v>307</v>
      </c>
      <c r="G609" s="119" t="s">
        <v>365</v>
      </c>
      <c r="H609" s="119"/>
      <c r="I609" s="116"/>
    </row>
    <row r="610" spans="2:9" x14ac:dyDescent="0.25">
      <c r="B610" s="510"/>
      <c r="C610" s="116"/>
      <c r="D610" s="116"/>
      <c r="E610" s="116"/>
      <c r="F610" s="116" t="s">
        <v>298</v>
      </c>
      <c r="G610" s="118" t="s">
        <v>30</v>
      </c>
      <c r="H610" s="119"/>
      <c r="I610" s="116"/>
    </row>
    <row r="611" spans="2:9" ht="30" x14ac:dyDescent="0.25">
      <c r="B611" s="510"/>
      <c r="C611" s="116"/>
      <c r="D611" s="116"/>
      <c r="E611" s="116"/>
      <c r="F611" s="121" t="s">
        <v>299</v>
      </c>
      <c r="G611" s="120" t="s">
        <v>302</v>
      </c>
      <c r="H611" s="119"/>
      <c r="I611" s="116"/>
    </row>
    <row r="612" spans="2:9" x14ac:dyDescent="0.25">
      <c r="B612" s="510"/>
      <c r="C612" s="116"/>
      <c r="D612" s="116"/>
      <c r="E612" s="116"/>
      <c r="F612" s="116" t="s">
        <v>88</v>
      </c>
      <c r="G612" s="118" t="s">
        <v>30</v>
      </c>
      <c r="H612" s="119"/>
      <c r="I612" s="116"/>
    </row>
    <row r="613" spans="2:9" x14ac:dyDescent="0.25">
      <c r="B613" s="510"/>
      <c r="C613" s="116"/>
      <c r="D613" s="116"/>
      <c r="E613" s="116"/>
      <c r="F613" s="116" t="s">
        <v>364</v>
      </c>
      <c r="G613" s="119" t="s">
        <v>361</v>
      </c>
      <c r="H613" s="119"/>
      <c r="I613" s="116"/>
    </row>
    <row r="614" spans="2:9" ht="60" x14ac:dyDescent="0.25">
      <c r="B614" s="510"/>
      <c r="C614" s="116"/>
      <c r="D614" s="116"/>
      <c r="E614" s="116"/>
      <c r="F614" s="121" t="s">
        <v>212</v>
      </c>
      <c r="G614" s="125" t="s">
        <v>38</v>
      </c>
      <c r="H614" s="119"/>
      <c r="I614" s="116"/>
    </row>
    <row r="615" spans="2:9" x14ac:dyDescent="0.25">
      <c r="B615" s="510"/>
      <c r="C615" s="116"/>
      <c r="D615" s="116"/>
      <c r="E615" s="116"/>
      <c r="F615" s="116" t="s">
        <v>199</v>
      </c>
      <c r="G615" s="119" t="s">
        <v>303</v>
      </c>
      <c r="H615" s="119"/>
      <c r="I615" s="116"/>
    </row>
    <row r="616" spans="2:9" ht="60" x14ac:dyDescent="0.25">
      <c r="B616" s="510"/>
      <c r="C616" s="116"/>
      <c r="D616" s="116"/>
      <c r="E616" s="116"/>
      <c r="F616" s="121" t="s">
        <v>69</v>
      </c>
      <c r="G616" s="120" t="s">
        <v>416</v>
      </c>
      <c r="H616" s="119"/>
      <c r="I616" s="126" t="s">
        <v>388</v>
      </c>
    </row>
    <row r="617" spans="2:9" x14ac:dyDescent="0.25">
      <c r="B617" s="510"/>
      <c r="C617" s="116"/>
      <c r="D617" s="116"/>
      <c r="E617" s="116"/>
      <c r="F617" s="116" t="s">
        <v>310</v>
      </c>
      <c r="G617" s="119" t="s">
        <v>311</v>
      </c>
      <c r="H617" s="119"/>
      <c r="I617" s="126" t="s">
        <v>366</v>
      </c>
    </row>
    <row r="618" spans="2:9" x14ac:dyDescent="0.25">
      <c r="B618" s="510"/>
      <c r="C618" s="116"/>
      <c r="D618" s="116"/>
      <c r="E618" s="116"/>
      <c r="F618" s="116"/>
      <c r="G618" s="119"/>
      <c r="H618" s="119"/>
      <c r="I618" s="127" t="s">
        <v>387</v>
      </c>
    </row>
    <row r="619" spans="2:9" x14ac:dyDescent="0.25">
      <c r="B619" s="510"/>
      <c r="C619" s="116"/>
      <c r="D619" s="116"/>
      <c r="E619" s="117" t="s">
        <v>382</v>
      </c>
      <c r="F619" s="116" t="s">
        <v>198</v>
      </c>
      <c r="G619" s="118" t="s">
        <v>308</v>
      </c>
      <c r="H619" s="119"/>
      <c r="I619" s="126"/>
    </row>
    <row r="620" spans="2:9" x14ac:dyDescent="0.25">
      <c r="B620" s="510"/>
      <c r="C620" s="116"/>
      <c r="D620" s="116"/>
      <c r="E620" s="116"/>
      <c r="F620" s="116" t="s">
        <v>20</v>
      </c>
      <c r="G620" s="118" t="s">
        <v>308</v>
      </c>
      <c r="H620" s="119"/>
      <c r="I620" s="126"/>
    </row>
    <row r="621" spans="2:9" x14ac:dyDescent="0.25">
      <c r="B621" s="510"/>
      <c r="C621" s="116"/>
      <c r="D621" s="116"/>
      <c r="E621" s="116"/>
      <c r="F621" s="116" t="s">
        <v>24</v>
      </c>
      <c r="G621" s="118" t="s">
        <v>308</v>
      </c>
      <c r="H621" s="119"/>
      <c r="I621" s="126"/>
    </row>
    <row r="622" spans="2:9" x14ac:dyDescent="0.25">
      <c r="B622" s="510"/>
      <c r="C622" s="116"/>
      <c r="D622" s="116"/>
      <c r="E622" s="116"/>
      <c r="F622" s="116" t="s">
        <v>378</v>
      </c>
      <c r="G622" s="119" t="s">
        <v>69</v>
      </c>
      <c r="H622" s="119"/>
      <c r="I622" s="126" t="s">
        <v>388</v>
      </c>
    </row>
    <row r="623" spans="2:9" ht="30" x14ac:dyDescent="0.25">
      <c r="B623" s="510"/>
      <c r="C623" s="116"/>
      <c r="D623" s="116"/>
      <c r="E623" s="116"/>
      <c r="F623" s="116" t="s">
        <v>380</v>
      </c>
      <c r="G623" s="120" t="s">
        <v>302</v>
      </c>
      <c r="H623" s="119"/>
      <c r="I623" s="126"/>
    </row>
    <row r="624" spans="2:9" x14ac:dyDescent="0.25">
      <c r="B624" s="510"/>
      <c r="C624" s="116"/>
      <c r="D624" s="116"/>
      <c r="E624" s="116"/>
      <c r="F624" s="116" t="s">
        <v>88</v>
      </c>
      <c r="G624" s="119" t="s">
        <v>30</v>
      </c>
      <c r="H624" s="119"/>
      <c r="I624" s="126"/>
    </row>
    <row r="625" spans="2:9" x14ac:dyDescent="0.25">
      <c r="B625" s="510"/>
      <c r="C625" s="116"/>
      <c r="D625" s="116"/>
      <c r="E625" s="116"/>
      <c r="F625" s="116" t="s">
        <v>364</v>
      </c>
      <c r="G625" s="119" t="s">
        <v>361</v>
      </c>
      <c r="H625" s="119"/>
      <c r="I625" s="126"/>
    </row>
    <row r="626" spans="2:9" ht="165" x14ac:dyDescent="0.25">
      <c r="B626" s="510"/>
      <c r="C626" s="116"/>
      <c r="D626" s="116"/>
      <c r="E626" s="116"/>
      <c r="F626" s="121" t="s">
        <v>383</v>
      </c>
      <c r="G626" s="120" t="s">
        <v>384</v>
      </c>
      <c r="H626" s="119"/>
      <c r="I626" s="128" t="s">
        <v>385</v>
      </c>
    </row>
    <row r="627" spans="2:9" ht="60" x14ac:dyDescent="0.25">
      <c r="B627" s="510"/>
      <c r="C627" s="116"/>
      <c r="D627" s="116"/>
      <c r="E627" s="116"/>
      <c r="F627" s="121" t="s">
        <v>212</v>
      </c>
      <c r="G627" s="120" t="s">
        <v>38</v>
      </c>
      <c r="H627" s="119"/>
      <c r="I627" s="126"/>
    </row>
    <row r="628" spans="2:9" ht="60" x14ac:dyDescent="0.25">
      <c r="B628" s="510"/>
      <c r="C628" s="116"/>
      <c r="D628" s="116"/>
      <c r="E628" s="116"/>
      <c r="F628" s="121" t="s">
        <v>69</v>
      </c>
      <c r="G628" s="120" t="s">
        <v>416</v>
      </c>
      <c r="H628" s="119"/>
      <c r="I628" s="126" t="s">
        <v>386</v>
      </c>
    </row>
    <row r="629" spans="2:9" x14ac:dyDescent="0.25">
      <c r="B629" s="510"/>
      <c r="C629" s="116"/>
      <c r="D629" s="116"/>
      <c r="E629" s="117" t="s">
        <v>389</v>
      </c>
      <c r="F629" s="116" t="s">
        <v>198</v>
      </c>
      <c r="G629" s="118" t="s">
        <v>308</v>
      </c>
      <c r="H629" s="119"/>
      <c r="I629" s="126"/>
    </row>
    <row r="630" spans="2:9" x14ac:dyDescent="0.25">
      <c r="B630" s="510"/>
      <c r="C630" s="116"/>
      <c r="D630" s="116"/>
      <c r="E630" s="116"/>
      <c r="F630" s="116" t="s">
        <v>178</v>
      </c>
      <c r="G630" s="119" t="s">
        <v>394</v>
      </c>
      <c r="H630" s="119"/>
      <c r="I630" s="126"/>
    </row>
    <row r="631" spans="2:9" x14ac:dyDescent="0.25">
      <c r="B631" s="510"/>
      <c r="C631" s="116"/>
      <c r="D631" s="116"/>
      <c r="E631" s="116"/>
      <c r="F631" s="116" t="s">
        <v>390</v>
      </c>
      <c r="G631" s="119" t="s">
        <v>395</v>
      </c>
      <c r="H631" s="119"/>
      <c r="I631" s="126"/>
    </row>
    <row r="632" spans="2:9" x14ac:dyDescent="0.25">
      <c r="B632" s="510"/>
      <c r="C632" s="116"/>
      <c r="D632" s="116"/>
      <c r="E632" s="116"/>
      <c r="F632" s="116" t="s">
        <v>9</v>
      </c>
      <c r="G632" s="119" t="s">
        <v>339</v>
      </c>
      <c r="H632" s="119"/>
      <c r="I632" s="126"/>
    </row>
    <row r="633" spans="2:9" x14ac:dyDescent="0.25">
      <c r="B633" s="510"/>
      <c r="C633" s="116"/>
      <c r="D633" s="116"/>
      <c r="E633" s="116"/>
      <c r="F633" s="116" t="s">
        <v>20</v>
      </c>
      <c r="G633" s="118" t="s">
        <v>308</v>
      </c>
      <c r="H633" s="119"/>
      <c r="I633" s="126"/>
    </row>
    <row r="634" spans="2:9" ht="225" x14ac:dyDescent="0.25">
      <c r="B634" s="510"/>
      <c r="C634" s="116"/>
      <c r="D634" s="116"/>
      <c r="E634" s="116"/>
      <c r="F634" s="121" t="s">
        <v>391</v>
      </c>
      <c r="G634" s="120" t="s">
        <v>396</v>
      </c>
      <c r="H634" s="119"/>
      <c r="I634" s="126"/>
    </row>
    <row r="635" spans="2:9" x14ac:dyDescent="0.25">
      <c r="B635" s="510"/>
      <c r="C635" s="116"/>
      <c r="D635" s="116"/>
      <c r="E635" s="116"/>
      <c r="F635" s="116" t="s">
        <v>392</v>
      </c>
      <c r="G635" s="119" t="s">
        <v>393</v>
      </c>
      <c r="H635" s="119"/>
      <c r="I635" s="126"/>
    </row>
    <row r="636" spans="2:9" x14ac:dyDescent="0.25">
      <c r="B636" s="510"/>
      <c r="C636" s="116"/>
      <c r="D636" s="116"/>
      <c r="E636" s="116"/>
      <c r="F636" s="116" t="s">
        <v>24</v>
      </c>
      <c r="G636" s="119" t="s">
        <v>369</v>
      </c>
      <c r="H636" s="119"/>
      <c r="I636" s="126" t="s">
        <v>397</v>
      </c>
    </row>
    <row r="637" spans="2:9" x14ac:dyDescent="0.25">
      <c r="B637" s="510"/>
      <c r="C637" s="116"/>
      <c r="D637" s="116"/>
      <c r="E637" s="116"/>
      <c r="F637" s="116" t="s">
        <v>199</v>
      </c>
      <c r="G637" s="119" t="s">
        <v>303</v>
      </c>
      <c r="H637" s="119"/>
      <c r="I637" s="127" t="s">
        <v>398</v>
      </c>
    </row>
    <row r="638" spans="2:9" x14ac:dyDescent="0.25">
      <c r="B638" s="510"/>
      <c r="C638" s="116"/>
      <c r="D638" s="116"/>
      <c r="E638" s="117" t="s">
        <v>399</v>
      </c>
      <c r="F638" s="116" t="s">
        <v>400</v>
      </c>
      <c r="G638" s="119" t="s">
        <v>401</v>
      </c>
      <c r="H638" s="119"/>
      <c r="I638" s="126" t="s">
        <v>408</v>
      </c>
    </row>
    <row r="639" spans="2:9" x14ac:dyDescent="0.25">
      <c r="B639" s="510"/>
      <c r="C639" s="116"/>
      <c r="D639" s="116"/>
      <c r="E639" s="116"/>
      <c r="F639" s="116" t="s">
        <v>402</v>
      </c>
      <c r="G639" s="119" t="s">
        <v>406</v>
      </c>
      <c r="H639" s="119"/>
      <c r="I639" s="126"/>
    </row>
    <row r="640" spans="2:9" x14ac:dyDescent="0.25">
      <c r="B640" s="510"/>
      <c r="C640" s="116"/>
      <c r="D640" s="116"/>
      <c r="E640" s="116"/>
      <c r="F640" s="116" t="s">
        <v>403</v>
      </c>
      <c r="G640" s="119" t="s">
        <v>361</v>
      </c>
      <c r="H640" s="119"/>
      <c r="I640" s="126" t="s">
        <v>409</v>
      </c>
    </row>
    <row r="641" spans="2:9" x14ac:dyDescent="0.25">
      <c r="B641" s="510"/>
      <c r="C641" s="116"/>
      <c r="D641" s="116"/>
      <c r="E641" s="116"/>
      <c r="F641" s="116" t="s">
        <v>404</v>
      </c>
      <c r="G641" s="119" t="s">
        <v>405</v>
      </c>
      <c r="H641" s="119"/>
      <c r="I641" s="126" t="s">
        <v>410</v>
      </c>
    </row>
    <row r="642" spans="2:9" x14ac:dyDescent="0.25">
      <c r="B642" s="510"/>
      <c r="C642" s="116"/>
      <c r="D642" s="116"/>
      <c r="E642" s="116"/>
      <c r="F642" s="116"/>
      <c r="G642" s="119"/>
      <c r="H642" s="129" t="s">
        <v>407</v>
      </c>
      <c r="I642" s="130" t="s">
        <v>411</v>
      </c>
    </row>
    <row r="643" spans="2:9" x14ac:dyDescent="0.25">
      <c r="B643" s="510"/>
      <c r="C643" s="116"/>
      <c r="D643" s="116"/>
      <c r="E643" s="117" t="s">
        <v>414</v>
      </c>
      <c r="F643" s="116" t="s">
        <v>198</v>
      </c>
      <c r="G643" s="118" t="s">
        <v>308</v>
      </c>
      <c r="H643" s="119"/>
      <c r="I643" s="126"/>
    </row>
    <row r="644" spans="2:9" x14ac:dyDescent="0.25">
      <c r="B644" s="510"/>
      <c r="C644" s="116"/>
      <c r="D644" s="116"/>
      <c r="E644" s="116"/>
      <c r="F644" s="116" t="s">
        <v>20</v>
      </c>
      <c r="G644" s="118" t="s">
        <v>308</v>
      </c>
      <c r="H644" s="119"/>
      <c r="I644" s="126"/>
    </row>
    <row r="645" spans="2:9" x14ac:dyDescent="0.25">
      <c r="B645" s="510"/>
      <c r="C645" s="116"/>
      <c r="D645" s="116"/>
      <c r="E645" s="116"/>
      <c r="F645" s="116" t="s">
        <v>24</v>
      </c>
      <c r="G645" s="118" t="s">
        <v>308</v>
      </c>
      <c r="H645" s="119"/>
      <c r="I645" s="126"/>
    </row>
    <row r="646" spans="2:9" ht="30" x14ac:dyDescent="0.25">
      <c r="B646" s="510"/>
      <c r="C646" s="116"/>
      <c r="D646" s="116"/>
      <c r="E646" s="116"/>
      <c r="F646" s="116" t="s">
        <v>380</v>
      </c>
      <c r="G646" s="120" t="s">
        <v>302</v>
      </c>
      <c r="H646" s="119"/>
      <c r="I646" s="126"/>
    </row>
    <row r="647" spans="2:9" x14ac:dyDescent="0.25">
      <c r="B647" s="510"/>
      <c r="C647" s="116"/>
      <c r="D647" s="116"/>
      <c r="E647" s="116"/>
      <c r="F647" s="116" t="s">
        <v>88</v>
      </c>
      <c r="G647" s="119" t="s">
        <v>30</v>
      </c>
      <c r="H647" s="119"/>
      <c r="I647" s="126"/>
    </row>
    <row r="648" spans="2:9" x14ac:dyDescent="0.25">
      <c r="B648" s="510"/>
      <c r="C648" s="116"/>
      <c r="D648" s="116"/>
      <c r="E648" s="116"/>
      <c r="F648" s="116" t="s">
        <v>364</v>
      </c>
      <c r="G648" s="119" t="s">
        <v>361</v>
      </c>
      <c r="H648" s="119"/>
      <c r="I648" s="126"/>
    </row>
    <row r="649" spans="2:9" ht="165" x14ac:dyDescent="0.25">
      <c r="B649" s="510"/>
      <c r="C649" s="116"/>
      <c r="D649" s="116"/>
      <c r="E649" s="116"/>
      <c r="F649" s="121" t="s">
        <v>383</v>
      </c>
      <c r="G649" s="120" t="s">
        <v>384</v>
      </c>
      <c r="H649" s="119"/>
      <c r="I649" s="126"/>
    </row>
    <row r="650" spans="2:9" ht="60" x14ac:dyDescent="0.25">
      <c r="B650" s="510"/>
      <c r="C650" s="116"/>
      <c r="D650" s="116"/>
      <c r="E650" s="116"/>
      <c r="F650" s="121" t="s">
        <v>212</v>
      </c>
      <c r="G650" s="120" t="s">
        <v>38</v>
      </c>
      <c r="H650" s="119"/>
      <c r="I650" s="126" t="s">
        <v>412</v>
      </c>
    </row>
    <row r="651" spans="2:9" ht="60" x14ac:dyDescent="0.25">
      <c r="B651" s="510"/>
      <c r="C651" s="116"/>
      <c r="D651" s="116"/>
      <c r="E651" s="116"/>
      <c r="F651" s="121" t="s">
        <v>69</v>
      </c>
      <c r="G651" s="120" t="s">
        <v>416</v>
      </c>
      <c r="H651" s="119"/>
      <c r="I651" s="127" t="s">
        <v>413</v>
      </c>
    </row>
    <row r="652" spans="2:9" x14ac:dyDescent="0.25">
      <c r="B652" s="510"/>
      <c r="C652" s="116"/>
      <c r="D652" s="116"/>
      <c r="E652" s="117" t="s">
        <v>415</v>
      </c>
      <c r="F652" s="116" t="s">
        <v>198</v>
      </c>
      <c r="G652" s="118" t="s">
        <v>308</v>
      </c>
      <c r="H652" s="119"/>
      <c r="I652" s="126"/>
    </row>
    <row r="653" spans="2:9" x14ac:dyDescent="0.25">
      <c r="B653" s="510"/>
      <c r="C653" s="116"/>
      <c r="D653" s="116"/>
      <c r="E653" s="116"/>
      <c r="F653" s="116" t="s">
        <v>20</v>
      </c>
      <c r="G653" s="118" t="s">
        <v>308</v>
      </c>
      <c r="H653" s="119"/>
      <c r="I653" s="126"/>
    </row>
    <row r="654" spans="2:9" x14ac:dyDescent="0.25">
      <c r="B654" s="510"/>
      <c r="C654" s="116"/>
      <c r="D654" s="116"/>
      <c r="E654" s="116"/>
      <c r="F654" s="116" t="s">
        <v>24</v>
      </c>
      <c r="G654" s="118" t="s">
        <v>308</v>
      </c>
      <c r="H654" s="119"/>
      <c r="I654" s="126"/>
    </row>
    <row r="655" spans="2:9" x14ac:dyDescent="0.25">
      <c r="B655" s="510"/>
      <c r="C655" s="116"/>
      <c r="D655" s="116"/>
      <c r="E655" s="116"/>
      <c r="F655" s="116" t="s">
        <v>378</v>
      </c>
      <c r="G655" s="119" t="s">
        <v>69</v>
      </c>
      <c r="H655" s="119"/>
      <c r="I655" s="126"/>
    </row>
    <row r="656" spans="2:9" x14ac:dyDescent="0.25">
      <c r="B656" s="510"/>
      <c r="C656" s="116"/>
      <c r="D656" s="116"/>
      <c r="E656" s="116"/>
      <c r="F656" s="116" t="s">
        <v>298</v>
      </c>
      <c r="G656" s="118" t="s">
        <v>30</v>
      </c>
      <c r="H656" s="119"/>
      <c r="I656" s="126"/>
    </row>
    <row r="657" spans="2:9" ht="30" x14ac:dyDescent="0.25">
      <c r="B657" s="510"/>
      <c r="C657" s="116"/>
      <c r="D657" s="116"/>
      <c r="E657" s="116"/>
      <c r="F657" s="121" t="s">
        <v>299</v>
      </c>
      <c r="G657" s="120" t="s">
        <v>302</v>
      </c>
      <c r="H657" s="119"/>
      <c r="I657" s="126"/>
    </row>
    <row r="658" spans="2:9" x14ac:dyDescent="0.25">
      <c r="B658" s="510"/>
      <c r="C658" s="116"/>
      <c r="D658" s="116"/>
      <c r="E658" s="116"/>
      <c r="F658" s="116" t="s">
        <v>88</v>
      </c>
      <c r="G658" s="118" t="s">
        <v>30</v>
      </c>
      <c r="H658" s="119"/>
      <c r="I658" s="126"/>
    </row>
    <row r="659" spans="2:9" x14ac:dyDescent="0.25">
      <c r="B659" s="510"/>
      <c r="C659" s="116"/>
      <c r="D659" s="116"/>
      <c r="E659" s="116"/>
      <c r="F659" s="116" t="s">
        <v>209</v>
      </c>
      <c r="G659" s="119" t="s">
        <v>361</v>
      </c>
      <c r="H659" s="119"/>
      <c r="I659" s="126"/>
    </row>
    <row r="660" spans="2:9" ht="60" x14ac:dyDescent="0.25">
      <c r="B660" s="510"/>
      <c r="C660" s="116"/>
      <c r="D660" s="116"/>
      <c r="E660" s="116"/>
      <c r="F660" s="121" t="s">
        <v>212</v>
      </c>
      <c r="G660" s="120" t="s">
        <v>38</v>
      </c>
      <c r="H660" s="119"/>
      <c r="I660" s="126"/>
    </row>
    <row r="661" spans="2:9" x14ac:dyDescent="0.25">
      <c r="B661" s="510"/>
      <c r="C661" s="116"/>
      <c r="D661" s="116"/>
      <c r="E661" s="116"/>
      <c r="F661" s="116" t="s">
        <v>199</v>
      </c>
      <c r="G661" s="119" t="s">
        <v>303</v>
      </c>
      <c r="H661" s="119"/>
      <c r="I661" s="127" t="s">
        <v>413</v>
      </c>
    </row>
    <row r="662" spans="2:9" ht="60" x14ac:dyDescent="0.25">
      <c r="B662" s="510"/>
      <c r="C662" s="116"/>
      <c r="D662" s="116"/>
      <c r="E662" s="116"/>
      <c r="F662" s="121" t="s">
        <v>69</v>
      </c>
      <c r="G662" s="120" t="s">
        <v>416</v>
      </c>
      <c r="H662" s="119"/>
      <c r="I662" s="131" t="s">
        <v>418</v>
      </c>
    </row>
    <row r="663" spans="2:9" x14ac:dyDescent="0.25">
      <c r="B663" s="510"/>
      <c r="C663" s="116"/>
      <c r="D663" s="116"/>
      <c r="E663" s="117" t="s">
        <v>417</v>
      </c>
      <c r="F663" s="116" t="s">
        <v>198</v>
      </c>
      <c r="G663" s="118" t="s">
        <v>308</v>
      </c>
      <c r="H663" s="119"/>
      <c r="I663" s="126"/>
    </row>
    <row r="664" spans="2:9" x14ac:dyDescent="0.25">
      <c r="B664" s="510"/>
      <c r="C664" s="116"/>
      <c r="D664" s="116"/>
      <c r="E664" s="116"/>
      <c r="F664" s="116" t="s">
        <v>20</v>
      </c>
      <c r="G664" s="118" t="s">
        <v>308</v>
      </c>
      <c r="H664" s="119"/>
      <c r="I664" s="126"/>
    </row>
    <row r="665" spans="2:9" x14ac:dyDescent="0.25">
      <c r="B665" s="510"/>
      <c r="C665" s="116"/>
      <c r="D665" s="116"/>
      <c r="E665" s="116"/>
      <c r="F665" s="116" t="s">
        <v>378</v>
      </c>
      <c r="G665" s="119" t="s">
        <v>69</v>
      </c>
      <c r="H665" s="119"/>
      <c r="I665" s="126"/>
    </row>
    <row r="666" spans="2:9" ht="30" x14ac:dyDescent="0.25">
      <c r="B666" s="510"/>
      <c r="C666" s="116"/>
      <c r="D666" s="116"/>
      <c r="E666" s="116"/>
      <c r="F666" s="116" t="s">
        <v>380</v>
      </c>
      <c r="G666" s="120" t="s">
        <v>302</v>
      </c>
      <c r="H666" s="119"/>
      <c r="I666" s="126"/>
    </row>
    <row r="667" spans="2:9" x14ac:dyDescent="0.25">
      <c r="B667" s="510"/>
      <c r="C667" s="116"/>
      <c r="D667" s="116"/>
      <c r="E667" s="116"/>
      <c r="F667" s="116" t="s">
        <v>88</v>
      </c>
      <c r="G667" s="119" t="s">
        <v>30</v>
      </c>
      <c r="H667" s="119"/>
      <c r="I667" s="126"/>
    </row>
    <row r="668" spans="2:9" x14ac:dyDescent="0.25">
      <c r="B668" s="510"/>
      <c r="C668" s="116"/>
      <c r="D668" s="116"/>
      <c r="E668" s="116"/>
      <c r="F668" s="116" t="s">
        <v>364</v>
      </c>
      <c r="G668" s="119" t="s">
        <v>361</v>
      </c>
      <c r="H668" s="119"/>
      <c r="I668" s="126"/>
    </row>
    <row r="669" spans="2:9" ht="60" x14ac:dyDescent="0.25">
      <c r="B669" s="510"/>
      <c r="C669" s="116"/>
      <c r="D669" s="116"/>
      <c r="E669" s="116"/>
      <c r="F669" s="121" t="s">
        <v>212</v>
      </c>
      <c r="G669" s="120" t="s">
        <v>38</v>
      </c>
      <c r="H669" s="119"/>
      <c r="I669" s="126"/>
    </row>
    <row r="670" spans="2:9" x14ac:dyDescent="0.25">
      <c r="B670" s="510"/>
      <c r="C670" s="116"/>
      <c r="D670" s="116"/>
      <c r="E670" s="116"/>
      <c r="F670" s="116" t="s">
        <v>24</v>
      </c>
      <c r="G670" s="119" t="s">
        <v>369</v>
      </c>
      <c r="H670" s="119"/>
      <c r="I670" s="126"/>
    </row>
    <row r="671" spans="2:9" ht="60" x14ac:dyDescent="0.25">
      <c r="B671" s="510"/>
      <c r="C671" s="116"/>
      <c r="D671" s="116"/>
      <c r="E671" s="116"/>
      <c r="F671" s="121" t="s">
        <v>69</v>
      </c>
      <c r="G671" s="120" t="s">
        <v>416</v>
      </c>
      <c r="H671" s="119"/>
      <c r="I671" s="132" t="s">
        <v>419</v>
      </c>
    </row>
    <row r="672" spans="2:9" x14ac:dyDescent="0.25">
      <c r="B672" s="510"/>
      <c r="C672" s="116"/>
      <c r="D672" s="116"/>
      <c r="E672" s="117" t="s">
        <v>367</v>
      </c>
      <c r="F672" s="116" t="s">
        <v>198</v>
      </c>
      <c r="G672" s="118" t="s">
        <v>308</v>
      </c>
      <c r="H672" s="119"/>
      <c r="I672" s="133"/>
    </row>
    <row r="673" spans="1:9" x14ac:dyDescent="0.25">
      <c r="B673" s="510"/>
      <c r="C673" s="116"/>
      <c r="D673" s="116"/>
      <c r="E673" s="116"/>
      <c r="F673" s="116" t="s">
        <v>178</v>
      </c>
      <c r="G673" s="134" t="s">
        <v>357</v>
      </c>
      <c r="H673" s="119"/>
      <c r="I673" s="133"/>
    </row>
    <row r="674" spans="1:9" x14ac:dyDescent="0.25">
      <c r="B674" s="510"/>
      <c r="C674" s="116"/>
      <c r="D674" s="116"/>
      <c r="E674" s="116"/>
      <c r="F674" s="116" t="s">
        <v>20</v>
      </c>
      <c r="G674" s="118" t="s">
        <v>30</v>
      </c>
      <c r="H674" s="119"/>
      <c r="I674" s="133"/>
    </row>
    <row r="675" spans="1:9" x14ac:dyDescent="0.25">
      <c r="B675" s="510"/>
      <c r="C675" s="116"/>
      <c r="D675" s="116"/>
      <c r="E675" s="116"/>
      <c r="F675" s="116" t="s">
        <v>21</v>
      </c>
      <c r="G675" s="135" t="s">
        <v>368</v>
      </c>
      <c r="H675" s="119"/>
      <c r="I675" s="133"/>
    </row>
    <row r="676" spans="1:9" x14ac:dyDescent="0.25">
      <c r="B676" s="510"/>
      <c r="C676" s="116"/>
      <c r="D676" s="116"/>
      <c r="E676" s="116"/>
      <c r="F676" s="116" t="s">
        <v>24</v>
      </c>
      <c r="G676" s="119" t="s">
        <v>369</v>
      </c>
      <c r="H676" s="119"/>
      <c r="I676" s="133"/>
    </row>
    <row r="677" spans="1:9" x14ac:dyDescent="0.25">
      <c r="B677" s="510"/>
      <c r="C677" s="116"/>
      <c r="D677" s="116"/>
      <c r="E677" s="116"/>
      <c r="F677" s="116" t="s">
        <v>199</v>
      </c>
      <c r="G677" s="119" t="s">
        <v>303</v>
      </c>
      <c r="H677" s="119"/>
      <c r="I677" s="133"/>
    </row>
    <row r="678" spans="1:9" ht="60" x14ac:dyDescent="0.25">
      <c r="B678" s="510"/>
      <c r="C678" s="116"/>
      <c r="D678" s="116"/>
      <c r="E678" s="116"/>
      <c r="F678" s="136" t="s">
        <v>212</v>
      </c>
      <c r="G678" s="125" t="s">
        <v>38</v>
      </c>
      <c r="H678" s="119"/>
      <c r="I678" s="133"/>
    </row>
    <row r="679" spans="1:9" x14ac:dyDescent="0.25">
      <c r="B679" s="510"/>
      <c r="C679" s="116"/>
      <c r="D679" s="116"/>
      <c r="E679" s="116"/>
      <c r="F679" s="134" t="s">
        <v>199</v>
      </c>
      <c r="G679" s="134" t="s">
        <v>303</v>
      </c>
      <c r="H679" s="119"/>
      <c r="I679" s="133"/>
    </row>
    <row r="680" spans="1:9" ht="60" x14ac:dyDescent="0.25">
      <c r="B680" s="510"/>
      <c r="C680" s="116"/>
      <c r="D680" s="116"/>
      <c r="E680" s="116"/>
      <c r="F680" s="121" t="s">
        <v>69</v>
      </c>
      <c r="G680" s="120" t="s">
        <v>416</v>
      </c>
      <c r="H680" s="119"/>
      <c r="I680" s="116"/>
    </row>
    <row r="681" spans="1:9" ht="15" customHeight="1" x14ac:dyDescent="0.25">
      <c r="B681" s="510"/>
      <c r="C681" s="116"/>
      <c r="D681" s="116"/>
      <c r="E681" s="117" t="s">
        <v>296</v>
      </c>
      <c r="F681" s="119" t="s">
        <v>198</v>
      </c>
      <c r="G681" s="118" t="s">
        <v>308</v>
      </c>
      <c r="H681" s="118"/>
      <c r="I681" s="116"/>
    </row>
    <row r="682" spans="1:9" x14ac:dyDescent="0.25">
      <c r="B682" s="510"/>
      <c r="C682" s="116"/>
      <c r="D682" s="116"/>
      <c r="E682" s="116"/>
      <c r="F682" s="119" t="s">
        <v>20</v>
      </c>
      <c r="G682" s="118" t="s">
        <v>308</v>
      </c>
      <c r="H682" s="118"/>
      <c r="I682" s="116"/>
    </row>
    <row r="683" spans="1:9" x14ac:dyDescent="0.25">
      <c r="B683" s="510"/>
      <c r="C683" s="116"/>
      <c r="D683" s="116"/>
      <c r="E683" s="116"/>
      <c r="F683" s="119" t="s">
        <v>24</v>
      </c>
      <c r="G683" s="119" t="s">
        <v>301</v>
      </c>
      <c r="H683" s="119"/>
      <c r="I683" s="116"/>
    </row>
    <row r="684" spans="1:9" x14ac:dyDescent="0.25">
      <c r="B684" s="137"/>
      <c r="C684" s="138"/>
      <c r="D684" s="138"/>
      <c r="E684" s="138"/>
      <c r="F684" s="134" t="s">
        <v>298</v>
      </c>
      <c r="G684" s="118" t="s">
        <v>308</v>
      </c>
      <c r="H684" s="118"/>
      <c r="I684" s="138"/>
    </row>
    <row r="685" spans="1:9" ht="30" x14ac:dyDescent="0.25">
      <c r="B685" s="137"/>
      <c r="C685" s="138"/>
      <c r="D685" s="138"/>
      <c r="E685" s="138"/>
      <c r="F685" s="136" t="s">
        <v>299</v>
      </c>
      <c r="G685" s="125" t="s">
        <v>302</v>
      </c>
      <c r="H685" s="125"/>
      <c r="I685" s="138"/>
    </row>
    <row r="686" spans="1:9" x14ac:dyDescent="0.25">
      <c r="B686" s="137"/>
      <c r="C686" s="138"/>
      <c r="D686" s="138"/>
      <c r="E686" s="138"/>
      <c r="F686" s="134" t="s">
        <v>88</v>
      </c>
      <c r="G686" s="118" t="s">
        <v>308</v>
      </c>
      <c r="H686" s="118"/>
      <c r="I686" s="138"/>
    </row>
    <row r="687" spans="1:9" ht="60" x14ac:dyDescent="0.25">
      <c r="B687" s="137"/>
      <c r="C687" s="138"/>
      <c r="D687" s="138"/>
      <c r="E687" s="138"/>
      <c r="F687" s="136" t="s">
        <v>212</v>
      </c>
      <c r="G687" s="125" t="s">
        <v>38</v>
      </c>
      <c r="H687" s="125"/>
      <c r="I687" s="138"/>
    </row>
    <row r="688" spans="1:9" x14ac:dyDescent="0.25">
      <c r="A688"/>
      <c r="B688" s="137"/>
      <c r="C688" s="138"/>
      <c r="D688" s="138"/>
      <c r="E688" s="138"/>
      <c r="F688" s="134" t="s">
        <v>199</v>
      </c>
      <c r="G688" s="134" t="s">
        <v>303</v>
      </c>
      <c r="H688" s="134"/>
      <c r="I688" s="138" t="s">
        <v>305</v>
      </c>
    </row>
    <row r="689" spans="1:9" x14ac:dyDescent="0.25">
      <c r="A689"/>
      <c r="B689" s="137"/>
      <c r="C689" s="138"/>
      <c r="D689" s="138"/>
      <c r="E689" s="138"/>
      <c r="F689" s="134" t="s">
        <v>300</v>
      </c>
      <c r="G689" s="134" t="s">
        <v>304</v>
      </c>
      <c r="H689" s="134"/>
      <c r="I689" s="138" t="s">
        <v>319</v>
      </c>
    </row>
    <row r="690" spans="1:9" x14ac:dyDescent="0.25">
      <c r="A690"/>
      <c r="B690" s="137"/>
      <c r="C690" s="138"/>
      <c r="D690" s="138"/>
      <c r="E690" s="139" t="s">
        <v>420</v>
      </c>
      <c r="F690" s="119" t="s">
        <v>198</v>
      </c>
      <c r="G690" s="118" t="s">
        <v>308</v>
      </c>
      <c r="H690" s="134"/>
      <c r="I690" s="138"/>
    </row>
    <row r="691" spans="1:9" x14ac:dyDescent="0.25">
      <c r="A691"/>
      <c r="B691" s="137"/>
      <c r="C691" s="138"/>
      <c r="D691" s="138"/>
      <c r="E691" s="138"/>
      <c r="F691" s="119" t="s">
        <v>20</v>
      </c>
      <c r="G691" s="118" t="s">
        <v>308</v>
      </c>
      <c r="H691" s="134"/>
      <c r="I691" s="138"/>
    </row>
    <row r="692" spans="1:9" x14ac:dyDescent="0.25">
      <c r="A692"/>
      <c r="B692" s="137"/>
      <c r="C692" s="138"/>
      <c r="D692" s="138"/>
      <c r="E692" s="138"/>
      <c r="F692" s="119" t="s">
        <v>24</v>
      </c>
      <c r="G692" s="119" t="s">
        <v>301</v>
      </c>
      <c r="H692" s="134"/>
      <c r="I692" s="138"/>
    </row>
    <row r="693" spans="1:9" x14ac:dyDescent="0.25">
      <c r="A693"/>
      <c r="B693" s="137"/>
      <c r="C693" s="138"/>
      <c r="D693" s="138"/>
      <c r="E693" s="138"/>
      <c r="F693" s="116" t="s">
        <v>378</v>
      </c>
      <c r="G693" s="119" t="s">
        <v>69</v>
      </c>
      <c r="H693" s="134"/>
      <c r="I693" s="138"/>
    </row>
    <row r="694" spans="1:9" x14ac:dyDescent="0.25">
      <c r="A694"/>
      <c r="B694" s="137"/>
      <c r="C694" s="138"/>
      <c r="D694" s="138"/>
      <c r="E694" s="138"/>
      <c r="F694" s="134" t="s">
        <v>298</v>
      </c>
      <c r="G694" s="118" t="s">
        <v>308</v>
      </c>
      <c r="H694" s="134"/>
      <c r="I694" s="138"/>
    </row>
    <row r="695" spans="1:9" ht="30" x14ac:dyDescent="0.25">
      <c r="A695"/>
      <c r="B695" s="137"/>
      <c r="C695" s="138"/>
      <c r="D695" s="138"/>
      <c r="E695" s="138"/>
      <c r="F695" s="136" t="s">
        <v>299</v>
      </c>
      <c r="G695" s="125" t="s">
        <v>302</v>
      </c>
      <c r="H695" s="134"/>
      <c r="I695" s="138"/>
    </row>
    <row r="696" spans="1:9" x14ac:dyDescent="0.25">
      <c r="A696"/>
      <c r="B696" s="137"/>
      <c r="C696" s="138"/>
      <c r="D696" s="138"/>
      <c r="E696" s="138"/>
      <c r="F696" s="134" t="s">
        <v>88</v>
      </c>
      <c r="G696" s="118" t="s">
        <v>308</v>
      </c>
      <c r="H696" s="134"/>
      <c r="I696" s="138"/>
    </row>
    <row r="697" spans="1:9" x14ac:dyDescent="0.25">
      <c r="A697"/>
      <c r="B697" s="137"/>
      <c r="C697" s="138"/>
      <c r="D697" s="138"/>
      <c r="E697" s="138"/>
      <c r="F697" s="134" t="s">
        <v>209</v>
      </c>
      <c r="G697" s="134" t="s">
        <v>425</v>
      </c>
      <c r="H697" s="134"/>
      <c r="I697" s="138"/>
    </row>
    <row r="698" spans="1:9" ht="60" x14ac:dyDescent="0.25">
      <c r="A698"/>
      <c r="B698" s="137"/>
      <c r="C698" s="138"/>
      <c r="D698" s="138"/>
      <c r="E698" s="138"/>
      <c r="F698" s="136" t="s">
        <v>212</v>
      </c>
      <c r="G698" s="125" t="s">
        <v>38</v>
      </c>
      <c r="H698" s="134"/>
      <c r="I698" s="138"/>
    </row>
    <row r="699" spans="1:9" x14ac:dyDescent="0.25">
      <c r="A699"/>
      <c r="B699" s="137"/>
      <c r="C699" s="138"/>
      <c r="D699" s="138"/>
      <c r="E699" s="138"/>
      <c r="F699" s="134" t="s">
        <v>199</v>
      </c>
      <c r="G699" s="134" t="s">
        <v>303</v>
      </c>
      <c r="H699" s="134"/>
      <c r="I699" s="138"/>
    </row>
    <row r="700" spans="1:9" x14ac:dyDescent="0.25">
      <c r="A700"/>
      <c r="B700" s="137"/>
      <c r="C700" s="138"/>
      <c r="D700" s="138"/>
      <c r="E700" s="138"/>
      <c r="F700" s="134" t="s">
        <v>21</v>
      </c>
      <c r="G700" s="134" t="s">
        <v>185</v>
      </c>
      <c r="H700" s="134"/>
      <c r="I700" s="504" t="s">
        <v>422</v>
      </c>
    </row>
    <row r="701" spans="1:9" x14ac:dyDescent="0.25">
      <c r="A701"/>
      <c r="B701" s="137"/>
      <c r="C701" s="138"/>
      <c r="D701" s="138"/>
      <c r="E701" s="138"/>
      <c r="F701" s="134" t="s">
        <v>421</v>
      </c>
      <c r="G701" s="134" t="s">
        <v>185</v>
      </c>
      <c r="H701" s="134"/>
      <c r="I701" s="504"/>
    </row>
    <row r="702" spans="1:9" ht="90" x14ac:dyDescent="0.25">
      <c r="A702"/>
      <c r="B702" s="137"/>
      <c r="C702" s="138"/>
      <c r="D702" s="138"/>
      <c r="E702" s="140" t="s">
        <v>306</v>
      </c>
      <c r="F702" s="141" t="s">
        <v>198</v>
      </c>
      <c r="G702" s="123" t="s">
        <v>312</v>
      </c>
      <c r="H702" s="123"/>
      <c r="I702" s="142" t="s">
        <v>313</v>
      </c>
    </row>
    <row r="703" spans="1:9" x14ac:dyDescent="0.25">
      <c r="A703"/>
      <c r="B703" s="137"/>
      <c r="C703" s="138"/>
      <c r="D703" s="138"/>
      <c r="E703" s="138"/>
      <c r="F703" s="134" t="s">
        <v>20</v>
      </c>
      <c r="G703" s="118" t="s">
        <v>308</v>
      </c>
      <c r="H703" s="118"/>
      <c r="I703" s="138"/>
    </row>
    <row r="704" spans="1:9" x14ac:dyDescent="0.25">
      <c r="A704"/>
      <c r="B704" s="137"/>
      <c r="C704" s="138"/>
      <c r="D704" s="138"/>
      <c r="E704" s="138"/>
      <c r="F704" s="134" t="s">
        <v>24</v>
      </c>
      <c r="G704" s="134" t="s">
        <v>301</v>
      </c>
      <c r="H704" s="134"/>
      <c r="I704" s="138"/>
    </row>
    <row r="705" spans="1:9" x14ac:dyDescent="0.25">
      <c r="A705"/>
      <c r="B705" s="137"/>
      <c r="C705" s="138"/>
      <c r="D705" s="138"/>
      <c r="E705" s="138"/>
      <c r="F705" s="134" t="s">
        <v>307</v>
      </c>
      <c r="G705" s="118" t="s">
        <v>308</v>
      </c>
      <c r="H705" s="118"/>
      <c r="I705" s="138"/>
    </row>
    <row r="706" spans="1:9" x14ac:dyDescent="0.25">
      <c r="A706"/>
      <c r="B706" s="137"/>
      <c r="C706" s="138"/>
      <c r="D706" s="138"/>
      <c r="E706" s="138"/>
      <c r="F706" s="134" t="s">
        <v>298</v>
      </c>
      <c r="G706" s="118" t="s">
        <v>308</v>
      </c>
      <c r="H706" s="118"/>
      <c r="I706" s="138"/>
    </row>
    <row r="707" spans="1:9" ht="30" x14ac:dyDescent="0.25">
      <c r="A707"/>
      <c r="B707" s="137"/>
      <c r="C707" s="138"/>
      <c r="D707" s="138"/>
      <c r="E707" s="138"/>
      <c r="F707" s="136" t="s">
        <v>299</v>
      </c>
      <c r="G707" s="125" t="s">
        <v>302</v>
      </c>
      <c r="H707" s="125"/>
      <c r="I707" s="138"/>
    </row>
    <row r="708" spans="1:9" x14ac:dyDescent="0.25">
      <c r="A708"/>
      <c r="B708" s="137"/>
      <c r="C708" s="138"/>
      <c r="D708" s="138"/>
      <c r="E708" s="138"/>
      <c r="F708" s="134" t="s">
        <v>88</v>
      </c>
      <c r="G708" s="118" t="s">
        <v>308</v>
      </c>
      <c r="H708" s="118"/>
      <c r="I708" s="138"/>
    </row>
    <row r="709" spans="1:9" x14ac:dyDescent="0.25">
      <c r="A709"/>
      <c r="B709" s="137"/>
      <c r="C709" s="138"/>
      <c r="D709" s="138"/>
      <c r="E709" s="138"/>
      <c r="F709" s="134" t="s">
        <v>209</v>
      </c>
      <c r="G709" s="134" t="s">
        <v>309</v>
      </c>
      <c r="H709" s="134"/>
      <c r="I709" s="138"/>
    </row>
    <row r="710" spans="1:9" ht="60" x14ac:dyDescent="0.25">
      <c r="A710"/>
      <c r="B710" s="137"/>
      <c r="C710" s="138"/>
      <c r="D710" s="138"/>
      <c r="E710" s="138"/>
      <c r="F710" s="136" t="s">
        <v>212</v>
      </c>
      <c r="G710" s="125" t="s">
        <v>38</v>
      </c>
      <c r="H710" s="125"/>
      <c r="I710" s="138"/>
    </row>
    <row r="711" spans="1:9" x14ac:dyDescent="0.25">
      <c r="A711"/>
      <c r="B711" s="137"/>
      <c r="C711" s="138"/>
      <c r="D711" s="138"/>
      <c r="E711" s="138"/>
      <c r="F711" s="134" t="s">
        <v>199</v>
      </c>
      <c r="G711" s="134" t="s">
        <v>303</v>
      </c>
      <c r="H711" s="134"/>
      <c r="I711" s="138"/>
    </row>
    <row r="712" spans="1:9" ht="45" x14ac:dyDescent="0.25">
      <c r="A712"/>
      <c r="B712" s="137"/>
      <c r="C712" s="138"/>
      <c r="D712" s="138"/>
      <c r="E712" s="138"/>
      <c r="F712" s="136" t="s">
        <v>317</v>
      </c>
      <c r="G712" s="125" t="s">
        <v>318</v>
      </c>
      <c r="H712" s="125"/>
      <c r="I712" s="138" t="s">
        <v>314</v>
      </c>
    </row>
    <row r="713" spans="1:9" x14ac:dyDescent="0.25">
      <c r="A713"/>
      <c r="B713" s="137"/>
      <c r="C713" s="138"/>
      <c r="D713" s="138"/>
      <c r="E713" s="138"/>
      <c r="F713" s="134" t="s">
        <v>310</v>
      </c>
      <c r="G713" s="134" t="s">
        <v>311</v>
      </c>
      <c r="H713" s="134"/>
      <c r="I713" s="138" t="s">
        <v>315</v>
      </c>
    </row>
    <row r="714" spans="1:9" x14ac:dyDescent="0.25">
      <c r="A714"/>
      <c r="B714" s="137"/>
      <c r="C714" s="138"/>
      <c r="D714" s="138"/>
      <c r="E714" s="138"/>
      <c r="F714" s="138"/>
      <c r="G714" s="134"/>
      <c r="H714" s="134"/>
      <c r="I714" s="138"/>
    </row>
    <row r="715" spans="1:9" x14ac:dyDescent="0.25">
      <c r="A715"/>
      <c r="B715" s="137"/>
      <c r="C715" s="138"/>
      <c r="D715" s="138"/>
      <c r="E715" s="139" t="s">
        <v>63</v>
      </c>
      <c r="F715" s="138" t="s">
        <v>198</v>
      </c>
      <c r="G715" s="118" t="s">
        <v>308</v>
      </c>
      <c r="H715" s="134"/>
      <c r="I715" s="138"/>
    </row>
    <row r="716" spans="1:9" x14ac:dyDescent="0.25">
      <c r="A716"/>
      <c r="B716" s="137"/>
      <c r="C716" s="138"/>
      <c r="D716" s="138"/>
      <c r="E716" s="138"/>
      <c r="F716" s="138" t="s">
        <v>178</v>
      </c>
      <c r="G716" s="134" t="s">
        <v>357</v>
      </c>
      <c r="H716" s="134"/>
      <c r="I716" s="138"/>
    </row>
    <row r="717" spans="1:9" x14ac:dyDescent="0.25">
      <c r="A717"/>
      <c r="B717" s="137"/>
      <c r="C717" s="138"/>
      <c r="D717" s="138"/>
      <c r="E717" s="138"/>
      <c r="F717" s="138" t="s">
        <v>20</v>
      </c>
      <c r="G717" s="118" t="s">
        <v>308</v>
      </c>
      <c r="H717" s="134"/>
      <c r="I717" s="138"/>
    </row>
    <row r="718" spans="1:9" x14ac:dyDescent="0.25">
      <c r="A718"/>
      <c r="B718" s="137"/>
      <c r="C718" s="138"/>
      <c r="D718" s="138"/>
      <c r="E718" s="138"/>
      <c r="F718" s="138" t="s">
        <v>21</v>
      </c>
      <c r="G718" s="134" t="s">
        <v>356</v>
      </c>
      <c r="H718" s="134"/>
      <c r="I718" s="138"/>
    </row>
    <row r="719" spans="1:9" x14ac:dyDescent="0.25">
      <c r="A719"/>
      <c r="B719" s="137"/>
      <c r="C719" s="138"/>
      <c r="D719" s="138"/>
      <c r="E719" s="138"/>
      <c r="F719" s="138" t="s">
        <v>24</v>
      </c>
      <c r="G719" s="118" t="s">
        <v>308</v>
      </c>
      <c r="H719" s="134"/>
      <c r="I719" s="138"/>
    </row>
    <row r="720" spans="1:9" x14ac:dyDescent="0.25">
      <c r="A720"/>
      <c r="B720" s="137"/>
      <c r="C720" s="138"/>
      <c r="D720" s="138"/>
      <c r="E720" s="138"/>
      <c r="F720" s="138" t="s">
        <v>199</v>
      </c>
      <c r="G720" s="118" t="s">
        <v>308</v>
      </c>
      <c r="H720" s="134"/>
      <c r="I720" s="138" t="s">
        <v>358</v>
      </c>
    </row>
    <row r="721" spans="1:9" x14ac:dyDescent="0.25">
      <c r="A721"/>
      <c r="B721" s="137"/>
      <c r="C721" s="138"/>
      <c r="D721" s="138"/>
      <c r="E721" s="138"/>
      <c r="F721" s="138"/>
      <c r="G721" s="134"/>
      <c r="H721" s="134"/>
      <c r="I721" s="143" t="s">
        <v>360</v>
      </c>
    </row>
    <row r="722" spans="1:9" x14ac:dyDescent="0.25">
      <c r="A722"/>
      <c r="B722" s="137"/>
      <c r="C722" s="138"/>
      <c r="D722" s="138"/>
      <c r="E722" s="139" t="s">
        <v>423</v>
      </c>
      <c r="F722" s="119" t="s">
        <v>198</v>
      </c>
      <c r="G722" s="118" t="s">
        <v>308</v>
      </c>
      <c r="H722" s="134"/>
      <c r="I722" s="143"/>
    </row>
    <row r="723" spans="1:9" x14ac:dyDescent="0.25">
      <c r="A723"/>
      <c r="B723" s="137"/>
      <c r="C723" s="138"/>
      <c r="D723" s="138"/>
      <c r="E723" s="138"/>
      <c r="F723" s="119" t="s">
        <v>20</v>
      </c>
      <c r="G723" s="118" t="s">
        <v>308</v>
      </c>
      <c r="H723" s="134"/>
      <c r="I723" s="143"/>
    </row>
    <row r="724" spans="1:9" x14ac:dyDescent="0.25">
      <c r="A724"/>
      <c r="B724" s="137"/>
      <c r="C724" s="138"/>
      <c r="D724" s="138"/>
      <c r="E724" s="138"/>
      <c r="F724" s="119" t="s">
        <v>24</v>
      </c>
      <c r="G724" s="119" t="s">
        <v>301</v>
      </c>
      <c r="H724" s="134"/>
      <c r="I724" s="143"/>
    </row>
    <row r="725" spans="1:9" x14ac:dyDescent="0.25">
      <c r="A725"/>
      <c r="B725" s="137"/>
      <c r="C725" s="138"/>
      <c r="D725" s="138"/>
      <c r="E725" s="138"/>
      <c r="F725" s="116" t="s">
        <v>378</v>
      </c>
      <c r="G725" s="119" t="s">
        <v>69</v>
      </c>
      <c r="H725" s="134"/>
      <c r="I725" s="143"/>
    </row>
    <row r="726" spans="1:9" x14ac:dyDescent="0.25">
      <c r="A726"/>
      <c r="B726" s="137"/>
      <c r="C726" s="138"/>
      <c r="D726" s="138"/>
      <c r="E726" s="138"/>
      <c r="F726" s="134" t="s">
        <v>298</v>
      </c>
      <c r="G726" s="118" t="s">
        <v>308</v>
      </c>
      <c r="H726" s="134"/>
      <c r="I726" s="143"/>
    </row>
    <row r="727" spans="1:9" ht="30" x14ac:dyDescent="0.25">
      <c r="A727"/>
      <c r="B727" s="137"/>
      <c r="C727" s="138"/>
      <c r="D727" s="138"/>
      <c r="E727" s="138"/>
      <c r="F727" s="136" t="s">
        <v>299</v>
      </c>
      <c r="G727" s="125" t="s">
        <v>302</v>
      </c>
      <c r="H727" s="134"/>
      <c r="I727" s="143"/>
    </row>
    <row r="728" spans="1:9" x14ac:dyDescent="0.25">
      <c r="A728"/>
      <c r="B728" s="137"/>
      <c r="C728" s="138"/>
      <c r="D728" s="138"/>
      <c r="E728" s="138"/>
      <c r="F728" s="134" t="s">
        <v>88</v>
      </c>
      <c r="G728" s="118" t="s">
        <v>308</v>
      </c>
      <c r="H728" s="134"/>
      <c r="I728" s="143"/>
    </row>
    <row r="729" spans="1:9" x14ac:dyDescent="0.25">
      <c r="A729"/>
      <c r="B729" s="137"/>
      <c r="C729" s="138"/>
      <c r="D729" s="138"/>
      <c r="E729" s="138"/>
      <c r="F729" s="134" t="s">
        <v>424</v>
      </c>
      <c r="G729" s="134" t="s">
        <v>37</v>
      </c>
      <c r="H729" s="134"/>
      <c r="I729" s="143"/>
    </row>
    <row r="730" spans="1:9" ht="60" x14ac:dyDescent="0.25">
      <c r="A730"/>
      <c r="B730" s="137"/>
      <c r="C730" s="138"/>
      <c r="D730" s="138"/>
      <c r="E730" s="138"/>
      <c r="F730" s="136" t="s">
        <v>212</v>
      </c>
      <c r="G730" s="125" t="s">
        <v>38</v>
      </c>
      <c r="H730" s="134"/>
      <c r="I730" s="143"/>
    </row>
    <row r="731" spans="1:9" x14ac:dyDescent="0.25">
      <c r="A731"/>
      <c r="B731" s="137"/>
      <c r="C731" s="138"/>
      <c r="D731" s="138"/>
      <c r="E731" s="138"/>
      <c r="F731" s="134" t="s">
        <v>199</v>
      </c>
      <c r="G731" s="134" t="s">
        <v>303</v>
      </c>
      <c r="H731" s="134"/>
      <c r="I731" s="143"/>
    </row>
    <row r="732" spans="1:9" ht="60" x14ac:dyDescent="0.25">
      <c r="A732"/>
      <c r="B732" s="137"/>
      <c r="C732" s="138"/>
      <c r="D732" s="138"/>
      <c r="E732" s="138"/>
      <c r="F732" s="121" t="s">
        <v>69</v>
      </c>
      <c r="G732" s="120" t="s">
        <v>416</v>
      </c>
      <c r="H732" s="134"/>
      <c r="I732" s="144" t="s">
        <v>426</v>
      </c>
    </row>
    <row r="733" spans="1:9" x14ac:dyDescent="0.25">
      <c r="A733"/>
      <c r="B733" s="137"/>
      <c r="C733" s="138"/>
      <c r="D733" s="138"/>
      <c r="E733" s="138"/>
      <c r="F733" s="134" t="s">
        <v>310</v>
      </c>
      <c r="G733" s="134" t="s">
        <v>311</v>
      </c>
      <c r="H733" s="134"/>
      <c r="I733" s="145" t="s">
        <v>427</v>
      </c>
    </row>
    <row r="734" spans="1:9" x14ac:dyDescent="0.25">
      <c r="A734"/>
      <c r="B734" s="137"/>
      <c r="C734" s="138"/>
      <c r="D734" s="138"/>
      <c r="E734" s="139" t="s">
        <v>428</v>
      </c>
      <c r="F734" s="119" t="s">
        <v>198</v>
      </c>
      <c r="G734" s="118" t="s">
        <v>308</v>
      </c>
      <c r="H734" s="134"/>
      <c r="I734" s="145"/>
    </row>
    <row r="735" spans="1:9" x14ac:dyDescent="0.25">
      <c r="A735"/>
      <c r="B735" s="137"/>
      <c r="C735" s="138"/>
      <c r="D735" s="138"/>
      <c r="E735" s="138"/>
      <c r="F735" s="119" t="s">
        <v>20</v>
      </c>
      <c r="G735" s="118" t="s">
        <v>308</v>
      </c>
      <c r="H735" s="134"/>
      <c r="I735" s="145"/>
    </row>
    <row r="736" spans="1:9" x14ac:dyDescent="0.25">
      <c r="A736"/>
      <c r="B736" s="137"/>
      <c r="C736" s="138"/>
      <c r="D736" s="138"/>
      <c r="E736" s="138"/>
      <c r="F736" s="119" t="s">
        <v>24</v>
      </c>
      <c r="G736" s="119" t="s">
        <v>301</v>
      </c>
      <c r="H736" s="134"/>
      <c r="I736" s="145"/>
    </row>
    <row r="737" spans="1:9" x14ac:dyDescent="0.25">
      <c r="A737"/>
      <c r="B737" s="137"/>
      <c r="C737" s="138"/>
      <c r="D737" s="138"/>
      <c r="E737" s="138"/>
      <c r="F737" s="116" t="s">
        <v>378</v>
      </c>
      <c r="G737" s="119" t="s">
        <v>69</v>
      </c>
      <c r="H737" s="134"/>
      <c r="I737" s="145"/>
    </row>
    <row r="738" spans="1:9" x14ac:dyDescent="0.25">
      <c r="A738"/>
      <c r="B738" s="137"/>
      <c r="C738" s="138"/>
      <c r="D738" s="138"/>
      <c r="E738" s="138"/>
      <c r="F738" s="134" t="s">
        <v>298</v>
      </c>
      <c r="G738" s="118" t="s">
        <v>308</v>
      </c>
      <c r="H738" s="134"/>
      <c r="I738" s="145"/>
    </row>
    <row r="739" spans="1:9" ht="30" x14ac:dyDescent="0.25">
      <c r="A739"/>
      <c r="B739" s="137"/>
      <c r="C739" s="138"/>
      <c r="D739" s="138"/>
      <c r="E739" s="138"/>
      <c r="F739" s="136" t="s">
        <v>299</v>
      </c>
      <c r="G739" s="125" t="s">
        <v>302</v>
      </c>
      <c r="H739" s="134"/>
      <c r="I739" s="145"/>
    </row>
    <row r="740" spans="1:9" x14ac:dyDescent="0.25">
      <c r="A740"/>
      <c r="B740" s="137"/>
      <c r="C740" s="138"/>
      <c r="D740" s="138"/>
      <c r="E740" s="138"/>
      <c r="F740" s="134" t="s">
        <v>88</v>
      </c>
      <c r="G740" s="118" t="s">
        <v>308</v>
      </c>
      <c r="H740" s="134"/>
      <c r="I740" s="145"/>
    </row>
    <row r="741" spans="1:9" x14ac:dyDescent="0.25">
      <c r="A741"/>
      <c r="B741" s="137"/>
      <c r="C741" s="138"/>
      <c r="D741" s="138"/>
      <c r="E741" s="138"/>
      <c r="F741" s="134" t="s">
        <v>429</v>
      </c>
      <c r="G741" s="134" t="s">
        <v>37</v>
      </c>
      <c r="H741" s="134"/>
      <c r="I741" s="145"/>
    </row>
    <row r="742" spans="1:9" ht="60" x14ac:dyDescent="0.25">
      <c r="A742"/>
      <c r="B742" s="137"/>
      <c r="C742" s="138"/>
      <c r="D742" s="138"/>
      <c r="E742" s="138"/>
      <c r="F742" s="136" t="s">
        <v>212</v>
      </c>
      <c r="G742" s="125" t="s">
        <v>38</v>
      </c>
      <c r="H742" s="134"/>
      <c r="I742" s="145"/>
    </row>
    <row r="743" spans="1:9" x14ac:dyDescent="0.25">
      <c r="A743"/>
      <c r="B743" s="137"/>
      <c r="C743" s="138"/>
      <c r="D743" s="138"/>
      <c r="E743" s="138"/>
      <c r="F743" s="134" t="s">
        <v>199</v>
      </c>
      <c r="G743" s="134" t="s">
        <v>303</v>
      </c>
      <c r="H743" s="134"/>
      <c r="I743" s="144" t="s">
        <v>431</v>
      </c>
    </row>
    <row r="744" spans="1:9" ht="60" x14ac:dyDescent="0.25">
      <c r="A744"/>
      <c r="B744" s="137"/>
      <c r="C744" s="138"/>
      <c r="D744" s="138"/>
      <c r="E744" s="138"/>
      <c r="F744" s="121" t="s">
        <v>69</v>
      </c>
      <c r="G744" s="120" t="s">
        <v>416</v>
      </c>
      <c r="H744" s="134"/>
      <c r="I744" s="146" t="s">
        <v>430</v>
      </c>
    </row>
    <row r="745" spans="1:9" ht="90" x14ac:dyDescent="0.25">
      <c r="A745"/>
      <c r="B745" s="137"/>
      <c r="C745" s="138"/>
      <c r="D745" s="138"/>
      <c r="E745" s="140" t="s">
        <v>239</v>
      </c>
      <c r="F745" s="141" t="s">
        <v>198</v>
      </c>
      <c r="G745" s="123" t="s">
        <v>312</v>
      </c>
      <c r="H745" s="136" t="s">
        <v>433</v>
      </c>
      <c r="I745" s="146"/>
    </row>
    <row r="746" spans="1:9" x14ac:dyDescent="0.25">
      <c r="A746"/>
      <c r="B746" s="137"/>
      <c r="C746" s="138"/>
      <c r="D746" s="138"/>
      <c r="E746" s="138"/>
      <c r="F746" s="119" t="s">
        <v>20</v>
      </c>
      <c r="G746" s="118" t="s">
        <v>308</v>
      </c>
      <c r="H746" s="134"/>
      <c r="I746" s="146"/>
    </row>
    <row r="747" spans="1:9" x14ac:dyDescent="0.25">
      <c r="A747"/>
      <c r="B747" s="137"/>
      <c r="C747" s="138"/>
      <c r="D747" s="138"/>
      <c r="E747" s="138"/>
      <c r="F747" s="134" t="s">
        <v>88</v>
      </c>
      <c r="G747" s="118" t="s">
        <v>308</v>
      </c>
      <c r="H747" s="134"/>
      <c r="I747" s="146"/>
    </row>
    <row r="748" spans="1:9" ht="30" x14ac:dyDescent="0.25">
      <c r="A748"/>
      <c r="B748" s="137"/>
      <c r="C748" s="138"/>
      <c r="D748" s="138"/>
      <c r="E748" s="138"/>
      <c r="F748" s="121" t="s">
        <v>378</v>
      </c>
      <c r="G748" s="120" t="s">
        <v>432</v>
      </c>
      <c r="H748" s="134"/>
      <c r="I748" s="146"/>
    </row>
    <row r="749" spans="1:9" x14ac:dyDescent="0.25">
      <c r="A749"/>
      <c r="B749" s="137"/>
      <c r="C749" s="138"/>
      <c r="D749" s="138"/>
      <c r="E749" s="138"/>
      <c r="F749" s="121" t="s">
        <v>24</v>
      </c>
      <c r="G749" s="120" t="s">
        <v>301</v>
      </c>
      <c r="H749" s="134"/>
      <c r="I749" s="146"/>
    </row>
    <row r="750" spans="1:9" x14ac:dyDescent="0.25">
      <c r="A750"/>
      <c r="B750" s="137"/>
      <c r="C750" s="138"/>
      <c r="D750" s="138"/>
      <c r="E750" s="138"/>
      <c r="F750" s="121" t="s">
        <v>199</v>
      </c>
      <c r="G750" s="120" t="s">
        <v>303</v>
      </c>
      <c r="H750" s="134"/>
      <c r="I750" s="146"/>
    </row>
    <row r="751" spans="1:9" x14ac:dyDescent="0.25">
      <c r="A751"/>
      <c r="B751" s="137"/>
      <c r="C751" s="138"/>
      <c r="D751" s="138"/>
      <c r="E751" s="138"/>
      <c r="F751" s="121" t="s">
        <v>364</v>
      </c>
      <c r="G751" s="120" t="s">
        <v>37</v>
      </c>
      <c r="H751" s="134"/>
      <c r="I751" s="146"/>
    </row>
    <row r="752" spans="1:9" x14ac:dyDescent="0.25">
      <c r="A752"/>
      <c r="B752" s="137"/>
      <c r="C752" s="138"/>
      <c r="D752" s="138"/>
      <c r="E752" s="138"/>
      <c r="F752" s="121" t="s">
        <v>434</v>
      </c>
      <c r="G752" s="147" t="s">
        <v>435</v>
      </c>
      <c r="H752" s="134"/>
      <c r="I752" s="146" t="s">
        <v>436</v>
      </c>
    </row>
    <row r="753" spans="1:9" x14ac:dyDescent="0.25">
      <c r="A753"/>
      <c r="B753" s="137"/>
      <c r="C753" s="138"/>
      <c r="D753" s="138"/>
      <c r="E753" s="138"/>
      <c r="F753" s="121"/>
      <c r="G753" s="147"/>
      <c r="H753" s="134"/>
      <c r="I753" s="146" t="s">
        <v>437</v>
      </c>
    </row>
    <row r="754" spans="1:9" x14ac:dyDescent="0.25">
      <c r="A754"/>
      <c r="B754" s="137"/>
      <c r="C754" s="138"/>
      <c r="D754" s="138"/>
      <c r="E754" s="139" t="s">
        <v>316</v>
      </c>
      <c r="F754" s="134" t="s">
        <v>87</v>
      </c>
      <c r="G754" s="134" t="s">
        <v>322</v>
      </c>
      <c r="H754" s="134"/>
      <c r="I754" s="138" t="s">
        <v>323</v>
      </c>
    </row>
    <row r="755" spans="1:9" x14ac:dyDescent="0.25">
      <c r="A755"/>
      <c r="B755" s="137"/>
      <c r="C755" s="138"/>
      <c r="D755" s="138"/>
      <c r="E755" s="138"/>
      <c r="F755" s="134" t="s">
        <v>320</v>
      </c>
      <c r="G755" s="134" t="s">
        <v>321</v>
      </c>
      <c r="H755" s="134"/>
      <c r="I755" s="138" t="s">
        <v>329</v>
      </c>
    </row>
    <row r="756" spans="1:9" x14ac:dyDescent="0.25">
      <c r="A756"/>
      <c r="B756" s="137"/>
      <c r="C756" s="138"/>
      <c r="D756" s="138"/>
      <c r="E756" s="138"/>
      <c r="F756" s="138"/>
      <c r="G756" s="134"/>
      <c r="H756" s="134"/>
      <c r="I756" s="138"/>
    </row>
    <row r="757" spans="1:9" s="4" customFormat="1" ht="15" customHeight="1" x14ac:dyDescent="0.25">
      <c r="B757" s="511" t="s">
        <v>483</v>
      </c>
      <c r="C757" s="91" t="s">
        <v>482</v>
      </c>
      <c r="D757" s="91"/>
      <c r="E757" s="91" t="s">
        <v>484</v>
      </c>
      <c r="F757" s="91" t="s">
        <v>198</v>
      </c>
      <c r="G757" s="92" t="s">
        <v>308</v>
      </c>
      <c r="H757" s="92"/>
      <c r="I757" s="91"/>
    </row>
    <row r="758" spans="1:9" s="4" customFormat="1" x14ac:dyDescent="0.25">
      <c r="B758" s="512"/>
      <c r="C758" s="93"/>
      <c r="D758" s="93"/>
      <c r="E758" s="93"/>
      <c r="F758" s="93" t="s">
        <v>20</v>
      </c>
      <c r="G758" s="94" t="s">
        <v>308</v>
      </c>
      <c r="H758" s="94"/>
      <c r="I758" s="93"/>
    </row>
    <row r="759" spans="1:9" s="4" customFormat="1" x14ac:dyDescent="0.25">
      <c r="B759" s="512"/>
      <c r="C759" s="93"/>
      <c r="D759" s="93"/>
      <c r="E759" s="93"/>
      <c r="F759" s="93" t="s">
        <v>24</v>
      </c>
      <c r="G759" s="94" t="s">
        <v>308</v>
      </c>
      <c r="H759" s="94"/>
      <c r="I759" s="93"/>
    </row>
    <row r="760" spans="1:9" s="4" customFormat="1" x14ac:dyDescent="0.25">
      <c r="B760" s="512"/>
      <c r="C760" s="93"/>
      <c r="D760" s="93"/>
      <c r="E760" s="93"/>
      <c r="F760" s="93" t="s">
        <v>199</v>
      </c>
      <c r="G760" s="94" t="s">
        <v>308</v>
      </c>
      <c r="H760" s="94"/>
      <c r="I760" s="93" t="s">
        <v>486</v>
      </c>
    </row>
    <row r="761" spans="1:9" s="4" customFormat="1" x14ac:dyDescent="0.25">
      <c r="B761" s="242"/>
      <c r="C761" s="95"/>
      <c r="D761" s="95"/>
      <c r="E761" s="95"/>
      <c r="F761" s="95"/>
      <c r="G761" s="96"/>
      <c r="H761" s="51" t="s">
        <v>485</v>
      </c>
      <c r="I761" s="95"/>
    </row>
    <row r="762" spans="1:9" s="4" customFormat="1" x14ac:dyDescent="0.25">
      <c r="B762" s="242"/>
      <c r="C762" s="95"/>
      <c r="D762" s="95"/>
      <c r="E762" s="95"/>
      <c r="F762" s="95"/>
      <c r="G762" s="96"/>
      <c r="H762" s="96"/>
      <c r="I762" s="95"/>
    </row>
    <row r="763" spans="1:9" s="4" customFormat="1" x14ac:dyDescent="0.25">
      <c r="B763" s="243"/>
      <c r="C763" s="95"/>
      <c r="D763" s="95"/>
      <c r="E763" s="95"/>
      <c r="F763" s="95"/>
      <c r="G763" s="96"/>
      <c r="H763" s="96"/>
      <c r="I763" s="95"/>
    </row>
    <row r="764" spans="1:9" s="4" customFormat="1" x14ac:dyDescent="0.25">
      <c r="B764" s="243"/>
      <c r="C764" s="95"/>
      <c r="D764" s="95"/>
      <c r="E764" s="95"/>
      <c r="F764" s="95"/>
      <c r="G764" s="96"/>
      <c r="H764" s="96"/>
      <c r="I764" s="95"/>
    </row>
    <row r="765" spans="1:9" s="4" customFormat="1" x14ac:dyDescent="0.25">
      <c r="B765" s="243"/>
      <c r="C765" s="95"/>
      <c r="D765" s="95"/>
      <c r="E765" s="95"/>
      <c r="F765" s="95"/>
      <c r="G765" s="96"/>
      <c r="H765" s="96"/>
      <c r="I765" s="95"/>
    </row>
    <row r="766" spans="1:9" s="4" customFormat="1" x14ac:dyDescent="0.25">
      <c r="B766" s="243"/>
      <c r="C766" s="95"/>
      <c r="D766" s="95"/>
      <c r="E766" s="95"/>
      <c r="F766" s="95"/>
      <c r="G766" s="96"/>
      <c r="H766" s="96"/>
      <c r="I766" s="95"/>
    </row>
    <row r="767" spans="1:9" s="4" customFormat="1" x14ac:dyDescent="0.25">
      <c r="B767" s="243"/>
      <c r="C767" s="95"/>
      <c r="D767" s="95"/>
      <c r="E767" s="95"/>
      <c r="F767" s="95"/>
      <c r="G767" s="96"/>
      <c r="H767" s="96"/>
      <c r="I767" s="95"/>
    </row>
    <row r="768" spans="1:9" s="4" customFormat="1" x14ac:dyDescent="0.25">
      <c r="B768" s="243"/>
      <c r="C768" s="95"/>
      <c r="D768" s="95"/>
      <c r="E768" s="95"/>
      <c r="F768" s="95"/>
      <c r="G768" s="96"/>
      <c r="H768" s="96"/>
      <c r="I768" s="95"/>
    </row>
    <row r="769" spans="2:9" s="4" customFormat="1" x14ac:dyDescent="0.25">
      <c r="B769" s="243"/>
      <c r="C769" s="95"/>
      <c r="D769" s="95"/>
      <c r="E769" s="95"/>
      <c r="F769" s="95"/>
      <c r="G769" s="96"/>
      <c r="H769" s="96"/>
      <c r="I769" s="95"/>
    </row>
    <row r="770" spans="2:9" s="4" customFormat="1" x14ac:dyDescent="0.25">
      <c r="B770" s="243"/>
      <c r="C770" s="95"/>
      <c r="D770" s="95"/>
      <c r="E770" s="95"/>
      <c r="F770" s="95"/>
      <c r="G770" s="96"/>
      <c r="H770" s="96"/>
      <c r="I770" s="95"/>
    </row>
    <row r="771" spans="2:9" s="4" customFormat="1" x14ac:dyDescent="0.25">
      <c r="B771" s="243"/>
      <c r="C771" s="95"/>
      <c r="D771" s="95"/>
      <c r="E771" s="95"/>
      <c r="F771" s="95"/>
      <c r="G771" s="96"/>
      <c r="H771" s="96"/>
      <c r="I771" s="95"/>
    </row>
    <row r="772" spans="2:9" s="4" customFormat="1" x14ac:dyDescent="0.25">
      <c r="B772" s="243"/>
      <c r="C772" s="95"/>
      <c r="D772" s="95"/>
      <c r="E772" s="95"/>
      <c r="F772" s="95"/>
      <c r="G772" s="96"/>
      <c r="H772" s="96"/>
      <c r="I772" s="95"/>
    </row>
    <row r="773" spans="2:9" s="4" customFormat="1" x14ac:dyDescent="0.25">
      <c r="B773" s="243"/>
      <c r="C773" s="95"/>
      <c r="D773" s="95"/>
      <c r="E773" s="95"/>
      <c r="F773" s="95"/>
      <c r="G773" s="96"/>
      <c r="H773" s="96"/>
      <c r="I773" s="95"/>
    </row>
    <row r="774" spans="2:9" s="4" customFormat="1" x14ac:dyDescent="0.25">
      <c r="B774" s="243"/>
      <c r="C774" s="95"/>
      <c r="D774" s="95"/>
      <c r="E774" s="95"/>
      <c r="F774" s="95"/>
      <c r="G774" s="96"/>
      <c r="H774" s="96"/>
      <c r="I774" s="95"/>
    </row>
    <row r="775" spans="2:9" s="4" customFormat="1" x14ac:dyDescent="0.25">
      <c r="B775" s="243"/>
      <c r="C775" s="95"/>
      <c r="D775" s="95"/>
      <c r="E775" s="95"/>
      <c r="F775" s="95"/>
      <c r="G775" s="96"/>
      <c r="H775" s="96"/>
      <c r="I775" s="95"/>
    </row>
    <row r="776" spans="2:9" s="4" customFormat="1" x14ac:dyDescent="0.25">
      <c r="B776" s="243"/>
      <c r="C776" s="95"/>
      <c r="D776" s="95"/>
      <c r="E776" s="95"/>
      <c r="F776" s="95"/>
      <c r="G776" s="96"/>
      <c r="H776" s="96"/>
      <c r="I776" s="95"/>
    </row>
    <row r="777" spans="2:9" s="4" customFormat="1" x14ac:dyDescent="0.25">
      <c r="B777" s="243"/>
      <c r="C777" s="95"/>
      <c r="D777" s="95"/>
      <c r="E777" s="95"/>
      <c r="F777" s="95"/>
      <c r="G777" s="96"/>
      <c r="H777" s="96"/>
      <c r="I777" s="95"/>
    </row>
    <row r="778" spans="2:9" s="4" customFormat="1" x14ac:dyDescent="0.25">
      <c r="B778" s="244"/>
      <c r="C778" s="245"/>
      <c r="D778" s="245"/>
      <c r="E778" s="245"/>
      <c r="F778" s="245"/>
      <c r="G778" s="246"/>
      <c r="H778" s="246"/>
      <c r="I778" s="245"/>
    </row>
    <row r="779" spans="2:9" s="4" customFormat="1" x14ac:dyDescent="0.25">
      <c r="B779" s="244"/>
      <c r="C779" s="245"/>
      <c r="D779" s="245"/>
      <c r="E779" s="245"/>
      <c r="F779" s="245"/>
      <c r="G779" s="246"/>
      <c r="H779" s="246"/>
      <c r="I779" s="245"/>
    </row>
    <row r="780" spans="2:9" s="4" customFormat="1" x14ac:dyDescent="0.25">
      <c r="B780" s="244"/>
      <c r="C780" s="245"/>
      <c r="D780" s="245"/>
      <c r="E780" s="245"/>
      <c r="F780" s="245"/>
      <c r="G780" s="246"/>
      <c r="H780" s="246"/>
      <c r="I780" s="245"/>
    </row>
    <row r="781" spans="2:9" s="4" customFormat="1" x14ac:dyDescent="0.25">
      <c r="B781" s="244"/>
      <c r="C781" s="245"/>
      <c r="D781" s="245"/>
      <c r="E781" s="245"/>
      <c r="F781" s="245"/>
      <c r="G781" s="246"/>
      <c r="H781" s="246"/>
      <c r="I781" s="245"/>
    </row>
    <row r="782" spans="2:9" s="4" customFormat="1" x14ac:dyDescent="0.25">
      <c r="B782" s="244"/>
      <c r="C782" s="245"/>
      <c r="D782" s="245"/>
      <c r="E782" s="245"/>
      <c r="F782" s="245"/>
      <c r="G782" s="246"/>
      <c r="H782" s="246"/>
      <c r="I782" s="245"/>
    </row>
    <row r="783" spans="2:9" s="4" customFormat="1" x14ac:dyDescent="0.25">
      <c r="B783" s="244"/>
      <c r="C783" s="245"/>
      <c r="D783" s="245"/>
      <c r="E783" s="245"/>
      <c r="F783" s="245"/>
      <c r="G783" s="246"/>
      <c r="H783" s="246"/>
      <c r="I783" s="245"/>
    </row>
    <row r="784" spans="2:9" s="4" customFormat="1" x14ac:dyDescent="0.25">
      <c r="B784" s="244"/>
      <c r="C784" s="245"/>
      <c r="D784" s="245"/>
      <c r="E784" s="245"/>
      <c r="F784" s="245"/>
      <c r="G784" s="246"/>
      <c r="H784" s="246"/>
      <c r="I784" s="245"/>
    </row>
    <row r="785" spans="1:9" s="4" customFormat="1" x14ac:dyDescent="0.25">
      <c r="B785" s="244"/>
      <c r="C785" s="245"/>
      <c r="D785" s="245"/>
      <c r="E785" s="245"/>
      <c r="F785" s="245"/>
      <c r="G785" s="246"/>
      <c r="H785" s="246"/>
      <c r="I785" s="245"/>
    </row>
    <row r="786" spans="1:9" s="4" customFormat="1" x14ac:dyDescent="0.25">
      <c r="B786" s="244"/>
      <c r="C786" s="245"/>
      <c r="D786" s="245"/>
      <c r="E786" s="245"/>
      <c r="F786" s="245"/>
      <c r="G786" s="246"/>
      <c r="H786" s="246"/>
      <c r="I786" s="245"/>
    </row>
    <row r="787" spans="1:9" s="4" customFormat="1" x14ac:dyDescent="0.25">
      <c r="B787" s="244"/>
      <c r="C787" s="245"/>
      <c r="D787" s="245"/>
      <c r="E787" s="245"/>
      <c r="F787" s="245"/>
      <c r="G787" s="246"/>
      <c r="H787" s="246"/>
      <c r="I787" s="245"/>
    </row>
    <row r="788" spans="1:9" x14ac:dyDescent="0.25">
      <c r="A788"/>
      <c r="B788" s="505" t="s">
        <v>324</v>
      </c>
      <c r="C788" s="148" t="s">
        <v>325</v>
      </c>
      <c r="D788" s="148"/>
      <c r="E788" s="149" t="s">
        <v>438</v>
      </c>
      <c r="F788" s="148"/>
      <c r="G788" s="154"/>
      <c r="H788" s="154"/>
      <c r="I788" s="148"/>
    </row>
    <row r="789" spans="1:9" x14ac:dyDescent="0.25">
      <c r="A789"/>
      <c r="B789" s="506"/>
      <c r="C789" s="150"/>
      <c r="D789" s="150"/>
      <c r="E789" s="151"/>
      <c r="F789" s="150"/>
      <c r="G789" s="155"/>
      <c r="H789" s="155"/>
      <c r="I789" s="150"/>
    </row>
    <row r="790" spans="1:9" x14ac:dyDescent="0.25">
      <c r="A790"/>
      <c r="B790" s="506"/>
      <c r="C790" s="150"/>
      <c r="D790" s="150"/>
      <c r="E790" s="151"/>
      <c r="F790" s="150"/>
      <c r="G790" s="155"/>
      <c r="H790" s="155"/>
      <c r="I790" s="150"/>
    </row>
    <row r="791" spans="1:9" x14ac:dyDescent="0.25">
      <c r="A791"/>
      <c r="B791" s="506"/>
      <c r="C791" s="150"/>
      <c r="D791" s="150"/>
      <c r="E791" s="151"/>
      <c r="F791" s="150"/>
      <c r="G791" s="155"/>
      <c r="H791" s="155"/>
      <c r="I791" s="150"/>
    </row>
    <row r="792" spans="1:9" x14ac:dyDescent="0.25">
      <c r="A792"/>
      <c r="B792" s="506"/>
      <c r="C792" s="150"/>
      <c r="D792" s="150"/>
      <c r="E792" s="151"/>
      <c r="F792" s="150"/>
      <c r="G792" s="155"/>
      <c r="H792" s="155"/>
      <c r="I792" s="150"/>
    </row>
    <row r="793" spans="1:9" x14ac:dyDescent="0.25">
      <c r="A793"/>
      <c r="B793" s="506"/>
      <c r="C793" s="150"/>
      <c r="D793" s="150"/>
      <c r="E793" s="151" t="s">
        <v>454</v>
      </c>
      <c r="F793" s="150"/>
      <c r="G793" s="150" t="s">
        <v>180</v>
      </c>
      <c r="H793" s="155" t="s">
        <v>394</v>
      </c>
      <c r="I793" s="150" t="s">
        <v>467</v>
      </c>
    </row>
    <row r="794" spans="1:9" x14ac:dyDescent="0.25">
      <c r="A794"/>
      <c r="B794" s="506"/>
      <c r="C794" s="150"/>
      <c r="D794" s="150"/>
      <c r="E794" s="151"/>
      <c r="F794" s="51" t="s">
        <v>455</v>
      </c>
      <c r="G794" s="155"/>
      <c r="H794" s="155"/>
      <c r="I794" s="150" t="s">
        <v>458</v>
      </c>
    </row>
    <row r="795" spans="1:9" x14ac:dyDescent="0.25">
      <c r="A795"/>
      <c r="B795" s="506"/>
      <c r="C795" s="150"/>
      <c r="D795" s="150"/>
      <c r="E795" s="151"/>
      <c r="F795" s="51" t="s">
        <v>336</v>
      </c>
      <c r="G795" s="155" t="s">
        <v>180</v>
      </c>
      <c r="H795" s="155" t="s">
        <v>466</v>
      </c>
      <c r="I795" s="150" t="s">
        <v>459</v>
      </c>
    </row>
    <row r="796" spans="1:9" x14ac:dyDescent="0.25">
      <c r="A796"/>
      <c r="B796" s="506"/>
      <c r="C796" s="150"/>
      <c r="D796" s="150"/>
      <c r="E796" s="151"/>
      <c r="F796" s="151" t="s">
        <v>460</v>
      </c>
      <c r="G796" s="155" t="s">
        <v>464</v>
      </c>
      <c r="H796" s="155" t="s">
        <v>465</v>
      </c>
      <c r="I796" s="150" t="s">
        <v>463</v>
      </c>
    </row>
    <row r="797" spans="1:9" x14ac:dyDescent="0.25">
      <c r="A797"/>
      <c r="B797" s="506"/>
      <c r="C797" s="150"/>
      <c r="D797" s="150"/>
      <c r="E797" s="151"/>
      <c r="F797" s="151"/>
      <c r="G797" s="155" t="s">
        <v>180</v>
      </c>
      <c r="H797" s="155" t="s">
        <v>462</v>
      </c>
      <c r="I797" s="150"/>
    </row>
    <row r="798" spans="1:9" x14ac:dyDescent="0.25">
      <c r="A798"/>
      <c r="B798" s="506"/>
      <c r="C798" s="150"/>
      <c r="D798" s="150"/>
      <c r="E798" s="151"/>
      <c r="F798" s="151" t="s">
        <v>461</v>
      </c>
      <c r="G798" s="155"/>
      <c r="H798" s="155"/>
      <c r="I798" s="150"/>
    </row>
    <row r="799" spans="1:9" x14ac:dyDescent="0.25">
      <c r="A799"/>
      <c r="B799" s="506"/>
      <c r="C799" s="150"/>
      <c r="D799" s="150"/>
      <c r="E799" s="151"/>
      <c r="F799" s="150"/>
      <c r="G799" s="155"/>
      <c r="H799" s="155"/>
      <c r="I799" s="150"/>
    </row>
    <row r="800" spans="1:9" x14ac:dyDescent="0.25">
      <c r="A800"/>
      <c r="B800" s="506"/>
      <c r="C800" s="152"/>
      <c r="D800" s="152"/>
      <c r="E800" s="151" t="s">
        <v>326</v>
      </c>
      <c r="F800" s="150"/>
      <c r="G800" s="150" t="s">
        <v>327</v>
      </c>
      <c r="H800" s="155" t="s">
        <v>328</v>
      </c>
      <c r="I800" s="150" t="s">
        <v>330</v>
      </c>
    </row>
    <row r="801" spans="1:9" x14ac:dyDescent="0.25">
      <c r="A801"/>
      <c r="B801" s="153"/>
      <c r="C801" s="152"/>
      <c r="D801" s="152"/>
      <c r="E801" s="152"/>
      <c r="F801" s="51" t="s">
        <v>336</v>
      </c>
      <c r="G801" s="156" t="s">
        <v>337</v>
      </c>
      <c r="H801" s="156" t="s">
        <v>339</v>
      </c>
      <c r="I801" s="152"/>
    </row>
    <row r="802" spans="1:9" x14ac:dyDescent="0.25">
      <c r="A802"/>
      <c r="B802" s="153"/>
      <c r="C802" s="152"/>
      <c r="D802" s="152"/>
      <c r="E802" s="152"/>
      <c r="F802" s="156"/>
      <c r="G802" s="156" t="s">
        <v>327</v>
      </c>
      <c r="H802" s="156" t="s">
        <v>341</v>
      </c>
      <c r="I802" s="152"/>
    </row>
    <row r="803" spans="1:9" x14ac:dyDescent="0.25">
      <c r="A803"/>
      <c r="B803" s="153"/>
      <c r="C803" s="152"/>
      <c r="D803" s="152"/>
      <c r="E803" s="152"/>
      <c r="F803" s="156"/>
      <c r="G803" s="156" t="s">
        <v>338</v>
      </c>
      <c r="H803" s="156" t="s">
        <v>340</v>
      </c>
      <c r="I803" s="152"/>
    </row>
    <row r="804" spans="1:9" x14ac:dyDescent="0.25">
      <c r="A804"/>
      <c r="B804" s="153"/>
      <c r="C804" s="152"/>
      <c r="D804" s="152"/>
      <c r="E804" s="152"/>
      <c r="F804" s="51" t="s">
        <v>335</v>
      </c>
      <c r="G804" s="156"/>
      <c r="H804" s="156"/>
      <c r="I804" s="152" t="s">
        <v>342</v>
      </c>
    </row>
    <row r="805" spans="1:9" x14ac:dyDescent="0.25">
      <c r="A805"/>
      <c r="B805" s="153"/>
      <c r="C805" s="152"/>
      <c r="D805" s="152"/>
      <c r="E805" s="152"/>
      <c r="F805" s="152"/>
      <c r="G805" s="156"/>
      <c r="H805" s="156"/>
      <c r="I805" s="152"/>
    </row>
    <row r="806" spans="1:9" x14ac:dyDescent="0.25">
      <c r="A806"/>
      <c r="B806" s="153"/>
      <c r="C806" s="152"/>
      <c r="D806" s="152"/>
      <c r="E806" s="152"/>
      <c r="F806" s="152"/>
      <c r="G806" s="156"/>
      <c r="H806" s="156"/>
      <c r="I806" s="152"/>
    </row>
    <row r="807" spans="1:9" x14ac:dyDescent="0.25">
      <c r="A807"/>
      <c r="B807" s="153"/>
      <c r="C807" s="152"/>
      <c r="D807" s="152"/>
      <c r="E807" s="152"/>
      <c r="F807" s="152"/>
      <c r="G807" s="156"/>
      <c r="H807" s="156"/>
      <c r="I807" s="152"/>
    </row>
    <row r="808" spans="1:9" x14ac:dyDescent="0.25">
      <c r="A808"/>
      <c r="B808" s="153"/>
      <c r="C808" s="152"/>
      <c r="D808" s="152"/>
      <c r="E808" s="152"/>
      <c r="F808" s="152"/>
      <c r="G808" s="156"/>
      <c r="H808" s="156"/>
      <c r="I808" s="152"/>
    </row>
    <row r="809" spans="1:9" x14ac:dyDescent="0.25">
      <c r="A809"/>
      <c r="B809" s="153"/>
      <c r="C809" s="152"/>
      <c r="D809" s="152"/>
      <c r="E809" s="152"/>
      <c r="F809" s="152"/>
      <c r="G809" s="156"/>
      <c r="H809" s="156"/>
      <c r="I809" s="152"/>
    </row>
    <row r="810" spans="1:9" x14ac:dyDescent="0.25">
      <c r="A810"/>
      <c r="B810" s="153"/>
      <c r="C810" s="152"/>
      <c r="D810" s="152"/>
      <c r="E810" s="152"/>
      <c r="F810" s="152"/>
      <c r="G810" s="156"/>
      <c r="H810" s="156"/>
      <c r="I810" s="152"/>
    </row>
    <row r="811" spans="1:9" x14ac:dyDescent="0.25">
      <c r="A811"/>
      <c r="B811" s="153"/>
      <c r="C811" s="152"/>
      <c r="D811" s="152"/>
      <c r="E811" s="152"/>
      <c r="F811" s="152"/>
      <c r="G811" s="156"/>
      <c r="H811" s="156"/>
      <c r="I811" s="152"/>
    </row>
    <row r="812" spans="1:9" x14ac:dyDescent="0.25">
      <c r="A812"/>
      <c r="B812" s="153"/>
      <c r="C812" s="152"/>
      <c r="D812" s="152"/>
      <c r="E812" s="152"/>
      <c r="F812" s="152"/>
      <c r="G812" s="156"/>
      <c r="H812" s="156"/>
      <c r="I812" s="152"/>
    </row>
    <row r="813" spans="1:9" x14ac:dyDescent="0.25">
      <c r="A813"/>
      <c r="B813" s="153"/>
      <c r="C813" s="152"/>
      <c r="D813" s="152"/>
      <c r="E813" s="152"/>
      <c r="F813" s="152"/>
      <c r="G813" s="156"/>
      <c r="H813" s="156"/>
      <c r="I813" s="152"/>
    </row>
    <row r="814" spans="1:9" x14ac:dyDescent="0.25">
      <c r="A814"/>
      <c r="B814" s="153"/>
      <c r="C814" s="152"/>
      <c r="D814" s="152"/>
      <c r="E814" s="152"/>
      <c r="F814" s="152"/>
      <c r="G814" s="156"/>
      <c r="H814" s="156"/>
      <c r="I814" s="152"/>
    </row>
    <row r="815" spans="1:9" x14ac:dyDescent="0.25">
      <c r="A815"/>
      <c r="B815" s="153"/>
      <c r="C815" s="152"/>
      <c r="D815" s="152"/>
      <c r="E815" s="152"/>
      <c r="F815" s="152"/>
      <c r="G815" s="156"/>
      <c r="H815" s="156"/>
      <c r="I815" s="152"/>
    </row>
    <row r="816" spans="1:9" x14ac:dyDescent="0.25">
      <c r="A816"/>
      <c r="B816" s="153"/>
      <c r="C816" s="152"/>
      <c r="D816" s="152"/>
      <c r="E816" s="152"/>
      <c r="F816" s="152"/>
      <c r="G816" s="156"/>
      <c r="H816" s="156"/>
      <c r="I816" s="152"/>
    </row>
    <row r="817" spans="1:9" x14ac:dyDescent="0.25">
      <c r="A817"/>
      <c r="B817" s="153"/>
      <c r="C817" s="152"/>
      <c r="D817" s="152"/>
      <c r="E817" s="152"/>
      <c r="F817" s="152"/>
      <c r="G817" s="156"/>
      <c r="H817" s="156"/>
      <c r="I817" s="152"/>
    </row>
    <row r="818" spans="1:9" x14ac:dyDescent="0.25">
      <c r="A818"/>
      <c r="B818" s="153"/>
      <c r="C818" s="152"/>
      <c r="D818" s="152"/>
      <c r="E818" s="152"/>
      <c r="F818" s="152"/>
      <c r="G818" s="156"/>
      <c r="H818" s="156"/>
      <c r="I818" s="152"/>
    </row>
    <row r="819" spans="1:9" x14ac:dyDescent="0.25">
      <c r="A819"/>
      <c r="B819" s="153"/>
      <c r="C819" s="152"/>
      <c r="D819" s="152"/>
      <c r="E819" s="152"/>
      <c r="F819" s="152"/>
      <c r="G819" s="156"/>
      <c r="H819" s="156"/>
      <c r="I819" s="152"/>
    </row>
    <row r="820" spans="1:9" x14ac:dyDescent="0.25">
      <c r="A820"/>
      <c r="B820" s="153"/>
      <c r="C820" s="152"/>
      <c r="D820" s="152"/>
      <c r="E820" s="152"/>
      <c r="F820" s="152"/>
      <c r="G820" s="156"/>
      <c r="H820" s="156"/>
      <c r="I820" s="152"/>
    </row>
    <row r="821" spans="1:9" x14ac:dyDescent="0.25">
      <c r="A821"/>
      <c r="B821" s="153"/>
      <c r="C821" s="152"/>
      <c r="D821" s="152"/>
      <c r="E821" s="152"/>
      <c r="F821" s="152"/>
      <c r="G821" s="156"/>
      <c r="H821" s="156"/>
      <c r="I821" s="152"/>
    </row>
    <row r="822" spans="1:9" x14ac:dyDescent="0.25">
      <c r="A822"/>
      <c r="B822" s="153"/>
      <c r="C822" s="152"/>
      <c r="D822" s="152"/>
      <c r="E822" s="152"/>
      <c r="F822" s="152"/>
      <c r="G822" s="156"/>
      <c r="H822" s="156"/>
      <c r="I822" s="152"/>
    </row>
    <row r="823" spans="1:9" x14ac:dyDescent="0.25">
      <c r="A823"/>
      <c r="B823" s="153"/>
      <c r="C823" s="152"/>
      <c r="D823" s="152"/>
      <c r="E823" s="152"/>
      <c r="F823" s="152"/>
      <c r="G823" s="156"/>
      <c r="H823" s="156"/>
      <c r="I823" s="152"/>
    </row>
    <row r="824" spans="1:9" x14ac:dyDescent="0.25">
      <c r="B824" s="499" t="s">
        <v>441</v>
      </c>
      <c r="C824" s="247" t="s">
        <v>439</v>
      </c>
      <c r="D824" s="247"/>
      <c r="E824" s="248" t="s">
        <v>440</v>
      </c>
      <c r="F824" s="247"/>
      <c r="G824" s="247" t="s">
        <v>180</v>
      </c>
      <c r="H824" s="252" t="s">
        <v>394</v>
      </c>
      <c r="I824" s="247"/>
    </row>
    <row r="825" spans="1:9" x14ac:dyDescent="0.25">
      <c r="B825" s="500"/>
      <c r="C825" s="249"/>
      <c r="D825" s="249"/>
      <c r="E825" s="249"/>
      <c r="F825" s="249"/>
      <c r="G825" s="249" t="s">
        <v>265</v>
      </c>
      <c r="H825" s="253" t="s">
        <v>442</v>
      </c>
      <c r="I825" s="249" t="s">
        <v>452</v>
      </c>
    </row>
    <row r="826" spans="1:9" x14ac:dyDescent="0.25">
      <c r="B826" s="500"/>
      <c r="C826" s="250"/>
      <c r="D826" s="250"/>
      <c r="E826" s="250"/>
      <c r="F826" s="51" t="s">
        <v>443</v>
      </c>
      <c r="G826" s="254" t="s">
        <v>444</v>
      </c>
      <c r="H826" s="254" t="s">
        <v>446</v>
      </c>
      <c r="I826" s="250" t="s">
        <v>453</v>
      </c>
    </row>
    <row r="827" spans="1:9" x14ac:dyDescent="0.25">
      <c r="B827" s="251"/>
      <c r="C827" s="250"/>
      <c r="D827" s="250"/>
      <c r="E827" s="250"/>
      <c r="F827" s="250"/>
      <c r="G827" s="254" t="s">
        <v>265</v>
      </c>
      <c r="H827" s="253" t="s">
        <v>442</v>
      </c>
      <c r="I827" s="250"/>
    </row>
    <row r="828" spans="1:9" ht="90" x14ac:dyDescent="0.25">
      <c r="B828" s="251"/>
      <c r="C828" s="250"/>
      <c r="D828" s="250"/>
      <c r="E828" s="250"/>
      <c r="F828" s="250"/>
      <c r="G828" s="255" t="s">
        <v>445</v>
      </c>
      <c r="H828" s="256" t="s">
        <v>447</v>
      </c>
      <c r="I828" s="250"/>
    </row>
    <row r="829" spans="1:9" x14ac:dyDescent="0.25">
      <c r="B829" s="251"/>
      <c r="C829" s="250"/>
      <c r="D829" s="250"/>
      <c r="E829" s="250"/>
      <c r="F829" s="51" t="s">
        <v>448</v>
      </c>
      <c r="G829" s="254" t="s">
        <v>180</v>
      </c>
      <c r="H829" s="254" t="s">
        <v>449</v>
      </c>
      <c r="I829" s="250" t="s">
        <v>451</v>
      </c>
    </row>
    <row r="830" spans="1:9" x14ac:dyDescent="0.25">
      <c r="B830" s="251"/>
      <c r="C830" s="250"/>
      <c r="D830" s="250"/>
      <c r="E830" s="250"/>
      <c r="F830" s="250"/>
      <c r="G830" s="254" t="s">
        <v>265</v>
      </c>
      <c r="H830" s="254" t="s">
        <v>450</v>
      </c>
      <c r="I830" s="250"/>
    </row>
    <row r="831" spans="1:9" x14ac:dyDescent="0.25">
      <c r="B831" s="251"/>
      <c r="C831" s="250"/>
      <c r="D831" s="250"/>
      <c r="E831" s="250"/>
      <c r="F831" s="250"/>
      <c r="G831" s="254"/>
      <c r="H831" s="254"/>
      <c r="I831" s="250"/>
    </row>
    <row r="832" spans="1:9" x14ac:dyDescent="0.25">
      <c r="B832" s="251"/>
      <c r="C832" s="250"/>
      <c r="D832" s="250"/>
      <c r="E832" s="250"/>
      <c r="F832" s="250" t="s">
        <v>456</v>
      </c>
      <c r="G832" s="254" t="s">
        <v>180</v>
      </c>
      <c r="H832" s="254"/>
      <c r="I832" s="250"/>
    </row>
    <row r="833" spans="2:9" x14ac:dyDescent="0.25">
      <c r="B833" s="251"/>
      <c r="C833" s="250"/>
      <c r="D833" s="250"/>
      <c r="E833" s="250"/>
      <c r="F833" s="250" t="s">
        <v>457</v>
      </c>
      <c r="G833" s="254"/>
      <c r="H833" s="254"/>
      <c r="I833" s="250"/>
    </row>
    <row r="834" spans="2:9" x14ac:dyDescent="0.25">
      <c r="B834" s="251"/>
      <c r="C834" s="250"/>
      <c r="D834" s="250"/>
      <c r="E834" s="250"/>
      <c r="F834" s="250"/>
      <c r="G834" s="254"/>
      <c r="H834" s="254"/>
      <c r="I834" s="250"/>
    </row>
    <row r="835" spans="2:9" x14ac:dyDescent="0.25">
      <c r="B835" s="251"/>
      <c r="C835" s="250"/>
      <c r="D835" s="250"/>
      <c r="E835" s="250"/>
      <c r="F835" s="250"/>
      <c r="G835" s="254"/>
      <c r="H835" s="254"/>
      <c r="I835" s="250"/>
    </row>
    <row r="836" spans="2:9" x14ac:dyDescent="0.25">
      <c r="B836" s="251"/>
      <c r="C836" s="250"/>
      <c r="D836" s="250"/>
      <c r="E836" s="250"/>
      <c r="F836" s="250"/>
      <c r="G836" s="254"/>
      <c r="H836" s="254"/>
      <c r="I836" s="250"/>
    </row>
    <row r="837" spans="2:9" x14ac:dyDescent="0.25">
      <c r="B837" s="251"/>
      <c r="C837" s="250"/>
      <c r="D837" s="250"/>
      <c r="E837" s="250"/>
      <c r="F837" s="250"/>
      <c r="G837" s="254"/>
      <c r="H837" s="254"/>
      <c r="I837" s="250"/>
    </row>
    <row r="838" spans="2:9" x14ac:dyDescent="0.25">
      <c r="B838" s="251"/>
      <c r="C838" s="250"/>
      <c r="D838" s="250"/>
      <c r="E838" s="250"/>
      <c r="F838" s="250"/>
      <c r="G838" s="254"/>
      <c r="H838" s="254"/>
      <c r="I838" s="250"/>
    </row>
    <row r="839" spans="2:9" x14ac:dyDescent="0.25">
      <c r="B839" s="251"/>
      <c r="C839" s="250"/>
      <c r="D839" s="250"/>
      <c r="E839" s="250"/>
      <c r="F839" s="250"/>
      <c r="G839" s="254"/>
      <c r="H839" s="254"/>
      <c r="I839" s="250"/>
    </row>
    <row r="840" spans="2:9" x14ac:dyDescent="0.25">
      <c r="B840" s="251"/>
      <c r="C840" s="250"/>
      <c r="D840" s="250"/>
      <c r="E840" s="250"/>
      <c r="F840" s="250"/>
      <c r="G840" s="254"/>
      <c r="H840" s="254"/>
      <c r="I840" s="250"/>
    </row>
    <row r="841" spans="2:9" x14ac:dyDescent="0.25">
      <c r="B841" s="251"/>
      <c r="C841" s="250"/>
      <c r="D841" s="250"/>
      <c r="E841" s="250"/>
      <c r="F841" s="250"/>
      <c r="G841" s="254"/>
      <c r="H841" s="254"/>
      <c r="I841" s="250"/>
    </row>
    <row r="842" spans="2:9" x14ac:dyDescent="0.25">
      <c r="B842" s="257" t="s">
        <v>480</v>
      </c>
      <c r="C842" s="257"/>
      <c r="D842" s="257"/>
      <c r="E842" s="257"/>
      <c r="F842" s="257"/>
      <c r="G842" s="258"/>
      <c r="H842" s="258"/>
      <c r="I842" s="257"/>
    </row>
    <row r="843" spans="2:9" x14ac:dyDescent="0.25">
      <c r="B843" s="257"/>
      <c r="C843" s="257"/>
      <c r="D843" s="257"/>
      <c r="E843" s="257"/>
      <c r="F843" s="257"/>
      <c r="G843" s="258"/>
      <c r="H843" s="258"/>
      <c r="I843" s="257"/>
    </row>
    <row r="844" spans="2:9" x14ac:dyDescent="0.25">
      <c r="B844" s="257"/>
      <c r="C844" s="257"/>
      <c r="D844" s="257"/>
      <c r="E844" s="257"/>
      <c r="F844" s="257"/>
      <c r="G844" s="258"/>
      <c r="H844" s="258"/>
      <c r="I844" s="257"/>
    </row>
    <row r="845" spans="2:9" x14ac:dyDescent="0.25">
      <c r="B845" s="257"/>
      <c r="C845" s="257"/>
      <c r="D845" s="257"/>
      <c r="E845" s="257"/>
      <c r="F845" s="257"/>
      <c r="G845" s="258"/>
      <c r="H845" s="258"/>
      <c r="I845" s="257"/>
    </row>
    <row r="846" spans="2:9" x14ac:dyDescent="0.25">
      <c r="B846" s="257"/>
      <c r="C846" s="257"/>
      <c r="D846" s="257"/>
      <c r="E846" s="257"/>
      <c r="F846" s="257"/>
      <c r="G846" s="258"/>
      <c r="H846" s="258"/>
      <c r="I846" s="257"/>
    </row>
    <row r="847" spans="2:9" x14ac:dyDescent="0.25">
      <c r="B847" s="257"/>
      <c r="C847" s="257"/>
      <c r="D847" s="257"/>
      <c r="E847" s="257"/>
      <c r="F847" s="257"/>
      <c r="G847" s="258"/>
      <c r="H847" s="258"/>
      <c r="I847" s="257"/>
    </row>
    <row r="848" spans="2:9" x14ac:dyDescent="0.25">
      <c r="B848" s="257"/>
      <c r="C848" s="257"/>
      <c r="D848" s="257"/>
      <c r="E848" s="257"/>
      <c r="F848" s="257"/>
      <c r="G848" s="258"/>
      <c r="H848" s="258"/>
      <c r="I848" s="257"/>
    </row>
    <row r="849" spans="2:9" x14ac:dyDescent="0.25">
      <c r="B849" s="257"/>
      <c r="C849" s="257"/>
      <c r="D849" s="257"/>
      <c r="E849" s="257"/>
      <c r="F849" s="257"/>
      <c r="G849" s="258"/>
      <c r="H849" s="258"/>
      <c r="I849" s="257"/>
    </row>
    <row r="850" spans="2:9" x14ac:dyDescent="0.25">
      <c r="B850" s="257"/>
      <c r="C850" s="257"/>
      <c r="D850" s="257"/>
      <c r="E850" s="257"/>
      <c r="F850" s="257"/>
      <c r="G850" s="258"/>
      <c r="H850" s="258"/>
      <c r="I850" s="257"/>
    </row>
    <row r="851" spans="2:9" x14ac:dyDescent="0.25">
      <c r="B851" s="257"/>
      <c r="C851" s="257"/>
      <c r="D851" s="257"/>
      <c r="E851" s="257"/>
      <c r="F851" s="257"/>
      <c r="G851" s="258"/>
      <c r="H851" s="258"/>
      <c r="I851" s="257"/>
    </row>
    <row r="852" spans="2:9" x14ac:dyDescent="0.25">
      <c r="B852" s="257"/>
      <c r="C852" s="257"/>
      <c r="D852" s="257"/>
      <c r="E852" s="257"/>
      <c r="F852" s="257"/>
      <c r="G852" s="258"/>
      <c r="H852" s="258"/>
      <c r="I852" s="257"/>
    </row>
    <row r="853" spans="2:9" x14ac:dyDescent="0.25">
      <c r="B853" s="257"/>
      <c r="C853" s="257"/>
      <c r="D853" s="257"/>
      <c r="E853" s="257"/>
      <c r="F853" s="257"/>
      <c r="G853" s="258"/>
      <c r="H853" s="258"/>
      <c r="I853" s="257"/>
    </row>
    <row r="854" spans="2:9" x14ac:dyDescent="0.25">
      <c r="B854" s="257"/>
      <c r="C854" s="257"/>
      <c r="D854" s="257"/>
      <c r="E854" s="257"/>
      <c r="F854" s="257"/>
      <c r="G854" s="258"/>
      <c r="H854" s="258"/>
      <c r="I854" s="257"/>
    </row>
    <row r="855" spans="2:9" x14ac:dyDescent="0.25">
      <c r="B855" s="257"/>
      <c r="C855" s="257"/>
      <c r="D855" s="257"/>
      <c r="E855" s="257"/>
      <c r="F855" s="257"/>
      <c r="G855" s="258"/>
      <c r="H855" s="258"/>
      <c r="I855" s="257"/>
    </row>
    <row r="856" spans="2:9" ht="15" customHeight="1" x14ac:dyDescent="0.25">
      <c r="B856" s="259" t="s">
        <v>709</v>
      </c>
      <c r="C856" s="259"/>
      <c r="D856" s="259" t="s">
        <v>710</v>
      </c>
      <c r="E856" s="405" t="s">
        <v>830</v>
      </c>
      <c r="F856" s="492"/>
      <c r="G856" s="494"/>
      <c r="H856" s="260"/>
      <c r="I856" s="259"/>
    </row>
    <row r="857" spans="2:9" x14ac:dyDescent="0.25">
      <c r="B857" s="259"/>
      <c r="C857" s="259"/>
      <c r="D857" s="259"/>
      <c r="E857" s="406" t="s">
        <v>831</v>
      </c>
      <c r="F857" s="493"/>
      <c r="G857" s="495"/>
      <c r="H857" s="260"/>
      <c r="I857" s="259"/>
    </row>
    <row r="858" spans="2:9" x14ac:dyDescent="0.25">
      <c r="B858" s="259"/>
      <c r="C858" s="259"/>
      <c r="D858" s="259"/>
      <c r="E858" s="407" t="s">
        <v>832</v>
      </c>
      <c r="F858" s="259"/>
      <c r="G858" s="260"/>
      <c r="H858" s="260"/>
      <c r="I858" s="259"/>
    </row>
    <row r="859" spans="2:9" x14ac:dyDescent="0.25">
      <c r="B859" s="259"/>
      <c r="C859" s="259"/>
      <c r="D859" s="259"/>
      <c r="E859" s="259"/>
      <c r="F859" s="259"/>
      <c r="G859" s="260"/>
      <c r="H859" s="260"/>
      <c r="I859" s="259"/>
    </row>
  </sheetData>
  <mergeCells count="18">
    <mergeCell ref="I300:I301"/>
    <mergeCell ref="I302:I303"/>
    <mergeCell ref="I304:I305"/>
    <mergeCell ref="I700:I701"/>
    <mergeCell ref="B788:B800"/>
    <mergeCell ref="B406:B410"/>
    <mergeCell ref="B441:B444"/>
    <mergeCell ref="B370:B374"/>
    <mergeCell ref="B527:B531"/>
    <mergeCell ref="B590:B683"/>
    <mergeCell ref="B757:B760"/>
    <mergeCell ref="F856:F857"/>
    <mergeCell ref="G856:G857"/>
    <mergeCell ref="B10:B119"/>
    <mergeCell ref="B282:B305"/>
    <mergeCell ref="B120:B281"/>
    <mergeCell ref="B824:B826"/>
    <mergeCell ref="B306:B30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AC4F0-4892-4AD6-92DB-AEDBD08465FC}">
  <dimension ref="A1:GC461"/>
  <sheetViews>
    <sheetView topLeftCell="FG1" zoomScale="80" zoomScaleNormal="80" workbookViewId="0">
      <pane ySplit="5" topLeftCell="A11" activePane="bottomLeft" state="frozen"/>
      <selection activeCell="T1" sqref="T1"/>
      <selection pane="bottomLeft" activeCell="FZ6" sqref="FZ6:FZ19"/>
    </sheetView>
  </sheetViews>
  <sheetFormatPr baseColWidth="10" defaultRowHeight="15" x14ac:dyDescent="0.25"/>
  <cols>
    <col min="1" max="1" width="14.5703125" style="107" bestFit="1" customWidth="1"/>
    <col min="2" max="2" width="18.140625" style="107" bestFit="1" customWidth="1"/>
    <col min="3" max="9" width="5.7109375" style="107" customWidth="1"/>
    <col min="10" max="10" width="20" style="107" customWidth="1"/>
    <col min="11" max="11" width="18.5703125" style="107" customWidth="1"/>
    <col min="12" max="12" width="18.7109375" style="107" customWidth="1"/>
    <col min="13" max="13" width="14.42578125" style="107" customWidth="1"/>
    <col min="14" max="16" width="5.28515625" style="107" customWidth="1"/>
    <col min="17" max="20" width="20.85546875" style="107" customWidth="1"/>
    <col min="21" max="41" width="6.7109375" style="107" customWidth="1"/>
    <col min="42" max="42" width="5.28515625" style="107" customWidth="1"/>
    <col min="43" max="43" width="16.7109375" style="107" customWidth="1"/>
    <col min="44" max="44" width="21.140625" style="107" bestFit="1" customWidth="1"/>
    <col min="45" max="45" width="14.28515625" style="107" customWidth="1"/>
    <col min="46" max="46" width="17.85546875" style="107" bestFit="1" customWidth="1"/>
    <col min="47" max="48" width="15.28515625" style="107" customWidth="1"/>
    <col min="49" max="51" width="6.7109375" style="107" customWidth="1"/>
    <col min="52" max="53" width="8.7109375" style="107" customWidth="1"/>
    <col min="54" max="56" width="6.7109375" style="107" customWidth="1"/>
    <col min="57" max="57" width="13.28515625" style="107" customWidth="1"/>
    <col min="58" max="65" width="6.7109375" style="107" customWidth="1"/>
    <col min="66" max="67" width="11.140625" style="107" bestFit="1" customWidth="1"/>
    <col min="68" max="68" width="15.28515625" style="107" bestFit="1" customWidth="1"/>
    <col min="69" max="78" width="6.7109375" style="107" customWidth="1"/>
    <col min="79" max="79" width="15.42578125" style="107" customWidth="1"/>
    <col min="80" max="80" width="11.140625" style="107" customWidth="1"/>
    <col min="81" max="83" width="18.5703125" style="107" customWidth="1"/>
    <col min="84" max="84" width="15.7109375" style="107" customWidth="1"/>
    <col min="85" max="85" width="11.7109375" style="107" customWidth="1"/>
    <col min="86" max="86" width="15.7109375" style="107" customWidth="1"/>
    <col min="87" max="87" width="18.5703125" style="107" customWidth="1"/>
    <col min="88" max="88" width="15.7109375" style="107" customWidth="1"/>
    <col min="89" max="89" width="11.7109375" style="107" customWidth="1"/>
    <col min="90" max="93" width="11.140625" style="107" customWidth="1"/>
    <col min="94" max="94" width="14.7109375" style="107" customWidth="1"/>
    <col min="95" max="97" width="6.7109375" style="107" customWidth="1"/>
    <col min="98" max="98" width="19.140625" style="107" bestFit="1" customWidth="1"/>
    <col min="99" max="102" width="6.7109375" style="107" customWidth="1"/>
    <col min="103" max="103" width="11.140625" style="107" customWidth="1"/>
    <col min="104" max="104" width="12.28515625" style="107" bestFit="1" customWidth="1"/>
    <col min="105" max="106" width="11.140625" style="107" customWidth="1"/>
    <col min="107" max="112" width="6.7109375" style="107" customWidth="1"/>
    <col min="113" max="113" width="22.5703125" style="107" customWidth="1"/>
    <col min="114" max="122" width="11.28515625" style="107" customWidth="1"/>
    <col min="123" max="125" width="6.7109375" style="107" customWidth="1"/>
    <col min="126" max="131" width="11.28515625" style="107" customWidth="1"/>
    <col min="132" max="132" width="13.42578125" style="107" customWidth="1"/>
    <col min="133" max="133" width="11" style="107" customWidth="1"/>
    <col min="134" max="136" width="8.7109375" style="107" customWidth="1"/>
    <col min="137" max="137" width="15.85546875" style="107" bestFit="1" customWidth="1"/>
    <col min="138" max="138" width="14.140625" style="107" customWidth="1"/>
    <col min="139" max="139" width="12.42578125" style="107" customWidth="1"/>
    <col min="140" max="140" width="12.28515625" style="107" customWidth="1"/>
    <col min="141" max="141" width="11.28515625" style="107" customWidth="1"/>
    <col min="142" max="142" width="13" style="107" customWidth="1"/>
    <col min="143" max="143" width="8.85546875" style="107" bestFit="1" customWidth="1"/>
    <col min="144" max="144" width="9.5703125" style="107" bestFit="1" customWidth="1"/>
    <col min="145" max="145" width="6.7109375" style="107" bestFit="1" customWidth="1"/>
    <col min="146" max="146" width="8.140625" style="107" bestFit="1" customWidth="1"/>
    <col min="147" max="147" width="10.28515625" style="107" bestFit="1" customWidth="1"/>
    <col min="148" max="149" width="11.5703125" style="107" bestFit="1" customWidth="1"/>
    <col min="150" max="155" width="6.7109375" style="107" customWidth="1"/>
    <col min="156" max="156" width="21" style="107" bestFit="1" customWidth="1"/>
    <col min="157" max="158" width="11.140625" style="107" customWidth="1"/>
    <col min="159" max="159" width="8.85546875" style="107" bestFit="1" customWidth="1"/>
    <col min="160" max="160" width="12" style="107" customWidth="1"/>
    <col min="161" max="161" width="11.7109375" style="107" customWidth="1"/>
    <col min="162" max="162" width="15.28515625" style="107" customWidth="1"/>
    <col min="163" max="163" width="6.7109375" style="107" bestFit="1" customWidth="1"/>
    <col min="164" max="164" width="16.140625" style="107" customWidth="1"/>
    <col min="165" max="170" width="6.7109375" style="107" customWidth="1"/>
    <col min="171" max="171" width="8.85546875" style="107" bestFit="1" customWidth="1"/>
    <col min="172" max="172" width="13.140625" style="107" customWidth="1"/>
    <col min="173" max="173" width="14.140625" style="107" customWidth="1"/>
    <col min="174" max="174" width="5" style="107" bestFit="1" customWidth="1"/>
    <col min="175" max="175" width="7.140625" style="107" bestFit="1" customWidth="1"/>
    <col min="176" max="176" width="9.7109375" style="107" customWidth="1"/>
    <col min="177" max="177" width="12.5703125" style="107" customWidth="1"/>
    <col min="178" max="178" width="11.28515625" style="107" customWidth="1"/>
    <col min="179" max="180" width="6.7109375" style="107" customWidth="1"/>
    <col min="181" max="181" width="5.28515625" style="107" customWidth="1"/>
    <col min="182" max="182" width="61.5703125" style="268" bestFit="1" customWidth="1"/>
    <col min="183" max="183" width="198" style="268" bestFit="1" customWidth="1"/>
    <col min="184" max="184" width="120.5703125" style="268" bestFit="1" customWidth="1"/>
    <col min="185" max="185" width="87" style="268" customWidth="1"/>
    <col min="186" max="16384" width="11.42578125" style="107"/>
  </cols>
  <sheetData>
    <row r="1" spans="1:185" s="12" customFormat="1" ht="17.25" customHeight="1" x14ac:dyDescent="0.25">
      <c r="A1" s="531" t="s">
        <v>759</v>
      </c>
      <c r="B1" s="524"/>
      <c r="C1" s="524"/>
      <c r="D1" s="524"/>
      <c r="E1" s="524"/>
      <c r="F1" s="524"/>
      <c r="G1" s="524"/>
      <c r="H1" s="524"/>
      <c r="I1" s="516"/>
      <c r="J1" s="515" t="s">
        <v>760</v>
      </c>
      <c r="K1" s="524"/>
      <c r="L1" s="524"/>
      <c r="M1" s="524"/>
      <c r="N1" s="524"/>
      <c r="O1" s="524"/>
      <c r="P1" s="524"/>
      <c r="Q1" s="524"/>
      <c r="R1" s="524"/>
      <c r="S1" s="524"/>
      <c r="T1" s="524"/>
      <c r="U1" s="524"/>
      <c r="V1" s="524"/>
      <c r="W1" s="524"/>
      <c r="X1" s="524"/>
      <c r="Y1" s="524"/>
      <c r="Z1" s="524"/>
      <c r="AA1" s="524"/>
      <c r="AB1" s="524"/>
      <c r="AC1" s="524"/>
      <c r="AD1" s="524"/>
      <c r="AE1" s="524"/>
      <c r="AF1" s="524"/>
      <c r="AG1" s="524"/>
      <c r="AH1" s="524"/>
      <c r="AI1" s="524"/>
      <c r="AJ1" s="524"/>
      <c r="AK1" s="524"/>
      <c r="AL1" s="524"/>
      <c r="AM1" s="524"/>
      <c r="AN1" s="524"/>
      <c r="AO1" s="524"/>
      <c r="AP1" s="550"/>
      <c r="AQ1" s="528" t="s">
        <v>758</v>
      </c>
      <c r="AR1" s="518"/>
      <c r="AS1" s="518"/>
      <c r="AT1" s="518"/>
      <c r="AU1" s="518"/>
      <c r="AV1" s="518"/>
      <c r="AW1" s="518"/>
      <c r="AX1" s="518"/>
      <c r="AY1" s="518"/>
      <c r="AZ1" s="518"/>
      <c r="BA1" s="518"/>
      <c r="BB1" s="518"/>
      <c r="BC1" s="518"/>
      <c r="BD1" s="518"/>
      <c r="BE1" s="518"/>
      <c r="BF1" s="518"/>
      <c r="BG1" s="518"/>
      <c r="BH1" s="518"/>
      <c r="BI1" s="518"/>
      <c r="BJ1" s="518"/>
      <c r="BK1" s="518"/>
      <c r="BL1" s="518"/>
      <c r="BM1" s="518"/>
      <c r="BN1" s="518"/>
      <c r="BO1" s="518"/>
      <c r="BP1" s="518"/>
      <c r="BQ1" s="518"/>
      <c r="BR1" s="518"/>
      <c r="BS1" s="518"/>
      <c r="BT1" s="518"/>
      <c r="BU1" s="518"/>
      <c r="BV1" s="518"/>
      <c r="BW1" s="518"/>
      <c r="BX1" s="518"/>
      <c r="BY1" s="518"/>
      <c r="BZ1" s="518"/>
      <c r="CA1" s="518"/>
      <c r="CB1" s="518"/>
      <c r="CC1" s="518"/>
      <c r="CD1" s="518"/>
      <c r="CE1" s="518"/>
      <c r="CF1" s="518"/>
      <c r="CG1" s="518"/>
      <c r="CH1" s="518"/>
      <c r="CI1" s="518"/>
      <c r="CJ1" s="518"/>
      <c r="CK1" s="518"/>
      <c r="CL1" s="518"/>
      <c r="CM1" s="518"/>
      <c r="CN1" s="518"/>
      <c r="CO1" s="518"/>
      <c r="CP1" s="518"/>
      <c r="CQ1" s="518"/>
      <c r="CR1" s="518"/>
      <c r="CS1" s="518"/>
      <c r="CT1" s="518"/>
      <c r="CU1" s="518"/>
      <c r="CV1" s="518"/>
      <c r="CW1" s="518"/>
      <c r="CX1" s="518"/>
      <c r="CY1" s="518"/>
      <c r="CZ1" s="518"/>
      <c r="DA1" s="518"/>
      <c r="DB1" s="518"/>
      <c r="DC1" s="518"/>
      <c r="DD1" s="518"/>
      <c r="DE1" s="518"/>
      <c r="DF1" s="518"/>
      <c r="DG1" s="518"/>
      <c r="DH1" s="518"/>
      <c r="DI1" s="518"/>
      <c r="DJ1" s="518"/>
      <c r="DK1" s="518"/>
      <c r="DL1" s="518"/>
      <c r="DM1" s="518"/>
      <c r="DN1" s="518"/>
      <c r="DO1" s="518"/>
      <c r="DP1" s="518"/>
      <c r="DQ1" s="518"/>
      <c r="DR1" s="518"/>
      <c r="DS1" s="518"/>
      <c r="DT1" s="518"/>
      <c r="DU1" s="518"/>
      <c r="DV1" s="518"/>
      <c r="DW1" s="518"/>
      <c r="DX1" s="518"/>
      <c r="DY1" s="518"/>
      <c r="DZ1" s="518"/>
      <c r="EA1" s="518"/>
      <c r="EB1" s="518"/>
      <c r="EC1" s="545"/>
      <c r="ED1" s="528" t="s">
        <v>761</v>
      </c>
      <c r="EE1" s="518"/>
      <c r="EF1" s="518"/>
      <c r="EG1" s="518"/>
      <c r="EH1" s="518"/>
      <c r="EI1" s="518"/>
      <c r="EJ1" s="518"/>
      <c r="EK1" s="518"/>
      <c r="EL1" s="518"/>
      <c r="EM1" s="518"/>
      <c r="EN1" s="518"/>
      <c r="EO1" s="518"/>
      <c r="EP1" s="518"/>
      <c r="EQ1" s="518"/>
      <c r="ER1" s="518"/>
      <c r="ES1" s="518"/>
      <c r="ET1" s="518"/>
      <c r="EU1" s="518"/>
      <c r="EV1" s="518"/>
      <c r="EW1" s="518"/>
      <c r="EX1" s="518"/>
      <c r="EY1" s="518"/>
      <c r="EZ1" s="518"/>
      <c r="FA1" s="518"/>
      <c r="FB1" s="518"/>
      <c r="FC1" s="518"/>
      <c r="FD1" s="518"/>
      <c r="FE1" s="518"/>
      <c r="FF1" s="518"/>
      <c r="FG1" s="518"/>
      <c r="FH1" s="518"/>
      <c r="FI1" s="518"/>
      <c r="FJ1" s="518"/>
      <c r="FK1" s="518"/>
      <c r="FL1" s="518"/>
      <c r="FM1" s="518"/>
      <c r="FN1" s="518"/>
      <c r="FO1" s="518"/>
      <c r="FP1" s="518"/>
      <c r="FQ1" s="518"/>
      <c r="FR1" s="518"/>
      <c r="FS1" s="518"/>
      <c r="FT1" s="518"/>
      <c r="FU1" s="518"/>
      <c r="FV1" s="518"/>
      <c r="FW1" s="532"/>
      <c r="FX1" s="539"/>
      <c r="FY1" s="363"/>
      <c r="FZ1" s="263"/>
      <c r="GA1" s="263"/>
      <c r="GB1" s="264"/>
      <c r="GC1" s="264"/>
    </row>
    <row r="2" spans="1:185" s="12" customFormat="1" ht="17.25" customHeight="1" x14ac:dyDescent="0.25">
      <c r="A2" s="531"/>
      <c r="B2" s="524"/>
      <c r="C2" s="524"/>
      <c r="D2" s="524"/>
      <c r="E2" s="524"/>
      <c r="F2" s="524"/>
      <c r="G2" s="524"/>
      <c r="H2" s="524"/>
      <c r="I2" s="516"/>
      <c r="J2" s="373"/>
      <c r="K2" s="374"/>
      <c r="L2" s="374"/>
      <c r="M2" s="374"/>
      <c r="N2" s="532"/>
      <c r="O2" s="532"/>
      <c r="P2" s="532"/>
      <c r="Q2" s="374"/>
      <c r="R2" s="374"/>
      <c r="S2" s="374"/>
      <c r="T2" s="374"/>
      <c r="U2" s="374"/>
      <c r="V2" s="374"/>
      <c r="W2" s="374"/>
      <c r="X2" s="382"/>
      <c r="Y2" s="382"/>
      <c r="Z2" s="382"/>
      <c r="AA2" s="382"/>
      <c r="AB2" s="382"/>
      <c r="AC2" s="382"/>
      <c r="AD2" s="382"/>
      <c r="AE2" s="382"/>
      <c r="AF2" s="382"/>
      <c r="AG2" s="382"/>
      <c r="AH2" s="382"/>
      <c r="AI2" s="382"/>
      <c r="AJ2" s="382"/>
      <c r="AK2" s="382"/>
      <c r="AL2" s="382"/>
      <c r="AM2" s="382"/>
      <c r="AN2" s="382"/>
      <c r="AO2" s="382"/>
      <c r="AP2" s="384"/>
      <c r="AQ2" s="551" t="s">
        <v>725</v>
      </c>
      <c r="AR2" s="552"/>
      <c r="AS2" s="552"/>
      <c r="AT2" s="552"/>
      <c r="AU2" s="552"/>
      <c r="AV2" s="552"/>
      <c r="AW2" s="552"/>
      <c r="AX2" s="552"/>
      <c r="AY2" s="552"/>
      <c r="AZ2" s="552"/>
      <c r="BA2" s="552"/>
      <c r="BB2" s="552"/>
      <c r="BC2" s="552"/>
      <c r="BD2" s="552"/>
      <c r="BE2" s="552"/>
      <c r="BF2" s="552"/>
      <c r="BG2" s="552"/>
      <c r="BH2" s="552"/>
      <c r="BI2" s="552"/>
      <c r="BJ2" s="552"/>
      <c r="BK2" s="552"/>
      <c r="BL2" s="552"/>
      <c r="BM2" s="552"/>
      <c r="BN2" s="552"/>
      <c r="BO2" s="552"/>
      <c r="BP2" s="552"/>
      <c r="BQ2" s="552"/>
      <c r="BR2" s="552"/>
      <c r="BS2" s="552"/>
      <c r="BT2" s="552"/>
      <c r="BU2" s="552"/>
      <c r="BV2" s="552"/>
      <c r="BW2" s="552"/>
      <c r="BX2" s="552"/>
      <c r="BY2" s="552"/>
      <c r="BZ2" s="552"/>
      <c r="CA2" s="552"/>
      <c r="CB2" s="552"/>
      <c r="CC2" s="552"/>
      <c r="CD2" s="552"/>
      <c r="CE2" s="552"/>
      <c r="CF2" s="552"/>
      <c r="CG2" s="552"/>
      <c r="CH2" s="552"/>
      <c r="CI2" s="552"/>
      <c r="CJ2" s="552"/>
      <c r="CK2" s="552"/>
      <c r="CL2" s="552"/>
      <c r="CM2" s="552"/>
      <c r="CN2" s="552"/>
      <c r="CO2" s="552"/>
      <c r="CP2" s="552"/>
      <c r="CQ2" s="557" t="s">
        <v>726</v>
      </c>
      <c r="CR2" s="558"/>
      <c r="CS2" s="558"/>
      <c r="CT2" s="558"/>
      <c r="CU2" s="558"/>
      <c r="CV2" s="558"/>
      <c r="CW2" s="558"/>
      <c r="CX2" s="558"/>
      <c r="CY2" s="558"/>
      <c r="CZ2" s="558"/>
      <c r="DA2" s="558"/>
      <c r="DB2" s="558"/>
      <c r="DC2" s="558"/>
      <c r="DD2" s="558"/>
      <c r="DE2" s="558"/>
      <c r="DF2" s="558"/>
      <c r="DG2" s="558"/>
      <c r="DH2" s="558"/>
      <c r="DI2" s="558"/>
      <c r="DJ2" s="558"/>
      <c r="DK2" s="559"/>
      <c r="DL2" s="554" t="s">
        <v>737</v>
      </c>
      <c r="DM2" s="555"/>
      <c r="DN2" s="555"/>
      <c r="DO2" s="555"/>
      <c r="DP2" s="555"/>
      <c r="DQ2" s="555"/>
      <c r="DR2" s="555"/>
      <c r="DS2" s="555"/>
      <c r="DT2" s="555"/>
      <c r="DU2" s="555"/>
      <c r="DV2" s="555"/>
      <c r="DW2" s="555"/>
      <c r="DX2" s="555"/>
      <c r="DY2" s="555"/>
      <c r="DZ2" s="555"/>
      <c r="EA2" s="555"/>
      <c r="EB2" s="555"/>
      <c r="EC2" s="556"/>
      <c r="ED2" s="528" t="s">
        <v>762</v>
      </c>
      <c r="EE2" s="518"/>
      <c r="EF2" s="518"/>
      <c r="EG2" s="518"/>
      <c r="EH2" s="518"/>
      <c r="EI2" s="517" t="s">
        <v>769</v>
      </c>
      <c r="EJ2" s="518"/>
      <c r="EK2" s="518"/>
      <c r="EL2" s="518"/>
      <c r="EM2" s="518"/>
      <c r="EN2" s="518"/>
      <c r="EO2" s="518"/>
      <c r="EP2" s="518"/>
      <c r="EQ2" s="518"/>
      <c r="ER2" s="518"/>
      <c r="ES2" s="518"/>
      <c r="ET2" s="518"/>
      <c r="EU2" s="518"/>
      <c r="EV2" s="518"/>
      <c r="EW2" s="518"/>
      <c r="EX2" s="518"/>
      <c r="EY2" s="518"/>
      <c r="EZ2" s="518"/>
      <c r="FA2" s="518"/>
      <c r="FB2" s="518"/>
      <c r="FC2" s="518"/>
      <c r="FD2" s="518"/>
      <c r="FE2" s="518"/>
      <c r="FF2" s="518"/>
      <c r="FG2" s="518"/>
      <c r="FH2" s="518"/>
      <c r="FI2" s="518"/>
      <c r="FJ2" s="518"/>
      <c r="FK2" s="518"/>
      <c r="FL2" s="518"/>
      <c r="FM2" s="518"/>
      <c r="FN2" s="518"/>
      <c r="FO2" s="517" t="s">
        <v>737</v>
      </c>
      <c r="FP2" s="518"/>
      <c r="FQ2" s="518"/>
      <c r="FR2" s="518"/>
      <c r="FS2" s="518"/>
      <c r="FT2" s="518"/>
      <c r="FU2" s="518"/>
      <c r="FV2" s="518"/>
      <c r="FW2" s="371"/>
      <c r="FX2" s="352"/>
      <c r="FY2" s="377"/>
      <c r="FZ2" s="263"/>
      <c r="GA2" s="263"/>
      <c r="GB2" s="264"/>
      <c r="GC2" s="264"/>
    </row>
    <row r="3" spans="1:185" s="12" customFormat="1" x14ac:dyDescent="0.25">
      <c r="A3" s="531" t="s">
        <v>658</v>
      </c>
      <c r="B3" s="524"/>
      <c r="C3" s="524"/>
      <c r="D3" s="524"/>
      <c r="E3" s="524"/>
      <c r="F3" s="524"/>
      <c r="G3" s="524"/>
      <c r="H3" s="524"/>
      <c r="I3" s="516"/>
      <c r="J3" s="378"/>
      <c r="K3" s="381"/>
      <c r="L3" s="381"/>
      <c r="M3" s="381"/>
      <c r="N3" s="380"/>
      <c r="O3" s="380"/>
      <c r="P3" s="380"/>
      <c r="Q3" s="381"/>
      <c r="R3" s="381"/>
      <c r="S3" s="381"/>
      <c r="T3" s="381"/>
      <c r="U3" s="381"/>
      <c r="V3" s="381"/>
      <c r="W3" s="381"/>
      <c r="X3" s="383"/>
      <c r="Y3" s="383"/>
      <c r="Z3" s="383"/>
      <c r="AA3" s="383"/>
      <c r="AB3" s="383"/>
      <c r="AC3" s="383"/>
      <c r="AD3" s="383"/>
      <c r="AE3" s="383"/>
      <c r="AF3" s="383"/>
      <c r="AG3" s="383"/>
      <c r="AH3" s="383"/>
      <c r="AI3" s="383"/>
      <c r="AJ3" s="383"/>
      <c r="AK3" s="383"/>
      <c r="AL3" s="383"/>
      <c r="AM3" s="383"/>
      <c r="AN3" s="383"/>
      <c r="AO3" s="383"/>
      <c r="AP3" s="385"/>
      <c r="AQ3" s="528" t="s">
        <v>124</v>
      </c>
      <c r="AR3" s="518"/>
      <c r="AS3" s="518"/>
      <c r="AT3" s="518"/>
      <c r="AU3" s="518"/>
      <c r="AV3" s="518"/>
      <c r="AW3" s="518"/>
      <c r="AX3" s="518"/>
      <c r="AY3" s="518"/>
      <c r="AZ3" s="518"/>
      <c r="BA3" s="518"/>
      <c r="BB3" s="518"/>
      <c r="BC3" s="518"/>
      <c r="BD3" s="518"/>
      <c r="BE3" s="518"/>
      <c r="BF3" s="518"/>
      <c r="BG3" s="518"/>
      <c r="BH3" s="518"/>
      <c r="BI3" s="518"/>
      <c r="BJ3" s="518"/>
      <c r="BK3" s="518"/>
      <c r="BL3" s="518"/>
      <c r="BM3" s="518"/>
      <c r="BN3" s="517" t="s">
        <v>716</v>
      </c>
      <c r="BO3" s="518"/>
      <c r="BP3" s="518"/>
      <c r="BQ3" s="518"/>
      <c r="BR3" s="518"/>
      <c r="BS3" s="518"/>
      <c r="BT3" s="518"/>
      <c r="BU3" s="518"/>
      <c r="BV3" s="518"/>
      <c r="BW3" s="518"/>
      <c r="BX3" s="518"/>
      <c r="BY3" s="518"/>
      <c r="BZ3" s="518"/>
      <c r="CA3" s="518"/>
      <c r="CB3" s="518"/>
      <c r="CC3" s="565" t="s">
        <v>808</v>
      </c>
      <c r="CD3" s="566"/>
      <c r="CE3" s="566"/>
      <c r="CF3" s="566"/>
      <c r="CG3" s="566"/>
      <c r="CH3" s="567"/>
      <c r="CI3" s="517" t="s">
        <v>717</v>
      </c>
      <c r="CJ3" s="518"/>
      <c r="CK3" s="518"/>
      <c r="CL3" s="519"/>
      <c r="CM3" s="517" t="s">
        <v>721</v>
      </c>
      <c r="CN3" s="518"/>
      <c r="CO3" s="518"/>
      <c r="CP3" s="519"/>
      <c r="CQ3" s="517" t="s">
        <v>727</v>
      </c>
      <c r="CR3" s="518"/>
      <c r="CS3" s="518"/>
      <c r="CT3" s="518"/>
      <c r="CU3" s="518"/>
      <c r="CV3" s="518"/>
      <c r="CW3" s="518"/>
      <c r="CX3" s="518"/>
      <c r="CY3" s="518"/>
      <c r="CZ3" s="518"/>
      <c r="DA3" s="518"/>
      <c r="DB3" s="518"/>
      <c r="DC3" s="517" t="s">
        <v>728</v>
      </c>
      <c r="DD3" s="518"/>
      <c r="DE3" s="518"/>
      <c r="DF3" s="518"/>
      <c r="DG3" s="518"/>
      <c r="DH3" s="518"/>
      <c r="DI3" s="518"/>
      <c r="DJ3" s="518"/>
      <c r="DK3" s="519"/>
      <c r="DL3" s="527" t="s">
        <v>738</v>
      </c>
      <c r="DM3" s="527"/>
      <c r="DN3" s="527"/>
      <c r="DO3" s="527" t="s">
        <v>744</v>
      </c>
      <c r="DP3" s="527"/>
      <c r="DQ3" s="527"/>
      <c r="DR3" s="517" t="s">
        <v>746</v>
      </c>
      <c r="DS3" s="518"/>
      <c r="DT3" s="518"/>
      <c r="DU3" s="518"/>
      <c r="DV3" s="518"/>
      <c r="DW3" s="518"/>
      <c r="DX3" s="518"/>
      <c r="DY3" s="517" t="s">
        <v>755</v>
      </c>
      <c r="DZ3" s="518"/>
      <c r="EA3" s="518"/>
      <c r="EB3" s="518"/>
      <c r="EC3" s="545"/>
      <c r="ED3" s="528" t="s">
        <v>763</v>
      </c>
      <c r="EE3" s="518"/>
      <c r="EF3" s="518"/>
      <c r="EG3" s="518"/>
      <c r="EH3" s="518"/>
      <c r="EI3" s="517" t="s">
        <v>768</v>
      </c>
      <c r="EJ3" s="518"/>
      <c r="EK3" s="518"/>
      <c r="EL3" s="519"/>
      <c r="EM3" s="517" t="s">
        <v>772</v>
      </c>
      <c r="EN3" s="518"/>
      <c r="EO3" s="518"/>
      <c r="EP3" s="519"/>
      <c r="EQ3" s="517" t="s">
        <v>774</v>
      </c>
      <c r="ER3" s="518"/>
      <c r="ES3" s="518"/>
      <c r="ET3" s="518"/>
      <c r="EU3" s="518"/>
      <c r="EV3" s="518"/>
      <c r="EW3" s="518"/>
      <c r="EX3" s="518"/>
      <c r="EY3" s="518"/>
      <c r="EZ3" s="517" t="s">
        <v>263</v>
      </c>
      <c r="FA3" s="518"/>
      <c r="FB3" s="519"/>
      <c r="FC3" s="517" t="s">
        <v>776</v>
      </c>
      <c r="FD3" s="518"/>
      <c r="FE3" s="518"/>
      <c r="FF3" s="518"/>
      <c r="FG3" s="518"/>
      <c r="FH3" s="518"/>
      <c r="FI3" s="518"/>
      <c r="FJ3" s="518"/>
      <c r="FK3" s="518"/>
      <c r="FL3" s="518"/>
      <c r="FM3" s="518"/>
      <c r="FN3" s="518"/>
      <c r="FO3" s="527" t="s">
        <v>782</v>
      </c>
      <c r="FP3" s="527"/>
      <c r="FQ3" s="527"/>
      <c r="FR3" s="527"/>
      <c r="FS3" s="527" t="s">
        <v>721</v>
      </c>
      <c r="FT3" s="527"/>
      <c r="FU3" s="527"/>
      <c r="FV3" s="527"/>
      <c r="FW3" s="528" t="s">
        <v>667</v>
      </c>
      <c r="FX3" s="519"/>
      <c r="FY3" s="537" t="s">
        <v>558</v>
      </c>
      <c r="FZ3" s="263"/>
      <c r="GA3" s="263"/>
      <c r="GB3" s="264"/>
      <c r="GC3" s="264"/>
    </row>
    <row r="4" spans="1:185" s="12" customFormat="1" ht="26.25" customHeight="1" x14ac:dyDescent="0.25">
      <c r="A4" s="563" t="s">
        <v>9</v>
      </c>
      <c r="B4" s="561" t="s">
        <v>659</v>
      </c>
      <c r="C4" s="533" t="s">
        <v>677</v>
      </c>
      <c r="D4" s="534"/>
      <c r="E4" s="534"/>
      <c r="F4" s="535"/>
      <c r="G4" s="548" t="s">
        <v>554</v>
      </c>
      <c r="H4" s="548"/>
      <c r="I4" s="548"/>
      <c r="J4" s="548" t="s">
        <v>180</v>
      </c>
      <c r="K4" s="548" t="s">
        <v>181</v>
      </c>
      <c r="L4" s="548" t="s">
        <v>203</v>
      </c>
      <c r="M4" s="548" t="s">
        <v>9</v>
      </c>
      <c r="N4" s="527" t="s">
        <v>70</v>
      </c>
      <c r="O4" s="527"/>
      <c r="P4" s="527"/>
      <c r="Q4" s="379"/>
      <c r="R4" s="379"/>
      <c r="S4" s="379"/>
      <c r="T4" s="379"/>
      <c r="U4" s="533" t="s">
        <v>259</v>
      </c>
      <c r="V4" s="534"/>
      <c r="W4" s="535"/>
      <c r="X4" s="526" t="s">
        <v>660</v>
      </c>
      <c r="Y4" s="553"/>
      <c r="Z4" s="536"/>
      <c r="AA4" s="526" t="s">
        <v>661</v>
      </c>
      <c r="AB4" s="536"/>
      <c r="AC4" s="526" t="s">
        <v>662</v>
      </c>
      <c r="AD4" s="553"/>
      <c r="AE4" s="536"/>
      <c r="AF4" s="526" t="s">
        <v>663</v>
      </c>
      <c r="AG4" s="536"/>
      <c r="AH4" s="526" t="s">
        <v>664</v>
      </c>
      <c r="AI4" s="536"/>
      <c r="AJ4" s="526" t="s">
        <v>665</v>
      </c>
      <c r="AK4" s="536"/>
      <c r="AL4" s="526" t="s">
        <v>666</v>
      </c>
      <c r="AM4" s="536"/>
      <c r="AN4" s="526" t="s">
        <v>667</v>
      </c>
      <c r="AO4" s="536"/>
      <c r="AP4" s="537" t="s">
        <v>558</v>
      </c>
      <c r="AQ4" s="529" t="s">
        <v>9</v>
      </c>
      <c r="AR4" s="527" t="s">
        <v>75</v>
      </c>
      <c r="AS4" s="527" t="s">
        <v>516</v>
      </c>
      <c r="AT4" s="548" t="s">
        <v>180</v>
      </c>
      <c r="AU4" s="527" t="s">
        <v>181</v>
      </c>
      <c r="AV4" s="513" t="s">
        <v>203</v>
      </c>
      <c r="AW4" s="542" t="s">
        <v>680</v>
      </c>
      <c r="AX4" s="543"/>
      <c r="AY4" s="541" t="s">
        <v>258</v>
      </c>
      <c r="AZ4" s="517" t="s">
        <v>257</v>
      </c>
      <c r="BA4" s="518"/>
      <c r="BB4" s="518"/>
      <c r="BC4" s="518"/>
      <c r="BD4" s="519"/>
      <c r="BE4" s="549" t="s">
        <v>688</v>
      </c>
      <c r="BF4" s="522" t="s">
        <v>689</v>
      </c>
      <c r="BG4" s="523"/>
      <c r="BH4" s="523"/>
      <c r="BI4" s="523"/>
      <c r="BJ4" s="544"/>
      <c r="BK4" s="522" t="s">
        <v>259</v>
      </c>
      <c r="BL4" s="523"/>
      <c r="BM4" s="523"/>
      <c r="BN4" s="527" t="s">
        <v>73</v>
      </c>
      <c r="BO4" s="548" t="s">
        <v>182</v>
      </c>
      <c r="BP4" s="548" t="s">
        <v>253</v>
      </c>
      <c r="BQ4" s="515" t="s">
        <v>704</v>
      </c>
      <c r="BR4" s="516"/>
      <c r="BS4" s="515" t="s">
        <v>254</v>
      </c>
      <c r="BT4" s="516"/>
      <c r="BU4" s="515" t="s">
        <v>255</v>
      </c>
      <c r="BV4" s="516"/>
      <c r="BW4" s="515" t="s">
        <v>707</v>
      </c>
      <c r="BX4" s="524"/>
      <c r="BY4" s="524"/>
      <c r="BZ4" s="516"/>
      <c r="CA4" s="525" t="s">
        <v>714</v>
      </c>
      <c r="CB4" s="539" t="s">
        <v>715</v>
      </c>
      <c r="CC4" s="568" t="s">
        <v>9</v>
      </c>
      <c r="CD4" s="568" t="s">
        <v>180</v>
      </c>
      <c r="CE4" s="568" t="s">
        <v>809</v>
      </c>
      <c r="CF4" s="568" t="s">
        <v>778</v>
      </c>
      <c r="CG4" s="568" t="s">
        <v>73</v>
      </c>
      <c r="CH4" s="568" t="s">
        <v>810</v>
      </c>
      <c r="CI4" s="513" t="s">
        <v>718</v>
      </c>
      <c r="CJ4" s="513" t="s">
        <v>719</v>
      </c>
      <c r="CK4" s="513" t="s">
        <v>720</v>
      </c>
      <c r="CL4" s="513" t="s">
        <v>182</v>
      </c>
      <c r="CM4" s="513" t="s">
        <v>391</v>
      </c>
      <c r="CN4" s="513" t="s">
        <v>722</v>
      </c>
      <c r="CO4" s="513" t="s">
        <v>723</v>
      </c>
      <c r="CP4" s="513" t="s">
        <v>724</v>
      </c>
      <c r="CQ4" s="542" t="s">
        <v>445</v>
      </c>
      <c r="CR4" s="560"/>
      <c r="CS4" s="543"/>
      <c r="CT4" s="513" t="s">
        <v>551</v>
      </c>
      <c r="CU4" s="515" t="s">
        <v>660</v>
      </c>
      <c r="CV4" s="524"/>
      <c r="CW4" s="524"/>
      <c r="CX4" s="516"/>
      <c r="CY4" s="513" t="s">
        <v>729</v>
      </c>
      <c r="CZ4" s="513" t="s">
        <v>732</v>
      </c>
      <c r="DA4" s="513" t="s">
        <v>733</v>
      </c>
      <c r="DB4" s="513" t="s">
        <v>79</v>
      </c>
      <c r="DC4" s="515" t="s">
        <v>704</v>
      </c>
      <c r="DD4" s="516"/>
      <c r="DE4" s="515" t="s">
        <v>254</v>
      </c>
      <c r="DF4" s="516"/>
      <c r="DG4" s="515" t="s">
        <v>255</v>
      </c>
      <c r="DH4" s="516"/>
      <c r="DI4" s="513" t="s">
        <v>734</v>
      </c>
      <c r="DJ4" s="513" t="s">
        <v>735</v>
      </c>
      <c r="DK4" s="513" t="s">
        <v>736</v>
      </c>
      <c r="DL4" s="513" t="s">
        <v>739</v>
      </c>
      <c r="DM4" s="513" t="s">
        <v>740</v>
      </c>
      <c r="DN4" s="513" t="s">
        <v>742</v>
      </c>
      <c r="DO4" s="513" t="s">
        <v>745</v>
      </c>
      <c r="DP4" s="513" t="s">
        <v>741</v>
      </c>
      <c r="DQ4" s="513" t="s">
        <v>743</v>
      </c>
      <c r="DR4" s="513" t="s">
        <v>747</v>
      </c>
      <c r="DS4" s="517" t="s">
        <v>748</v>
      </c>
      <c r="DT4" s="518"/>
      <c r="DU4" s="519"/>
      <c r="DV4" s="513" t="s">
        <v>752</v>
      </c>
      <c r="DW4" s="513" t="s">
        <v>753</v>
      </c>
      <c r="DX4" s="513" t="s">
        <v>754</v>
      </c>
      <c r="DY4" s="513" t="s">
        <v>756</v>
      </c>
      <c r="DZ4" s="513" t="s">
        <v>87</v>
      </c>
      <c r="EA4" s="513" t="s">
        <v>166</v>
      </c>
      <c r="EB4" s="513" t="s">
        <v>757</v>
      </c>
      <c r="EC4" s="546" t="s">
        <v>754</v>
      </c>
      <c r="ED4" s="529" t="s">
        <v>811</v>
      </c>
      <c r="EE4" s="527" t="s">
        <v>764</v>
      </c>
      <c r="EF4" s="527" t="s">
        <v>765</v>
      </c>
      <c r="EG4" s="527" t="s">
        <v>766</v>
      </c>
      <c r="EH4" s="527" t="s">
        <v>767</v>
      </c>
      <c r="EI4" s="513" t="s">
        <v>770</v>
      </c>
      <c r="EJ4" s="513" t="s">
        <v>9</v>
      </c>
      <c r="EK4" s="513" t="s">
        <v>771</v>
      </c>
      <c r="EL4" s="513" t="s">
        <v>723</v>
      </c>
      <c r="EM4" s="513" t="s">
        <v>180</v>
      </c>
      <c r="EN4" s="513" t="s">
        <v>773</v>
      </c>
      <c r="EO4" s="513" t="s">
        <v>75</v>
      </c>
      <c r="EP4" s="513" t="s">
        <v>182</v>
      </c>
      <c r="EQ4" s="513" t="s">
        <v>253</v>
      </c>
      <c r="ER4" s="513" t="s">
        <v>735</v>
      </c>
      <c r="ES4" s="513" t="s">
        <v>812</v>
      </c>
      <c r="ET4" s="515" t="s">
        <v>704</v>
      </c>
      <c r="EU4" s="516"/>
      <c r="EV4" s="515" t="s">
        <v>254</v>
      </c>
      <c r="EW4" s="516"/>
      <c r="EX4" s="515" t="s">
        <v>255</v>
      </c>
      <c r="EY4" s="516"/>
      <c r="EZ4" s="513" t="s">
        <v>263</v>
      </c>
      <c r="FA4" s="513" t="s">
        <v>775</v>
      </c>
      <c r="FB4" s="513" t="s">
        <v>264</v>
      </c>
      <c r="FC4" s="513" t="s">
        <v>180</v>
      </c>
      <c r="FD4" s="513" t="s">
        <v>777</v>
      </c>
      <c r="FE4" s="513" t="s">
        <v>778</v>
      </c>
      <c r="FF4" s="513" t="s">
        <v>779</v>
      </c>
      <c r="FG4" s="520" t="s">
        <v>780</v>
      </c>
      <c r="FH4" s="513" t="s">
        <v>781</v>
      </c>
      <c r="FI4" s="522" t="s">
        <v>259</v>
      </c>
      <c r="FJ4" s="523"/>
      <c r="FK4" s="523"/>
      <c r="FL4" s="517" t="s">
        <v>257</v>
      </c>
      <c r="FM4" s="518"/>
      <c r="FN4" s="519"/>
      <c r="FO4" s="513" t="s">
        <v>708</v>
      </c>
      <c r="FP4" s="513" t="s">
        <v>783</v>
      </c>
      <c r="FQ4" s="513" t="s">
        <v>784</v>
      </c>
      <c r="FR4" s="513" t="s">
        <v>9</v>
      </c>
      <c r="FS4" s="513" t="s">
        <v>785</v>
      </c>
      <c r="FT4" s="513" t="s">
        <v>786</v>
      </c>
      <c r="FU4" s="513" t="s">
        <v>723</v>
      </c>
      <c r="FV4" s="513" t="s">
        <v>787</v>
      </c>
      <c r="FW4" s="570" t="s">
        <v>668</v>
      </c>
      <c r="FX4" s="540" t="s">
        <v>355</v>
      </c>
      <c r="FY4" s="537"/>
      <c r="FZ4" s="263"/>
      <c r="GA4" s="263"/>
      <c r="GB4" s="264"/>
      <c r="GC4" s="264"/>
    </row>
    <row r="5" spans="1:185" s="12" customFormat="1" ht="78.75" customHeight="1" x14ac:dyDescent="0.25">
      <c r="A5" s="564"/>
      <c r="B5" s="562"/>
      <c r="C5" s="366" t="s">
        <v>539</v>
      </c>
      <c r="D5" s="366" t="s">
        <v>550</v>
      </c>
      <c r="E5" s="366" t="s">
        <v>551</v>
      </c>
      <c r="F5" s="364" t="s">
        <v>507</v>
      </c>
      <c r="G5" s="375" t="s">
        <v>456</v>
      </c>
      <c r="H5" s="375" t="s">
        <v>448</v>
      </c>
      <c r="I5" s="376" t="s">
        <v>335</v>
      </c>
      <c r="J5" s="548"/>
      <c r="K5" s="548"/>
      <c r="L5" s="548"/>
      <c r="M5" s="548"/>
      <c r="N5" s="372" t="s">
        <v>539</v>
      </c>
      <c r="O5" s="372" t="s">
        <v>550</v>
      </c>
      <c r="P5" s="372" t="s">
        <v>551</v>
      </c>
      <c r="Q5" s="365" t="s">
        <v>551</v>
      </c>
      <c r="R5" s="365" t="s">
        <v>73</v>
      </c>
      <c r="S5" s="365" t="s">
        <v>182</v>
      </c>
      <c r="T5" s="365" t="s">
        <v>75</v>
      </c>
      <c r="U5" s="389" t="s">
        <v>669</v>
      </c>
      <c r="V5" s="389" t="s">
        <v>670</v>
      </c>
      <c r="W5" s="370" t="s">
        <v>561</v>
      </c>
      <c r="X5" s="389" t="s">
        <v>671</v>
      </c>
      <c r="Y5" s="370" t="s">
        <v>672</v>
      </c>
      <c r="Z5" s="370" t="s">
        <v>561</v>
      </c>
      <c r="AA5" s="367" t="s">
        <v>673</v>
      </c>
      <c r="AB5" s="370" t="s">
        <v>561</v>
      </c>
      <c r="AC5" s="389" t="s">
        <v>674</v>
      </c>
      <c r="AD5" s="389" t="s">
        <v>676</v>
      </c>
      <c r="AE5" s="370" t="s">
        <v>561</v>
      </c>
      <c r="AF5" s="369" t="s">
        <v>674</v>
      </c>
      <c r="AG5" s="370" t="s">
        <v>561</v>
      </c>
      <c r="AH5" s="367" t="s">
        <v>673</v>
      </c>
      <c r="AI5" s="370" t="s">
        <v>561</v>
      </c>
      <c r="AJ5" s="389" t="s">
        <v>675</v>
      </c>
      <c r="AK5" s="370" t="s">
        <v>561</v>
      </c>
      <c r="AL5" s="369" t="s">
        <v>674</v>
      </c>
      <c r="AM5" s="388" t="s">
        <v>561</v>
      </c>
      <c r="AN5" s="370" t="s">
        <v>668</v>
      </c>
      <c r="AO5" s="370" t="s">
        <v>355</v>
      </c>
      <c r="AP5" s="538"/>
      <c r="AQ5" s="530"/>
      <c r="AR5" s="527"/>
      <c r="AS5" s="527"/>
      <c r="AT5" s="548"/>
      <c r="AU5" s="527"/>
      <c r="AV5" s="514"/>
      <c r="AW5" s="366" t="s">
        <v>681</v>
      </c>
      <c r="AX5" s="367" t="s">
        <v>682</v>
      </c>
      <c r="AY5" s="541"/>
      <c r="AZ5" s="394" t="s">
        <v>683</v>
      </c>
      <c r="BA5" s="394" t="s">
        <v>684</v>
      </c>
      <c r="BB5" s="367" t="s">
        <v>686</v>
      </c>
      <c r="BC5" s="367" t="s">
        <v>685</v>
      </c>
      <c r="BD5" s="367" t="s">
        <v>687</v>
      </c>
      <c r="BE5" s="549"/>
      <c r="BF5" s="367" t="s">
        <v>690</v>
      </c>
      <c r="BG5" s="367" t="s">
        <v>691</v>
      </c>
      <c r="BH5" s="367" t="s">
        <v>692</v>
      </c>
      <c r="BI5" s="367" t="s">
        <v>693</v>
      </c>
      <c r="BJ5" s="367" t="s">
        <v>561</v>
      </c>
      <c r="BK5" s="367" t="s">
        <v>669</v>
      </c>
      <c r="BL5" s="367" t="s">
        <v>670</v>
      </c>
      <c r="BM5" s="367" t="s">
        <v>695</v>
      </c>
      <c r="BN5" s="527"/>
      <c r="BO5" s="548"/>
      <c r="BP5" s="548"/>
      <c r="BQ5" s="370" t="s">
        <v>705</v>
      </c>
      <c r="BR5" s="369" t="s">
        <v>561</v>
      </c>
      <c r="BS5" s="370" t="s">
        <v>706</v>
      </c>
      <c r="BT5" s="369" t="s">
        <v>561</v>
      </c>
      <c r="BU5" s="370" t="s">
        <v>706</v>
      </c>
      <c r="BV5" s="369" t="s">
        <v>561</v>
      </c>
      <c r="BW5" s="369" t="s">
        <v>711</v>
      </c>
      <c r="BX5" s="369" t="s">
        <v>712</v>
      </c>
      <c r="BY5" s="370" t="s">
        <v>713</v>
      </c>
      <c r="BZ5" s="369" t="s">
        <v>561</v>
      </c>
      <c r="CA5" s="526"/>
      <c r="CB5" s="536"/>
      <c r="CC5" s="569"/>
      <c r="CD5" s="569"/>
      <c r="CE5" s="569"/>
      <c r="CF5" s="569"/>
      <c r="CG5" s="569"/>
      <c r="CH5" s="569"/>
      <c r="CI5" s="514"/>
      <c r="CJ5" s="514"/>
      <c r="CK5" s="514"/>
      <c r="CL5" s="514"/>
      <c r="CM5" s="514"/>
      <c r="CN5" s="514"/>
      <c r="CO5" s="514"/>
      <c r="CP5" s="514"/>
      <c r="CQ5" s="370" t="s">
        <v>539</v>
      </c>
      <c r="CR5" s="369" t="s">
        <v>550</v>
      </c>
      <c r="CS5" s="369" t="s">
        <v>551</v>
      </c>
      <c r="CT5" s="514"/>
      <c r="CU5" s="369" t="s">
        <v>671</v>
      </c>
      <c r="CV5" s="368" t="s">
        <v>730</v>
      </c>
      <c r="CW5" s="370" t="s">
        <v>731</v>
      </c>
      <c r="CX5" s="369" t="s">
        <v>561</v>
      </c>
      <c r="CY5" s="514"/>
      <c r="CZ5" s="514"/>
      <c r="DA5" s="514"/>
      <c r="DB5" s="514"/>
      <c r="DC5" s="370" t="s">
        <v>705</v>
      </c>
      <c r="DD5" s="369" t="s">
        <v>561</v>
      </c>
      <c r="DE5" s="370" t="s">
        <v>706</v>
      </c>
      <c r="DF5" s="369" t="s">
        <v>561</v>
      </c>
      <c r="DG5" s="370" t="s">
        <v>706</v>
      </c>
      <c r="DH5" s="369" t="s">
        <v>561</v>
      </c>
      <c r="DI5" s="514"/>
      <c r="DJ5" s="514"/>
      <c r="DK5" s="514"/>
      <c r="DL5" s="514"/>
      <c r="DM5" s="514"/>
      <c r="DN5" s="514"/>
      <c r="DO5" s="514"/>
      <c r="DP5" s="514"/>
      <c r="DQ5" s="514"/>
      <c r="DR5" s="514"/>
      <c r="DS5" s="370" t="s">
        <v>749</v>
      </c>
      <c r="DT5" s="369" t="s">
        <v>750</v>
      </c>
      <c r="DU5" s="370" t="s">
        <v>751</v>
      </c>
      <c r="DV5" s="514"/>
      <c r="DW5" s="514"/>
      <c r="DX5" s="514"/>
      <c r="DY5" s="514"/>
      <c r="DZ5" s="514"/>
      <c r="EA5" s="514"/>
      <c r="EB5" s="514"/>
      <c r="EC5" s="547"/>
      <c r="ED5" s="530"/>
      <c r="EE5" s="527"/>
      <c r="EF5" s="527"/>
      <c r="EG5" s="527"/>
      <c r="EH5" s="527"/>
      <c r="EI5" s="514"/>
      <c r="EJ5" s="514"/>
      <c r="EK5" s="514"/>
      <c r="EL5" s="514"/>
      <c r="EM5" s="514"/>
      <c r="EN5" s="514"/>
      <c r="EO5" s="514"/>
      <c r="EP5" s="514"/>
      <c r="EQ5" s="514"/>
      <c r="ER5" s="514"/>
      <c r="ES5" s="514"/>
      <c r="ET5" s="370" t="s">
        <v>705</v>
      </c>
      <c r="EU5" s="369" t="s">
        <v>561</v>
      </c>
      <c r="EV5" s="370" t="s">
        <v>706</v>
      </c>
      <c r="EW5" s="369" t="s">
        <v>561</v>
      </c>
      <c r="EX5" s="370" t="s">
        <v>706</v>
      </c>
      <c r="EY5" s="369" t="s">
        <v>561</v>
      </c>
      <c r="EZ5" s="514"/>
      <c r="FA5" s="514"/>
      <c r="FB5" s="514"/>
      <c r="FC5" s="514"/>
      <c r="FD5" s="514"/>
      <c r="FE5" s="514"/>
      <c r="FF5" s="514"/>
      <c r="FG5" s="521"/>
      <c r="FH5" s="514"/>
      <c r="FI5" s="367" t="s">
        <v>669</v>
      </c>
      <c r="FJ5" s="367" t="s">
        <v>694</v>
      </c>
      <c r="FK5" s="367" t="s">
        <v>695</v>
      </c>
      <c r="FL5" s="367" t="s">
        <v>683</v>
      </c>
      <c r="FM5" s="367" t="s">
        <v>685</v>
      </c>
      <c r="FN5" s="367" t="s">
        <v>687</v>
      </c>
      <c r="FO5" s="514"/>
      <c r="FP5" s="514"/>
      <c r="FQ5" s="514"/>
      <c r="FR5" s="514"/>
      <c r="FS5" s="514"/>
      <c r="FT5" s="514"/>
      <c r="FU5" s="514"/>
      <c r="FV5" s="514"/>
      <c r="FW5" s="570"/>
      <c r="FX5" s="540"/>
      <c r="FY5" s="538"/>
      <c r="FZ5" s="263" t="s">
        <v>549</v>
      </c>
      <c r="GA5" s="263" t="s">
        <v>548</v>
      </c>
      <c r="GB5" s="264" t="s">
        <v>7</v>
      </c>
      <c r="GC5" s="265" t="s">
        <v>8</v>
      </c>
    </row>
    <row r="6" spans="1:185" s="109" customFormat="1" ht="15" customHeight="1" x14ac:dyDescent="0.25">
      <c r="A6" s="20"/>
      <c r="B6" s="13"/>
      <c r="C6" s="13"/>
      <c r="D6" s="13"/>
      <c r="E6" s="13"/>
      <c r="F6" s="111">
        <v>1</v>
      </c>
      <c r="G6" s="111"/>
      <c r="H6" s="13"/>
      <c r="I6" s="103"/>
      <c r="J6" s="103"/>
      <c r="K6" s="103"/>
      <c r="L6" s="103"/>
      <c r="M6" s="103"/>
      <c r="N6" s="103"/>
      <c r="O6" s="103"/>
      <c r="P6" s="111"/>
      <c r="Q6" s="111"/>
      <c r="R6" s="111"/>
      <c r="S6" s="111"/>
      <c r="T6" s="111"/>
      <c r="U6" s="111"/>
      <c r="V6" s="13"/>
      <c r="W6" s="103"/>
      <c r="X6" s="111"/>
      <c r="Y6" s="13"/>
      <c r="Z6" s="103"/>
      <c r="AA6" s="111"/>
      <c r="AB6" s="103"/>
      <c r="AC6" s="111"/>
      <c r="AD6" s="13"/>
      <c r="AE6" s="103"/>
      <c r="AF6" s="111"/>
      <c r="AG6" s="103"/>
      <c r="AH6" s="111"/>
      <c r="AI6" s="103"/>
      <c r="AJ6" s="111"/>
      <c r="AK6" s="103"/>
      <c r="AL6" s="111"/>
      <c r="AM6" s="353"/>
      <c r="AN6" s="353"/>
      <c r="AO6" s="103"/>
      <c r="AP6" s="280">
        <v>1</v>
      </c>
      <c r="AQ6" s="20"/>
      <c r="AR6" s="103"/>
      <c r="AS6" s="111"/>
      <c r="AT6" s="13"/>
      <c r="AU6" s="103"/>
      <c r="AV6" s="103"/>
      <c r="AW6" s="289"/>
      <c r="AX6" s="289"/>
      <c r="AY6" s="289"/>
      <c r="AZ6" s="289"/>
      <c r="BA6" s="289"/>
      <c r="BB6" s="289"/>
      <c r="BC6" s="289"/>
      <c r="BD6" s="289"/>
      <c r="BE6" s="289"/>
      <c r="BF6" s="289"/>
      <c r="BG6" s="289"/>
      <c r="BH6" s="289"/>
      <c r="BI6" s="289"/>
      <c r="BJ6" s="289"/>
      <c r="BK6" s="289"/>
      <c r="BL6" s="289"/>
      <c r="BM6" s="289"/>
      <c r="BN6" s="103"/>
      <c r="BO6" s="111"/>
      <c r="BP6" s="13"/>
      <c r="BQ6" s="103"/>
      <c r="BR6" s="111"/>
      <c r="BS6" s="103"/>
      <c r="BT6" s="111"/>
      <c r="BU6" s="111"/>
      <c r="BV6" s="111"/>
      <c r="BW6" s="111"/>
      <c r="BX6" s="111"/>
      <c r="BY6" s="103"/>
      <c r="BZ6" s="111"/>
      <c r="CA6" s="111"/>
      <c r="CB6" s="111"/>
      <c r="CC6" s="111"/>
      <c r="CD6" s="111"/>
      <c r="CE6" s="111"/>
      <c r="CF6" s="111"/>
      <c r="CG6" s="111"/>
      <c r="CH6" s="111"/>
      <c r="CI6" s="111"/>
      <c r="CJ6" s="111"/>
      <c r="CK6" s="111"/>
      <c r="CL6" s="111"/>
      <c r="CM6" s="111"/>
      <c r="CN6" s="111"/>
      <c r="CO6" s="111"/>
      <c r="CP6" s="111"/>
      <c r="CQ6" s="111"/>
      <c r="CR6" s="111"/>
      <c r="CS6" s="111"/>
      <c r="CT6" s="111"/>
      <c r="CU6" s="111"/>
      <c r="CV6" s="111"/>
      <c r="CW6" s="111"/>
      <c r="CX6" s="111"/>
      <c r="CY6" s="111"/>
      <c r="CZ6" s="111"/>
      <c r="DA6" s="111"/>
      <c r="DB6" s="111"/>
      <c r="DC6" s="111"/>
      <c r="DD6" s="111"/>
      <c r="DE6" s="111"/>
      <c r="DF6" s="111"/>
      <c r="DG6" s="111"/>
      <c r="DH6" s="111"/>
      <c r="DI6" s="111"/>
      <c r="DJ6" s="111"/>
      <c r="DK6" s="103"/>
      <c r="DL6" s="103"/>
      <c r="DM6" s="103"/>
      <c r="DN6" s="103"/>
      <c r="DO6" s="103"/>
      <c r="DP6" s="103"/>
      <c r="DQ6" s="103"/>
      <c r="DR6" s="103"/>
      <c r="DS6" s="103"/>
      <c r="DT6" s="103"/>
      <c r="DU6" s="103"/>
      <c r="DV6" s="103"/>
      <c r="DW6" s="103"/>
      <c r="DX6" s="103"/>
      <c r="DY6" s="103"/>
      <c r="DZ6" s="103"/>
      <c r="EA6" s="103"/>
      <c r="EB6" s="103"/>
      <c r="EC6" s="280"/>
      <c r="ED6" s="20"/>
      <c r="EE6" s="103"/>
      <c r="EF6" s="111"/>
      <c r="EG6" s="13"/>
      <c r="EH6" s="103"/>
      <c r="EI6" s="111"/>
      <c r="EJ6" s="111"/>
      <c r="EK6" s="111"/>
      <c r="EL6" s="111"/>
      <c r="EM6" s="111"/>
      <c r="EN6" s="111"/>
      <c r="EO6" s="111"/>
      <c r="EP6" s="111"/>
      <c r="EQ6" s="111"/>
      <c r="ER6" s="111"/>
      <c r="ES6" s="111"/>
      <c r="ET6" s="111"/>
      <c r="EU6" s="111"/>
      <c r="EV6" s="111"/>
      <c r="EW6" s="111"/>
      <c r="EX6" s="111"/>
      <c r="EY6" s="111"/>
      <c r="EZ6" s="111"/>
      <c r="FA6" s="111"/>
      <c r="FB6" s="111"/>
      <c r="FC6" s="111"/>
      <c r="FD6" s="111"/>
      <c r="FE6" s="111"/>
      <c r="FF6" s="111"/>
      <c r="FG6" s="111"/>
      <c r="FH6" s="111"/>
      <c r="FI6" s="111"/>
      <c r="FJ6" s="111"/>
      <c r="FK6" s="111"/>
      <c r="FL6" s="111"/>
      <c r="FM6" s="111"/>
      <c r="FN6" s="111"/>
      <c r="FO6" s="103"/>
      <c r="FP6" s="103"/>
      <c r="FQ6" s="103"/>
      <c r="FR6" s="103"/>
      <c r="FS6" s="103"/>
      <c r="FT6" s="103"/>
      <c r="FU6" s="103"/>
      <c r="FV6" s="103"/>
      <c r="FW6" s="386"/>
      <c r="FX6" s="103"/>
      <c r="FY6" s="280">
        <v>1</v>
      </c>
      <c r="FZ6" s="266" t="s">
        <v>817</v>
      </c>
      <c r="GA6" s="266" t="str">
        <f>CONCATENATE("Acceder al sistema Gemma con usuario y perfil activo para la funcionalidad modulo Maestro - Cliente, hacer clic en el boton,"," ",IF(H6=1,"Modificar un registro","")," ",IF(I6=1,"Eliminar un registro","")," ",IF(G6=1,"Agregar un nuevo registro","")," ",IF(FY6=1,"Exportar Documento Excel","")," ",IF(FW6=1,$FW$4,"")," sin datos seleccionados"," en el filtro")</f>
        <v>Acceder al sistema Gemma con usuario y perfil activo para la funcionalidad modulo Maestro - Cliente, hacer clic en el boton,    Exportar Documento Excel  sin datos seleccionados en el filtro</v>
      </c>
      <c r="GB6" s="267" t="s">
        <v>1295</v>
      </c>
      <c r="GC6" s="267" t="s">
        <v>1008</v>
      </c>
    </row>
    <row r="7" spans="1:185" s="109" customFormat="1" ht="15" customHeight="1" x14ac:dyDescent="0.25">
      <c r="A7" s="20"/>
      <c r="B7" s="13"/>
      <c r="C7" s="13"/>
      <c r="D7" s="13"/>
      <c r="E7" s="13"/>
      <c r="F7" s="103"/>
      <c r="G7" s="111">
        <v>1</v>
      </c>
      <c r="H7" s="13"/>
      <c r="I7" s="103"/>
      <c r="J7" s="90" t="s">
        <v>790</v>
      </c>
      <c r="K7" s="103"/>
      <c r="L7" s="103"/>
      <c r="M7" s="355" t="s">
        <v>789</v>
      </c>
      <c r="N7" s="289">
        <v>1</v>
      </c>
      <c r="O7" s="289"/>
      <c r="P7" s="289"/>
      <c r="Q7" s="111"/>
      <c r="R7" s="111"/>
      <c r="S7" s="111"/>
      <c r="T7" s="111"/>
      <c r="U7" s="289"/>
      <c r="V7" s="289"/>
      <c r="W7" s="289">
        <v>1</v>
      </c>
      <c r="X7" s="289"/>
      <c r="Y7" s="289"/>
      <c r="Z7" s="289">
        <v>1</v>
      </c>
      <c r="AA7" s="289"/>
      <c r="AB7" s="289">
        <v>1</v>
      </c>
      <c r="AC7" s="289"/>
      <c r="AD7" s="289"/>
      <c r="AE7" s="289">
        <v>1</v>
      </c>
      <c r="AF7" s="289"/>
      <c r="AG7" s="289">
        <v>1</v>
      </c>
      <c r="AH7" s="289"/>
      <c r="AI7" s="289">
        <v>1</v>
      </c>
      <c r="AJ7" s="289"/>
      <c r="AK7" s="289">
        <v>1</v>
      </c>
      <c r="AL7" s="289"/>
      <c r="AM7" s="289">
        <v>1</v>
      </c>
      <c r="AN7" s="289">
        <v>1</v>
      </c>
      <c r="AO7" s="289"/>
      <c r="AP7" s="280"/>
      <c r="AQ7" s="20"/>
      <c r="AR7" s="289"/>
      <c r="AS7" s="111"/>
      <c r="AT7" s="13"/>
      <c r="AU7" s="289"/>
      <c r="AV7" s="289"/>
      <c r="AW7" s="289"/>
      <c r="AX7" s="289"/>
      <c r="AY7" s="289"/>
      <c r="AZ7" s="289"/>
      <c r="BA7" s="289"/>
      <c r="BB7" s="289"/>
      <c r="BC7" s="289"/>
      <c r="BD7" s="289"/>
      <c r="BE7" s="289"/>
      <c r="BF7" s="289"/>
      <c r="BG7" s="289"/>
      <c r="BH7" s="289"/>
      <c r="BI7" s="289"/>
      <c r="BJ7" s="289"/>
      <c r="BK7" s="289"/>
      <c r="BL7" s="289"/>
      <c r="BM7" s="289"/>
      <c r="BN7" s="289"/>
      <c r="BO7" s="111"/>
      <c r="BP7" s="13"/>
      <c r="BQ7" s="289"/>
      <c r="BR7" s="111"/>
      <c r="BS7" s="289"/>
      <c r="BT7" s="111"/>
      <c r="BU7" s="111"/>
      <c r="BV7" s="111"/>
      <c r="BW7" s="111"/>
      <c r="BX7" s="111"/>
      <c r="BY7" s="289"/>
      <c r="BZ7" s="111"/>
      <c r="CA7" s="111"/>
      <c r="CB7" s="111"/>
      <c r="CC7" s="111"/>
      <c r="CD7" s="111"/>
      <c r="CE7" s="111"/>
      <c r="CF7" s="111"/>
      <c r="CG7" s="111"/>
      <c r="CH7" s="111"/>
      <c r="CI7" s="111"/>
      <c r="CJ7" s="111"/>
      <c r="CK7" s="111"/>
      <c r="CL7" s="111"/>
      <c r="CM7" s="111"/>
      <c r="CN7" s="111"/>
      <c r="CO7" s="111"/>
      <c r="CP7" s="111"/>
      <c r="CQ7" s="111"/>
      <c r="CR7" s="111"/>
      <c r="CS7" s="111"/>
      <c r="CT7" s="111"/>
      <c r="CU7" s="111"/>
      <c r="CV7" s="111"/>
      <c r="CW7" s="111"/>
      <c r="CX7" s="111"/>
      <c r="CY7" s="111"/>
      <c r="CZ7" s="111"/>
      <c r="DA7" s="111"/>
      <c r="DB7" s="111"/>
      <c r="DC7" s="111"/>
      <c r="DD7" s="111"/>
      <c r="DE7" s="111"/>
      <c r="DF7" s="111"/>
      <c r="DG7" s="111"/>
      <c r="DH7" s="111"/>
      <c r="DI7" s="111"/>
      <c r="DJ7" s="111"/>
      <c r="DK7" s="289"/>
      <c r="DL7" s="289"/>
      <c r="DM7" s="289"/>
      <c r="DN7" s="289"/>
      <c r="DO7" s="289"/>
      <c r="DP7" s="289"/>
      <c r="DQ7" s="289"/>
      <c r="DR7" s="289"/>
      <c r="DS7" s="289"/>
      <c r="DT7" s="289"/>
      <c r="DU7" s="289"/>
      <c r="DV7" s="289"/>
      <c r="DW7" s="289"/>
      <c r="DX7" s="289"/>
      <c r="DY7" s="289"/>
      <c r="DZ7" s="289"/>
      <c r="EA7" s="289"/>
      <c r="EB7" s="289"/>
      <c r="EC7" s="280"/>
      <c r="ED7" s="20"/>
      <c r="EE7" s="289"/>
      <c r="EF7" s="111"/>
      <c r="EG7" s="13"/>
      <c r="EH7" s="289"/>
      <c r="EI7" s="111"/>
      <c r="EJ7" s="111"/>
      <c r="EK7" s="111"/>
      <c r="EL7" s="111"/>
      <c r="EM7" s="111"/>
      <c r="EN7" s="111"/>
      <c r="EO7" s="111"/>
      <c r="EP7" s="111"/>
      <c r="EQ7" s="111"/>
      <c r="ER7" s="111"/>
      <c r="ES7" s="111"/>
      <c r="ET7" s="111"/>
      <c r="EU7" s="111"/>
      <c r="EV7" s="111"/>
      <c r="EW7" s="111"/>
      <c r="EX7" s="111"/>
      <c r="EY7" s="111"/>
      <c r="EZ7" s="111"/>
      <c r="FA7" s="111"/>
      <c r="FB7" s="111"/>
      <c r="FC7" s="111"/>
      <c r="FD7" s="111"/>
      <c r="FE7" s="111"/>
      <c r="FF7" s="111"/>
      <c r="FG7" s="111"/>
      <c r="FH7" s="111"/>
      <c r="FI7" s="111"/>
      <c r="FJ7" s="111"/>
      <c r="FK7" s="111"/>
      <c r="FL7" s="111"/>
      <c r="FM7" s="111"/>
      <c r="FN7" s="111"/>
      <c r="FO7" s="289"/>
      <c r="FP7" s="289"/>
      <c r="FQ7" s="289"/>
      <c r="FR7" s="289"/>
      <c r="FS7" s="289"/>
      <c r="FT7" s="289"/>
      <c r="FU7" s="289"/>
      <c r="FV7" s="289"/>
      <c r="FW7" s="387">
        <v>1</v>
      </c>
      <c r="FX7" s="103"/>
      <c r="FY7" s="280"/>
      <c r="FZ7" s="266" t="s">
        <v>818</v>
      </c>
      <c r="GA7" s="266" t="str">
        <f>CONCATENATE("Acceder al sistema Gemma con usuario y perfil activo para la funcionalidad modulo Maestro - Cliente, hacer clic en el boton,"," ",IF(H7=1,"Modificar un registro","")," ",IF(I7=1,"Eliminar un registro","")," ",IF(G7=1,"Agregar un nuevo registro con ","")," Tipo de Cliente ",IF(N7=1,$N$5,IF(O7=1,$O$5,IF(P7=1,$P$5,"")))," campos obligatorios ",IF(FY7=1,"Exportar Documento Excel","")," presionar ",IF(FW7=1,$FW$4,"")," ")</f>
        <v xml:space="preserve">Acceder al sistema Gemma con usuario y perfil activo para la funcionalidad modulo Maestro - Cliente, hacer clic en el boton,   Agregar un nuevo registro con  Tipo de Cliente Independiente campos obligatorios  presionar Confirmar  </v>
      </c>
      <c r="GB7" s="267" t="s">
        <v>1296</v>
      </c>
      <c r="GC7" s="267" t="s">
        <v>1286</v>
      </c>
    </row>
    <row r="8" spans="1:185" s="109" customFormat="1" ht="15" customHeight="1" x14ac:dyDescent="0.25">
      <c r="A8" s="20"/>
      <c r="B8" s="13"/>
      <c r="C8" s="13"/>
      <c r="D8" s="13"/>
      <c r="E8" s="13"/>
      <c r="F8" s="103"/>
      <c r="G8" s="111">
        <v>1</v>
      </c>
      <c r="H8" s="13"/>
      <c r="I8" s="103"/>
      <c r="J8" s="90" t="s">
        <v>793</v>
      </c>
      <c r="K8" s="90" t="s">
        <v>791</v>
      </c>
      <c r="L8" s="90" t="s">
        <v>792</v>
      </c>
      <c r="M8" s="355" t="s">
        <v>789</v>
      </c>
      <c r="N8" s="289">
        <v>1</v>
      </c>
      <c r="O8" s="289"/>
      <c r="P8" s="289"/>
      <c r="Q8" s="111" t="s">
        <v>423</v>
      </c>
      <c r="R8" s="111">
        <v>223963369</v>
      </c>
      <c r="S8" s="111"/>
      <c r="T8" s="390" t="s">
        <v>788</v>
      </c>
      <c r="U8" s="289"/>
      <c r="V8" s="289">
        <v>1</v>
      </c>
      <c r="W8" s="289"/>
      <c r="X8" s="289"/>
      <c r="Y8" s="289">
        <v>1</v>
      </c>
      <c r="Z8" s="289"/>
      <c r="AA8" s="289">
        <v>1</v>
      </c>
      <c r="AB8" s="289"/>
      <c r="AC8" s="289">
        <v>1</v>
      </c>
      <c r="AD8" s="289"/>
      <c r="AE8" s="289"/>
      <c r="AF8" s="289">
        <v>1</v>
      </c>
      <c r="AG8" s="289"/>
      <c r="AH8" s="289"/>
      <c r="AI8" s="289">
        <v>1</v>
      </c>
      <c r="AJ8" s="289"/>
      <c r="AK8" s="289">
        <v>1</v>
      </c>
      <c r="AL8" s="289"/>
      <c r="AM8" s="289">
        <v>1</v>
      </c>
      <c r="AN8" s="289">
        <v>1</v>
      </c>
      <c r="AO8" s="289"/>
      <c r="AP8" s="280"/>
      <c r="AQ8" s="20"/>
      <c r="AR8" s="289"/>
      <c r="AS8" s="111"/>
      <c r="AT8" s="13"/>
      <c r="AU8" s="289"/>
      <c r="AV8" s="289"/>
      <c r="AW8" s="289"/>
      <c r="AX8" s="289"/>
      <c r="AY8" s="289"/>
      <c r="AZ8" s="289"/>
      <c r="BA8" s="289"/>
      <c r="BB8" s="289"/>
      <c r="BC8" s="289"/>
      <c r="BD8" s="289"/>
      <c r="BE8" s="289"/>
      <c r="BF8" s="289"/>
      <c r="BG8" s="289"/>
      <c r="BH8" s="289"/>
      <c r="BI8" s="289"/>
      <c r="BJ8" s="289"/>
      <c r="BK8" s="289"/>
      <c r="BL8" s="289"/>
      <c r="BM8" s="289"/>
      <c r="BN8" s="289"/>
      <c r="BO8" s="111"/>
      <c r="BP8" s="13"/>
      <c r="BQ8" s="289"/>
      <c r="BR8" s="111"/>
      <c r="BS8" s="289"/>
      <c r="BT8" s="111"/>
      <c r="BU8" s="111"/>
      <c r="BV8" s="111"/>
      <c r="BW8" s="111"/>
      <c r="BX8" s="111"/>
      <c r="BY8" s="289"/>
      <c r="BZ8" s="111"/>
      <c r="CA8" s="111"/>
      <c r="CB8" s="111"/>
      <c r="CC8" s="111"/>
      <c r="CD8" s="111"/>
      <c r="CE8" s="111"/>
      <c r="CF8" s="111"/>
      <c r="CG8" s="111"/>
      <c r="CH8" s="111"/>
      <c r="CI8" s="111"/>
      <c r="CJ8" s="111"/>
      <c r="CK8" s="111"/>
      <c r="CL8" s="111"/>
      <c r="CM8" s="111"/>
      <c r="CN8" s="111"/>
      <c r="CO8" s="111"/>
      <c r="CP8" s="111"/>
      <c r="CQ8" s="111"/>
      <c r="CR8" s="111"/>
      <c r="CS8" s="111"/>
      <c r="CT8" s="111"/>
      <c r="CU8" s="111"/>
      <c r="CV8" s="111"/>
      <c r="CW8" s="111"/>
      <c r="CX8" s="111"/>
      <c r="CY8" s="111"/>
      <c r="CZ8" s="111"/>
      <c r="DA8" s="111"/>
      <c r="DB8" s="111"/>
      <c r="DC8" s="111"/>
      <c r="DD8" s="111"/>
      <c r="DE8" s="111"/>
      <c r="DF8" s="111"/>
      <c r="DG8" s="111"/>
      <c r="DH8" s="111"/>
      <c r="DI8" s="111"/>
      <c r="DJ8" s="111"/>
      <c r="DK8" s="289"/>
      <c r="DL8" s="289"/>
      <c r="DM8" s="289"/>
      <c r="DN8" s="289"/>
      <c r="DO8" s="289"/>
      <c r="DP8" s="289"/>
      <c r="DQ8" s="289"/>
      <c r="DR8" s="289"/>
      <c r="DS8" s="289"/>
      <c r="DT8" s="289"/>
      <c r="DU8" s="289"/>
      <c r="DV8" s="289"/>
      <c r="DW8" s="289"/>
      <c r="DX8" s="289"/>
      <c r="DY8" s="289"/>
      <c r="DZ8" s="289"/>
      <c r="EA8" s="289"/>
      <c r="EB8" s="289"/>
      <c r="EC8" s="280"/>
      <c r="ED8" s="20"/>
      <c r="EE8" s="289"/>
      <c r="EF8" s="111"/>
      <c r="EG8" s="13"/>
      <c r="EH8" s="289"/>
      <c r="EI8" s="111"/>
      <c r="EJ8" s="111"/>
      <c r="EK8" s="111"/>
      <c r="EL8" s="111"/>
      <c r="EM8" s="111"/>
      <c r="EN8" s="111"/>
      <c r="EO8" s="111"/>
      <c r="EP8" s="111"/>
      <c r="EQ8" s="111"/>
      <c r="ER8" s="111"/>
      <c r="ES8" s="111"/>
      <c r="ET8" s="111"/>
      <c r="EU8" s="111"/>
      <c r="EV8" s="111"/>
      <c r="EW8" s="111"/>
      <c r="EX8" s="111"/>
      <c r="EY8" s="111"/>
      <c r="EZ8" s="111"/>
      <c r="FA8" s="111"/>
      <c r="FB8" s="111"/>
      <c r="FC8" s="111"/>
      <c r="FD8" s="111"/>
      <c r="FE8" s="111"/>
      <c r="FF8" s="111"/>
      <c r="FG8" s="111"/>
      <c r="FH8" s="111"/>
      <c r="FI8" s="111"/>
      <c r="FJ8" s="111"/>
      <c r="FK8" s="111"/>
      <c r="FL8" s="111"/>
      <c r="FM8" s="111"/>
      <c r="FN8" s="111"/>
      <c r="FO8" s="289"/>
      <c r="FP8" s="289"/>
      <c r="FQ8" s="289"/>
      <c r="FR8" s="289"/>
      <c r="FS8" s="289"/>
      <c r="FT8" s="289"/>
      <c r="FU8" s="289"/>
      <c r="FV8" s="289"/>
      <c r="FW8" s="387">
        <v>1</v>
      </c>
      <c r="FX8" s="103"/>
      <c r="FY8" s="280"/>
      <c r="FZ8" s="266" t="s">
        <v>821</v>
      </c>
      <c r="GA8" s="266" t="str">
        <f>CONCATENATE("Acceder al sistema Gemma con usuario y perfil activo para la funcionalidad modulo Maestro - Cliente, hacer clic en el boton,"," ",IF(H8=1,"Modificar un registro","")," ",IF(I8=1,"Eliminar un registro","")," ",IF(G8=1,"Agregar un nuevo registro con ","")," Tipo de Cliente ",IF(N8=1,$N$5,IF(O8=1,$O$5,IF(P8=1,$P$5,"")))," campos opcionales ",IF(FY8=1,"Exportar Documento Excel","")," presionar ",IF(FW8=1,$FW$4,"")," ")</f>
        <v xml:space="preserve">Acceder al sistema Gemma con usuario y perfil activo para la funcionalidad modulo Maestro - Cliente, hacer clic en el boton,   Agregar un nuevo registro con  Tipo de Cliente Independiente campos opcionales  presionar Confirmar  </v>
      </c>
      <c r="GB8" s="267" t="s">
        <v>1297</v>
      </c>
      <c r="GC8" s="267" t="s">
        <v>1287</v>
      </c>
    </row>
    <row r="9" spans="1:185" s="109" customFormat="1" ht="15" customHeight="1" x14ac:dyDescent="0.25">
      <c r="A9" s="20"/>
      <c r="B9" s="13"/>
      <c r="C9" s="13"/>
      <c r="D9" s="13"/>
      <c r="E9" s="13"/>
      <c r="F9" s="103"/>
      <c r="G9" s="111">
        <v>1</v>
      </c>
      <c r="H9" s="13"/>
      <c r="I9" s="103"/>
      <c r="J9" s="90" t="s">
        <v>678</v>
      </c>
      <c r="K9" s="90"/>
      <c r="L9" s="103"/>
      <c r="M9" s="354" t="s">
        <v>679</v>
      </c>
      <c r="N9" s="289"/>
      <c r="O9" s="289">
        <v>1</v>
      </c>
      <c r="P9" s="289"/>
      <c r="Q9" s="111"/>
      <c r="R9" s="111"/>
      <c r="S9" s="111"/>
      <c r="T9" s="111"/>
      <c r="U9" s="289"/>
      <c r="V9" s="289"/>
      <c r="W9" s="289">
        <v>1</v>
      </c>
      <c r="X9" s="289">
        <v>1</v>
      </c>
      <c r="Y9" s="289"/>
      <c r="Z9" s="289">
        <v>1</v>
      </c>
      <c r="AA9" s="289"/>
      <c r="AB9" s="289">
        <v>1</v>
      </c>
      <c r="AC9" s="289"/>
      <c r="AD9" s="289"/>
      <c r="AE9" s="289">
        <v>1</v>
      </c>
      <c r="AF9" s="289"/>
      <c r="AG9" s="289">
        <v>1</v>
      </c>
      <c r="AH9" s="289"/>
      <c r="AI9" s="289">
        <v>1</v>
      </c>
      <c r="AJ9" s="289"/>
      <c r="AK9" s="289">
        <v>1</v>
      </c>
      <c r="AL9" s="289"/>
      <c r="AM9" s="289">
        <v>1</v>
      </c>
      <c r="AN9" s="289">
        <v>1</v>
      </c>
      <c r="AO9" s="289"/>
      <c r="AP9" s="280"/>
      <c r="AQ9" s="20"/>
      <c r="AR9" s="103"/>
      <c r="AS9" s="111"/>
      <c r="AT9" s="13"/>
      <c r="AU9" s="103"/>
      <c r="AV9" s="103"/>
      <c r="AW9" s="289"/>
      <c r="AX9" s="289"/>
      <c r="AY9" s="289"/>
      <c r="AZ9" s="289"/>
      <c r="BA9" s="289"/>
      <c r="BB9" s="289"/>
      <c r="BC9" s="289"/>
      <c r="BD9" s="289"/>
      <c r="BE9" s="289"/>
      <c r="BF9" s="289"/>
      <c r="BG9" s="289"/>
      <c r="BH9" s="289"/>
      <c r="BI9" s="289"/>
      <c r="BJ9" s="289"/>
      <c r="BK9" s="289"/>
      <c r="BL9" s="289"/>
      <c r="BM9" s="289"/>
      <c r="BN9" s="103"/>
      <c r="BO9" s="111"/>
      <c r="BP9" s="13"/>
      <c r="BQ9" s="289"/>
      <c r="BR9" s="289"/>
      <c r="BS9" s="289"/>
      <c r="BT9" s="289"/>
      <c r="BU9" s="289"/>
      <c r="BV9" s="289"/>
      <c r="BW9" s="289"/>
      <c r="BX9" s="289"/>
      <c r="BY9" s="289"/>
      <c r="BZ9" s="289"/>
      <c r="CA9" s="111"/>
      <c r="CB9" s="111"/>
      <c r="CC9" s="111"/>
      <c r="CD9" s="111"/>
      <c r="CE9" s="111"/>
      <c r="CF9" s="111"/>
      <c r="CG9" s="111"/>
      <c r="CH9" s="111"/>
      <c r="CI9" s="111"/>
      <c r="CJ9" s="111"/>
      <c r="CK9" s="111"/>
      <c r="CL9" s="111"/>
      <c r="CM9" s="111"/>
      <c r="CN9" s="111"/>
      <c r="CO9" s="111"/>
      <c r="CP9" s="111"/>
      <c r="CQ9" s="111"/>
      <c r="CR9" s="111"/>
      <c r="CS9" s="111"/>
      <c r="CT9" s="111"/>
      <c r="CU9" s="111"/>
      <c r="CV9" s="111"/>
      <c r="CW9" s="111"/>
      <c r="CX9" s="111"/>
      <c r="CY9" s="111"/>
      <c r="CZ9" s="111"/>
      <c r="DA9" s="111"/>
      <c r="DB9" s="111"/>
      <c r="DC9" s="111"/>
      <c r="DD9" s="111"/>
      <c r="DE9" s="111"/>
      <c r="DF9" s="111"/>
      <c r="DG9" s="111"/>
      <c r="DH9" s="111"/>
      <c r="DI9" s="111"/>
      <c r="DJ9" s="111"/>
      <c r="DK9" s="289"/>
      <c r="DL9" s="289"/>
      <c r="DM9" s="289"/>
      <c r="DN9" s="289"/>
      <c r="DO9" s="289"/>
      <c r="DP9" s="289"/>
      <c r="DQ9" s="289"/>
      <c r="DR9" s="289"/>
      <c r="DS9" s="289"/>
      <c r="DT9" s="289"/>
      <c r="DU9" s="289"/>
      <c r="DV9" s="289"/>
      <c r="DW9" s="289"/>
      <c r="DX9" s="289"/>
      <c r="DY9" s="289"/>
      <c r="DZ9" s="289"/>
      <c r="EA9" s="289"/>
      <c r="EB9" s="289"/>
      <c r="EC9" s="280"/>
      <c r="ED9" s="20"/>
      <c r="EE9" s="103"/>
      <c r="EF9" s="111"/>
      <c r="EG9" s="13"/>
      <c r="EH9" s="103"/>
      <c r="EI9" s="111"/>
      <c r="EJ9" s="111"/>
      <c r="EK9" s="111"/>
      <c r="EL9" s="111"/>
      <c r="EM9" s="111"/>
      <c r="EN9" s="111"/>
      <c r="EO9" s="111"/>
      <c r="EP9" s="111"/>
      <c r="EQ9" s="111"/>
      <c r="ER9" s="111"/>
      <c r="ES9" s="111"/>
      <c r="ET9" s="111"/>
      <c r="EU9" s="111"/>
      <c r="EV9" s="111"/>
      <c r="EW9" s="111"/>
      <c r="EX9" s="111"/>
      <c r="EY9" s="111"/>
      <c r="EZ9" s="111"/>
      <c r="FA9" s="111"/>
      <c r="FB9" s="111"/>
      <c r="FC9" s="111"/>
      <c r="FD9" s="111"/>
      <c r="FE9" s="111"/>
      <c r="FF9" s="111"/>
      <c r="FG9" s="111"/>
      <c r="FH9" s="111"/>
      <c r="FI9" s="111"/>
      <c r="FJ9" s="111"/>
      <c r="FK9" s="111"/>
      <c r="FL9" s="111"/>
      <c r="FM9" s="111"/>
      <c r="FN9" s="111"/>
      <c r="FO9" s="289"/>
      <c r="FP9" s="289"/>
      <c r="FQ9" s="289"/>
      <c r="FR9" s="289"/>
      <c r="FS9" s="289"/>
      <c r="FT9" s="289"/>
      <c r="FU9" s="289"/>
      <c r="FV9" s="289"/>
      <c r="FW9" s="387">
        <v>1</v>
      </c>
      <c r="FX9" s="103"/>
      <c r="FY9" s="280"/>
      <c r="FZ9" s="266" t="s">
        <v>819</v>
      </c>
      <c r="GA9" s="266" t="str">
        <f t="shared" ref="GA9" si="0">CONCATENATE("Acceder al sistema Gemma con usuario y perfil activo para la funcionalidad modulo Maestro - Cliente, hacer clic en el boton,"," ",IF(H9=1,"Modificar un registro","")," ",IF(I9=1,"Eliminar un registro","")," ",IF(G9=1,"Agregar un nuevo registro con ","")," Tipo de Cliente ",IF(N9=1,$N$5,IF(O9=1,$O$5,IF(P9=1,$P$5,"")))," campos obligatorios ",IF(FY9=1,"Exportar Documento Excel","")," presionar ",IF(FW9=1,$FW$4,"")," ")</f>
        <v xml:space="preserve">Acceder al sistema Gemma con usuario y perfil activo para la funcionalidad modulo Maestro - Cliente, hacer clic en el boton,   Agregar un nuevo registro con  Tipo de Cliente Dependiente campos obligatorios  presionar Confirmar  </v>
      </c>
      <c r="GB9" s="267" t="s">
        <v>1298</v>
      </c>
      <c r="GC9" s="267" t="s">
        <v>1288</v>
      </c>
    </row>
    <row r="10" spans="1:185" s="109" customFormat="1" ht="15" customHeight="1" x14ac:dyDescent="0.25">
      <c r="A10" s="20"/>
      <c r="B10" s="13"/>
      <c r="C10" s="13"/>
      <c r="D10" s="13"/>
      <c r="E10" s="13"/>
      <c r="F10" s="103"/>
      <c r="G10" s="111">
        <v>1</v>
      </c>
      <c r="H10" s="13"/>
      <c r="I10" s="103"/>
      <c r="J10" s="90" t="s">
        <v>678</v>
      </c>
      <c r="K10" s="90" t="s">
        <v>794</v>
      </c>
      <c r="L10" s="90" t="s">
        <v>795</v>
      </c>
      <c r="M10" s="355" t="s">
        <v>679</v>
      </c>
      <c r="N10" s="289"/>
      <c r="O10" s="289">
        <v>1</v>
      </c>
      <c r="P10" s="289"/>
      <c r="Q10" s="111" t="s">
        <v>796</v>
      </c>
      <c r="R10" s="111">
        <v>225252541</v>
      </c>
      <c r="S10" s="111">
        <v>965885256</v>
      </c>
      <c r="T10" s="390" t="s">
        <v>797</v>
      </c>
      <c r="U10" s="289"/>
      <c r="V10" s="289">
        <v>1</v>
      </c>
      <c r="W10" s="289"/>
      <c r="X10" s="289"/>
      <c r="Y10" s="289">
        <v>1</v>
      </c>
      <c r="Z10" s="289"/>
      <c r="AA10" s="289">
        <v>1</v>
      </c>
      <c r="AB10" s="289"/>
      <c r="AC10" s="289">
        <v>1</v>
      </c>
      <c r="AD10" s="289"/>
      <c r="AE10" s="289"/>
      <c r="AF10" s="289">
        <v>1</v>
      </c>
      <c r="AG10" s="289"/>
      <c r="AH10" s="289">
        <v>1</v>
      </c>
      <c r="AI10" s="289"/>
      <c r="AJ10" s="289">
        <v>1</v>
      </c>
      <c r="AK10" s="289"/>
      <c r="AL10" s="289">
        <v>1</v>
      </c>
      <c r="AM10" s="289"/>
      <c r="AN10" s="289">
        <v>1</v>
      </c>
      <c r="AO10" s="289"/>
      <c r="AP10" s="280"/>
      <c r="AQ10" s="20"/>
      <c r="AR10" s="103"/>
      <c r="AS10" s="111"/>
      <c r="AT10" s="13"/>
      <c r="AU10" s="103"/>
      <c r="AV10" s="103"/>
      <c r="AW10" s="289"/>
      <c r="AX10" s="289"/>
      <c r="AY10" s="289"/>
      <c r="AZ10" s="289"/>
      <c r="BA10" s="289"/>
      <c r="BB10" s="289"/>
      <c r="BC10" s="289"/>
      <c r="BD10" s="289"/>
      <c r="BE10" s="289"/>
      <c r="BF10" s="289"/>
      <c r="BG10" s="289"/>
      <c r="BH10" s="289"/>
      <c r="BI10" s="289"/>
      <c r="BJ10" s="289"/>
      <c r="BK10" s="289"/>
      <c r="BL10" s="289"/>
      <c r="BM10" s="289"/>
      <c r="BN10" s="103"/>
      <c r="BO10" s="111"/>
      <c r="BP10" s="13"/>
      <c r="BQ10" s="289"/>
      <c r="BR10" s="289"/>
      <c r="BS10" s="289"/>
      <c r="BT10" s="289"/>
      <c r="BU10" s="289"/>
      <c r="BV10" s="289"/>
      <c r="BW10" s="289"/>
      <c r="BX10" s="289"/>
      <c r="BY10" s="289"/>
      <c r="BZ10" s="289"/>
      <c r="CA10" s="111"/>
      <c r="CB10" s="111"/>
      <c r="CC10" s="111"/>
      <c r="CD10" s="111"/>
      <c r="CE10" s="111"/>
      <c r="CF10" s="111"/>
      <c r="CG10" s="111"/>
      <c r="CH10" s="111"/>
      <c r="CI10" s="111"/>
      <c r="CJ10" s="111"/>
      <c r="CK10" s="111"/>
      <c r="CL10" s="111"/>
      <c r="CM10" s="111"/>
      <c r="CN10" s="111"/>
      <c r="CO10" s="111"/>
      <c r="CP10" s="111"/>
      <c r="CQ10" s="111"/>
      <c r="CR10" s="111"/>
      <c r="CS10" s="111"/>
      <c r="CT10" s="111"/>
      <c r="CU10" s="111"/>
      <c r="CV10" s="111"/>
      <c r="CW10" s="111"/>
      <c r="CX10" s="111"/>
      <c r="CY10" s="111"/>
      <c r="CZ10" s="111"/>
      <c r="DA10" s="111"/>
      <c r="DB10" s="111"/>
      <c r="DC10" s="111"/>
      <c r="DD10" s="111"/>
      <c r="DE10" s="111"/>
      <c r="DF10" s="111"/>
      <c r="DG10" s="111"/>
      <c r="DH10" s="111"/>
      <c r="DI10" s="111"/>
      <c r="DJ10" s="111"/>
      <c r="DK10" s="103"/>
      <c r="DL10" s="103"/>
      <c r="DM10" s="103"/>
      <c r="DN10" s="103"/>
      <c r="DO10" s="103"/>
      <c r="DP10" s="103"/>
      <c r="DQ10" s="103"/>
      <c r="DR10" s="103"/>
      <c r="DS10" s="103"/>
      <c r="DT10" s="103"/>
      <c r="DU10" s="103"/>
      <c r="DV10" s="103"/>
      <c r="DW10" s="103"/>
      <c r="DX10" s="103"/>
      <c r="DY10" s="103"/>
      <c r="DZ10" s="103"/>
      <c r="EA10" s="103"/>
      <c r="EB10" s="103"/>
      <c r="EC10" s="280"/>
      <c r="ED10" s="20"/>
      <c r="EE10" s="103"/>
      <c r="EF10" s="111"/>
      <c r="EG10" s="13"/>
      <c r="EH10" s="103"/>
      <c r="EI10" s="111"/>
      <c r="EJ10" s="111"/>
      <c r="EK10" s="111"/>
      <c r="EL10" s="111"/>
      <c r="EM10" s="111"/>
      <c r="EN10" s="111"/>
      <c r="EO10" s="111"/>
      <c r="EP10" s="111"/>
      <c r="EQ10" s="111"/>
      <c r="ER10" s="111"/>
      <c r="ES10" s="111"/>
      <c r="ET10" s="111"/>
      <c r="EU10" s="111"/>
      <c r="EV10" s="111"/>
      <c r="EW10" s="111"/>
      <c r="EX10" s="111"/>
      <c r="EY10" s="111"/>
      <c r="EZ10" s="111"/>
      <c r="FA10" s="111"/>
      <c r="FB10" s="111"/>
      <c r="FC10" s="111"/>
      <c r="FD10" s="111"/>
      <c r="FE10" s="111"/>
      <c r="FF10" s="111"/>
      <c r="FG10" s="111"/>
      <c r="FH10" s="111"/>
      <c r="FI10" s="111"/>
      <c r="FJ10" s="111"/>
      <c r="FK10" s="111"/>
      <c r="FL10" s="111"/>
      <c r="FM10" s="111"/>
      <c r="FN10" s="111"/>
      <c r="FO10" s="103"/>
      <c r="FP10" s="103"/>
      <c r="FQ10" s="103"/>
      <c r="FR10" s="103"/>
      <c r="FS10" s="103"/>
      <c r="FT10" s="103"/>
      <c r="FU10" s="103"/>
      <c r="FV10" s="103"/>
      <c r="FW10" s="387">
        <v>1</v>
      </c>
      <c r="FX10" s="103"/>
      <c r="FY10" s="280"/>
      <c r="FZ10" s="266" t="s">
        <v>822</v>
      </c>
      <c r="GA10" s="266" t="str">
        <f>CONCATENATE("Acceder al sistema Gemma con usuario y perfil activo para la funcionalidad modulo Maestro - Cliente, hacer clic en el boton,"," ",IF(H10=1,"Modificar un registro","")," ",IF(I10=1,"Eliminar un registro","")," ",IF(G10=1,"Agregar un nuevo registro con ","")," Tipo de Cliente ",IF(N10=1,$N$5,IF(O10=1,$O$5,IF(P10=1,$P$5,"")))," campos opcionales ",IF(FY10=1,"Exportar Documento Excel","")," presionar ",IF(FW10=1,$FW$4,"")," ")</f>
        <v xml:space="preserve">Acceder al sistema Gemma con usuario y perfil activo para la funcionalidad modulo Maestro - Cliente, hacer clic en el boton,   Agregar un nuevo registro con  Tipo de Cliente Dependiente campos opcionales  presionar Confirmar  </v>
      </c>
      <c r="GB10" s="267" t="s">
        <v>1297</v>
      </c>
      <c r="GC10" s="267" t="s">
        <v>1289</v>
      </c>
    </row>
    <row r="11" spans="1:185" s="109" customFormat="1" ht="15" customHeight="1" x14ac:dyDescent="0.25">
      <c r="A11" s="20"/>
      <c r="B11" s="13"/>
      <c r="C11" s="13"/>
      <c r="D11" s="13"/>
      <c r="E11" s="13"/>
      <c r="F11" s="103"/>
      <c r="G11" s="111">
        <v>1</v>
      </c>
      <c r="H11" s="13"/>
      <c r="I11" s="103"/>
      <c r="J11" s="90" t="s">
        <v>798</v>
      </c>
      <c r="K11" s="90"/>
      <c r="L11" s="90"/>
      <c r="M11" s="355" t="s">
        <v>799</v>
      </c>
      <c r="N11" s="289"/>
      <c r="O11" s="289"/>
      <c r="P11" s="289">
        <v>1</v>
      </c>
      <c r="Q11" s="111"/>
      <c r="R11" s="111"/>
      <c r="S11" s="111"/>
      <c r="T11" s="390"/>
      <c r="U11" s="289"/>
      <c r="V11" s="289"/>
      <c r="W11" s="289"/>
      <c r="X11" s="289"/>
      <c r="Y11" s="289"/>
      <c r="Z11" s="289"/>
      <c r="AA11" s="289"/>
      <c r="AB11" s="289"/>
      <c r="AC11" s="289"/>
      <c r="AD11" s="289"/>
      <c r="AE11" s="289"/>
      <c r="AF11" s="289"/>
      <c r="AG11" s="289"/>
      <c r="AH11" s="289"/>
      <c r="AI11" s="289"/>
      <c r="AJ11" s="289"/>
      <c r="AK11" s="289"/>
      <c r="AL11" s="289"/>
      <c r="AM11" s="289"/>
      <c r="AN11" s="289"/>
      <c r="AO11" s="289"/>
      <c r="AP11" s="280"/>
      <c r="AQ11" s="20"/>
      <c r="AR11" s="103"/>
      <c r="AS11" s="111"/>
      <c r="AT11" s="13"/>
      <c r="AU11" s="103"/>
      <c r="AV11" s="103"/>
      <c r="AW11" s="289"/>
      <c r="AX11" s="289"/>
      <c r="AY11" s="289"/>
      <c r="AZ11" s="289"/>
      <c r="BA11" s="289"/>
      <c r="BB11" s="289"/>
      <c r="BC11" s="289"/>
      <c r="BD11" s="289"/>
      <c r="BE11" s="289"/>
      <c r="BF11" s="289"/>
      <c r="BG11" s="289"/>
      <c r="BH11" s="289"/>
      <c r="BI11" s="289"/>
      <c r="BJ11" s="289"/>
      <c r="BK11" s="289"/>
      <c r="BL11" s="289"/>
      <c r="BM11" s="289"/>
      <c r="BN11" s="103"/>
      <c r="BO11" s="111"/>
      <c r="BP11" s="13"/>
      <c r="BQ11" s="289"/>
      <c r="BR11" s="289"/>
      <c r="BS11" s="289"/>
      <c r="BT11" s="289"/>
      <c r="BU11" s="289"/>
      <c r="BV11" s="289"/>
      <c r="BW11" s="289"/>
      <c r="BX11" s="289"/>
      <c r="BY11" s="289"/>
      <c r="BZ11" s="289"/>
      <c r="CA11" s="111"/>
      <c r="CB11" s="111"/>
      <c r="CC11" s="111"/>
      <c r="CD11" s="111"/>
      <c r="CE11" s="111"/>
      <c r="CF11" s="111"/>
      <c r="CG11" s="111"/>
      <c r="CH11" s="111"/>
      <c r="CI11" s="111"/>
      <c r="CJ11" s="111"/>
      <c r="CK11" s="111"/>
      <c r="CL11" s="111"/>
      <c r="CM11" s="111"/>
      <c r="CN11" s="111"/>
      <c r="CO11" s="111"/>
      <c r="CP11" s="111"/>
      <c r="CQ11" s="111"/>
      <c r="CR11" s="111"/>
      <c r="CS11" s="111"/>
      <c r="CT11" s="111"/>
      <c r="CU11" s="111"/>
      <c r="CV11" s="111"/>
      <c r="CW11" s="111"/>
      <c r="CX11" s="111"/>
      <c r="CY11" s="111"/>
      <c r="CZ11" s="111"/>
      <c r="DA11" s="111"/>
      <c r="DB11" s="111"/>
      <c r="DC11" s="111"/>
      <c r="DD11" s="111"/>
      <c r="DE11" s="111"/>
      <c r="DF11" s="111"/>
      <c r="DG11" s="111"/>
      <c r="DH11" s="111"/>
      <c r="DI11" s="111"/>
      <c r="DJ11" s="111"/>
      <c r="DK11" s="103"/>
      <c r="DL11" s="103"/>
      <c r="DM11" s="103"/>
      <c r="DN11" s="103"/>
      <c r="DO11" s="103"/>
      <c r="DP11" s="103"/>
      <c r="DQ11" s="103"/>
      <c r="DR11" s="103"/>
      <c r="DS11" s="103"/>
      <c r="DT11" s="103"/>
      <c r="DU11" s="103"/>
      <c r="DV11" s="103"/>
      <c r="DW11" s="103"/>
      <c r="DX11" s="103"/>
      <c r="DY11" s="103"/>
      <c r="DZ11" s="103"/>
      <c r="EA11" s="103"/>
      <c r="EB11" s="103"/>
      <c r="EC11" s="280"/>
      <c r="ED11" s="20"/>
      <c r="EE11" s="103"/>
      <c r="EF11" s="111"/>
      <c r="EG11" s="13"/>
      <c r="EH11" s="103"/>
      <c r="EI11" s="111"/>
      <c r="EJ11" s="111"/>
      <c r="EK11" s="111"/>
      <c r="EL11" s="111"/>
      <c r="EM11" s="111"/>
      <c r="EN11" s="111"/>
      <c r="EO11" s="111"/>
      <c r="EP11" s="111"/>
      <c r="EQ11" s="111"/>
      <c r="ER11" s="111"/>
      <c r="ES11" s="111"/>
      <c r="ET11" s="111"/>
      <c r="EU11" s="111"/>
      <c r="EV11" s="111"/>
      <c r="EW11" s="111"/>
      <c r="EX11" s="111"/>
      <c r="EY11" s="111"/>
      <c r="EZ11" s="111"/>
      <c r="FA11" s="111"/>
      <c r="FB11" s="111"/>
      <c r="FC11" s="111"/>
      <c r="FD11" s="111"/>
      <c r="FE11" s="111"/>
      <c r="FF11" s="111"/>
      <c r="FG11" s="111"/>
      <c r="FH11" s="111"/>
      <c r="FI11" s="111"/>
      <c r="FJ11" s="111"/>
      <c r="FK11" s="111"/>
      <c r="FL11" s="111"/>
      <c r="FM11" s="111"/>
      <c r="FN11" s="111"/>
      <c r="FO11" s="103"/>
      <c r="FP11" s="103"/>
      <c r="FQ11" s="103"/>
      <c r="FR11" s="103"/>
      <c r="FS11" s="103"/>
      <c r="FT11" s="103"/>
      <c r="FU11" s="103"/>
      <c r="FV11" s="103"/>
      <c r="FW11" s="392">
        <v>1</v>
      </c>
      <c r="FX11" s="103"/>
      <c r="FY11" s="280"/>
      <c r="FZ11" s="266" t="s">
        <v>820</v>
      </c>
      <c r="GA11" s="266" t="str">
        <f>CONCATENATE("Acceder al sistema Gemma con usuario y perfil activo para la funcionalidad modulo Maestro - Cliente, hacer clic en el boton,"," ",IF(H11=1,"Modificar un registro","")," ",IF(I11=1,"Eliminar un registro","")," ",IF(G11=1,"Agregar un nuevo registro con ","")," Tipo de Cliente ",IF(N11=1,$N$5,IF(O11=1,$O$5,IF(P11=1,$P$5,""))),"  ",IF(FY11=1,"Exportar Documento Excel","")," presionar ",IF(FW11=1,$FW$4,"")," ")</f>
        <v xml:space="preserve">Acceder al sistema Gemma con usuario y perfil activo para la funcionalidad modulo Maestro - Cliente, hacer clic en el boton,   Agregar un nuevo registro con  Tipo de Cliente Empresa   presionar Confirmar  </v>
      </c>
      <c r="GB11" s="267" t="s">
        <v>1299</v>
      </c>
      <c r="GC11" s="267" t="s">
        <v>1285</v>
      </c>
    </row>
    <row r="12" spans="1:185" s="109" customFormat="1" ht="15" customHeight="1" x14ac:dyDescent="0.25">
      <c r="A12" s="20" t="s">
        <v>789</v>
      </c>
      <c r="B12" s="13"/>
      <c r="C12" s="13"/>
      <c r="D12" s="13"/>
      <c r="E12" s="13"/>
      <c r="F12" s="103"/>
      <c r="G12" s="111"/>
      <c r="H12" s="13">
        <v>1</v>
      </c>
      <c r="I12" s="103"/>
      <c r="J12" s="90"/>
      <c r="K12" s="90"/>
      <c r="L12" s="90"/>
      <c r="M12" s="355"/>
      <c r="N12" s="289"/>
      <c r="O12" s="289"/>
      <c r="P12" s="289"/>
      <c r="Q12" s="111"/>
      <c r="R12" s="111"/>
      <c r="S12" s="111"/>
      <c r="T12" s="390"/>
      <c r="U12" s="289"/>
      <c r="V12" s="289"/>
      <c r="W12" s="289"/>
      <c r="X12" s="289"/>
      <c r="Y12" s="289"/>
      <c r="Z12" s="289"/>
      <c r="AA12" s="289"/>
      <c r="AB12" s="289"/>
      <c r="AC12" s="289"/>
      <c r="AD12" s="289"/>
      <c r="AE12" s="289"/>
      <c r="AF12" s="289"/>
      <c r="AG12" s="289"/>
      <c r="AH12" s="289"/>
      <c r="AI12" s="289"/>
      <c r="AJ12" s="289"/>
      <c r="AK12" s="289"/>
      <c r="AL12" s="289"/>
      <c r="AM12" s="289"/>
      <c r="AN12" s="289"/>
      <c r="AO12" s="289"/>
      <c r="AP12" s="280"/>
      <c r="AQ12" s="393" t="s">
        <v>789</v>
      </c>
      <c r="AR12" s="391" t="s">
        <v>788</v>
      </c>
      <c r="AS12" s="90">
        <v>28509</v>
      </c>
      <c r="AT12" s="111" t="s">
        <v>800</v>
      </c>
      <c r="AU12" s="90" t="s">
        <v>791</v>
      </c>
      <c r="AV12" s="90" t="s">
        <v>801</v>
      </c>
      <c r="AW12" s="289"/>
      <c r="AX12" s="289">
        <v>1</v>
      </c>
      <c r="AY12" s="289">
        <v>1</v>
      </c>
      <c r="AZ12" s="289"/>
      <c r="BA12" s="289"/>
      <c r="BB12" s="289"/>
      <c r="BC12" s="289">
        <v>1</v>
      </c>
      <c r="BD12" s="289"/>
      <c r="BE12" s="289"/>
      <c r="BF12" s="289"/>
      <c r="BG12" s="289"/>
      <c r="BH12" s="289">
        <v>1</v>
      </c>
      <c r="BI12" s="289"/>
      <c r="BJ12" s="289"/>
      <c r="BK12" s="289"/>
      <c r="BL12" s="289">
        <v>1</v>
      </c>
      <c r="BM12" s="289"/>
      <c r="BN12" s="111">
        <v>223963369</v>
      </c>
      <c r="BO12" s="111">
        <v>985588855</v>
      </c>
      <c r="BP12" s="111" t="s">
        <v>802</v>
      </c>
      <c r="BQ12" s="289">
        <v>1</v>
      </c>
      <c r="BR12" s="289"/>
      <c r="BS12" s="289">
        <v>1</v>
      </c>
      <c r="BT12" s="289"/>
      <c r="BU12" s="289">
        <v>1</v>
      </c>
      <c r="BV12" s="289"/>
      <c r="BW12" s="289">
        <v>1</v>
      </c>
      <c r="BX12" s="289"/>
      <c r="BY12" s="289"/>
      <c r="BZ12" s="289"/>
      <c r="CA12" s="111"/>
      <c r="CB12" s="111"/>
      <c r="CC12" s="111"/>
      <c r="CD12" s="111"/>
      <c r="CE12" s="111"/>
      <c r="CF12" s="111"/>
      <c r="CG12" s="111"/>
      <c r="CH12" s="111"/>
      <c r="CI12" s="111"/>
      <c r="CJ12" s="111"/>
      <c r="CK12" s="111"/>
      <c r="CL12" s="111"/>
      <c r="CM12" s="111"/>
      <c r="CN12" s="111"/>
      <c r="CO12" s="111"/>
      <c r="CP12" s="111"/>
      <c r="CQ12" s="111">
        <v>1</v>
      </c>
      <c r="CR12" s="111"/>
      <c r="CS12" s="111"/>
      <c r="CT12" s="111"/>
      <c r="CU12" s="111"/>
      <c r="CV12" s="111">
        <v>1</v>
      </c>
      <c r="CW12" s="111"/>
      <c r="CX12" s="111"/>
      <c r="CY12" s="111"/>
      <c r="CZ12" s="111" t="s">
        <v>803</v>
      </c>
      <c r="DA12" s="111"/>
      <c r="DB12" s="111"/>
      <c r="DC12" s="111"/>
      <c r="DD12" s="111">
        <v>1</v>
      </c>
      <c r="DE12" s="111"/>
      <c r="DF12" s="111">
        <v>1</v>
      </c>
      <c r="DG12" s="111"/>
      <c r="DH12" s="111">
        <v>1</v>
      </c>
      <c r="DI12" s="111"/>
      <c r="DJ12" s="111"/>
      <c r="DK12" s="103"/>
      <c r="DL12" s="103"/>
      <c r="DM12" s="103"/>
      <c r="DN12" s="103"/>
      <c r="DO12" s="103"/>
      <c r="DP12" s="103"/>
      <c r="DQ12" s="103"/>
      <c r="DR12" s="103"/>
      <c r="DS12" s="111">
        <v>1</v>
      </c>
      <c r="DT12" s="103"/>
      <c r="DU12" s="103"/>
      <c r="DV12" s="103"/>
      <c r="DW12" s="103"/>
      <c r="DX12" s="103"/>
      <c r="DY12" s="103"/>
      <c r="DZ12" s="103"/>
      <c r="EA12" s="103"/>
      <c r="EB12" s="103"/>
      <c r="EC12" s="280"/>
      <c r="ED12" s="20"/>
      <c r="EE12" s="103"/>
      <c r="EF12" s="111"/>
      <c r="EG12" s="13"/>
      <c r="EH12" s="103"/>
      <c r="EI12" s="111"/>
      <c r="EJ12" s="111"/>
      <c r="EK12" s="111"/>
      <c r="EL12" s="111"/>
      <c r="EM12" s="111"/>
      <c r="EN12" s="111"/>
      <c r="EO12" s="111"/>
      <c r="EP12" s="111"/>
      <c r="EQ12" s="111"/>
      <c r="ER12" s="111"/>
      <c r="ES12" s="111"/>
      <c r="ET12" s="111"/>
      <c r="EU12" s="111"/>
      <c r="EV12" s="111"/>
      <c r="EW12" s="111"/>
      <c r="EX12" s="111"/>
      <c r="EY12" s="111"/>
      <c r="EZ12" s="111"/>
      <c r="FA12" s="111"/>
      <c r="FB12" s="111"/>
      <c r="FC12" s="111"/>
      <c r="FD12" s="111"/>
      <c r="FE12" s="111"/>
      <c r="FF12" s="111"/>
      <c r="FG12" s="111"/>
      <c r="FH12" s="111"/>
      <c r="FI12" s="111"/>
      <c r="FJ12" s="111"/>
      <c r="FK12" s="111"/>
      <c r="FL12" s="111"/>
      <c r="FM12" s="111"/>
      <c r="FN12" s="111"/>
      <c r="FO12" s="103"/>
      <c r="FP12" s="103"/>
      <c r="FQ12" s="103"/>
      <c r="FR12" s="103"/>
      <c r="FS12" s="103"/>
      <c r="FT12" s="103"/>
      <c r="FU12" s="103"/>
      <c r="FV12" s="103"/>
      <c r="FW12" s="392">
        <v>1</v>
      </c>
      <c r="FX12" s="103"/>
      <c r="FY12" s="280"/>
      <c r="FZ12" s="266" t="s">
        <v>1283</v>
      </c>
      <c r="GA12" s="266" t="str">
        <f>CONCATENATE("Acceder al sistema Gemma con usuario y perfil activo para la funcionalidad modulo Maestro - Cliente, buscando valores en el filtro,"," hacer clic en el boton  ",IF(H12=1,"Modificar un registro","")," ",IF(I12=1,"Eliminar un registro","")," ",IF(G12=1,"Agregar un nuevo registro","")," ",IF(FY12=1,"Exportar Documento Excel","")," presionar ",IF(FW12=1,$FW$4,"")," ","")</f>
        <v xml:space="preserve">Acceder al sistema Gemma con usuario y perfil activo para la funcionalidad modulo Maestro - Cliente, buscando valores en el filtro, hacer clic en el boton  Modificar un registro    presionar Confirmar  </v>
      </c>
      <c r="GB12" s="267" t="s">
        <v>1300</v>
      </c>
      <c r="GC12" s="267" t="s">
        <v>1009</v>
      </c>
    </row>
    <row r="13" spans="1:185" s="109" customFormat="1" ht="15" customHeight="1" x14ac:dyDescent="0.25">
      <c r="A13" s="20"/>
      <c r="B13" s="111" t="s">
        <v>804</v>
      </c>
      <c r="C13" s="13"/>
      <c r="D13" s="13"/>
      <c r="E13" s="13"/>
      <c r="F13" s="13">
        <v>1</v>
      </c>
      <c r="G13" s="111"/>
      <c r="H13" s="13">
        <v>1</v>
      </c>
      <c r="I13" s="103"/>
      <c r="J13" s="90"/>
      <c r="K13" s="90"/>
      <c r="L13" s="90"/>
      <c r="M13" s="355"/>
      <c r="N13" s="289"/>
      <c r="O13" s="289"/>
      <c r="P13" s="289"/>
      <c r="Q13" s="111"/>
      <c r="R13" s="111"/>
      <c r="S13" s="111"/>
      <c r="T13" s="390"/>
      <c r="U13" s="289"/>
      <c r="V13" s="289"/>
      <c r="W13" s="289"/>
      <c r="X13" s="289"/>
      <c r="Y13" s="289"/>
      <c r="Z13" s="289"/>
      <c r="AA13" s="289"/>
      <c r="AB13" s="289"/>
      <c r="AC13" s="289"/>
      <c r="AD13" s="289"/>
      <c r="AE13" s="289"/>
      <c r="AF13" s="289"/>
      <c r="AG13" s="289"/>
      <c r="AH13" s="289"/>
      <c r="AI13" s="289"/>
      <c r="AJ13" s="289"/>
      <c r="AK13" s="289"/>
      <c r="AL13" s="289"/>
      <c r="AM13" s="289"/>
      <c r="AN13" s="289"/>
      <c r="AO13" s="289"/>
      <c r="AP13" s="280"/>
      <c r="AQ13" s="393" t="s">
        <v>789</v>
      </c>
      <c r="AR13" s="391" t="s">
        <v>788</v>
      </c>
      <c r="AS13" s="90">
        <v>28509</v>
      </c>
      <c r="AT13" s="111" t="s">
        <v>800</v>
      </c>
      <c r="AU13" s="90" t="s">
        <v>791</v>
      </c>
      <c r="AV13" s="90" t="s">
        <v>801</v>
      </c>
      <c r="AW13" s="289"/>
      <c r="AX13" s="289">
        <v>1</v>
      </c>
      <c r="AY13" s="289">
        <v>1</v>
      </c>
      <c r="AZ13" s="289"/>
      <c r="BA13" s="289"/>
      <c r="BB13" s="289"/>
      <c r="BC13" s="289">
        <v>1</v>
      </c>
      <c r="BD13" s="289"/>
      <c r="BE13" s="289"/>
      <c r="BF13" s="289"/>
      <c r="BG13" s="289"/>
      <c r="BH13" s="289">
        <v>1</v>
      </c>
      <c r="BI13" s="289"/>
      <c r="BJ13" s="289"/>
      <c r="BK13" s="289"/>
      <c r="BL13" s="289">
        <v>1</v>
      </c>
      <c r="BM13" s="289"/>
      <c r="BN13" s="111">
        <v>223963369</v>
      </c>
      <c r="BO13" s="111">
        <v>985588855</v>
      </c>
      <c r="BP13" s="111" t="s">
        <v>802</v>
      </c>
      <c r="BQ13" s="289">
        <v>1</v>
      </c>
      <c r="BR13" s="289"/>
      <c r="BS13" s="289">
        <v>1</v>
      </c>
      <c r="BT13" s="289"/>
      <c r="BU13" s="289">
        <v>1</v>
      </c>
      <c r="BV13" s="289"/>
      <c r="BW13" s="289">
        <v>1</v>
      </c>
      <c r="BX13" s="289"/>
      <c r="BY13" s="289"/>
      <c r="BZ13" s="289"/>
      <c r="CA13" s="111"/>
      <c r="CB13" s="290">
        <v>300000</v>
      </c>
      <c r="CC13" s="111"/>
      <c r="CD13" s="111"/>
      <c r="CE13" s="111"/>
      <c r="CF13" s="111"/>
      <c r="CG13" s="111"/>
      <c r="CH13" s="111"/>
      <c r="CI13" s="111"/>
      <c r="CJ13" s="111"/>
      <c r="CK13" s="111"/>
      <c r="CL13" s="111"/>
      <c r="CM13" s="111"/>
      <c r="CN13" s="111"/>
      <c r="CO13" s="111"/>
      <c r="CP13" s="111"/>
      <c r="CQ13" s="111">
        <v>1</v>
      </c>
      <c r="CR13" s="111"/>
      <c r="CS13" s="111"/>
      <c r="CT13" s="111" t="s">
        <v>805</v>
      </c>
      <c r="CU13" s="111"/>
      <c r="CV13" s="111">
        <v>1</v>
      </c>
      <c r="CW13" s="111"/>
      <c r="CX13" s="111"/>
      <c r="CY13" s="111" t="s">
        <v>806</v>
      </c>
      <c r="CZ13" s="111"/>
      <c r="DA13" s="111"/>
      <c r="DB13" s="111"/>
      <c r="DC13" s="111">
        <v>1</v>
      </c>
      <c r="DD13" s="111"/>
      <c r="DE13" s="111">
        <v>1</v>
      </c>
      <c r="DF13" s="111"/>
      <c r="DG13" s="111">
        <v>1</v>
      </c>
      <c r="DH13" s="111"/>
      <c r="DI13" s="111" t="s">
        <v>807</v>
      </c>
      <c r="DJ13" s="111"/>
      <c r="DK13" s="103"/>
      <c r="DL13" s="104">
        <v>1000000</v>
      </c>
      <c r="DM13" s="103"/>
      <c r="DN13" s="103"/>
      <c r="DO13" s="103"/>
      <c r="DP13" s="103"/>
      <c r="DQ13" s="103"/>
      <c r="DR13" s="103"/>
      <c r="DS13" s="111">
        <v>1</v>
      </c>
      <c r="DT13" s="103"/>
      <c r="DU13" s="103"/>
      <c r="DV13" s="103"/>
      <c r="DW13" s="103"/>
      <c r="DX13" s="103"/>
      <c r="DY13" s="103"/>
      <c r="DZ13" s="103"/>
      <c r="EA13" s="103"/>
      <c r="EB13" s="103"/>
      <c r="EC13" s="280"/>
      <c r="ED13" s="20"/>
      <c r="EE13" s="103"/>
      <c r="EF13" s="111"/>
      <c r="EG13" s="13"/>
      <c r="EH13" s="103"/>
      <c r="EI13" s="111"/>
      <c r="EJ13" s="111"/>
      <c r="EK13" s="111"/>
      <c r="EL13" s="111"/>
      <c r="EM13" s="111"/>
      <c r="EN13" s="111"/>
      <c r="EO13" s="111"/>
      <c r="EP13" s="111"/>
      <c r="EQ13" s="111"/>
      <c r="ER13" s="111"/>
      <c r="ES13" s="111"/>
      <c r="ET13" s="111"/>
      <c r="EU13" s="111"/>
      <c r="EV13" s="111"/>
      <c r="EW13" s="111"/>
      <c r="EX13" s="111"/>
      <c r="EY13" s="111"/>
      <c r="EZ13" s="111"/>
      <c r="FA13" s="111"/>
      <c r="FB13" s="111"/>
      <c r="FC13" s="111"/>
      <c r="FD13" s="111"/>
      <c r="FE13" s="111"/>
      <c r="FF13" s="111"/>
      <c r="FG13" s="111"/>
      <c r="FH13" s="111"/>
      <c r="FI13" s="111"/>
      <c r="FJ13" s="111"/>
      <c r="FK13" s="111"/>
      <c r="FL13" s="111"/>
      <c r="FM13" s="111"/>
      <c r="FN13" s="111"/>
      <c r="FO13" s="103"/>
      <c r="FP13" s="103"/>
      <c r="FQ13" s="103"/>
      <c r="FR13" s="103"/>
      <c r="FS13" s="103"/>
      <c r="FT13" s="103"/>
      <c r="FU13" s="103"/>
      <c r="FV13" s="103"/>
      <c r="FW13" s="392">
        <v>1</v>
      </c>
      <c r="FX13" s="103"/>
      <c r="FY13" s="280"/>
      <c r="FZ13" s="266" t="s">
        <v>1281</v>
      </c>
      <c r="GA13" s="266" t="str">
        <f>CONCATENATE("Acceder al sistema Gemma con usuario y perfil activo para la funcionalidad modulo Maestro - Cliente, hacer clic en el boton,","  ",IF(H13=1,"Modificar un registro","")," sin seleccionar valores en el filtro ",IF(I13=1,"Eliminar un registro","")," ",IF(G13=1,"Agregar un nuevo registro","")," presionar ",IF(FY13=1,"Exportar Documento Excel","")," ",IF(FW13=1,$FW$4,""),""," ")</f>
        <v xml:space="preserve">Acceder al sistema Gemma con usuario y perfil activo para la funcionalidad modulo Maestro - Cliente, hacer clic en el boton,  Modificar un registro sin seleccionar valores en el filtro   presionar  Confirmar  </v>
      </c>
      <c r="GB13" s="267" t="s">
        <v>1301</v>
      </c>
      <c r="GC13" s="267" t="s">
        <v>1010</v>
      </c>
    </row>
    <row r="14" spans="1:185" s="109" customFormat="1" x14ac:dyDescent="0.25">
      <c r="A14" s="291" t="s">
        <v>813</v>
      </c>
      <c r="B14" s="111"/>
      <c r="C14" s="13"/>
      <c r="D14" s="13"/>
      <c r="E14" s="13"/>
      <c r="F14" s="13">
        <v>1</v>
      </c>
      <c r="G14" s="111"/>
      <c r="H14" s="13"/>
      <c r="I14" s="111">
        <v>1</v>
      </c>
      <c r="J14" s="103"/>
      <c r="K14" s="103"/>
      <c r="L14" s="103"/>
      <c r="M14" s="103"/>
      <c r="N14" s="289"/>
      <c r="O14" s="289"/>
      <c r="P14" s="289"/>
      <c r="Q14" s="111"/>
      <c r="R14" s="111"/>
      <c r="S14" s="111"/>
      <c r="T14" s="111"/>
      <c r="U14" s="289"/>
      <c r="V14" s="289"/>
      <c r="W14" s="289"/>
      <c r="X14" s="289"/>
      <c r="Y14" s="289"/>
      <c r="Z14" s="289"/>
      <c r="AA14" s="289"/>
      <c r="AB14" s="289"/>
      <c r="AC14" s="289"/>
      <c r="AD14" s="289"/>
      <c r="AE14" s="289"/>
      <c r="AF14" s="289"/>
      <c r="AG14" s="289"/>
      <c r="AH14" s="289"/>
      <c r="AI14" s="289"/>
      <c r="AJ14" s="289"/>
      <c r="AK14" s="289"/>
      <c r="AL14" s="289"/>
      <c r="AM14" s="289"/>
      <c r="AN14" s="289"/>
      <c r="AO14" s="289"/>
      <c r="AP14" s="280"/>
      <c r="AQ14" s="20"/>
      <c r="AR14" s="103"/>
      <c r="AS14" s="111"/>
      <c r="AT14" s="13"/>
      <c r="AU14" s="103"/>
      <c r="AV14" s="103"/>
      <c r="AW14" s="111"/>
      <c r="AX14" s="103"/>
      <c r="AY14" s="111"/>
      <c r="AZ14" s="103"/>
      <c r="BA14" s="111"/>
      <c r="BB14" s="111"/>
      <c r="BC14" s="111"/>
      <c r="BD14" s="103"/>
      <c r="BE14" s="111"/>
      <c r="BF14" s="103"/>
      <c r="BG14" s="103"/>
      <c r="BH14" s="103"/>
      <c r="BI14" s="111"/>
      <c r="BJ14" s="111"/>
      <c r="BK14" s="103"/>
      <c r="BL14" s="103"/>
      <c r="BM14" s="111"/>
      <c r="BN14" s="103"/>
      <c r="BO14" s="111"/>
      <c r="BP14" s="13"/>
      <c r="BQ14" s="103"/>
      <c r="BR14" s="111"/>
      <c r="BS14" s="103"/>
      <c r="BT14" s="111"/>
      <c r="BU14" s="111"/>
      <c r="BV14" s="111"/>
      <c r="BW14" s="111"/>
      <c r="BX14" s="111"/>
      <c r="BY14" s="103"/>
      <c r="BZ14" s="111"/>
      <c r="CA14" s="111"/>
      <c r="CB14" s="111"/>
      <c r="CC14" s="111"/>
      <c r="CD14" s="111"/>
      <c r="CE14" s="111"/>
      <c r="CF14" s="111"/>
      <c r="CG14" s="111"/>
      <c r="CH14" s="111"/>
      <c r="CI14" s="111"/>
      <c r="CJ14" s="111"/>
      <c r="CK14" s="111"/>
      <c r="CL14" s="111"/>
      <c r="CM14" s="111"/>
      <c r="CN14" s="111"/>
      <c r="CO14" s="111"/>
      <c r="CP14" s="111"/>
      <c r="CQ14" s="111"/>
      <c r="CR14" s="111"/>
      <c r="CS14" s="111"/>
      <c r="CT14" s="111"/>
      <c r="CU14" s="111"/>
      <c r="CV14" s="111"/>
      <c r="CW14" s="111"/>
      <c r="CX14" s="111"/>
      <c r="CY14" s="111"/>
      <c r="CZ14" s="111"/>
      <c r="DA14" s="111"/>
      <c r="DB14" s="111"/>
      <c r="DC14" s="111"/>
      <c r="DD14" s="111"/>
      <c r="DE14" s="111"/>
      <c r="DF14" s="111"/>
      <c r="DG14" s="111"/>
      <c r="DH14" s="111"/>
      <c r="DI14" s="111"/>
      <c r="DJ14" s="111"/>
      <c r="DK14" s="103"/>
      <c r="DL14" s="103"/>
      <c r="DM14" s="103"/>
      <c r="DN14" s="103"/>
      <c r="DO14" s="103"/>
      <c r="DP14" s="103"/>
      <c r="DQ14" s="103"/>
      <c r="DR14" s="103"/>
      <c r="DS14" s="111"/>
      <c r="DT14" s="103"/>
      <c r="DU14" s="103"/>
      <c r="DV14" s="103"/>
      <c r="DW14" s="103"/>
      <c r="DX14" s="103"/>
      <c r="DY14" s="103"/>
      <c r="DZ14" s="103"/>
      <c r="EA14" s="103"/>
      <c r="EB14" s="103"/>
      <c r="EC14" s="280"/>
      <c r="ED14" s="20"/>
      <c r="EE14" s="111"/>
      <c r="EF14" s="111"/>
      <c r="EG14" s="13"/>
      <c r="EH14" s="13"/>
      <c r="EI14" s="111"/>
      <c r="EJ14" s="111"/>
      <c r="EK14" s="111"/>
      <c r="EL14" s="111"/>
      <c r="EM14" s="111"/>
      <c r="EN14" s="111"/>
      <c r="EO14" s="111"/>
      <c r="EP14" s="111"/>
      <c r="EQ14" s="111"/>
      <c r="ER14" s="111"/>
      <c r="ES14" s="111"/>
      <c r="ET14" s="111"/>
      <c r="EU14" s="111"/>
      <c r="EV14" s="111"/>
      <c r="EW14" s="111"/>
      <c r="EX14" s="111"/>
      <c r="EY14" s="111"/>
      <c r="EZ14" s="111"/>
      <c r="FA14" s="111"/>
      <c r="FB14" s="111"/>
      <c r="FC14" s="111"/>
      <c r="FD14" s="111"/>
      <c r="FE14" s="111"/>
      <c r="FF14" s="111"/>
      <c r="FG14" s="111"/>
      <c r="FH14" s="111"/>
      <c r="FI14" s="111"/>
      <c r="FJ14" s="111"/>
      <c r="FK14" s="111"/>
      <c r="FL14" s="111"/>
      <c r="FM14" s="111"/>
      <c r="FN14" s="111"/>
      <c r="FO14" s="103"/>
      <c r="FP14" s="103"/>
      <c r="FQ14" s="103"/>
      <c r="FR14" s="103"/>
      <c r="FS14" s="103"/>
      <c r="FT14" s="103"/>
      <c r="FU14" s="103"/>
      <c r="FV14" s="103"/>
      <c r="FW14" s="392">
        <v>1</v>
      </c>
      <c r="FX14" s="103"/>
      <c r="FY14" s="280"/>
      <c r="FZ14" s="266" t="s">
        <v>1282</v>
      </c>
      <c r="GA14" s="266" t="str">
        <f>CONCATENATE("Acceder al sistema Gemma con usuario y perfil activo para la funcionalidad modulo Maestro - Cliente, buscando valores en el filtro,"," hacer clic en el botón ",IF(H14=1,"Modificar un registro","")," ",IF(I14=1,"Eliminar un registro","")," ",IF(G14=1,"Agregar un nuevo registro","")," ",IF(FY14=1,"Exportar Documento Excel","")," presionar ",IF(FW14=1,$FW$4,""),"")</f>
        <v xml:space="preserve">Acceder al sistema Gemma con usuario y perfil activo para la funcionalidad modulo Maestro - Cliente, buscando valores en el filtro, hacer clic en el botón  Eliminar un registro   presionar Confirmar </v>
      </c>
      <c r="GB14" s="267" t="s">
        <v>1302</v>
      </c>
      <c r="GC14" s="267" t="s">
        <v>1011</v>
      </c>
    </row>
    <row r="15" spans="1:185" s="109" customFormat="1" ht="15.75" thickBot="1" x14ac:dyDescent="0.3">
      <c r="A15" s="291"/>
      <c r="B15" s="272"/>
      <c r="C15" s="272"/>
      <c r="D15" s="272"/>
      <c r="E15" s="272"/>
      <c r="F15" s="272">
        <v>1</v>
      </c>
      <c r="G15" s="273"/>
      <c r="H15" s="272"/>
      <c r="I15" s="273">
        <v>1</v>
      </c>
      <c r="J15" s="318"/>
      <c r="K15" s="318"/>
      <c r="L15" s="318"/>
      <c r="M15" s="318"/>
      <c r="N15" s="396"/>
      <c r="O15" s="396"/>
      <c r="P15" s="396"/>
      <c r="Q15" s="273"/>
      <c r="R15" s="273"/>
      <c r="S15" s="273"/>
      <c r="T15" s="273"/>
      <c r="U15" s="396"/>
      <c r="V15" s="396"/>
      <c r="W15" s="396"/>
      <c r="X15" s="396"/>
      <c r="Y15" s="396"/>
      <c r="Z15" s="396"/>
      <c r="AA15" s="396"/>
      <c r="AB15" s="396"/>
      <c r="AC15" s="396"/>
      <c r="AD15" s="396"/>
      <c r="AE15" s="396"/>
      <c r="AF15" s="396"/>
      <c r="AG15" s="396"/>
      <c r="AH15" s="396"/>
      <c r="AI15" s="396"/>
      <c r="AJ15" s="396"/>
      <c r="AK15" s="396"/>
      <c r="AL15" s="396"/>
      <c r="AM15" s="396"/>
      <c r="AN15" s="396"/>
      <c r="AO15" s="396"/>
      <c r="AP15" s="316"/>
      <c r="AQ15" s="291"/>
      <c r="AR15" s="318"/>
      <c r="AS15" s="273"/>
      <c r="AT15" s="272"/>
      <c r="AU15" s="318"/>
      <c r="AV15" s="318"/>
      <c r="AW15" s="273"/>
      <c r="AX15" s="318"/>
      <c r="AY15" s="273"/>
      <c r="AZ15" s="318"/>
      <c r="BA15" s="273"/>
      <c r="BB15" s="273"/>
      <c r="BC15" s="273"/>
      <c r="BD15" s="318"/>
      <c r="BE15" s="273"/>
      <c r="BF15" s="318"/>
      <c r="BG15" s="318"/>
      <c r="BH15" s="318"/>
      <c r="BI15" s="273"/>
      <c r="BJ15" s="273"/>
      <c r="BK15" s="318"/>
      <c r="BL15" s="318"/>
      <c r="BM15" s="273"/>
      <c r="BN15" s="318"/>
      <c r="BO15" s="273"/>
      <c r="BP15" s="272"/>
      <c r="BQ15" s="318"/>
      <c r="BR15" s="273"/>
      <c r="BS15" s="318"/>
      <c r="BT15" s="273"/>
      <c r="BU15" s="273"/>
      <c r="BV15" s="273"/>
      <c r="BW15" s="273"/>
      <c r="BX15" s="273"/>
      <c r="BY15" s="318"/>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273"/>
      <c r="DH15" s="273"/>
      <c r="DI15" s="273"/>
      <c r="DJ15" s="273"/>
      <c r="DK15" s="318"/>
      <c r="DL15" s="318"/>
      <c r="DM15" s="318"/>
      <c r="DN15" s="318"/>
      <c r="DO15" s="318"/>
      <c r="DP15" s="318"/>
      <c r="DQ15" s="318"/>
      <c r="DR15" s="318"/>
      <c r="DS15" s="318"/>
      <c r="DT15" s="318"/>
      <c r="DU15" s="318"/>
      <c r="DV15" s="318"/>
      <c r="DW15" s="318"/>
      <c r="DX15" s="318"/>
      <c r="DY15" s="318"/>
      <c r="DZ15" s="318"/>
      <c r="EA15" s="318"/>
      <c r="EB15" s="318"/>
      <c r="EC15" s="316"/>
      <c r="ED15" s="291"/>
      <c r="EE15" s="318"/>
      <c r="EF15" s="273"/>
      <c r="EG15" s="272"/>
      <c r="EH15" s="318"/>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273"/>
      <c r="FF15" s="273"/>
      <c r="FG15" s="273"/>
      <c r="FH15" s="273"/>
      <c r="FI15" s="273"/>
      <c r="FJ15" s="273"/>
      <c r="FK15" s="273"/>
      <c r="FL15" s="273"/>
      <c r="FM15" s="273"/>
      <c r="FN15" s="273"/>
      <c r="FO15" s="318"/>
      <c r="FP15" s="318"/>
      <c r="FQ15" s="318"/>
      <c r="FR15" s="318"/>
      <c r="FS15" s="318"/>
      <c r="FT15" s="318"/>
      <c r="FU15" s="318"/>
      <c r="FV15" s="318"/>
      <c r="FW15" s="402">
        <v>1</v>
      </c>
      <c r="FX15" s="318"/>
      <c r="FY15" s="316"/>
      <c r="FZ15" s="266" t="s">
        <v>1284</v>
      </c>
      <c r="GA15" s="266" t="str">
        <f>CONCATENATE("Acceder al sistema Gemma con usuario y perfil activo para la funcionalidad modulo Maestro - Cliente, hacer clic en el boton,"," ",IF(H15=1,"Modificar un registro","")," ",IF(I15=1,"Eliminar un registro","")," de la tabla consulta ",IF(G15=1,"Agregar un nuevo registro","")," ",IF(FY15=1,"Exportar Documento Excel",""),"presionar ",IF(FW15=1,$FW$4,"")," ")</f>
        <v xml:space="preserve">Acceder al sistema Gemma con usuario y perfil activo para la funcionalidad modulo Maestro - Cliente, hacer clic en el boton,  Eliminar un registro de la tabla consulta  presionar Confirmar  </v>
      </c>
      <c r="GB15" s="267" t="s">
        <v>1303</v>
      </c>
      <c r="GC15" s="267" t="s">
        <v>1012</v>
      </c>
    </row>
    <row r="16" spans="1:185" s="109" customFormat="1" ht="15.75" thickTop="1" x14ac:dyDescent="0.25">
      <c r="A16" s="292" t="s">
        <v>547</v>
      </c>
      <c r="B16" s="106" t="s">
        <v>1022</v>
      </c>
      <c r="C16" s="293"/>
      <c r="D16" s="293"/>
      <c r="E16" s="293"/>
      <c r="F16" s="293">
        <v>1</v>
      </c>
      <c r="G16" s="106"/>
      <c r="H16" s="293"/>
      <c r="I16" s="397"/>
      <c r="J16" s="397"/>
      <c r="K16" s="397"/>
      <c r="L16" s="397"/>
      <c r="M16" s="397"/>
      <c r="N16" s="398"/>
      <c r="O16" s="398"/>
      <c r="P16" s="398"/>
      <c r="Q16" s="106"/>
      <c r="R16" s="106"/>
      <c r="S16" s="106"/>
      <c r="T16" s="106"/>
      <c r="U16" s="398"/>
      <c r="V16" s="398"/>
      <c r="W16" s="398"/>
      <c r="X16" s="398"/>
      <c r="Y16" s="398"/>
      <c r="Z16" s="398"/>
      <c r="AA16" s="398"/>
      <c r="AB16" s="398"/>
      <c r="AC16" s="398"/>
      <c r="AD16" s="398"/>
      <c r="AE16" s="398"/>
      <c r="AF16" s="398"/>
      <c r="AG16" s="398"/>
      <c r="AH16" s="398"/>
      <c r="AI16" s="398"/>
      <c r="AJ16" s="398"/>
      <c r="AK16" s="398"/>
      <c r="AL16" s="398"/>
      <c r="AM16" s="398"/>
      <c r="AN16" s="398"/>
      <c r="AO16" s="398"/>
      <c r="AP16" s="294"/>
      <c r="AQ16" s="399"/>
      <c r="AR16" s="400"/>
      <c r="AS16" s="401"/>
      <c r="AT16" s="106"/>
      <c r="AU16" s="401"/>
      <c r="AV16" s="401"/>
      <c r="AW16" s="106"/>
      <c r="AX16" s="398"/>
      <c r="AY16" s="106"/>
      <c r="AZ16" s="397"/>
      <c r="BA16" s="106"/>
      <c r="BB16" s="106"/>
      <c r="BC16" s="106"/>
      <c r="BD16" s="397"/>
      <c r="BE16" s="106"/>
      <c r="BF16" s="397"/>
      <c r="BG16" s="106"/>
      <c r="BH16" s="397"/>
      <c r="BI16" s="106"/>
      <c r="BJ16" s="106"/>
      <c r="BK16" s="397"/>
      <c r="BL16" s="397"/>
      <c r="BM16" s="106"/>
      <c r="BN16" s="397"/>
      <c r="BO16" s="106"/>
      <c r="BP16" s="106"/>
      <c r="BQ16" s="398"/>
      <c r="BR16" s="106"/>
      <c r="BS16" s="398"/>
      <c r="BT16" s="106"/>
      <c r="BU16" s="106"/>
      <c r="BV16" s="106"/>
      <c r="BW16" s="106"/>
      <c r="BX16" s="106"/>
      <c r="BY16" s="397"/>
      <c r="BZ16" s="106"/>
      <c r="CA16" s="106"/>
      <c r="CB16" s="106"/>
      <c r="CC16" s="106"/>
      <c r="CD16" s="106"/>
      <c r="CE16" s="106"/>
      <c r="CF16" s="106"/>
      <c r="CG16" s="106"/>
      <c r="CH16" s="106"/>
      <c r="CI16" s="106"/>
      <c r="CJ16" s="106"/>
      <c r="CK16" s="106"/>
      <c r="CL16" s="106"/>
      <c r="CM16" s="106"/>
      <c r="CN16" s="106"/>
      <c r="CO16" s="106"/>
      <c r="CP16" s="106"/>
      <c r="CQ16" s="106"/>
      <c r="CR16" s="106"/>
      <c r="CS16" s="106"/>
      <c r="CT16" s="106"/>
      <c r="CU16" s="106"/>
      <c r="CV16" s="106"/>
      <c r="CW16" s="106"/>
      <c r="CX16" s="106"/>
      <c r="CY16" s="106"/>
      <c r="CZ16" s="106"/>
      <c r="DA16" s="106"/>
      <c r="DB16" s="106"/>
      <c r="DC16" s="106"/>
      <c r="DD16" s="106"/>
      <c r="DE16" s="106"/>
      <c r="DF16" s="106"/>
      <c r="DG16" s="106"/>
      <c r="DH16" s="106"/>
      <c r="DI16" s="106"/>
      <c r="DJ16" s="106"/>
      <c r="DK16" s="397"/>
      <c r="DL16" s="397"/>
      <c r="DM16" s="397"/>
      <c r="DN16" s="397"/>
      <c r="DO16" s="397"/>
      <c r="DP16" s="397"/>
      <c r="DQ16" s="397"/>
      <c r="DR16" s="397"/>
      <c r="DS16" s="397"/>
      <c r="DT16" s="397"/>
      <c r="DU16" s="397"/>
      <c r="DV16" s="397"/>
      <c r="DW16" s="397"/>
      <c r="DX16" s="397"/>
      <c r="DY16" s="397"/>
      <c r="DZ16" s="397"/>
      <c r="EA16" s="397"/>
      <c r="EB16" s="397"/>
      <c r="EC16" s="294"/>
      <c r="ED16" s="292"/>
      <c r="EE16" s="397"/>
      <c r="EF16" s="106"/>
      <c r="EG16" s="293"/>
      <c r="EH16" s="397"/>
      <c r="EI16" s="106"/>
      <c r="EJ16" s="106"/>
      <c r="EK16" s="106"/>
      <c r="EL16" s="106"/>
      <c r="EM16" s="106"/>
      <c r="EN16" s="106"/>
      <c r="EO16" s="106"/>
      <c r="EP16" s="106"/>
      <c r="EQ16" s="106"/>
      <c r="ER16" s="106"/>
      <c r="ES16" s="106"/>
      <c r="ET16" s="106"/>
      <c r="EU16" s="106"/>
      <c r="EV16" s="106"/>
      <c r="EW16" s="106"/>
      <c r="EX16" s="106"/>
      <c r="EY16" s="106"/>
      <c r="EZ16" s="106"/>
      <c r="FA16" s="106"/>
      <c r="FB16" s="106"/>
      <c r="FC16" s="106"/>
      <c r="FD16" s="106"/>
      <c r="FE16" s="106"/>
      <c r="FF16" s="106"/>
      <c r="FG16" s="106"/>
      <c r="FH16" s="106"/>
      <c r="FI16" s="106"/>
      <c r="FJ16" s="106"/>
      <c r="FK16" s="106"/>
      <c r="FL16" s="106"/>
      <c r="FM16" s="106"/>
      <c r="FN16" s="106"/>
      <c r="FO16" s="397"/>
      <c r="FP16" s="397"/>
      <c r="FQ16" s="397"/>
      <c r="FR16" s="397"/>
      <c r="FS16" s="397"/>
      <c r="FT16" s="397"/>
      <c r="FU16" s="397"/>
      <c r="FV16" s="397"/>
      <c r="FW16" s="403"/>
      <c r="FX16" s="397"/>
      <c r="FY16" s="294"/>
      <c r="FZ16" s="266" t="s">
        <v>1304</v>
      </c>
      <c r="GA16" s="266" t="str">
        <f>CONCATENATE("Acceder al sistema Gemma con usuario y perfil activo para la funcionalidad modulo Maestro - Cliente, ",IF(FY16=1,"Exportar Documento Excel","")," considerando RUT o Nombre invalido en el filtro "," ")</f>
        <v xml:space="preserve">Acceder al sistema Gemma con usuario y perfil activo para la funcionalidad modulo Maestro - Cliente,  considerando RUT o Nombre invalido en el filtro  </v>
      </c>
      <c r="GB16" s="267" t="s">
        <v>1306</v>
      </c>
      <c r="GC16" s="267" t="s">
        <v>815</v>
      </c>
    </row>
    <row r="17" spans="1:185" s="109" customFormat="1" ht="15" customHeight="1" x14ac:dyDescent="0.25">
      <c r="A17" s="20"/>
      <c r="B17" s="13"/>
      <c r="C17" s="13"/>
      <c r="D17" s="13"/>
      <c r="E17" s="13"/>
      <c r="F17" s="111">
        <v>1</v>
      </c>
      <c r="G17" s="111">
        <v>1</v>
      </c>
      <c r="H17" s="13"/>
      <c r="I17" s="103"/>
      <c r="J17" s="103"/>
      <c r="K17" s="103"/>
      <c r="L17" s="103"/>
      <c r="M17" s="103"/>
      <c r="N17" s="289"/>
      <c r="O17" s="289"/>
      <c r="P17" s="289"/>
      <c r="Q17" s="111"/>
      <c r="R17" s="111"/>
      <c r="S17" s="111"/>
      <c r="T17" s="111"/>
      <c r="U17" s="289"/>
      <c r="V17" s="289"/>
      <c r="W17" s="289"/>
      <c r="X17" s="289"/>
      <c r="Y17" s="289"/>
      <c r="Z17" s="289"/>
      <c r="AA17" s="289"/>
      <c r="AB17" s="289"/>
      <c r="AC17" s="289"/>
      <c r="AD17" s="289"/>
      <c r="AE17" s="289"/>
      <c r="AF17" s="289"/>
      <c r="AG17" s="289"/>
      <c r="AH17" s="289"/>
      <c r="AI17" s="289"/>
      <c r="AJ17" s="289"/>
      <c r="AK17" s="289"/>
      <c r="AL17" s="289"/>
      <c r="AM17" s="289"/>
      <c r="AN17" s="289"/>
      <c r="AO17" s="289"/>
      <c r="AP17" s="280"/>
      <c r="AQ17" s="20"/>
      <c r="AR17" s="103"/>
      <c r="AS17" s="111"/>
      <c r="AT17" s="13"/>
      <c r="AU17" s="103"/>
      <c r="AV17" s="103"/>
      <c r="AW17" s="111"/>
      <c r="AX17" s="103"/>
      <c r="AY17" s="111"/>
      <c r="AZ17" s="103"/>
      <c r="BA17" s="111"/>
      <c r="BB17" s="111"/>
      <c r="BC17" s="111"/>
      <c r="BD17" s="103"/>
      <c r="BE17" s="111"/>
      <c r="BF17" s="103"/>
      <c r="BG17" s="103"/>
      <c r="BH17" s="103"/>
      <c r="BI17" s="111"/>
      <c r="BJ17" s="111"/>
      <c r="BK17" s="103"/>
      <c r="BL17" s="103"/>
      <c r="BM17" s="111"/>
      <c r="BN17" s="103"/>
      <c r="BO17" s="111"/>
      <c r="BP17" s="13"/>
      <c r="BQ17" s="103"/>
      <c r="BR17" s="111"/>
      <c r="BS17" s="103"/>
      <c r="BT17" s="111"/>
      <c r="BU17" s="111"/>
      <c r="BV17" s="111"/>
      <c r="BW17" s="111"/>
      <c r="BX17" s="111"/>
      <c r="BY17" s="103"/>
      <c r="BZ17" s="111"/>
      <c r="CA17" s="111"/>
      <c r="CB17" s="111"/>
      <c r="CC17" s="111"/>
      <c r="CD17" s="111"/>
      <c r="CE17" s="111"/>
      <c r="CF17" s="111"/>
      <c r="CG17" s="111"/>
      <c r="CH17" s="111"/>
      <c r="CI17" s="111"/>
      <c r="CJ17" s="111"/>
      <c r="CK17" s="111"/>
      <c r="CL17" s="111"/>
      <c r="CM17" s="111"/>
      <c r="CN17" s="111"/>
      <c r="CO17" s="111"/>
      <c r="CP17" s="111"/>
      <c r="CQ17" s="111"/>
      <c r="CR17" s="111"/>
      <c r="CS17" s="111"/>
      <c r="CT17" s="111"/>
      <c r="CU17" s="111"/>
      <c r="CV17" s="111"/>
      <c r="CW17" s="111"/>
      <c r="CX17" s="111"/>
      <c r="CY17" s="111"/>
      <c r="CZ17" s="111"/>
      <c r="DA17" s="111"/>
      <c r="DB17" s="111"/>
      <c r="DC17" s="111"/>
      <c r="DD17" s="111"/>
      <c r="DE17" s="111"/>
      <c r="DF17" s="111"/>
      <c r="DG17" s="111"/>
      <c r="DH17" s="111"/>
      <c r="DI17" s="111"/>
      <c r="DJ17" s="111"/>
      <c r="DK17" s="103"/>
      <c r="DL17" s="103"/>
      <c r="DM17" s="103"/>
      <c r="DN17" s="103"/>
      <c r="DO17" s="103"/>
      <c r="DP17" s="103"/>
      <c r="DQ17" s="103"/>
      <c r="DR17" s="103"/>
      <c r="DS17" s="103"/>
      <c r="DT17" s="103"/>
      <c r="DU17" s="103"/>
      <c r="DV17" s="103"/>
      <c r="DW17" s="103"/>
      <c r="DX17" s="103"/>
      <c r="DY17" s="103"/>
      <c r="DZ17" s="103"/>
      <c r="EA17" s="103"/>
      <c r="EB17" s="103"/>
      <c r="EC17" s="280"/>
      <c r="ED17" s="20"/>
      <c r="EE17" s="103"/>
      <c r="EF17" s="111"/>
      <c r="EG17" s="13"/>
      <c r="EH17" s="103"/>
      <c r="EI17" s="111"/>
      <c r="EJ17" s="111"/>
      <c r="EK17" s="111"/>
      <c r="EL17" s="111"/>
      <c r="EM17" s="111"/>
      <c r="EN17" s="111"/>
      <c r="EO17" s="111"/>
      <c r="EP17" s="111"/>
      <c r="EQ17" s="111"/>
      <c r="ER17" s="111"/>
      <c r="ES17" s="111"/>
      <c r="ET17" s="111"/>
      <c r="EU17" s="111"/>
      <c r="EV17" s="111"/>
      <c r="EW17" s="111"/>
      <c r="EX17" s="111"/>
      <c r="EY17" s="111"/>
      <c r="EZ17" s="111"/>
      <c r="FA17" s="111"/>
      <c r="FB17" s="111"/>
      <c r="FC17" s="111"/>
      <c r="FD17" s="111"/>
      <c r="FE17" s="111"/>
      <c r="FF17" s="111"/>
      <c r="FG17" s="111"/>
      <c r="FH17" s="111"/>
      <c r="FI17" s="111"/>
      <c r="FJ17" s="111"/>
      <c r="FK17" s="111"/>
      <c r="FL17" s="111"/>
      <c r="FM17" s="111"/>
      <c r="FN17" s="111"/>
      <c r="FO17" s="103"/>
      <c r="FP17" s="103"/>
      <c r="FQ17" s="103"/>
      <c r="FR17" s="103"/>
      <c r="FS17" s="103"/>
      <c r="FT17" s="103"/>
      <c r="FU17" s="103"/>
      <c r="FV17" s="103"/>
      <c r="FW17" s="392">
        <v>1</v>
      </c>
      <c r="FX17" s="103"/>
      <c r="FY17" s="280"/>
      <c r="FZ17" s="266" t="s">
        <v>814</v>
      </c>
      <c r="GA17" s="266" t="str">
        <f>CONCATENATE("Acceder al sistema Gemma con usuario y perfil activo para la funcionalidad modulo Maestro - Cliente, hacer clic en el boton,"," ",IF(H17=1,"Modificar un registro","")," ",IF(I17=1,"Eliminar un registro",""),"",IF(G17=1,"Agregar un nuevo registro","")," ",IF(FY17=1,"Exportar Documento Excel",""),"presionar ",IF(FW17=1,$FW$4,"")," si seleccionar valores dejarlo por defecto.")</f>
        <v>Acceder al sistema Gemma con usuario y perfil activo para la funcionalidad modulo Maestro - Cliente, hacer clic en el boton,  Agregar un nuevo registro presionar Confirmar  si seleccionar valores dejarlo por defecto.</v>
      </c>
      <c r="GB17" s="267" t="s">
        <v>1307</v>
      </c>
      <c r="GC17" s="267" t="s">
        <v>816</v>
      </c>
    </row>
    <row r="18" spans="1:185" s="109" customFormat="1" x14ac:dyDescent="0.25">
      <c r="A18" s="20"/>
      <c r="B18" s="111"/>
      <c r="C18" s="111"/>
      <c r="D18" s="111"/>
      <c r="E18" s="111"/>
      <c r="F18" s="111">
        <v>1</v>
      </c>
      <c r="G18" s="111"/>
      <c r="H18" s="111">
        <v>1</v>
      </c>
      <c r="I18" s="111"/>
      <c r="J18" s="111"/>
      <c r="K18" s="111"/>
      <c r="L18" s="111"/>
      <c r="M18" s="111"/>
      <c r="N18" s="289"/>
      <c r="O18" s="289"/>
      <c r="P18" s="289"/>
      <c r="Q18" s="111"/>
      <c r="R18" s="111"/>
      <c r="S18" s="111"/>
      <c r="T18" s="111"/>
      <c r="U18" s="289"/>
      <c r="V18" s="289"/>
      <c r="W18" s="289"/>
      <c r="X18" s="289"/>
      <c r="Y18" s="289"/>
      <c r="Z18" s="289"/>
      <c r="AA18" s="289"/>
      <c r="AB18" s="289"/>
      <c r="AC18" s="289"/>
      <c r="AD18" s="289"/>
      <c r="AE18" s="289"/>
      <c r="AF18" s="289"/>
      <c r="AG18" s="289"/>
      <c r="AH18" s="289"/>
      <c r="AI18" s="289"/>
      <c r="AJ18" s="289"/>
      <c r="AK18" s="289"/>
      <c r="AL18" s="289"/>
      <c r="AM18" s="289"/>
      <c r="AN18" s="289"/>
      <c r="AO18" s="289"/>
      <c r="AP18" s="280"/>
      <c r="AQ18" s="20" t="s">
        <v>789</v>
      </c>
      <c r="AR18" s="391" t="s">
        <v>823</v>
      </c>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c r="CB18" s="111"/>
      <c r="CC18" s="111"/>
      <c r="CD18" s="111"/>
      <c r="CE18" s="111"/>
      <c r="CF18" s="111"/>
      <c r="CG18" s="111"/>
      <c r="CH18" s="111"/>
      <c r="CI18" s="111"/>
      <c r="CJ18" s="111"/>
      <c r="CK18" s="111"/>
      <c r="CL18" s="111"/>
      <c r="CM18" s="111"/>
      <c r="CN18" s="111"/>
      <c r="CO18" s="111"/>
      <c r="CP18" s="111"/>
      <c r="CQ18" s="111"/>
      <c r="CR18" s="111"/>
      <c r="CS18" s="111"/>
      <c r="CT18" s="111"/>
      <c r="CU18" s="111"/>
      <c r="CV18" s="111"/>
      <c r="CW18" s="111"/>
      <c r="CX18" s="111"/>
      <c r="CY18" s="111"/>
      <c r="CZ18" s="111"/>
      <c r="DA18" s="111"/>
      <c r="DB18" s="111"/>
      <c r="DC18" s="111"/>
      <c r="DD18" s="111"/>
      <c r="DE18" s="111"/>
      <c r="DF18" s="111"/>
      <c r="DG18" s="111"/>
      <c r="DH18" s="111"/>
      <c r="DI18" s="111"/>
      <c r="DJ18" s="111"/>
      <c r="DK18" s="111"/>
      <c r="DL18" s="111"/>
      <c r="DM18" s="111"/>
      <c r="DN18" s="111"/>
      <c r="DO18" s="111"/>
      <c r="DP18" s="111"/>
      <c r="DQ18" s="111"/>
      <c r="DR18" s="111"/>
      <c r="DS18" s="111"/>
      <c r="DT18" s="111"/>
      <c r="DU18" s="111"/>
      <c r="DV18" s="111"/>
      <c r="DW18" s="111"/>
      <c r="DX18" s="111"/>
      <c r="DY18" s="111"/>
      <c r="DZ18" s="111"/>
      <c r="EA18" s="111"/>
      <c r="EB18" s="111"/>
      <c r="EC18" s="280"/>
      <c r="ED18" s="20"/>
      <c r="EE18" s="111"/>
      <c r="EF18" s="111"/>
      <c r="EG18" s="111"/>
      <c r="EH18" s="111"/>
      <c r="EI18" s="111"/>
      <c r="EJ18" s="111"/>
      <c r="EK18" s="111"/>
      <c r="EL18" s="111"/>
      <c r="EM18" s="111"/>
      <c r="EN18" s="111"/>
      <c r="EO18" s="111"/>
      <c r="EP18" s="111"/>
      <c r="EQ18" s="111"/>
      <c r="ER18" s="111"/>
      <c r="ES18" s="111"/>
      <c r="ET18" s="111"/>
      <c r="EU18" s="111"/>
      <c r="EV18" s="111"/>
      <c r="EW18" s="111"/>
      <c r="EX18" s="111"/>
      <c r="EY18" s="111"/>
      <c r="EZ18" s="111"/>
      <c r="FA18" s="111"/>
      <c r="FB18" s="111"/>
      <c r="FC18" s="111"/>
      <c r="FD18" s="111"/>
      <c r="FE18" s="111"/>
      <c r="FF18" s="111"/>
      <c r="FG18" s="111"/>
      <c r="FH18" s="111"/>
      <c r="FI18" s="111"/>
      <c r="FJ18" s="111"/>
      <c r="FK18" s="111"/>
      <c r="FL18" s="111"/>
      <c r="FM18" s="111"/>
      <c r="FN18" s="111"/>
      <c r="FO18" s="111"/>
      <c r="FP18" s="111"/>
      <c r="FQ18" s="111"/>
      <c r="FR18" s="111"/>
      <c r="FS18" s="111"/>
      <c r="FT18" s="111"/>
      <c r="FU18" s="111"/>
      <c r="FV18" s="111"/>
      <c r="FW18" s="305">
        <v>1</v>
      </c>
      <c r="FX18" s="111"/>
      <c r="FY18" s="280"/>
      <c r="FZ18" s="266" t="s">
        <v>825</v>
      </c>
      <c r="GA18" s="266" t="str">
        <f>CONCATENATE("Acceder al sistema Gemma con usuario y perfil activo para la funcionalidad modulo Maestro - Cliente, hacer clic en el boton,"," ",IF(H18=1,"Modificar un registro","")," ",IF(I18=1,"Eliminar un registro","")," ",IF(G18=1,"Agregar un nuevo registro","")," ",IF(FY18=1,"Exportar Documento Excel",""),"presionar ",IF(FW18=1,$FW$4,""),"sin actualizar datos")</f>
        <v>Acceder al sistema Gemma con usuario y perfil activo para la funcionalidad modulo Maestro - Cliente, hacer clic en el boton, Modificar un registro   presionar Confirmar sin actualizar datos</v>
      </c>
      <c r="GB18" s="267" t="s">
        <v>1308</v>
      </c>
      <c r="GC18" s="267" t="s">
        <v>824</v>
      </c>
    </row>
    <row r="19" spans="1:185" s="109" customFormat="1" x14ac:dyDescent="0.25">
      <c r="A19" s="20"/>
      <c r="B19" s="13"/>
      <c r="C19" s="13"/>
      <c r="D19" s="13"/>
      <c r="E19" s="13"/>
      <c r="F19" s="111">
        <v>1</v>
      </c>
      <c r="G19" s="111"/>
      <c r="H19" s="13">
        <v>1</v>
      </c>
      <c r="I19" s="103"/>
      <c r="J19" s="103"/>
      <c r="K19" s="103"/>
      <c r="L19" s="103"/>
      <c r="M19" s="103"/>
      <c r="N19" s="289"/>
      <c r="O19" s="289"/>
      <c r="P19" s="289"/>
      <c r="Q19" s="111"/>
      <c r="R19" s="111"/>
      <c r="S19" s="111"/>
      <c r="T19" s="111"/>
      <c r="U19" s="289"/>
      <c r="V19" s="289"/>
      <c r="W19" s="289"/>
      <c r="X19" s="289"/>
      <c r="Y19" s="289"/>
      <c r="Z19" s="289"/>
      <c r="AA19" s="289"/>
      <c r="AB19" s="289"/>
      <c r="AC19" s="289"/>
      <c r="AD19" s="289"/>
      <c r="AE19" s="289"/>
      <c r="AF19" s="289"/>
      <c r="AG19" s="289"/>
      <c r="AH19" s="289"/>
      <c r="AI19" s="289"/>
      <c r="AJ19" s="289"/>
      <c r="AK19" s="289"/>
      <c r="AL19" s="289"/>
      <c r="AM19" s="289"/>
      <c r="AN19" s="289"/>
      <c r="AO19" s="289"/>
      <c r="AP19" s="280"/>
      <c r="AQ19" s="20"/>
      <c r="AR19" s="103"/>
      <c r="AS19" s="111"/>
      <c r="AT19" s="13"/>
      <c r="AU19" s="103"/>
      <c r="AV19" s="103"/>
      <c r="AW19" s="111"/>
      <c r="AX19" s="103"/>
      <c r="AY19" s="111"/>
      <c r="AZ19" s="103"/>
      <c r="BA19" s="111"/>
      <c r="BB19" s="111"/>
      <c r="BC19" s="111"/>
      <c r="BD19" s="103"/>
      <c r="BE19" s="111"/>
      <c r="BF19" s="103"/>
      <c r="BG19" s="103"/>
      <c r="BH19" s="103"/>
      <c r="BI19" s="111"/>
      <c r="BJ19" s="111"/>
      <c r="BK19" s="103"/>
      <c r="BL19" s="103"/>
      <c r="BM19" s="111"/>
      <c r="BN19" s="103"/>
      <c r="BO19" s="111"/>
      <c r="BP19" s="13"/>
      <c r="BQ19" s="103"/>
      <c r="BR19" s="111"/>
      <c r="BS19" s="103"/>
      <c r="BT19" s="111"/>
      <c r="BU19" s="111"/>
      <c r="BV19" s="111"/>
      <c r="BW19" s="111"/>
      <c r="BX19" s="111"/>
      <c r="BY19" s="103"/>
      <c r="BZ19" s="111"/>
      <c r="CA19" s="111"/>
      <c r="CB19" s="111"/>
      <c r="CC19" s="111"/>
      <c r="CD19" s="111"/>
      <c r="CE19" s="111"/>
      <c r="CF19" s="111"/>
      <c r="CG19" s="111"/>
      <c r="CH19" s="111"/>
      <c r="CI19" s="111"/>
      <c r="CJ19" s="111"/>
      <c r="CK19" s="111"/>
      <c r="CL19" s="111"/>
      <c r="CM19" s="111"/>
      <c r="CN19" s="111"/>
      <c r="CO19" s="111"/>
      <c r="CP19" s="111"/>
      <c r="CQ19" s="111"/>
      <c r="CR19" s="111"/>
      <c r="CS19" s="111"/>
      <c r="CT19" s="111"/>
      <c r="CU19" s="111"/>
      <c r="CV19" s="111"/>
      <c r="CW19" s="111"/>
      <c r="CX19" s="111"/>
      <c r="CY19" s="111"/>
      <c r="CZ19" s="111"/>
      <c r="DA19" s="111"/>
      <c r="DB19" s="111"/>
      <c r="DC19" s="111"/>
      <c r="DD19" s="111"/>
      <c r="DE19" s="111"/>
      <c r="DF19" s="111"/>
      <c r="DG19" s="111"/>
      <c r="DH19" s="111"/>
      <c r="DI19" s="111"/>
      <c r="DJ19" s="111"/>
      <c r="DK19" s="103"/>
      <c r="DL19" s="103"/>
      <c r="DM19" s="103"/>
      <c r="DN19" s="103"/>
      <c r="DO19" s="103"/>
      <c r="DP19" s="103"/>
      <c r="DQ19" s="103"/>
      <c r="DR19" s="103"/>
      <c r="DS19" s="103"/>
      <c r="DT19" s="103"/>
      <c r="DU19" s="103"/>
      <c r="DV19" s="103"/>
      <c r="DW19" s="103"/>
      <c r="DX19" s="103"/>
      <c r="DY19" s="103"/>
      <c r="DZ19" s="103"/>
      <c r="EA19" s="103"/>
      <c r="EB19" s="103"/>
      <c r="EC19" s="280"/>
      <c r="ED19" s="20">
        <v>0</v>
      </c>
      <c r="EE19" s="13">
        <v>0</v>
      </c>
      <c r="EF19" s="111">
        <v>0</v>
      </c>
      <c r="EG19" s="13">
        <v>0</v>
      </c>
      <c r="EH19" s="13">
        <v>0</v>
      </c>
      <c r="EI19" s="111" t="s">
        <v>826</v>
      </c>
      <c r="EJ19" s="111"/>
      <c r="EK19" s="111"/>
      <c r="EL19" s="111"/>
      <c r="EM19" s="111"/>
      <c r="EN19" s="111"/>
      <c r="EO19" s="111"/>
      <c r="EP19" s="111"/>
      <c r="EQ19" s="111"/>
      <c r="ER19" s="111"/>
      <c r="ES19" s="111"/>
      <c r="ET19" s="111"/>
      <c r="EU19" s="111">
        <v>1</v>
      </c>
      <c r="EV19" s="111"/>
      <c r="EW19" s="111">
        <v>1</v>
      </c>
      <c r="EX19" s="111"/>
      <c r="EY19" s="111">
        <v>1</v>
      </c>
      <c r="EZ19" s="111"/>
      <c r="FA19" s="111"/>
      <c r="FB19" s="111"/>
      <c r="FC19" s="111"/>
      <c r="FD19" s="111"/>
      <c r="FE19" s="111"/>
      <c r="FF19" s="111"/>
      <c r="FG19" s="111">
        <v>1</v>
      </c>
      <c r="FH19" s="111"/>
      <c r="FI19" s="111"/>
      <c r="FJ19" s="111"/>
      <c r="FK19" s="111">
        <v>1</v>
      </c>
      <c r="FL19" s="111"/>
      <c r="FM19" s="111"/>
      <c r="FN19" s="111">
        <v>1</v>
      </c>
      <c r="FO19" s="103"/>
      <c r="FP19" s="103"/>
      <c r="FQ19" s="103"/>
      <c r="FR19" s="103"/>
      <c r="FS19" s="103"/>
      <c r="FT19" s="103"/>
      <c r="FU19" s="103"/>
      <c r="FV19" s="103"/>
      <c r="FW19" s="305">
        <v>1</v>
      </c>
      <c r="FX19" s="103"/>
      <c r="FY19" s="280"/>
      <c r="FZ19" s="266" t="s">
        <v>1305</v>
      </c>
      <c r="GA19" s="266" t="str">
        <f>CONCATENATE("Acceder al sistema Gemma con usuario y perfil activo para la funcionalidad modulo Maestro - Cliente, hacer clic en el boton,"," ",IF(H19=1,"Modificar un registro","")," ",IF(I19=1,"Eliminar un registro","")," ",IF(G19=1,"Agregar un nuevo registro","")," ",IF(FY19=1,"Exportar Documento Excel",""),"presionar ",IF(FW19=1,$FW$4,""),"para tipo de cliente empresa ")</f>
        <v xml:space="preserve">Acceder al sistema Gemma con usuario y perfil activo para la funcionalidad modulo Maestro - Cliente, hacer clic en el boton, Modificar un registro   presionar Confirmar para tipo de cliente empresa </v>
      </c>
      <c r="GB19" s="267" t="s">
        <v>1309</v>
      </c>
      <c r="GC19" s="267" t="s">
        <v>827</v>
      </c>
    </row>
    <row r="20" spans="1:185" s="109" customFormat="1" x14ac:dyDescent="0.25">
      <c r="A20" s="20"/>
      <c r="B20" s="13"/>
      <c r="C20" s="13"/>
      <c r="D20" s="13"/>
      <c r="E20" s="13"/>
      <c r="F20" s="103"/>
      <c r="G20" s="111"/>
      <c r="H20" s="13"/>
      <c r="I20" s="103"/>
      <c r="J20" s="103"/>
      <c r="K20" s="103"/>
      <c r="L20" s="103"/>
      <c r="M20" s="103"/>
      <c r="N20" s="289"/>
      <c r="O20" s="289"/>
      <c r="P20" s="289"/>
      <c r="Q20" s="111"/>
      <c r="R20" s="111"/>
      <c r="S20" s="111"/>
      <c r="T20" s="111"/>
      <c r="U20" s="289"/>
      <c r="V20" s="289"/>
      <c r="W20" s="289"/>
      <c r="X20" s="289"/>
      <c r="Y20" s="289"/>
      <c r="Z20" s="289"/>
      <c r="AA20" s="289"/>
      <c r="AB20" s="289"/>
      <c r="AC20" s="289"/>
      <c r="AD20" s="289"/>
      <c r="AE20" s="289"/>
      <c r="AF20" s="289"/>
      <c r="AG20" s="289"/>
      <c r="AH20" s="289"/>
      <c r="AI20" s="289"/>
      <c r="AJ20" s="289"/>
      <c r="AK20" s="289"/>
      <c r="AL20" s="289"/>
      <c r="AM20" s="289"/>
      <c r="AN20" s="289"/>
      <c r="AO20" s="289"/>
      <c r="AP20" s="280"/>
      <c r="AQ20" s="20"/>
      <c r="AR20" s="103"/>
      <c r="AS20" s="111"/>
      <c r="AT20" s="13"/>
      <c r="AU20" s="103"/>
      <c r="AV20" s="103"/>
      <c r="AW20" s="111"/>
      <c r="AX20" s="103"/>
      <c r="AY20" s="111"/>
      <c r="AZ20" s="103"/>
      <c r="BA20" s="111"/>
      <c r="BB20" s="111"/>
      <c r="BC20" s="111"/>
      <c r="BD20" s="103"/>
      <c r="BE20" s="111"/>
      <c r="BF20" s="103"/>
      <c r="BG20" s="103"/>
      <c r="BH20" s="103"/>
      <c r="BI20" s="111"/>
      <c r="BJ20" s="111"/>
      <c r="BK20" s="103"/>
      <c r="BL20" s="103"/>
      <c r="BM20" s="111"/>
      <c r="BN20" s="103"/>
      <c r="BO20" s="111"/>
      <c r="BP20" s="13"/>
      <c r="BQ20" s="103"/>
      <c r="BR20" s="111"/>
      <c r="BS20" s="103"/>
      <c r="BT20" s="111"/>
      <c r="BU20" s="111"/>
      <c r="BV20" s="111"/>
      <c r="BW20" s="111"/>
      <c r="BX20" s="111"/>
      <c r="BY20" s="103"/>
      <c r="BZ20" s="111"/>
      <c r="CA20" s="111"/>
      <c r="CB20" s="111"/>
      <c r="CC20" s="111"/>
      <c r="CD20" s="111"/>
      <c r="CE20" s="111"/>
      <c r="CF20" s="111"/>
      <c r="CG20" s="111"/>
      <c r="CH20" s="111"/>
      <c r="CI20" s="111"/>
      <c r="CJ20" s="111"/>
      <c r="CK20" s="111"/>
      <c r="CL20" s="111"/>
      <c r="CM20" s="111"/>
      <c r="CN20" s="111"/>
      <c r="CO20" s="111"/>
      <c r="CP20" s="111"/>
      <c r="CQ20" s="111"/>
      <c r="CR20" s="111"/>
      <c r="CS20" s="111"/>
      <c r="CT20" s="111"/>
      <c r="CU20" s="111"/>
      <c r="CV20" s="111"/>
      <c r="CW20" s="111"/>
      <c r="CX20" s="111"/>
      <c r="CY20" s="111"/>
      <c r="CZ20" s="111"/>
      <c r="DA20" s="111"/>
      <c r="DB20" s="111"/>
      <c r="DC20" s="111"/>
      <c r="DD20" s="111"/>
      <c r="DE20" s="111"/>
      <c r="DF20" s="111"/>
      <c r="DG20" s="111"/>
      <c r="DH20" s="111"/>
      <c r="DI20" s="111"/>
      <c r="DJ20" s="111"/>
      <c r="DK20" s="103"/>
      <c r="DL20" s="103"/>
      <c r="DM20" s="103"/>
      <c r="DN20" s="103"/>
      <c r="DO20" s="103"/>
      <c r="DP20" s="103"/>
      <c r="DQ20" s="103"/>
      <c r="DR20" s="103"/>
      <c r="DS20" s="103"/>
      <c r="DT20" s="103"/>
      <c r="DU20" s="103"/>
      <c r="DV20" s="103"/>
      <c r="DW20" s="103"/>
      <c r="DX20" s="103"/>
      <c r="DY20" s="103"/>
      <c r="DZ20" s="103"/>
      <c r="EA20" s="103"/>
      <c r="EB20" s="103"/>
      <c r="EC20" s="280"/>
      <c r="ED20" s="20"/>
      <c r="EE20" s="103"/>
      <c r="EF20" s="111"/>
      <c r="EG20" s="13"/>
      <c r="EH20" s="103"/>
      <c r="EI20" s="111"/>
      <c r="EJ20" s="111"/>
      <c r="EK20" s="111"/>
      <c r="EL20" s="111"/>
      <c r="EM20" s="111"/>
      <c r="EN20" s="111"/>
      <c r="EO20" s="111"/>
      <c r="EP20" s="111"/>
      <c r="EQ20" s="111"/>
      <c r="ER20" s="111"/>
      <c r="ES20" s="111"/>
      <c r="ET20" s="111"/>
      <c r="EU20" s="111"/>
      <c r="EV20" s="111"/>
      <c r="EW20" s="111"/>
      <c r="EX20" s="111"/>
      <c r="EY20" s="111"/>
      <c r="EZ20" s="111"/>
      <c r="FA20" s="111"/>
      <c r="FB20" s="111"/>
      <c r="FC20" s="111"/>
      <c r="FD20" s="111"/>
      <c r="FE20" s="111"/>
      <c r="FF20" s="111"/>
      <c r="FG20" s="111"/>
      <c r="FH20" s="111"/>
      <c r="FI20" s="111"/>
      <c r="FJ20" s="111"/>
      <c r="FK20" s="111"/>
      <c r="FL20" s="111"/>
      <c r="FM20" s="111"/>
      <c r="FN20" s="111"/>
      <c r="FO20" s="103"/>
      <c r="FP20" s="103"/>
      <c r="FQ20" s="103"/>
      <c r="FR20" s="103"/>
      <c r="FS20" s="103"/>
      <c r="FT20" s="103"/>
      <c r="FU20" s="103"/>
      <c r="FV20" s="103"/>
      <c r="FW20" s="386"/>
      <c r="FX20" s="103"/>
      <c r="FY20" s="280"/>
      <c r="FZ20" s="266"/>
      <c r="GA20" s="266"/>
      <c r="GB20" s="267"/>
      <c r="GC20" s="267"/>
    </row>
    <row r="21" spans="1:185" s="109" customFormat="1" x14ac:dyDescent="0.25">
      <c r="A21" s="20"/>
      <c r="B21" s="13"/>
      <c r="C21" s="13"/>
      <c r="D21" s="13"/>
      <c r="E21" s="13"/>
      <c r="F21" s="103"/>
      <c r="G21" s="111"/>
      <c r="H21" s="13"/>
      <c r="I21" s="103"/>
      <c r="J21" s="103"/>
      <c r="K21" s="103"/>
      <c r="L21" s="103"/>
      <c r="M21" s="103"/>
      <c r="N21" s="289"/>
      <c r="O21" s="289"/>
      <c r="P21" s="289"/>
      <c r="Q21" s="111"/>
      <c r="R21" s="111"/>
      <c r="S21" s="111"/>
      <c r="T21" s="111"/>
      <c r="U21" s="289"/>
      <c r="V21" s="289"/>
      <c r="W21" s="289"/>
      <c r="X21" s="289"/>
      <c r="Y21" s="289"/>
      <c r="Z21" s="289"/>
      <c r="AA21" s="289"/>
      <c r="AB21" s="289"/>
      <c r="AC21" s="289"/>
      <c r="AD21" s="289"/>
      <c r="AE21" s="289"/>
      <c r="AF21" s="289"/>
      <c r="AG21" s="289"/>
      <c r="AH21" s="289"/>
      <c r="AI21" s="289"/>
      <c r="AJ21" s="289"/>
      <c r="AK21" s="289"/>
      <c r="AL21" s="289"/>
      <c r="AM21" s="289"/>
      <c r="AN21" s="289"/>
      <c r="AO21" s="289"/>
      <c r="AP21" s="280"/>
      <c r="AQ21" s="20"/>
      <c r="AR21" s="103"/>
      <c r="AS21" s="111"/>
      <c r="AT21" s="13"/>
      <c r="AU21" s="103"/>
      <c r="AV21" s="103"/>
      <c r="AW21" s="111"/>
      <c r="AX21" s="103"/>
      <c r="AY21" s="111"/>
      <c r="AZ21" s="103"/>
      <c r="BA21" s="111"/>
      <c r="BB21" s="111"/>
      <c r="BC21" s="111"/>
      <c r="BD21" s="103"/>
      <c r="BE21" s="111"/>
      <c r="BF21" s="103"/>
      <c r="BG21" s="103"/>
      <c r="BH21" s="103"/>
      <c r="BI21" s="111"/>
      <c r="BJ21" s="111"/>
      <c r="BK21" s="103"/>
      <c r="BL21" s="103"/>
      <c r="BM21" s="111"/>
      <c r="BN21" s="103"/>
      <c r="BO21" s="111"/>
      <c r="BP21" s="13"/>
      <c r="BQ21" s="103"/>
      <c r="BR21" s="111"/>
      <c r="BS21" s="103"/>
      <c r="BT21" s="111"/>
      <c r="BU21" s="111"/>
      <c r="BV21" s="111"/>
      <c r="BW21" s="111"/>
      <c r="BX21" s="111"/>
      <c r="BY21" s="103"/>
      <c r="BZ21" s="111"/>
      <c r="CA21" s="111"/>
      <c r="CB21" s="111"/>
      <c r="CC21" s="111"/>
      <c r="CD21" s="111"/>
      <c r="CE21" s="111"/>
      <c r="CF21" s="111"/>
      <c r="CG21" s="111"/>
      <c r="CH21" s="111"/>
      <c r="CI21" s="111"/>
      <c r="CJ21" s="111"/>
      <c r="CK21" s="111"/>
      <c r="CL21" s="111"/>
      <c r="CM21" s="111"/>
      <c r="CN21" s="111"/>
      <c r="CO21" s="111"/>
      <c r="CP21" s="111"/>
      <c r="CQ21" s="111"/>
      <c r="CR21" s="111"/>
      <c r="CS21" s="111"/>
      <c r="CT21" s="111"/>
      <c r="CU21" s="111"/>
      <c r="CV21" s="111"/>
      <c r="CW21" s="111"/>
      <c r="CX21" s="111"/>
      <c r="CY21" s="111"/>
      <c r="CZ21" s="111"/>
      <c r="DA21" s="111"/>
      <c r="DB21" s="111"/>
      <c r="DC21" s="111"/>
      <c r="DD21" s="111"/>
      <c r="DE21" s="111"/>
      <c r="DF21" s="111"/>
      <c r="DG21" s="111"/>
      <c r="DH21" s="111"/>
      <c r="DI21" s="111"/>
      <c r="DJ21" s="111"/>
      <c r="DK21" s="103"/>
      <c r="DL21" s="103"/>
      <c r="DM21" s="103"/>
      <c r="DN21" s="103"/>
      <c r="DO21" s="103"/>
      <c r="DP21" s="103"/>
      <c r="DQ21" s="103"/>
      <c r="DR21" s="103"/>
      <c r="DS21" s="103"/>
      <c r="DT21" s="103"/>
      <c r="DU21" s="103"/>
      <c r="DV21" s="103"/>
      <c r="DW21" s="103"/>
      <c r="DX21" s="103"/>
      <c r="DY21" s="103"/>
      <c r="DZ21" s="103"/>
      <c r="EA21" s="103"/>
      <c r="EB21" s="103"/>
      <c r="EC21" s="280"/>
      <c r="ED21" s="20"/>
      <c r="EE21" s="103"/>
      <c r="EF21" s="111"/>
      <c r="EG21" s="13"/>
      <c r="EH21" s="103"/>
      <c r="EI21" s="111"/>
      <c r="EJ21" s="111"/>
      <c r="EK21" s="111"/>
      <c r="EL21" s="111"/>
      <c r="EM21" s="111"/>
      <c r="EN21" s="111"/>
      <c r="EO21" s="111"/>
      <c r="EP21" s="111"/>
      <c r="EQ21" s="111"/>
      <c r="ER21" s="111"/>
      <c r="ES21" s="111"/>
      <c r="ET21" s="111"/>
      <c r="EU21" s="111"/>
      <c r="EV21" s="111"/>
      <c r="EW21" s="111"/>
      <c r="EX21" s="111"/>
      <c r="EY21" s="111"/>
      <c r="EZ21" s="111"/>
      <c r="FA21" s="111"/>
      <c r="FB21" s="111"/>
      <c r="FC21" s="111"/>
      <c r="FD21" s="111"/>
      <c r="FE21" s="111"/>
      <c r="FF21" s="111"/>
      <c r="FG21" s="111"/>
      <c r="FH21" s="111"/>
      <c r="FI21" s="111"/>
      <c r="FJ21" s="111"/>
      <c r="FK21" s="111"/>
      <c r="FL21" s="111"/>
      <c r="FM21" s="111"/>
      <c r="FN21" s="111"/>
      <c r="FO21" s="103"/>
      <c r="FP21" s="103"/>
      <c r="FQ21" s="103"/>
      <c r="FR21" s="103"/>
      <c r="FS21" s="103"/>
      <c r="FT21" s="103"/>
      <c r="FU21" s="103"/>
      <c r="FV21" s="103"/>
      <c r="FW21" s="386"/>
      <c r="FX21" s="103"/>
      <c r="FY21" s="280"/>
      <c r="FZ21" s="266"/>
      <c r="GA21" s="266"/>
      <c r="GB21" s="267"/>
      <c r="GC21" s="267"/>
    </row>
    <row r="22" spans="1:185" s="109" customFormat="1" x14ac:dyDescent="0.25">
      <c r="A22" s="20"/>
      <c r="B22" s="13"/>
      <c r="C22" s="13"/>
      <c r="D22" s="13"/>
      <c r="E22" s="13"/>
      <c r="F22" s="103"/>
      <c r="G22" s="111"/>
      <c r="H22" s="13"/>
      <c r="I22" s="13"/>
      <c r="J22" s="13"/>
      <c r="K22" s="13"/>
      <c r="L22" s="13"/>
      <c r="M22" s="13"/>
      <c r="N22" s="289"/>
      <c r="O22" s="289"/>
      <c r="P22" s="289"/>
      <c r="Q22" s="111"/>
      <c r="R22" s="111"/>
      <c r="S22" s="111"/>
      <c r="T22" s="111"/>
      <c r="U22" s="289"/>
      <c r="V22" s="289"/>
      <c r="W22" s="289"/>
      <c r="X22" s="289"/>
      <c r="Y22" s="289"/>
      <c r="Z22" s="289"/>
      <c r="AA22" s="289"/>
      <c r="AB22" s="289"/>
      <c r="AC22" s="289"/>
      <c r="AD22" s="289"/>
      <c r="AE22" s="289"/>
      <c r="AF22" s="289"/>
      <c r="AG22" s="289"/>
      <c r="AH22" s="289"/>
      <c r="AI22" s="289"/>
      <c r="AJ22" s="289"/>
      <c r="AK22" s="289"/>
      <c r="AL22" s="289"/>
      <c r="AM22" s="289"/>
      <c r="AN22" s="289"/>
      <c r="AO22" s="289"/>
      <c r="AP22" s="280"/>
      <c r="AQ22" s="20"/>
      <c r="AR22" s="103"/>
      <c r="AS22" s="111"/>
      <c r="AT22" s="13"/>
      <c r="AU22" s="103"/>
      <c r="AV22" s="103"/>
      <c r="AW22" s="111"/>
      <c r="AX22" s="103"/>
      <c r="AY22" s="111"/>
      <c r="AZ22" s="103"/>
      <c r="BA22" s="111"/>
      <c r="BB22" s="111"/>
      <c r="BC22" s="111"/>
      <c r="BD22" s="103"/>
      <c r="BE22" s="111"/>
      <c r="BF22" s="103"/>
      <c r="BG22" s="103"/>
      <c r="BH22" s="103"/>
      <c r="BI22" s="111"/>
      <c r="BJ22" s="111"/>
      <c r="BK22" s="103"/>
      <c r="BL22" s="103"/>
      <c r="BM22" s="111"/>
      <c r="BN22" s="103"/>
      <c r="BO22" s="111"/>
      <c r="BP22" s="13"/>
      <c r="BQ22" s="103"/>
      <c r="BR22" s="111"/>
      <c r="BS22" s="103"/>
      <c r="BT22" s="111"/>
      <c r="BU22" s="111"/>
      <c r="BV22" s="111"/>
      <c r="BW22" s="111"/>
      <c r="BX22" s="111"/>
      <c r="BY22" s="103"/>
      <c r="BZ22" s="111"/>
      <c r="CA22" s="111"/>
      <c r="CB22" s="111"/>
      <c r="CC22" s="111"/>
      <c r="CD22" s="111"/>
      <c r="CE22" s="111"/>
      <c r="CF22" s="111"/>
      <c r="CG22" s="111"/>
      <c r="CH22" s="111"/>
      <c r="CI22" s="111"/>
      <c r="CJ22" s="111"/>
      <c r="CK22" s="111"/>
      <c r="CL22" s="111"/>
      <c r="CM22" s="111"/>
      <c r="CN22" s="111"/>
      <c r="CO22" s="111"/>
      <c r="CP22" s="111"/>
      <c r="CQ22" s="111"/>
      <c r="CR22" s="111"/>
      <c r="CS22" s="111"/>
      <c r="CT22" s="111"/>
      <c r="CU22" s="111"/>
      <c r="CV22" s="111"/>
      <c r="CW22" s="111"/>
      <c r="CX22" s="111"/>
      <c r="CY22" s="111"/>
      <c r="CZ22" s="111"/>
      <c r="DA22" s="111"/>
      <c r="DB22" s="111"/>
      <c r="DC22" s="111"/>
      <c r="DD22" s="111"/>
      <c r="DE22" s="111"/>
      <c r="DF22" s="111"/>
      <c r="DG22" s="111"/>
      <c r="DH22" s="111"/>
      <c r="DI22" s="111"/>
      <c r="DJ22" s="111"/>
      <c r="DK22" s="103"/>
      <c r="DL22" s="103"/>
      <c r="DM22" s="103"/>
      <c r="DN22" s="103"/>
      <c r="DO22" s="103"/>
      <c r="DP22" s="103"/>
      <c r="DQ22" s="103"/>
      <c r="DR22" s="103"/>
      <c r="DS22" s="103"/>
      <c r="DT22" s="103"/>
      <c r="DU22" s="103"/>
      <c r="DV22" s="103"/>
      <c r="DW22" s="103"/>
      <c r="DX22" s="103"/>
      <c r="DY22" s="103"/>
      <c r="DZ22" s="103"/>
      <c r="EA22" s="103"/>
      <c r="EB22" s="103"/>
      <c r="EC22" s="280"/>
      <c r="ED22" s="20"/>
      <c r="EE22" s="103"/>
      <c r="EF22" s="111"/>
      <c r="EG22" s="13"/>
      <c r="EH22" s="103"/>
      <c r="EI22" s="111"/>
      <c r="EJ22" s="111"/>
      <c r="EK22" s="111"/>
      <c r="EL22" s="111"/>
      <c r="EM22" s="111"/>
      <c r="EN22" s="111"/>
      <c r="EO22" s="111"/>
      <c r="EP22" s="111"/>
      <c r="EQ22" s="111"/>
      <c r="ER22" s="111"/>
      <c r="ES22" s="111"/>
      <c r="ET22" s="111"/>
      <c r="EU22" s="111"/>
      <c r="EV22" s="111"/>
      <c r="EW22" s="111"/>
      <c r="EX22" s="111"/>
      <c r="EY22" s="111"/>
      <c r="EZ22" s="111"/>
      <c r="FA22" s="111"/>
      <c r="FB22" s="111"/>
      <c r="FC22" s="111"/>
      <c r="FD22" s="111"/>
      <c r="FE22" s="111"/>
      <c r="FF22" s="111"/>
      <c r="FG22" s="111"/>
      <c r="FH22" s="111"/>
      <c r="FI22" s="111"/>
      <c r="FJ22" s="111"/>
      <c r="FK22" s="111"/>
      <c r="FL22" s="111"/>
      <c r="FM22" s="111"/>
      <c r="FN22" s="111"/>
      <c r="FO22" s="103"/>
      <c r="FP22" s="103"/>
      <c r="FQ22" s="103"/>
      <c r="FR22" s="103"/>
      <c r="FS22" s="103"/>
      <c r="FT22" s="103"/>
      <c r="FU22" s="103"/>
      <c r="FV22" s="103"/>
      <c r="FW22" s="386"/>
      <c r="FX22" s="103"/>
      <c r="FY22" s="280"/>
      <c r="FZ22" s="266"/>
      <c r="GA22" s="266"/>
      <c r="GB22" s="267"/>
      <c r="GC22" s="267"/>
    </row>
    <row r="23" spans="1:185" s="109" customFormat="1" x14ac:dyDescent="0.25">
      <c r="A23" s="20"/>
      <c r="B23" s="13"/>
      <c r="C23" s="13"/>
      <c r="D23" s="13"/>
      <c r="E23" s="13"/>
      <c r="F23" s="13"/>
      <c r="G23" s="111"/>
      <c r="H23" s="13"/>
      <c r="I23" s="13"/>
      <c r="J23" s="13"/>
      <c r="K23" s="13"/>
      <c r="L23" s="13"/>
      <c r="M23" s="13"/>
      <c r="N23" s="289"/>
      <c r="O23" s="289"/>
      <c r="P23" s="289"/>
      <c r="Q23" s="111"/>
      <c r="R23" s="111"/>
      <c r="S23" s="111"/>
      <c r="T23" s="111"/>
      <c r="U23" s="289"/>
      <c r="V23" s="289"/>
      <c r="W23" s="289"/>
      <c r="X23" s="289"/>
      <c r="Y23" s="289"/>
      <c r="Z23" s="289"/>
      <c r="AA23" s="289"/>
      <c r="AB23" s="289"/>
      <c r="AC23" s="289"/>
      <c r="AD23" s="289"/>
      <c r="AE23" s="289"/>
      <c r="AF23" s="289"/>
      <c r="AG23" s="289"/>
      <c r="AH23" s="289"/>
      <c r="AI23" s="289"/>
      <c r="AJ23" s="289"/>
      <c r="AK23" s="289"/>
      <c r="AL23" s="289"/>
      <c r="AM23" s="289"/>
      <c r="AN23" s="289"/>
      <c r="AO23" s="289"/>
      <c r="AP23" s="280"/>
      <c r="AQ23" s="20"/>
      <c r="AR23" s="103"/>
      <c r="AS23" s="111"/>
      <c r="AT23" s="13"/>
      <c r="AU23" s="103"/>
      <c r="AV23" s="103"/>
      <c r="AW23" s="111"/>
      <c r="AX23" s="103"/>
      <c r="AY23" s="111"/>
      <c r="AZ23" s="103"/>
      <c r="BA23" s="111"/>
      <c r="BB23" s="111"/>
      <c r="BC23" s="111"/>
      <c r="BD23" s="103"/>
      <c r="BE23" s="111"/>
      <c r="BF23" s="103"/>
      <c r="BG23" s="103"/>
      <c r="BH23" s="103"/>
      <c r="BI23" s="111"/>
      <c r="BJ23" s="111"/>
      <c r="BK23" s="103"/>
      <c r="BL23" s="103"/>
      <c r="BM23" s="111"/>
      <c r="BN23" s="103"/>
      <c r="BO23" s="111"/>
      <c r="BP23" s="13"/>
      <c r="BQ23" s="103"/>
      <c r="BR23" s="111"/>
      <c r="BS23" s="103"/>
      <c r="BT23" s="111"/>
      <c r="BU23" s="111"/>
      <c r="BV23" s="111"/>
      <c r="BW23" s="111"/>
      <c r="BX23" s="111"/>
      <c r="BY23" s="103"/>
      <c r="BZ23" s="111"/>
      <c r="CA23" s="111"/>
      <c r="CB23" s="111"/>
      <c r="CC23" s="111"/>
      <c r="CD23" s="111"/>
      <c r="CE23" s="111"/>
      <c r="CF23" s="111"/>
      <c r="CG23" s="111"/>
      <c r="CH23" s="111"/>
      <c r="CI23" s="111"/>
      <c r="CJ23" s="111"/>
      <c r="CK23" s="111"/>
      <c r="CL23" s="111"/>
      <c r="CM23" s="111"/>
      <c r="CN23" s="111"/>
      <c r="CO23" s="111"/>
      <c r="CP23" s="111"/>
      <c r="CQ23" s="111"/>
      <c r="CR23" s="111"/>
      <c r="CS23" s="111"/>
      <c r="CT23" s="111"/>
      <c r="CU23" s="111"/>
      <c r="CV23" s="111"/>
      <c r="CW23" s="111"/>
      <c r="CX23" s="111"/>
      <c r="CY23" s="111"/>
      <c r="CZ23" s="111"/>
      <c r="DA23" s="111"/>
      <c r="DB23" s="111"/>
      <c r="DC23" s="111"/>
      <c r="DD23" s="111"/>
      <c r="DE23" s="111"/>
      <c r="DF23" s="111"/>
      <c r="DG23" s="111"/>
      <c r="DH23" s="111"/>
      <c r="DI23" s="111"/>
      <c r="DJ23" s="111"/>
      <c r="DK23" s="103"/>
      <c r="DL23" s="103"/>
      <c r="DM23" s="103"/>
      <c r="DN23" s="103"/>
      <c r="DO23" s="103"/>
      <c r="DP23" s="103"/>
      <c r="DQ23" s="103"/>
      <c r="DR23" s="103"/>
      <c r="DS23" s="103"/>
      <c r="DT23" s="103"/>
      <c r="DU23" s="103"/>
      <c r="DV23" s="103"/>
      <c r="DW23" s="103"/>
      <c r="DX23" s="103"/>
      <c r="DY23" s="103"/>
      <c r="DZ23" s="103"/>
      <c r="EA23" s="103"/>
      <c r="EB23" s="103"/>
      <c r="EC23" s="280"/>
      <c r="ED23" s="20"/>
      <c r="EE23" s="103"/>
      <c r="EF23" s="111"/>
      <c r="EG23" s="13"/>
      <c r="EH23" s="103"/>
      <c r="EI23" s="111"/>
      <c r="EJ23" s="111"/>
      <c r="EK23" s="111"/>
      <c r="EL23" s="111"/>
      <c r="EM23" s="111"/>
      <c r="EN23" s="111"/>
      <c r="EO23" s="111"/>
      <c r="EP23" s="111"/>
      <c r="EQ23" s="111"/>
      <c r="ER23" s="111"/>
      <c r="ES23" s="111"/>
      <c r="ET23" s="111"/>
      <c r="EU23" s="111"/>
      <c r="EV23" s="111"/>
      <c r="EW23" s="111"/>
      <c r="EX23" s="111"/>
      <c r="EY23" s="111"/>
      <c r="EZ23" s="111"/>
      <c r="FA23" s="111"/>
      <c r="FB23" s="111"/>
      <c r="FC23" s="111"/>
      <c r="FD23" s="111"/>
      <c r="FE23" s="111"/>
      <c r="FF23" s="111"/>
      <c r="FG23" s="111"/>
      <c r="FH23" s="111"/>
      <c r="FI23" s="111"/>
      <c r="FJ23" s="111"/>
      <c r="FK23" s="111"/>
      <c r="FL23" s="111"/>
      <c r="FM23" s="111"/>
      <c r="FN23" s="111"/>
      <c r="FO23" s="103"/>
      <c r="FP23" s="103"/>
      <c r="FQ23" s="103"/>
      <c r="FR23" s="103"/>
      <c r="FS23" s="103"/>
      <c r="FT23" s="103"/>
      <c r="FU23" s="103"/>
      <c r="FV23" s="103"/>
      <c r="FW23" s="386"/>
      <c r="FX23" s="103"/>
      <c r="FY23" s="280"/>
      <c r="FZ23" s="266"/>
      <c r="GA23" s="266"/>
      <c r="GB23" s="267"/>
      <c r="GC23" s="267"/>
    </row>
    <row r="24" spans="1:185" s="109" customFormat="1" x14ac:dyDescent="0.25">
      <c r="A24" s="20"/>
      <c r="B24" s="13"/>
      <c r="C24" s="13"/>
      <c r="D24" s="13"/>
      <c r="E24" s="13"/>
      <c r="F24" s="13"/>
      <c r="G24" s="111"/>
      <c r="H24" s="13"/>
      <c r="I24" s="13"/>
      <c r="J24" s="13"/>
      <c r="K24" s="13"/>
      <c r="L24" s="13"/>
      <c r="M24" s="13"/>
      <c r="N24" s="289"/>
      <c r="O24" s="289"/>
      <c r="P24" s="289"/>
      <c r="Q24" s="111"/>
      <c r="R24" s="111"/>
      <c r="S24" s="111"/>
      <c r="T24" s="111"/>
      <c r="U24" s="289"/>
      <c r="V24" s="289"/>
      <c r="W24" s="289"/>
      <c r="X24" s="289"/>
      <c r="Y24" s="289"/>
      <c r="Z24" s="289"/>
      <c r="AA24" s="289"/>
      <c r="AB24" s="289"/>
      <c r="AC24" s="289"/>
      <c r="AD24" s="289"/>
      <c r="AE24" s="289"/>
      <c r="AF24" s="289"/>
      <c r="AG24" s="289"/>
      <c r="AH24" s="289"/>
      <c r="AI24" s="289"/>
      <c r="AJ24" s="289"/>
      <c r="AK24" s="289"/>
      <c r="AL24" s="289"/>
      <c r="AM24" s="289"/>
      <c r="AN24" s="289"/>
      <c r="AO24" s="289"/>
      <c r="AP24" s="280"/>
      <c r="AQ24" s="20"/>
      <c r="AR24" s="103"/>
      <c r="AS24" s="111"/>
      <c r="AT24" s="13"/>
      <c r="AU24" s="103"/>
      <c r="AV24" s="103"/>
      <c r="AW24" s="111"/>
      <c r="AX24" s="103"/>
      <c r="AY24" s="111"/>
      <c r="AZ24" s="103"/>
      <c r="BA24" s="111"/>
      <c r="BB24" s="111"/>
      <c r="BC24" s="111"/>
      <c r="BD24" s="103"/>
      <c r="BE24" s="111"/>
      <c r="BF24" s="103"/>
      <c r="BG24" s="103"/>
      <c r="BH24" s="103"/>
      <c r="BI24" s="111"/>
      <c r="BJ24" s="111"/>
      <c r="BK24" s="103"/>
      <c r="BL24" s="103"/>
      <c r="BM24" s="111"/>
      <c r="BN24" s="103"/>
      <c r="BO24" s="111"/>
      <c r="BP24" s="13"/>
      <c r="BQ24" s="103"/>
      <c r="BR24" s="111"/>
      <c r="BS24" s="103"/>
      <c r="BT24" s="111"/>
      <c r="BU24" s="111"/>
      <c r="BV24" s="111"/>
      <c r="BW24" s="111"/>
      <c r="BX24" s="111"/>
      <c r="BY24" s="103"/>
      <c r="BZ24" s="111"/>
      <c r="CA24" s="111"/>
      <c r="CB24" s="111"/>
      <c r="CC24" s="111"/>
      <c r="CD24" s="111"/>
      <c r="CE24" s="111"/>
      <c r="CF24" s="111"/>
      <c r="CG24" s="111"/>
      <c r="CH24" s="111"/>
      <c r="CI24" s="111"/>
      <c r="CJ24" s="111"/>
      <c r="CK24" s="111"/>
      <c r="CL24" s="111"/>
      <c r="CM24" s="111"/>
      <c r="CN24" s="111"/>
      <c r="CO24" s="111"/>
      <c r="CP24" s="111"/>
      <c r="CQ24" s="111"/>
      <c r="CR24" s="111"/>
      <c r="CS24" s="111"/>
      <c r="CT24" s="111"/>
      <c r="CU24" s="111"/>
      <c r="CV24" s="111"/>
      <c r="CW24" s="111"/>
      <c r="CX24" s="111"/>
      <c r="CY24" s="111"/>
      <c r="CZ24" s="111"/>
      <c r="DA24" s="111"/>
      <c r="DB24" s="111"/>
      <c r="DC24" s="111"/>
      <c r="DD24" s="111"/>
      <c r="DE24" s="111"/>
      <c r="DF24" s="111"/>
      <c r="DG24" s="111"/>
      <c r="DH24" s="111"/>
      <c r="DI24" s="111"/>
      <c r="DJ24" s="111"/>
      <c r="DK24" s="103"/>
      <c r="DL24" s="103"/>
      <c r="DM24" s="103"/>
      <c r="DN24" s="103"/>
      <c r="DO24" s="103"/>
      <c r="DP24" s="103"/>
      <c r="DQ24" s="103"/>
      <c r="DR24" s="103"/>
      <c r="DS24" s="103"/>
      <c r="DT24" s="103"/>
      <c r="DU24" s="103"/>
      <c r="DV24" s="103"/>
      <c r="DW24" s="103"/>
      <c r="DX24" s="103"/>
      <c r="DY24" s="103"/>
      <c r="DZ24" s="103"/>
      <c r="EA24" s="103"/>
      <c r="EB24" s="103"/>
      <c r="EC24" s="280"/>
      <c r="ED24" s="20"/>
      <c r="EE24" s="103"/>
      <c r="EF24" s="111"/>
      <c r="EG24" s="13"/>
      <c r="EH24" s="103"/>
      <c r="EI24" s="111"/>
      <c r="EJ24" s="111"/>
      <c r="EK24" s="111"/>
      <c r="EL24" s="111"/>
      <c r="EM24" s="111"/>
      <c r="EN24" s="111"/>
      <c r="EO24" s="111"/>
      <c r="EP24" s="111"/>
      <c r="EQ24" s="111"/>
      <c r="ER24" s="111"/>
      <c r="ES24" s="111"/>
      <c r="ET24" s="111"/>
      <c r="EU24" s="111"/>
      <c r="EV24" s="111"/>
      <c r="EW24" s="111"/>
      <c r="EX24" s="111"/>
      <c r="EY24" s="111"/>
      <c r="EZ24" s="111"/>
      <c r="FA24" s="111"/>
      <c r="FB24" s="111"/>
      <c r="FC24" s="111"/>
      <c r="FD24" s="111"/>
      <c r="FE24" s="111"/>
      <c r="FF24" s="111"/>
      <c r="FG24" s="111"/>
      <c r="FH24" s="111"/>
      <c r="FI24" s="111"/>
      <c r="FJ24" s="111"/>
      <c r="FK24" s="111"/>
      <c r="FL24" s="111"/>
      <c r="FM24" s="111"/>
      <c r="FN24" s="111"/>
      <c r="FO24" s="103"/>
      <c r="FP24" s="103"/>
      <c r="FQ24" s="103"/>
      <c r="FR24" s="103"/>
      <c r="FS24" s="103"/>
      <c r="FT24" s="103"/>
      <c r="FU24" s="103"/>
      <c r="FV24" s="103"/>
      <c r="FW24" s="386"/>
      <c r="FX24" s="103"/>
      <c r="FY24" s="280"/>
      <c r="FZ24" s="266"/>
      <c r="GA24" s="266"/>
      <c r="GB24" s="267"/>
      <c r="GC24" s="267"/>
    </row>
    <row r="25" spans="1:185" s="109" customFormat="1" x14ac:dyDescent="0.25">
      <c r="A25" s="20"/>
      <c r="B25" s="13"/>
      <c r="C25" s="13"/>
      <c r="D25" s="13"/>
      <c r="E25" s="13"/>
      <c r="F25" s="13"/>
      <c r="G25" s="111"/>
      <c r="H25" s="13"/>
      <c r="I25" s="13"/>
      <c r="J25" s="13"/>
      <c r="K25" s="13"/>
      <c r="L25" s="13"/>
      <c r="M25" s="13"/>
      <c r="N25" s="289"/>
      <c r="O25" s="289"/>
      <c r="P25" s="289"/>
      <c r="Q25" s="111"/>
      <c r="R25" s="111"/>
      <c r="S25" s="111"/>
      <c r="T25" s="111"/>
      <c r="U25" s="289"/>
      <c r="V25" s="289"/>
      <c r="W25" s="289"/>
      <c r="X25" s="289"/>
      <c r="Y25" s="289"/>
      <c r="Z25" s="289"/>
      <c r="AA25" s="289"/>
      <c r="AB25" s="289"/>
      <c r="AC25" s="289"/>
      <c r="AD25" s="289"/>
      <c r="AE25" s="289"/>
      <c r="AF25" s="289"/>
      <c r="AG25" s="289"/>
      <c r="AH25" s="289"/>
      <c r="AI25" s="289"/>
      <c r="AJ25" s="289"/>
      <c r="AK25" s="289"/>
      <c r="AL25" s="289"/>
      <c r="AM25" s="289"/>
      <c r="AN25" s="289"/>
      <c r="AO25" s="289"/>
      <c r="AP25" s="280"/>
      <c r="AQ25" s="20"/>
      <c r="AR25" s="103"/>
      <c r="AS25" s="111"/>
      <c r="AT25" s="13"/>
      <c r="AU25" s="103"/>
      <c r="AV25" s="103"/>
      <c r="AW25" s="111"/>
      <c r="AX25" s="103"/>
      <c r="AY25" s="111"/>
      <c r="AZ25" s="103"/>
      <c r="BA25" s="111"/>
      <c r="BB25" s="111"/>
      <c r="BC25" s="111"/>
      <c r="BD25" s="103"/>
      <c r="BE25" s="111"/>
      <c r="BF25" s="103"/>
      <c r="BG25" s="103"/>
      <c r="BH25" s="103"/>
      <c r="BI25" s="111"/>
      <c r="BJ25" s="111"/>
      <c r="BK25" s="103"/>
      <c r="BL25" s="103"/>
      <c r="BM25" s="111"/>
      <c r="BN25" s="103"/>
      <c r="BO25" s="111"/>
      <c r="BP25" s="13"/>
      <c r="BQ25" s="103"/>
      <c r="BR25" s="111"/>
      <c r="BS25" s="103"/>
      <c r="BT25" s="111"/>
      <c r="BU25" s="111"/>
      <c r="BV25" s="111"/>
      <c r="BW25" s="111"/>
      <c r="BX25" s="111"/>
      <c r="BY25" s="103"/>
      <c r="BZ25" s="111"/>
      <c r="CA25" s="111"/>
      <c r="CB25" s="111"/>
      <c r="CC25" s="111"/>
      <c r="CD25" s="111"/>
      <c r="CE25" s="111"/>
      <c r="CF25" s="111"/>
      <c r="CG25" s="111"/>
      <c r="CH25" s="111"/>
      <c r="CI25" s="111"/>
      <c r="CJ25" s="111"/>
      <c r="CK25" s="111"/>
      <c r="CL25" s="111"/>
      <c r="CM25" s="111"/>
      <c r="CN25" s="111"/>
      <c r="CO25" s="111"/>
      <c r="CP25" s="111"/>
      <c r="CQ25" s="111"/>
      <c r="CR25" s="111"/>
      <c r="CS25" s="111"/>
      <c r="CT25" s="111"/>
      <c r="CU25" s="111"/>
      <c r="CV25" s="111"/>
      <c r="CW25" s="111"/>
      <c r="CX25" s="111"/>
      <c r="CY25" s="111"/>
      <c r="CZ25" s="111"/>
      <c r="DA25" s="111"/>
      <c r="DB25" s="111"/>
      <c r="DC25" s="111"/>
      <c r="DD25" s="111"/>
      <c r="DE25" s="111"/>
      <c r="DF25" s="111"/>
      <c r="DG25" s="111"/>
      <c r="DH25" s="111"/>
      <c r="DI25" s="111"/>
      <c r="DJ25" s="111"/>
      <c r="DK25" s="103"/>
      <c r="DL25" s="103"/>
      <c r="DM25" s="103"/>
      <c r="DN25" s="103"/>
      <c r="DO25" s="103"/>
      <c r="DP25" s="103"/>
      <c r="DQ25" s="103"/>
      <c r="DR25" s="103"/>
      <c r="DS25" s="103"/>
      <c r="DT25" s="103"/>
      <c r="DU25" s="103"/>
      <c r="DV25" s="103"/>
      <c r="DW25" s="103"/>
      <c r="DX25" s="103"/>
      <c r="DY25" s="103"/>
      <c r="DZ25" s="103"/>
      <c r="EA25" s="103"/>
      <c r="EB25" s="103"/>
      <c r="EC25" s="280"/>
      <c r="ED25" s="20"/>
      <c r="EE25" s="103"/>
      <c r="EF25" s="111"/>
      <c r="EG25" s="13"/>
      <c r="EH25" s="103"/>
      <c r="EI25" s="111"/>
      <c r="EJ25" s="111"/>
      <c r="EK25" s="111"/>
      <c r="EL25" s="111"/>
      <c r="EM25" s="111"/>
      <c r="EN25" s="111"/>
      <c r="EO25" s="111"/>
      <c r="EP25" s="111"/>
      <c r="EQ25" s="111"/>
      <c r="ER25" s="111"/>
      <c r="ES25" s="111"/>
      <c r="ET25" s="111"/>
      <c r="EU25" s="111"/>
      <c r="EV25" s="111"/>
      <c r="EW25" s="111"/>
      <c r="EX25" s="111"/>
      <c r="EY25" s="111"/>
      <c r="EZ25" s="111"/>
      <c r="FA25" s="111"/>
      <c r="FB25" s="111"/>
      <c r="FC25" s="111"/>
      <c r="FD25" s="111"/>
      <c r="FE25" s="111"/>
      <c r="FF25" s="111"/>
      <c r="FG25" s="111"/>
      <c r="FH25" s="111"/>
      <c r="FI25" s="111"/>
      <c r="FJ25" s="111"/>
      <c r="FK25" s="111"/>
      <c r="FL25" s="111"/>
      <c r="FM25" s="111"/>
      <c r="FN25" s="111"/>
      <c r="FO25" s="103"/>
      <c r="FP25" s="103"/>
      <c r="FQ25" s="103"/>
      <c r="FR25" s="103"/>
      <c r="FS25" s="103"/>
      <c r="FT25" s="103"/>
      <c r="FU25" s="103"/>
      <c r="FV25" s="103"/>
      <c r="FW25" s="386"/>
      <c r="FX25" s="103"/>
      <c r="FY25" s="280"/>
      <c r="FZ25" s="266"/>
      <c r="GA25" s="266"/>
      <c r="GB25" s="267"/>
      <c r="GC25" s="267"/>
    </row>
    <row r="26" spans="1:185" s="109" customFormat="1" x14ac:dyDescent="0.25">
      <c r="A26" s="20"/>
      <c r="B26" s="13"/>
      <c r="C26" s="13"/>
      <c r="D26" s="13"/>
      <c r="E26" s="13"/>
      <c r="F26" s="13"/>
      <c r="G26" s="111"/>
      <c r="H26" s="13"/>
      <c r="I26" s="13"/>
      <c r="J26" s="13"/>
      <c r="K26" s="13"/>
      <c r="L26" s="13"/>
      <c r="M26" s="13"/>
      <c r="N26" s="289"/>
      <c r="O26" s="289"/>
      <c r="P26" s="289"/>
      <c r="Q26" s="111"/>
      <c r="R26" s="111"/>
      <c r="S26" s="111"/>
      <c r="T26" s="111"/>
      <c r="U26" s="289"/>
      <c r="V26" s="289"/>
      <c r="W26" s="289"/>
      <c r="X26" s="289"/>
      <c r="Y26" s="289"/>
      <c r="Z26" s="289"/>
      <c r="AA26" s="289"/>
      <c r="AB26" s="289"/>
      <c r="AC26" s="289"/>
      <c r="AD26" s="289"/>
      <c r="AE26" s="289"/>
      <c r="AF26" s="289"/>
      <c r="AG26" s="289"/>
      <c r="AH26" s="289"/>
      <c r="AI26" s="289"/>
      <c r="AJ26" s="289"/>
      <c r="AK26" s="289"/>
      <c r="AL26" s="289"/>
      <c r="AM26" s="289"/>
      <c r="AN26" s="289"/>
      <c r="AO26" s="289"/>
      <c r="AP26" s="280"/>
      <c r="AQ26" s="20"/>
      <c r="AR26" s="103"/>
      <c r="AS26" s="111"/>
      <c r="AT26" s="13"/>
      <c r="AU26" s="103"/>
      <c r="AV26" s="103"/>
      <c r="AW26" s="111"/>
      <c r="AX26" s="103"/>
      <c r="AY26" s="111"/>
      <c r="AZ26" s="103"/>
      <c r="BA26" s="111"/>
      <c r="BB26" s="111"/>
      <c r="BC26" s="111"/>
      <c r="BD26" s="103"/>
      <c r="BE26" s="111"/>
      <c r="BF26" s="103"/>
      <c r="BG26" s="103"/>
      <c r="BH26" s="103"/>
      <c r="BI26" s="111"/>
      <c r="BJ26" s="111"/>
      <c r="BK26" s="103"/>
      <c r="BL26" s="103"/>
      <c r="BM26" s="111"/>
      <c r="BN26" s="103"/>
      <c r="BO26" s="111"/>
      <c r="BP26" s="13"/>
      <c r="BQ26" s="103"/>
      <c r="BR26" s="111"/>
      <c r="BS26" s="103"/>
      <c r="BT26" s="111"/>
      <c r="BU26" s="111"/>
      <c r="BV26" s="111"/>
      <c r="BW26" s="111"/>
      <c r="BX26" s="111"/>
      <c r="BY26" s="103"/>
      <c r="BZ26" s="111"/>
      <c r="CA26" s="111"/>
      <c r="CB26" s="111"/>
      <c r="CC26" s="111"/>
      <c r="CD26" s="111"/>
      <c r="CE26" s="111"/>
      <c r="CF26" s="111"/>
      <c r="CG26" s="111"/>
      <c r="CH26" s="111"/>
      <c r="CI26" s="111"/>
      <c r="CJ26" s="111"/>
      <c r="CK26" s="111"/>
      <c r="CL26" s="111"/>
      <c r="CM26" s="111"/>
      <c r="CN26" s="111"/>
      <c r="CO26" s="111"/>
      <c r="CP26" s="111"/>
      <c r="CQ26" s="111"/>
      <c r="CR26" s="111"/>
      <c r="CS26" s="111"/>
      <c r="CT26" s="111"/>
      <c r="CU26" s="111"/>
      <c r="CV26" s="111"/>
      <c r="CW26" s="111"/>
      <c r="CX26" s="111"/>
      <c r="CY26" s="111"/>
      <c r="CZ26" s="111"/>
      <c r="DA26" s="111"/>
      <c r="DB26" s="111"/>
      <c r="DC26" s="111"/>
      <c r="DD26" s="111"/>
      <c r="DE26" s="111"/>
      <c r="DF26" s="111"/>
      <c r="DG26" s="111"/>
      <c r="DH26" s="111"/>
      <c r="DI26" s="111"/>
      <c r="DJ26" s="111"/>
      <c r="DK26" s="103"/>
      <c r="DL26" s="103"/>
      <c r="DM26" s="103"/>
      <c r="DN26" s="103"/>
      <c r="DO26" s="103"/>
      <c r="DP26" s="103"/>
      <c r="DQ26" s="103"/>
      <c r="DR26" s="103"/>
      <c r="DS26" s="103"/>
      <c r="DT26" s="103"/>
      <c r="DU26" s="103"/>
      <c r="DV26" s="103"/>
      <c r="DW26" s="103"/>
      <c r="DX26" s="103"/>
      <c r="DY26" s="103"/>
      <c r="DZ26" s="103"/>
      <c r="EA26" s="103"/>
      <c r="EB26" s="103"/>
      <c r="EC26" s="280"/>
      <c r="ED26" s="20"/>
      <c r="EE26" s="103"/>
      <c r="EF26" s="111"/>
      <c r="EG26" s="13"/>
      <c r="EH26" s="103"/>
      <c r="EI26" s="111"/>
      <c r="EJ26" s="111"/>
      <c r="EK26" s="111"/>
      <c r="EL26" s="111"/>
      <c r="EM26" s="111"/>
      <c r="EN26" s="111"/>
      <c r="EO26" s="111"/>
      <c r="EP26" s="111"/>
      <c r="EQ26" s="111"/>
      <c r="ER26" s="111"/>
      <c r="ES26" s="111"/>
      <c r="ET26" s="111"/>
      <c r="EU26" s="111"/>
      <c r="EV26" s="111"/>
      <c r="EW26" s="111"/>
      <c r="EX26" s="111"/>
      <c r="EY26" s="111"/>
      <c r="EZ26" s="111"/>
      <c r="FA26" s="111"/>
      <c r="FB26" s="111"/>
      <c r="FC26" s="111"/>
      <c r="FD26" s="111"/>
      <c r="FE26" s="111"/>
      <c r="FF26" s="111"/>
      <c r="FG26" s="111"/>
      <c r="FH26" s="111"/>
      <c r="FI26" s="111"/>
      <c r="FJ26" s="111"/>
      <c r="FK26" s="111"/>
      <c r="FL26" s="111"/>
      <c r="FM26" s="111"/>
      <c r="FN26" s="111"/>
      <c r="FO26" s="103"/>
      <c r="FP26" s="103"/>
      <c r="FQ26" s="103"/>
      <c r="FR26" s="103"/>
      <c r="FS26" s="103"/>
      <c r="FT26" s="103"/>
      <c r="FU26" s="103"/>
      <c r="FV26" s="103"/>
      <c r="FW26" s="386"/>
      <c r="FX26" s="103"/>
      <c r="FY26" s="280"/>
      <c r="FZ26" s="266"/>
      <c r="GA26" s="266"/>
      <c r="GB26" s="267"/>
      <c r="GC26" s="267"/>
    </row>
    <row r="27" spans="1:185" s="109" customFormat="1" ht="15" customHeight="1" x14ac:dyDescent="0.25">
      <c r="A27" s="20"/>
      <c r="B27" s="13"/>
      <c r="C27" s="13"/>
      <c r="D27" s="13"/>
      <c r="E27" s="13"/>
      <c r="F27" s="287"/>
      <c r="G27" s="111"/>
      <c r="H27" s="13"/>
      <c r="I27" s="287"/>
      <c r="J27" s="287"/>
      <c r="K27" s="287"/>
      <c r="L27" s="287"/>
      <c r="M27" s="287"/>
      <c r="N27" s="289"/>
      <c r="O27" s="289"/>
      <c r="P27" s="289"/>
      <c r="Q27" s="111"/>
      <c r="R27" s="111"/>
      <c r="S27" s="111"/>
      <c r="T27" s="111"/>
      <c r="U27" s="289"/>
      <c r="V27" s="289"/>
      <c r="W27" s="289"/>
      <c r="X27" s="289"/>
      <c r="Y27" s="289"/>
      <c r="Z27" s="289"/>
      <c r="AA27" s="289"/>
      <c r="AB27" s="289"/>
      <c r="AC27" s="289"/>
      <c r="AD27" s="289"/>
      <c r="AE27" s="289"/>
      <c r="AF27" s="289"/>
      <c r="AG27" s="289"/>
      <c r="AH27" s="289"/>
      <c r="AI27" s="289"/>
      <c r="AJ27" s="289"/>
      <c r="AK27" s="289"/>
      <c r="AL27" s="289"/>
      <c r="AM27" s="289"/>
      <c r="AN27" s="289"/>
      <c r="AO27" s="289"/>
      <c r="AP27" s="280"/>
      <c r="AQ27" s="20"/>
      <c r="AR27" s="103"/>
      <c r="AS27" s="111"/>
      <c r="AT27" s="13"/>
      <c r="AU27" s="103"/>
      <c r="AV27" s="103"/>
      <c r="AW27" s="111"/>
      <c r="AX27" s="103"/>
      <c r="AY27" s="111"/>
      <c r="AZ27" s="103"/>
      <c r="BA27" s="111"/>
      <c r="BB27" s="111"/>
      <c r="BC27" s="111"/>
      <c r="BD27" s="103"/>
      <c r="BE27" s="111"/>
      <c r="BF27" s="103"/>
      <c r="BG27" s="103"/>
      <c r="BH27" s="103"/>
      <c r="BI27" s="111"/>
      <c r="BJ27" s="111"/>
      <c r="BK27" s="103"/>
      <c r="BL27" s="103"/>
      <c r="BM27" s="111"/>
      <c r="BN27" s="103"/>
      <c r="BO27" s="111"/>
      <c r="BP27" s="13"/>
      <c r="BQ27" s="103"/>
      <c r="BR27" s="111"/>
      <c r="BS27" s="103"/>
      <c r="BT27" s="111"/>
      <c r="BU27" s="111"/>
      <c r="BV27" s="111"/>
      <c r="BW27" s="111"/>
      <c r="BX27" s="111"/>
      <c r="BY27" s="103"/>
      <c r="BZ27" s="111"/>
      <c r="CA27" s="111"/>
      <c r="CB27" s="111"/>
      <c r="CC27" s="111"/>
      <c r="CD27" s="111"/>
      <c r="CE27" s="111"/>
      <c r="CF27" s="111"/>
      <c r="CG27" s="111"/>
      <c r="CH27" s="111"/>
      <c r="CI27" s="111"/>
      <c r="CJ27" s="111"/>
      <c r="CK27" s="111"/>
      <c r="CL27" s="111"/>
      <c r="CM27" s="111"/>
      <c r="CN27" s="111"/>
      <c r="CO27" s="111"/>
      <c r="CP27" s="111"/>
      <c r="CQ27" s="111"/>
      <c r="CR27" s="111"/>
      <c r="CS27" s="111"/>
      <c r="CT27" s="111"/>
      <c r="CU27" s="111"/>
      <c r="CV27" s="111"/>
      <c r="CW27" s="111"/>
      <c r="CX27" s="111"/>
      <c r="CY27" s="111"/>
      <c r="CZ27" s="111"/>
      <c r="DA27" s="111"/>
      <c r="DB27" s="111"/>
      <c r="DC27" s="111"/>
      <c r="DD27" s="111"/>
      <c r="DE27" s="111"/>
      <c r="DF27" s="111"/>
      <c r="DG27" s="111"/>
      <c r="DH27" s="111"/>
      <c r="DI27" s="111"/>
      <c r="DJ27" s="111"/>
      <c r="DK27" s="103"/>
      <c r="DL27" s="103"/>
      <c r="DM27" s="103"/>
      <c r="DN27" s="103"/>
      <c r="DO27" s="103"/>
      <c r="DP27" s="103"/>
      <c r="DQ27" s="103"/>
      <c r="DR27" s="103"/>
      <c r="DS27" s="103"/>
      <c r="DT27" s="103"/>
      <c r="DU27" s="103"/>
      <c r="DV27" s="103"/>
      <c r="DW27" s="103"/>
      <c r="DX27" s="103"/>
      <c r="DY27" s="103"/>
      <c r="DZ27" s="103"/>
      <c r="EA27" s="103"/>
      <c r="EB27" s="103"/>
      <c r="EC27" s="280"/>
      <c r="ED27" s="20"/>
      <c r="EE27" s="103"/>
      <c r="EF27" s="111"/>
      <c r="EG27" s="13"/>
      <c r="EH27" s="103"/>
      <c r="EI27" s="111"/>
      <c r="EJ27" s="111"/>
      <c r="EK27" s="111"/>
      <c r="EL27" s="111"/>
      <c r="EM27" s="111"/>
      <c r="EN27" s="111"/>
      <c r="EO27" s="111"/>
      <c r="EP27" s="111"/>
      <c r="EQ27" s="111"/>
      <c r="ER27" s="111"/>
      <c r="ES27" s="111"/>
      <c r="ET27" s="111"/>
      <c r="EU27" s="111"/>
      <c r="EV27" s="111"/>
      <c r="EW27" s="111"/>
      <c r="EX27" s="111"/>
      <c r="EY27" s="111"/>
      <c r="EZ27" s="111"/>
      <c r="FA27" s="111"/>
      <c r="FB27" s="111"/>
      <c r="FC27" s="111"/>
      <c r="FD27" s="111"/>
      <c r="FE27" s="111"/>
      <c r="FF27" s="111"/>
      <c r="FG27" s="111"/>
      <c r="FH27" s="111"/>
      <c r="FI27" s="111"/>
      <c r="FJ27" s="111"/>
      <c r="FK27" s="111"/>
      <c r="FL27" s="111"/>
      <c r="FM27" s="111"/>
      <c r="FN27" s="111"/>
      <c r="FO27" s="103"/>
      <c r="FP27" s="103"/>
      <c r="FQ27" s="103"/>
      <c r="FR27" s="103"/>
      <c r="FS27" s="103"/>
      <c r="FT27" s="103"/>
      <c r="FU27" s="103"/>
      <c r="FV27" s="103"/>
      <c r="FW27" s="386"/>
      <c r="FX27" s="103"/>
      <c r="FY27" s="280"/>
      <c r="FZ27" s="266"/>
      <c r="GA27" s="266"/>
      <c r="GB27" s="267"/>
      <c r="GC27" s="267"/>
    </row>
    <row r="28" spans="1:185" s="109" customFormat="1" x14ac:dyDescent="0.25">
      <c r="A28" s="14"/>
      <c r="B28" s="13"/>
      <c r="C28" s="13"/>
      <c r="D28" s="13"/>
      <c r="E28" s="13"/>
      <c r="F28" s="13"/>
      <c r="G28" s="110"/>
      <c r="H28" s="13"/>
      <c r="I28" s="13"/>
      <c r="J28" s="13"/>
      <c r="K28" s="13"/>
      <c r="L28" s="13"/>
      <c r="M28" s="13"/>
      <c r="N28" s="289"/>
      <c r="O28" s="289"/>
      <c r="P28" s="289"/>
      <c r="Q28" s="112"/>
      <c r="R28" s="112"/>
      <c r="S28" s="112"/>
      <c r="T28" s="112"/>
      <c r="U28" s="289"/>
      <c r="V28" s="289"/>
      <c r="W28" s="289"/>
      <c r="X28" s="289"/>
      <c r="Y28" s="289"/>
      <c r="Z28" s="289"/>
      <c r="AA28" s="289"/>
      <c r="AB28" s="289"/>
      <c r="AC28" s="289"/>
      <c r="AD28" s="289"/>
      <c r="AE28" s="289"/>
      <c r="AF28" s="289"/>
      <c r="AG28" s="289"/>
      <c r="AH28" s="289"/>
      <c r="AI28" s="289"/>
      <c r="AJ28" s="289"/>
      <c r="AK28" s="289"/>
      <c r="AL28" s="289"/>
      <c r="AM28" s="289"/>
      <c r="AN28" s="289"/>
      <c r="AO28" s="289"/>
      <c r="AP28" s="280"/>
      <c r="AQ28" s="20"/>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c r="CB28" s="111"/>
      <c r="CC28" s="111"/>
      <c r="CD28" s="111"/>
      <c r="CE28" s="111"/>
      <c r="CF28" s="111"/>
      <c r="CG28" s="111"/>
      <c r="CH28" s="111"/>
      <c r="CI28" s="111"/>
      <c r="CJ28" s="111"/>
      <c r="CK28" s="111"/>
      <c r="CL28" s="111"/>
      <c r="CM28" s="111"/>
      <c r="CN28" s="111"/>
      <c r="CO28" s="111"/>
      <c r="CP28" s="111"/>
      <c r="CQ28" s="111"/>
      <c r="CR28" s="111"/>
      <c r="CS28" s="111"/>
      <c r="CT28" s="111"/>
      <c r="CU28" s="111"/>
      <c r="CV28" s="111"/>
      <c r="CW28" s="111"/>
      <c r="CX28" s="111"/>
      <c r="CY28" s="111"/>
      <c r="CZ28" s="111"/>
      <c r="DA28" s="111"/>
      <c r="DB28" s="111"/>
      <c r="DC28" s="111"/>
      <c r="DD28" s="111"/>
      <c r="DE28" s="111"/>
      <c r="DF28" s="111"/>
      <c r="DG28" s="111"/>
      <c r="DH28" s="111"/>
      <c r="DI28" s="111"/>
      <c r="DJ28" s="111"/>
      <c r="DK28" s="111"/>
      <c r="DL28" s="111"/>
      <c r="DM28" s="111"/>
      <c r="DN28" s="111"/>
      <c r="DO28" s="111"/>
      <c r="DP28" s="111"/>
      <c r="DQ28" s="111"/>
      <c r="DR28" s="111"/>
      <c r="DS28" s="111"/>
      <c r="DT28" s="111"/>
      <c r="DU28" s="111"/>
      <c r="DV28" s="111"/>
      <c r="DW28" s="111"/>
      <c r="DX28" s="111"/>
      <c r="DY28" s="111"/>
      <c r="DZ28" s="111"/>
      <c r="EA28" s="111"/>
      <c r="EB28" s="111"/>
      <c r="EC28" s="280"/>
      <c r="ED28" s="20"/>
      <c r="EE28" s="111"/>
      <c r="EF28" s="111"/>
      <c r="EG28" s="111"/>
      <c r="EH28" s="111"/>
      <c r="EI28" s="111"/>
      <c r="EJ28" s="111"/>
      <c r="EK28" s="111"/>
      <c r="EL28" s="111"/>
      <c r="EM28" s="111"/>
      <c r="EN28" s="111"/>
      <c r="EO28" s="111"/>
      <c r="EP28" s="111"/>
      <c r="EQ28" s="111"/>
      <c r="ER28" s="111"/>
      <c r="ES28" s="111"/>
      <c r="ET28" s="111"/>
      <c r="EU28" s="111"/>
      <c r="EV28" s="111"/>
      <c r="EW28" s="111"/>
      <c r="EX28" s="111"/>
      <c r="EY28" s="111"/>
      <c r="EZ28" s="111"/>
      <c r="FA28" s="111"/>
      <c r="FB28" s="111"/>
      <c r="FC28" s="111"/>
      <c r="FD28" s="111"/>
      <c r="FE28" s="111"/>
      <c r="FF28" s="111"/>
      <c r="FG28" s="111"/>
      <c r="FH28" s="111"/>
      <c r="FI28" s="111"/>
      <c r="FJ28" s="111"/>
      <c r="FK28" s="111"/>
      <c r="FL28" s="111"/>
      <c r="FM28" s="111"/>
      <c r="FN28" s="111"/>
      <c r="FO28" s="111"/>
      <c r="FP28" s="111"/>
      <c r="FQ28" s="111"/>
      <c r="FR28" s="111"/>
      <c r="FS28" s="111"/>
      <c r="FT28" s="111"/>
      <c r="FU28" s="111"/>
      <c r="FV28" s="111"/>
      <c r="FW28" s="305"/>
      <c r="FX28" s="111"/>
      <c r="FY28" s="280"/>
      <c r="FZ28" s="266"/>
      <c r="GA28" s="266"/>
      <c r="GB28" s="267"/>
      <c r="GC28" s="267"/>
    </row>
    <row r="29" spans="1:185" s="109" customFormat="1" x14ac:dyDescent="0.25">
      <c r="A29" s="14"/>
      <c r="B29" s="13"/>
      <c r="C29" s="13"/>
      <c r="D29" s="13"/>
      <c r="E29" s="13"/>
      <c r="F29" s="13"/>
      <c r="G29" s="110"/>
      <c r="H29" s="13"/>
      <c r="I29" s="13"/>
      <c r="J29" s="13"/>
      <c r="K29" s="13"/>
      <c r="L29" s="13"/>
      <c r="M29" s="13"/>
      <c r="N29" s="289"/>
      <c r="O29" s="289"/>
      <c r="P29" s="289"/>
      <c r="Q29" s="112"/>
      <c r="R29" s="112"/>
      <c r="S29" s="112"/>
      <c r="T29" s="112"/>
      <c r="U29" s="289"/>
      <c r="V29" s="289"/>
      <c r="W29" s="289"/>
      <c r="X29" s="289"/>
      <c r="Y29" s="289"/>
      <c r="Z29" s="289"/>
      <c r="AA29" s="289"/>
      <c r="AB29" s="289"/>
      <c r="AC29" s="289"/>
      <c r="AD29" s="289"/>
      <c r="AE29" s="289"/>
      <c r="AF29" s="289"/>
      <c r="AG29" s="289"/>
      <c r="AH29" s="289"/>
      <c r="AI29" s="289"/>
      <c r="AJ29" s="289"/>
      <c r="AK29" s="289"/>
      <c r="AL29" s="289"/>
      <c r="AM29" s="289"/>
      <c r="AN29" s="289"/>
      <c r="AO29" s="289"/>
      <c r="AP29" s="280"/>
      <c r="AQ29" s="20"/>
      <c r="AR29" s="103"/>
      <c r="AS29" s="111"/>
      <c r="AT29" s="13"/>
      <c r="AU29" s="103"/>
      <c r="AV29" s="103"/>
      <c r="AW29" s="111"/>
      <c r="AX29" s="103"/>
      <c r="AY29" s="111"/>
      <c r="AZ29" s="103"/>
      <c r="BA29" s="111"/>
      <c r="BB29" s="111"/>
      <c r="BC29" s="111"/>
      <c r="BD29" s="103"/>
      <c r="BE29" s="111"/>
      <c r="BF29" s="103"/>
      <c r="BG29" s="103"/>
      <c r="BH29" s="103"/>
      <c r="BI29" s="111"/>
      <c r="BJ29" s="111"/>
      <c r="BK29" s="103"/>
      <c r="BL29" s="103"/>
      <c r="BM29" s="111"/>
      <c r="BN29" s="103"/>
      <c r="BO29" s="111"/>
      <c r="BP29" s="13"/>
      <c r="BQ29" s="103"/>
      <c r="BR29" s="111"/>
      <c r="BS29" s="103"/>
      <c r="BT29" s="111"/>
      <c r="BU29" s="111"/>
      <c r="BV29" s="111"/>
      <c r="BW29" s="111"/>
      <c r="BX29" s="111"/>
      <c r="BY29" s="103"/>
      <c r="BZ29" s="111"/>
      <c r="CA29" s="111"/>
      <c r="CB29" s="111"/>
      <c r="CC29" s="111"/>
      <c r="CD29" s="111"/>
      <c r="CE29" s="111"/>
      <c r="CF29" s="111"/>
      <c r="CG29" s="111"/>
      <c r="CH29" s="111"/>
      <c r="CI29" s="111"/>
      <c r="CJ29" s="111"/>
      <c r="CK29" s="111"/>
      <c r="CL29" s="111"/>
      <c r="CM29" s="111"/>
      <c r="CN29" s="111"/>
      <c r="CO29" s="111"/>
      <c r="CP29" s="111"/>
      <c r="CQ29" s="111"/>
      <c r="CR29" s="111"/>
      <c r="CS29" s="111"/>
      <c r="CT29" s="111"/>
      <c r="CU29" s="111"/>
      <c r="CV29" s="111"/>
      <c r="CW29" s="111"/>
      <c r="CX29" s="111"/>
      <c r="CY29" s="111"/>
      <c r="CZ29" s="111"/>
      <c r="DA29" s="111"/>
      <c r="DB29" s="111"/>
      <c r="DC29" s="111"/>
      <c r="DD29" s="111"/>
      <c r="DE29" s="111"/>
      <c r="DF29" s="111"/>
      <c r="DG29" s="111"/>
      <c r="DH29" s="111"/>
      <c r="DI29" s="111"/>
      <c r="DJ29" s="111"/>
      <c r="DK29" s="103"/>
      <c r="DL29" s="103"/>
      <c r="DM29" s="103"/>
      <c r="DN29" s="103"/>
      <c r="DO29" s="103"/>
      <c r="DP29" s="103"/>
      <c r="DQ29" s="103"/>
      <c r="DR29" s="103"/>
      <c r="DS29" s="103"/>
      <c r="DT29" s="103"/>
      <c r="DU29" s="103"/>
      <c r="DV29" s="103"/>
      <c r="DW29" s="103"/>
      <c r="DX29" s="103"/>
      <c r="DY29" s="103"/>
      <c r="DZ29" s="103"/>
      <c r="EA29" s="103"/>
      <c r="EB29" s="103"/>
      <c r="EC29" s="280"/>
      <c r="ED29" s="20"/>
      <c r="EE29" s="103"/>
      <c r="EF29" s="111"/>
      <c r="EG29" s="13"/>
      <c r="EH29" s="103"/>
      <c r="EI29" s="111"/>
      <c r="EJ29" s="111"/>
      <c r="EK29" s="111"/>
      <c r="EL29" s="111"/>
      <c r="EM29" s="111"/>
      <c r="EN29" s="111"/>
      <c r="EO29" s="111"/>
      <c r="EP29" s="111"/>
      <c r="EQ29" s="111"/>
      <c r="ER29" s="111"/>
      <c r="ES29" s="111"/>
      <c r="ET29" s="111"/>
      <c r="EU29" s="111"/>
      <c r="EV29" s="111"/>
      <c r="EW29" s="111"/>
      <c r="EX29" s="111"/>
      <c r="EY29" s="111"/>
      <c r="EZ29" s="111"/>
      <c r="FA29" s="111"/>
      <c r="FB29" s="111"/>
      <c r="FC29" s="111"/>
      <c r="FD29" s="111"/>
      <c r="FE29" s="111"/>
      <c r="FF29" s="111"/>
      <c r="FG29" s="111"/>
      <c r="FH29" s="111"/>
      <c r="FI29" s="111"/>
      <c r="FJ29" s="111"/>
      <c r="FK29" s="111"/>
      <c r="FL29" s="111"/>
      <c r="FM29" s="111"/>
      <c r="FN29" s="111"/>
      <c r="FO29" s="103"/>
      <c r="FP29" s="103"/>
      <c r="FQ29" s="103"/>
      <c r="FR29" s="103"/>
      <c r="FS29" s="103"/>
      <c r="FT29" s="103"/>
      <c r="FU29" s="103"/>
      <c r="FV29" s="103"/>
      <c r="FW29" s="386"/>
      <c r="FX29" s="103"/>
      <c r="FY29" s="280"/>
      <c r="FZ29" s="266"/>
      <c r="GA29" s="266"/>
      <c r="GB29" s="267"/>
      <c r="GC29" s="267"/>
    </row>
    <row r="30" spans="1:185" s="109" customFormat="1" x14ac:dyDescent="0.25">
      <c r="A30" s="14"/>
      <c r="B30" s="13"/>
      <c r="C30" s="13"/>
      <c r="D30" s="13"/>
      <c r="E30" s="13"/>
      <c r="F30" s="13"/>
      <c r="G30" s="110"/>
      <c r="H30" s="13"/>
      <c r="I30" s="13"/>
      <c r="J30" s="13"/>
      <c r="K30" s="13"/>
      <c r="L30" s="13"/>
      <c r="M30" s="13"/>
      <c r="N30" s="289"/>
      <c r="O30" s="289"/>
      <c r="P30" s="289"/>
      <c r="Q30" s="112"/>
      <c r="R30" s="112"/>
      <c r="S30" s="112"/>
      <c r="T30" s="112"/>
      <c r="U30" s="289"/>
      <c r="V30" s="289"/>
      <c r="W30" s="289"/>
      <c r="X30" s="289"/>
      <c r="Y30" s="289"/>
      <c r="Z30" s="289"/>
      <c r="AA30" s="289"/>
      <c r="AB30" s="289"/>
      <c r="AC30" s="289"/>
      <c r="AD30" s="289"/>
      <c r="AE30" s="289"/>
      <c r="AF30" s="289"/>
      <c r="AG30" s="289"/>
      <c r="AH30" s="289"/>
      <c r="AI30" s="289"/>
      <c r="AJ30" s="289"/>
      <c r="AK30" s="289"/>
      <c r="AL30" s="289"/>
      <c r="AM30" s="289"/>
      <c r="AN30" s="289"/>
      <c r="AO30" s="289"/>
      <c r="AP30" s="280"/>
      <c r="AQ30" s="20"/>
      <c r="AR30" s="103"/>
      <c r="AS30" s="111"/>
      <c r="AT30" s="13"/>
      <c r="AU30" s="103"/>
      <c r="AV30" s="103"/>
      <c r="AW30" s="111"/>
      <c r="AX30" s="103"/>
      <c r="AY30" s="111"/>
      <c r="AZ30" s="103"/>
      <c r="BA30" s="111"/>
      <c r="BB30" s="111"/>
      <c r="BC30" s="111"/>
      <c r="BD30" s="103"/>
      <c r="BE30" s="111"/>
      <c r="BF30" s="103"/>
      <c r="BG30" s="103"/>
      <c r="BH30" s="103"/>
      <c r="BI30" s="111"/>
      <c r="BJ30" s="111"/>
      <c r="BK30" s="103"/>
      <c r="BL30" s="103"/>
      <c r="BM30" s="111"/>
      <c r="BN30" s="103"/>
      <c r="BO30" s="111"/>
      <c r="BP30" s="13"/>
      <c r="BQ30" s="103"/>
      <c r="BR30" s="111"/>
      <c r="BS30" s="103"/>
      <c r="BT30" s="111"/>
      <c r="BU30" s="111"/>
      <c r="BV30" s="111"/>
      <c r="BW30" s="111"/>
      <c r="BX30" s="111"/>
      <c r="BY30" s="103"/>
      <c r="BZ30" s="111"/>
      <c r="CA30" s="111"/>
      <c r="CB30" s="111"/>
      <c r="CC30" s="111"/>
      <c r="CD30" s="111"/>
      <c r="CE30" s="111"/>
      <c r="CF30" s="111"/>
      <c r="CG30" s="111"/>
      <c r="CH30" s="111"/>
      <c r="CI30" s="111"/>
      <c r="CJ30" s="111"/>
      <c r="CK30" s="111"/>
      <c r="CL30" s="111"/>
      <c r="CM30" s="111"/>
      <c r="CN30" s="111"/>
      <c r="CO30" s="111"/>
      <c r="CP30" s="111"/>
      <c r="CQ30" s="111"/>
      <c r="CR30" s="111"/>
      <c r="CS30" s="111"/>
      <c r="CT30" s="111"/>
      <c r="CU30" s="111"/>
      <c r="CV30" s="111"/>
      <c r="CW30" s="111"/>
      <c r="CX30" s="111"/>
      <c r="CY30" s="111"/>
      <c r="CZ30" s="111"/>
      <c r="DA30" s="111"/>
      <c r="DB30" s="111"/>
      <c r="DC30" s="111"/>
      <c r="DD30" s="111"/>
      <c r="DE30" s="111"/>
      <c r="DF30" s="111"/>
      <c r="DG30" s="111"/>
      <c r="DH30" s="111"/>
      <c r="DI30" s="111"/>
      <c r="DJ30" s="111"/>
      <c r="DK30" s="103"/>
      <c r="DL30" s="103"/>
      <c r="DM30" s="103"/>
      <c r="DN30" s="103"/>
      <c r="DO30" s="103"/>
      <c r="DP30" s="103"/>
      <c r="DQ30" s="103"/>
      <c r="DR30" s="103"/>
      <c r="DS30" s="103"/>
      <c r="DT30" s="103"/>
      <c r="DU30" s="103"/>
      <c r="DV30" s="103"/>
      <c r="DW30" s="103"/>
      <c r="DX30" s="103"/>
      <c r="DY30" s="103"/>
      <c r="DZ30" s="103"/>
      <c r="EA30" s="103"/>
      <c r="EB30" s="103"/>
      <c r="EC30" s="280"/>
      <c r="ED30" s="20"/>
      <c r="EE30" s="103"/>
      <c r="EF30" s="111"/>
      <c r="EG30" s="13"/>
      <c r="EH30" s="103"/>
      <c r="EI30" s="111"/>
      <c r="EJ30" s="111"/>
      <c r="EK30" s="111"/>
      <c r="EL30" s="111"/>
      <c r="EM30" s="111"/>
      <c r="EN30" s="111"/>
      <c r="EO30" s="111"/>
      <c r="EP30" s="111"/>
      <c r="EQ30" s="111"/>
      <c r="ER30" s="111"/>
      <c r="ES30" s="111"/>
      <c r="ET30" s="111"/>
      <c r="EU30" s="111"/>
      <c r="EV30" s="111"/>
      <c r="EW30" s="111"/>
      <c r="EX30" s="111"/>
      <c r="EY30" s="111"/>
      <c r="EZ30" s="111"/>
      <c r="FA30" s="111"/>
      <c r="FB30" s="111"/>
      <c r="FC30" s="111"/>
      <c r="FD30" s="111"/>
      <c r="FE30" s="111"/>
      <c r="FF30" s="111"/>
      <c r="FG30" s="111"/>
      <c r="FH30" s="111"/>
      <c r="FI30" s="111"/>
      <c r="FJ30" s="111"/>
      <c r="FK30" s="111"/>
      <c r="FL30" s="111"/>
      <c r="FM30" s="111"/>
      <c r="FN30" s="111"/>
      <c r="FO30" s="103"/>
      <c r="FP30" s="103"/>
      <c r="FQ30" s="103"/>
      <c r="FR30" s="103"/>
      <c r="FS30" s="103"/>
      <c r="FT30" s="103"/>
      <c r="FU30" s="103"/>
      <c r="FV30" s="103"/>
      <c r="FW30" s="386"/>
      <c r="FX30" s="103"/>
      <c r="FY30" s="280"/>
      <c r="FZ30" s="266"/>
      <c r="GA30" s="266"/>
      <c r="GB30" s="267"/>
      <c r="GC30" s="267"/>
    </row>
    <row r="31" spans="1:185" s="109" customFormat="1" x14ac:dyDescent="0.25">
      <c r="A31" s="14"/>
      <c r="B31" s="13"/>
      <c r="C31" s="13"/>
      <c r="D31" s="13"/>
      <c r="E31" s="13"/>
      <c r="F31" s="13"/>
      <c r="G31" s="110"/>
      <c r="H31" s="13"/>
      <c r="I31" s="13"/>
      <c r="J31" s="13"/>
      <c r="K31" s="13"/>
      <c r="L31" s="13"/>
      <c r="M31" s="13"/>
      <c r="N31" s="289"/>
      <c r="O31" s="289"/>
      <c r="P31" s="289"/>
      <c r="Q31" s="112"/>
      <c r="R31" s="112"/>
      <c r="S31" s="112"/>
      <c r="T31" s="112"/>
      <c r="U31" s="289"/>
      <c r="V31" s="289"/>
      <c r="W31" s="289"/>
      <c r="X31" s="289"/>
      <c r="Y31" s="289"/>
      <c r="Z31" s="289"/>
      <c r="AA31" s="289"/>
      <c r="AB31" s="289"/>
      <c r="AC31" s="289"/>
      <c r="AD31" s="289"/>
      <c r="AE31" s="289"/>
      <c r="AF31" s="289"/>
      <c r="AG31" s="289"/>
      <c r="AH31" s="289"/>
      <c r="AI31" s="289"/>
      <c r="AJ31" s="289"/>
      <c r="AK31" s="289"/>
      <c r="AL31" s="289"/>
      <c r="AM31" s="289"/>
      <c r="AN31" s="289"/>
      <c r="AO31" s="289"/>
      <c r="AP31" s="280"/>
      <c r="AQ31" s="20"/>
      <c r="AR31" s="103"/>
      <c r="AS31" s="111"/>
      <c r="AT31" s="13"/>
      <c r="AU31" s="103"/>
      <c r="AV31" s="103"/>
      <c r="AW31" s="111"/>
      <c r="AX31" s="103"/>
      <c r="AY31" s="111"/>
      <c r="AZ31" s="103"/>
      <c r="BA31" s="111"/>
      <c r="BB31" s="111"/>
      <c r="BC31" s="111"/>
      <c r="BD31" s="103"/>
      <c r="BE31" s="111"/>
      <c r="BF31" s="103"/>
      <c r="BG31" s="103"/>
      <c r="BH31" s="103"/>
      <c r="BI31" s="111"/>
      <c r="BJ31" s="111"/>
      <c r="BK31" s="103"/>
      <c r="BL31" s="103"/>
      <c r="BM31" s="111"/>
      <c r="BN31" s="103"/>
      <c r="BO31" s="111"/>
      <c r="BP31" s="13"/>
      <c r="BQ31" s="103"/>
      <c r="BR31" s="111"/>
      <c r="BS31" s="103"/>
      <c r="BT31" s="111"/>
      <c r="BU31" s="111"/>
      <c r="BV31" s="111"/>
      <c r="BW31" s="111"/>
      <c r="BX31" s="111"/>
      <c r="BY31" s="103"/>
      <c r="BZ31" s="111"/>
      <c r="CA31" s="111"/>
      <c r="CB31" s="111"/>
      <c r="CC31" s="111"/>
      <c r="CD31" s="111"/>
      <c r="CE31" s="111"/>
      <c r="CF31" s="111"/>
      <c r="CG31" s="111"/>
      <c r="CH31" s="111"/>
      <c r="CI31" s="111"/>
      <c r="CJ31" s="111"/>
      <c r="CK31" s="111"/>
      <c r="CL31" s="111"/>
      <c r="CM31" s="111"/>
      <c r="CN31" s="111"/>
      <c r="CO31" s="111"/>
      <c r="CP31" s="111"/>
      <c r="CQ31" s="111"/>
      <c r="CR31" s="111"/>
      <c r="CS31" s="111"/>
      <c r="CT31" s="111"/>
      <c r="CU31" s="111"/>
      <c r="CV31" s="111"/>
      <c r="CW31" s="111"/>
      <c r="CX31" s="111"/>
      <c r="CY31" s="111"/>
      <c r="CZ31" s="111"/>
      <c r="DA31" s="111"/>
      <c r="DB31" s="111"/>
      <c r="DC31" s="111"/>
      <c r="DD31" s="111"/>
      <c r="DE31" s="111"/>
      <c r="DF31" s="111"/>
      <c r="DG31" s="111"/>
      <c r="DH31" s="111"/>
      <c r="DI31" s="111"/>
      <c r="DJ31" s="111"/>
      <c r="DK31" s="103"/>
      <c r="DL31" s="103"/>
      <c r="DM31" s="103"/>
      <c r="DN31" s="103"/>
      <c r="DO31" s="103"/>
      <c r="DP31" s="103"/>
      <c r="DQ31" s="103"/>
      <c r="DR31" s="103"/>
      <c r="DS31" s="103"/>
      <c r="DT31" s="103"/>
      <c r="DU31" s="103"/>
      <c r="DV31" s="103"/>
      <c r="DW31" s="103"/>
      <c r="DX31" s="103"/>
      <c r="DY31" s="103"/>
      <c r="DZ31" s="103"/>
      <c r="EA31" s="103"/>
      <c r="EB31" s="103"/>
      <c r="EC31" s="280"/>
      <c r="ED31" s="20"/>
      <c r="EE31" s="103"/>
      <c r="EF31" s="111"/>
      <c r="EG31" s="13"/>
      <c r="EH31" s="103"/>
      <c r="EI31" s="111"/>
      <c r="EJ31" s="111"/>
      <c r="EK31" s="111"/>
      <c r="EL31" s="111"/>
      <c r="EM31" s="111"/>
      <c r="EN31" s="111"/>
      <c r="EO31" s="111"/>
      <c r="EP31" s="111"/>
      <c r="EQ31" s="111"/>
      <c r="ER31" s="111"/>
      <c r="ES31" s="111"/>
      <c r="ET31" s="111"/>
      <c r="EU31" s="111"/>
      <c r="EV31" s="111"/>
      <c r="EW31" s="111"/>
      <c r="EX31" s="111"/>
      <c r="EY31" s="111"/>
      <c r="EZ31" s="111"/>
      <c r="FA31" s="111"/>
      <c r="FB31" s="111"/>
      <c r="FC31" s="111"/>
      <c r="FD31" s="111"/>
      <c r="FE31" s="111"/>
      <c r="FF31" s="111"/>
      <c r="FG31" s="111"/>
      <c r="FH31" s="111"/>
      <c r="FI31" s="111"/>
      <c r="FJ31" s="111"/>
      <c r="FK31" s="111"/>
      <c r="FL31" s="111"/>
      <c r="FM31" s="111"/>
      <c r="FN31" s="111"/>
      <c r="FO31" s="103"/>
      <c r="FP31" s="103"/>
      <c r="FQ31" s="103"/>
      <c r="FR31" s="103"/>
      <c r="FS31" s="103"/>
      <c r="FT31" s="103"/>
      <c r="FU31" s="103"/>
      <c r="FV31" s="103"/>
      <c r="FW31" s="386"/>
      <c r="FX31" s="103"/>
      <c r="FY31" s="280"/>
      <c r="FZ31" s="266"/>
      <c r="GA31" s="266"/>
      <c r="GB31" s="267"/>
      <c r="GC31" s="267"/>
    </row>
    <row r="32" spans="1:185" s="109" customFormat="1" x14ac:dyDescent="0.25">
      <c r="A32" s="14"/>
      <c r="B32" s="13"/>
      <c r="C32" s="13"/>
      <c r="D32" s="13"/>
      <c r="E32" s="13"/>
      <c r="F32" s="13"/>
      <c r="G32" s="110"/>
      <c r="H32" s="13"/>
      <c r="I32" s="13"/>
      <c r="J32" s="13"/>
      <c r="K32" s="13"/>
      <c r="L32" s="13"/>
      <c r="M32" s="13"/>
      <c r="N32" s="289"/>
      <c r="O32" s="289"/>
      <c r="P32" s="289"/>
      <c r="Q32" s="112"/>
      <c r="R32" s="112"/>
      <c r="S32" s="112"/>
      <c r="T32" s="112"/>
      <c r="U32" s="289"/>
      <c r="V32" s="289"/>
      <c r="W32" s="289"/>
      <c r="X32" s="289"/>
      <c r="Y32" s="289"/>
      <c r="Z32" s="289"/>
      <c r="AA32" s="289"/>
      <c r="AB32" s="289"/>
      <c r="AC32" s="289"/>
      <c r="AD32" s="289"/>
      <c r="AE32" s="289"/>
      <c r="AF32" s="289"/>
      <c r="AG32" s="289"/>
      <c r="AH32" s="289"/>
      <c r="AI32" s="289"/>
      <c r="AJ32" s="289"/>
      <c r="AK32" s="289"/>
      <c r="AL32" s="289"/>
      <c r="AM32" s="289"/>
      <c r="AN32" s="289"/>
      <c r="AO32" s="289"/>
      <c r="AP32" s="280"/>
      <c r="AQ32" s="20"/>
      <c r="AR32" s="13"/>
      <c r="AS32" s="111"/>
      <c r="AT32" s="13"/>
      <c r="AU32" s="13"/>
      <c r="AV32" s="13"/>
      <c r="AW32" s="111"/>
      <c r="AX32" s="13"/>
      <c r="AY32" s="111"/>
      <c r="AZ32" s="13"/>
      <c r="BA32" s="111"/>
      <c r="BB32" s="111"/>
      <c r="BC32" s="111"/>
      <c r="BD32" s="13"/>
      <c r="BE32" s="111"/>
      <c r="BF32" s="13"/>
      <c r="BG32" s="13"/>
      <c r="BH32" s="13"/>
      <c r="BI32" s="111"/>
      <c r="BJ32" s="111"/>
      <c r="BK32" s="13"/>
      <c r="BL32" s="13"/>
      <c r="BM32" s="111"/>
      <c r="BN32" s="13"/>
      <c r="BO32" s="111"/>
      <c r="BP32" s="13"/>
      <c r="BQ32" s="13"/>
      <c r="BR32" s="111"/>
      <c r="BS32" s="13"/>
      <c r="BT32" s="111"/>
      <c r="BU32" s="111"/>
      <c r="BV32" s="111"/>
      <c r="BW32" s="111"/>
      <c r="BX32" s="111"/>
      <c r="BY32" s="13"/>
      <c r="BZ32" s="111"/>
      <c r="CA32" s="111"/>
      <c r="CB32" s="111"/>
      <c r="CC32" s="111"/>
      <c r="CD32" s="111"/>
      <c r="CE32" s="111"/>
      <c r="CF32" s="111"/>
      <c r="CG32" s="111"/>
      <c r="CH32" s="111"/>
      <c r="CI32" s="111"/>
      <c r="CJ32" s="111"/>
      <c r="CK32" s="111"/>
      <c r="CL32" s="111"/>
      <c r="CM32" s="111"/>
      <c r="CN32" s="111"/>
      <c r="CO32" s="111"/>
      <c r="CP32" s="111"/>
      <c r="CQ32" s="111"/>
      <c r="CR32" s="111"/>
      <c r="CS32" s="111"/>
      <c r="CT32" s="111"/>
      <c r="CU32" s="111"/>
      <c r="CV32" s="111"/>
      <c r="CW32" s="111"/>
      <c r="CX32" s="111"/>
      <c r="CY32" s="111"/>
      <c r="CZ32" s="111"/>
      <c r="DA32" s="111"/>
      <c r="DB32" s="111"/>
      <c r="DC32" s="111"/>
      <c r="DD32" s="111"/>
      <c r="DE32" s="111"/>
      <c r="DF32" s="111"/>
      <c r="DG32" s="111"/>
      <c r="DH32" s="111"/>
      <c r="DI32" s="111"/>
      <c r="DJ32" s="111"/>
      <c r="DK32" s="13"/>
      <c r="DL32" s="13"/>
      <c r="DM32" s="13"/>
      <c r="DN32" s="13"/>
      <c r="DO32" s="13"/>
      <c r="DP32" s="13"/>
      <c r="DQ32" s="13"/>
      <c r="DR32" s="13"/>
      <c r="DS32" s="13"/>
      <c r="DT32" s="13"/>
      <c r="DU32" s="13"/>
      <c r="DV32" s="13"/>
      <c r="DW32" s="13"/>
      <c r="DX32" s="13"/>
      <c r="DY32" s="13"/>
      <c r="DZ32" s="13"/>
      <c r="EA32" s="13"/>
      <c r="EB32" s="13"/>
      <c r="EC32" s="280"/>
      <c r="ED32" s="20"/>
      <c r="EE32" s="13"/>
      <c r="EF32" s="111"/>
      <c r="EG32" s="13"/>
      <c r="EH32" s="13"/>
      <c r="EI32" s="111"/>
      <c r="EJ32" s="111"/>
      <c r="EK32" s="111"/>
      <c r="EL32" s="111"/>
      <c r="EM32" s="111"/>
      <c r="EN32" s="111"/>
      <c r="EO32" s="111"/>
      <c r="EP32" s="111"/>
      <c r="EQ32" s="111"/>
      <c r="ER32" s="111"/>
      <c r="ES32" s="111"/>
      <c r="ET32" s="111"/>
      <c r="EU32" s="111"/>
      <c r="EV32" s="111"/>
      <c r="EW32" s="111"/>
      <c r="EX32" s="111"/>
      <c r="EY32" s="111"/>
      <c r="EZ32" s="111"/>
      <c r="FA32" s="111"/>
      <c r="FB32" s="111"/>
      <c r="FC32" s="111"/>
      <c r="FD32" s="111"/>
      <c r="FE32" s="111"/>
      <c r="FF32" s="111"/>
      <c r="FG32" s="111"/>
      <c r="FH32" s="111"/>
      <c r="FI32" s="111"/>
      <c r="FJ32" s="111"/>
      <c r="FK32" s="111"/>
      <c r="FL32" s="111"/>
      <c r="FM32" s="111"/>
      <c r="FN32" s="111"/>
      <c r="FO32" s="13"/>
      <c r="FP32" s="13"/>
      <c r="FQ32" s="13"/>
      <c r="FR32" s="13"/>
      <c r="FS32" s="13"/>
      <c r="FT32" s="13"/>
      <c r="FU32" s="13"/>
      <c r="FV32" s="13"/>
      <c r="FW32" s="360"/>
      <c r="FX32" s="13"/>
      <c r="FY32" s="280"/>
      <c r="FZ32" s="266"/>
      <c r="GA32" s="266"/>
      <c r="GB32" s="267"/>
      <c r="GC32" s="267"/>
    </row>
    <row r="33" spans="1:185" s="109" customFormat="1" x14ac:dyDescent="0.25">
      <c r="A33" s="14"/>
      <c r="B33" s="13"/>
      <c r="C33" s="13"/>
      <c r="D33" s="13"/>
      <c r="E33" s="13"/>
      <c r="F33" s="13"/>
      <c r="G33" s="110"/>
      <c r="H33" s="13"/>
      <c r="I33" s="13"/>
      <c r="J33" s="13"/>
      <c r="K33" s="13"/>
      <c r="L33" s="13"/>
      <c r="M33" s="13"/>
      <c r="N33" s="289"/>
      <c r="O33" s="289"/>
      <c r="P33" s="289"/>
      <c r="Q33" s="112"/>
      <c r="R33" s="112"/>
      <c r="S33" s="112"/>
      <c r="T33" s="112"/>
      <c r="U33" s="289"/>
      <c r="V33" s="289"/>
      <c r="W33" s="289"/>
      <c r="X33" s="289"/>
      <c r="Y33" s="289"/>
      <c r="Z33" s="289"/>
      <c r="AA33" s="289"/>
      <c r="AB33" s="289"/>
      <c r="AC33" s="289"/>
      <c r="AD33" s="289"/>
      <c r="AE33" s="289"/>
      <c r="AF33" s="289"/>
      <c r="AG33" s="289"/>
      <c r="AH33" s="289"/>
      <c r="AI33" s="289"/>
      <c r="AJ33" s="289"/>
      <c r="AK33" s="289"/>
      <c r="AL33" s="289"/>
      <c r="AM33" s="289"/>
      <c r="AN33" s="289"/>
      <c r="AO33" s="289"/>
      <c r="AP33" s="280"/>
      <c r="AQ33" s="20"/>
      <c r="AR33" s="13"/>
      <c r="AS33" s="111"/>
      <c r="AT33" s="13"/>
      <c r="AU33" s="13"/>
      <c r="AV33" s="13"/>
      <c r="AW33" s="111"/>
      <c r="AX33" s="13"/>
      <c r="AY33" s="111"/>
      <c r="AZ33" s="13"/>
      <c r="BA33" s="111"/>
      <c r="BB33" s="111"/>
      <c r="BC33" s="111"/>
      <c r="BD33" s="13"/>
      <c r="BE33" s="111"/>
      <c r="BF33" s="13"/>
      <c r="BG33" s="13"/>
      <c r="BH33" s="13"/>
      <c r="BI33" s="111"/>
      <c r="BJ33" s="111"/>
      <c r="BK33" s="13"/>
      <c r="BL33" s="13"/>
      <c r="BM33" s="111"/>
      <c r="BN33" s="13"/>
      <c r="BO33" s="111"/>
      <c r="BP33" s="13"/>
      <c r="BQ33" s="13"/>
      <c r="BR33" s="111"/>
      <c r="BS33" s="13"/>
      <c r="BT33" s="111"/>
      <c r="BU33" s="111"/>
      <c r="BV33" s="111"/>
      <c r="BW33" s="111"/>
      <c r="BX33" s="111"/>
      <c r="BY33" s="13"/>
      <c r="BZ33" s="111"/>
      <c r="CA33" s="111"/>
      <c r="CB33" s="111"/>
      <c r="CC33" s="111"/>
      <c r="CD33" s="111"/>
      <c r="CE33" s="111"/>
      <c r="CF33" s="111"/>
      <c r="CG33" s="111"/>
      <c r="CH33" s="111"/>
      <c r="CI33" s="111"/>
      <c r="CJ33" s="111"/>
      <c r="CK33" s="111"/>
      <c r="CL33" s="111"/>
      <c r="CM33" s="111"/>
      <c r="CN33" s="111"/>
      <c r="CO33" s="111"/>
      <c r="CP33" s="111"/>
      <c r="CQ33" s="111"/>
      <c r="CR33" s="111"/>
      <c r="CS33" s="111"/>
      <c r="CT33" s="111"/>
      <c r="CU33" s="111"/>
      <c r="CV33" s="111"/>
      <c r="CW33" s="111"/>
      <c r="CX33" s="111"/>
      <c r="CY33" s="111"/>
      <c r="CZ33" s="111"/>
      <c r="DA33" s="111"/>
      <c r="DB33" s="111"/>
      <c r="DC33" s="111"/>
      <c r="DD33" s="111"/>
      <c r="DE33" s="111"/>
      <c r="DF33" s="111"/>
      <c r="DG33" s="111"/>
      <c r="DH33" s="111"/>
      <c r="DI33" s="111"/>
      <c r="DJ33" s="111"/>
      <c r="DK33" s="13"/>
      <c r="DL33" s="13"/>
      <c r="DM33" s="13"/>
      <c r="DN33" s="13"/>
      <c r="DO33" s="13"/>
      <c r="DP33" s="13"/>
      <c r="DQ33" s="13"/>
      <c r="DR33" s="13"/>
      <c r="DS33" s="13"/>
      <c r="DT33" s="13"/>
      <c r="DU33" s="13"/>
      <c r="DV33" s="13"/>
      <c r="DW33" s="13"/>
      <c r="DX33" s="13"/>
      <c r="DY33" s="13"/>
      <c r="DZ33" s="13"/>
      <c r="EA33" s="13"/>
      <c r="EB33" s="13"/>
      <c r="EC33" s="280"/>
      <c r="ED33" s="20"/>
      <c r="EE33" s="13"/>
      <c r="EF33" s="111"/>
      <c r="EG33" s="13"/>
      <c r="EH33" s="13"/>
      <c r="EI33" s="111"/>
      <c r="EJ33" s="111"/>
      <c r="EK33" s="111"/>
      <c r="EL33" s="111"/>
      <c r="EM33" s="111"/>
      <c r="EN33" s="111"/>
      <c r="EO33" s="111"/>
      <c r="EP33" s="111"/>
      <c r="EQ33" s="111"/>
      <c r="ER33" s="111"/>
      <c r="ES33" s="111"/>
      <c r="ET33" s="111"/>
      <c r="EU33" s="111"/>
      <c r="EV33" s="111"/>
      <c r="EW33" s="111"/>
      <c r="EX33" s="111"/>
      <c r="EY33" s="111"/>
      <c r="EZ33" s="111"/>
      <c r="FA33" s="111"/>
      <c r="FB33" s="111"/>
      <c r="FC33" s="111"/>
      <c r="FD33" s="111"/>
      <c r="FE33" s="111"/>
      <c r="FF33" s="111"/>
      <c r="FG33" s="111"/>
      <c r="FH33" s="111"/>
      <c r="FI33" s="111"/>
      <c r="FJ33" s="111"/>
      <c r="FK33" s="111"/>
      <c r="FL33" s="111"/>
      <c r="FM33" s="111"/>
      <c r="FN33" s="111"/>
      <c r="FO33" s="13"/>
      <c r="FP33" s="13"/>
      <c r="FQ33" s="13"/>
      <c r="FR33" s="13"/>
      <c r="FS33" s="13"/>
      <c r="FT33" s="13"/>
      <c r="FU33" s="13"/>
      <c r="FV33" s="13"/>
      <c r="FW33" s="360"/>
      <c r="FX33" s="13"/>
      <c r="FY33" s="280"/>
      <c r="FZ33" s="266"/>
      <c r="GA33" s="266"/>
      <c r="GB33" s="267"/>
      <c r="GC33" s="267"/>
    </row>
    <row r="34" spans="1:185" s="109" customFormat="1" x14ac:dyDescent="0.25">
      <c r="A34" s="14"/>
      <c r="B34" s="13"/>
      <c r="C34" s="13"/>
      <c r="D34" s="13"/>
      <c r="E34" s="13"/>
      <c r="F34" s="13"/>
      <c r="G34" s="110"/>
      <c r="H34" s="13"/>
      <c r="I34" s="13"/>
      <c r="J34" s="13"/>
      <c r="K34" s="13"/>
      <c r="L34" s="13"/>
      <c r="M34" s="13"/>
      <c r="N34" s="289"/>
      <c r="O34" s="289"/>
      <c r="P34" s="289"/>
      <c r="Q34" s="112"/>
      <c r="R34" s="112"/>
      <c r="S34" s="112"/>
      <c r="T34" s="112"/>
      <c r="U34" s="111"/>
      <c r="V34" s="13"/>
      <c r="W34" s="13"/>
      <c r="X34" s="111"/>
      <c r="Y34" s="13"/>
      <c r="Z34" s="13"/>
      <c r="AA34" s="111"/>
      <c r="AB34" s="13"/>
      <c r="AC34" s="111"/>
      <c r="AD34" s="13"/>
      <c r="AE34" s="13"/>
      <c r="AF34" s="111"/>
      <c r="AG34" s="13"/>
      <c r="AH34" s="111"/>
      <c r="AI34" s="13"/>
      <c r="AJ34" s="111"/>
      <c r="AK34" s="13"/>
      <c r="AL34" s="111"/>
      <c r="AM34" s="98"/>
      <c r="AN34" s="98"/>
      <c r="AO34" s="13"/>
      <c r="AP34" s="280"/>
      <c r="AQ34" s="20"/>
      <c r="AR34" s="13"/>
      <c r="AS34" s="111"/>
      <c r="AT34" s="13"/>
      <c r="AU34" s="13"/>
      <c r="AV34" s="13"/>
      <c r="AW34" s="111"/>
      <c r="AX34" s="13"/>
      <c r="AY34" s="111"/>
      <c r="AZ34" s="13"/>
      <c r="BA34" s="111"/>
      <c r="BB34" s="111"/>
      <c r="BC34" s="111"/>
      <c r="BD34" s="13"/>
      <c r="BE34" s="111"/>
      <c r="BF34" s="13"/>
      <c r="BG34" s="13"/>
      <c r="BH34" s="13"/>
      <c r="BI34" s="111"/>
      <c r="BJ34" s="111"/>
      <c r="BK34" s="13"/>
      <c r="BL34" s="13"/>
      <c r="BM34" s="111"/>
      <c r="BN34" s="13"/>
      <c r="BO34" s="111"/>
      <c r="BP34" s="13"/>
      <c r="BQ34" s="13"/>
      <c r="BR34" s="111"/>
      <c r="BS34" s="13"/>
      <c r="BT34" s="111"/>
      <c r="BU34" s="111"/>
      <c r="BV34" s="111"/>
      <c r="BW34" s="111"/>
      <c r="BX34" s="111"/>
      <c r="BY34" s="13"/>
      <c r="BZ34" s="111"/>
      <c r="CA34" s="111"/>
      <c r="CB34" s="111"/>
      <c r="CC34" s="111"/>
      <c r="CD34" s="111"/>
      <c r="CE34" s="111"/>
      <c r="CF34" s="111"/>
      <c r="CG34" s="111"/>
      <c r="CH34" s="111"/>
      <c r="CI34" s="111"/>
      <c r="CJ34" s="111"/>
      <c r="CK34" s="111"/>
      <c r="CL34" s="111"/>
      <c r="CM34" s="111"/>
      <c r="CN34" s="111"/>
      <c r="CO34" s="111"/>
      <c r="CP34" s="111"/>
      <c r="CQ34" s="111"/>
      <c r="CR34" s="111"/>
      <c r="CS34" s="111"/>
      <c r="CT34" s="111"/>
      <c r="CU34" s="111"/>
      <c r="CV34" s="111"/>
      <c r="CW34" s="111"/>
      <c r="CX34" s="111"/>
      <c r="CY34" s="111"/>
      <c r="CZ34" s="111"/>
      <c r="DA34" s="111"/>
      <c r="DB34" s="111"/>
      <c r="DC34" s="111"/>
      <c r="DD34" s="111"/>
      <c r="DE34" s="111"/>
      <c r="DF34" s="111"/>
      <c r="DG34" s="111"/>
      <c r="DH34" s="111"/>
      <c r="DI34" s="111"/>
      <c r="DJ34" s="111"/>
      <c r="DK34" s="13"/>
      <c r="DL34" s="13"/>
      <c r="DM34" s="13"/>
      <c r="DN34" s="13"/>
      <c r="DO34" s="13"/>
      <c r="DP34" s="13"/>
      <c r="DQ34" s="13"/>
      <c r="DR34" s="13"/>
      <c r="DS34" s="13"/>
      <c r="DT34" s="13"/>
      <c r="DU34" s="13"/>
      <c r="DV34" s="13"/>
      <c r="DW34" s="13"/>
      <c r="DX34" s="13"/>
      <c r="DY34" s="13"/>
      <c r="DZ34" s="13"/>
      <c r="EA34" s="13"/>
      <c r="EB34" s="13"/>
      <c r="EC34" s="280"/>
      <c r="ED34" s="20"/>
      <c r="EE34" s="13"/>
      <c r="EF34" s="111"/>
      <c r="EG34" s="13"/>
      <c r="EH34" s="13"/>
      <c r="EI34" s="111"/>
      <c r="EJ34" s="111"/>
      <c r="EK34" s="111"/>
      <c r="EL34" s="111"/>
      <c r="EM34" s="111"/>
      <c r="EN34" s="111"/>
      <c r="EO34" s="111"/>
      <c r="EP34" s="111"/>
      <c r="EQ34" s="111"/>
      <c r="ER34" s="111"/>
      <c r="ES34" s="111"/>
      <c r="ET34" s="111"/>
      <c r="EU34" s="111"/>
      <c r="EV34" s="111"/>
      <c r="EW34" s="111"/>
      <c r="EX34" s="111"/>
      <c r="EY34" s="111"/>
      <c r="EZ34" s="111"/>
      <c r="FA34" s="111"/>
      <c r="FB34" s="111"/>
      <c r="FC34" s="111"/>
      <c r="FD34" s="111"/>
      <c r="FE34" s="111"/>
      <c r="FF34" s="111"/>
      <c r="FG34" s="111"/>
      <c r="FH34" s="111"/>
      <c r="FI34" s="111"/>
      <c r="FJ34" s="111"/>
      <c r="FK34" s="111"/>
      <c r="FL34" s="111"/>
      <c r="FM34" s="111"/>
      <c r="FN34" s="111"/>
      <c r="FO34" s="13"/>
      <c r="FP34" s="13"/>
      <c r="FQ34" s="13"/>
      <c r="FR34" s="13"/>
      <c r="FS34" s="13"/>
      <c r="FT34" s="13"/>
      <c r="FU34" s="13"/>
      <c r="FV34" s="13"/>
      <c r="FW34" s="360"/>
      <c r="FX34" s="13"/>
      <c r="FY34" s="280"/>
      <c r="FZ34" s="266"/>
      <c r="GA34" s="266"/>
      <c r="GB34" s="267"/>
      <c r="GC34" s="267"/>
    </row>
    <row r="35" spans="1:185" s="109" customFormat="1" x14ac:dyDescent="0.25">
      <c r="A35" s="20"/>
      <c r="B35" s="13"/>
      <c r="C35" s="13"/>
      <c r="D35" s="13"/>
      <c r="E35" s="13"/>
      <c r="F35" s="13"/>
      <c r="G35" s="111"/>
      <c r="H35" s="13"/>
      <c r="I35" s="13"/>
      <c r="J35" s="13"/>
      <c r="K35" s="13"/>
      <c r="L35" s="13"/>
      <c r="M35" s="13"/>
      <c r="N35" s="289"/>
      <c r="O35" s="289"/>
      <c r="P35" s="289"/>
      <c r="Q35" s="111"/>
      <c r="R35" s="111"/>
      <c r="S35" s="111"/>
      <c r="T35" s="111"/>
      <c r="U35" s="111"/>
      <c r="V35" s="13"/>
      <c r="W35" s="13"/>
      <c r="X35" s="111"/>
      <c r="Y35" s="13"/>
      <c r="Z35" s="13"/>
      <c r="AA35" s="111"/>
      <c r="AB35" s="13"/>
      <c r="AC35" s="111"/>
      <c r="AD35" s="13"/>
      <c r="AE35" s="13"/>
      <c r="AF35" s="111"/>
      <c r="AG35" s="13"/>
      <c r="AH35" s="111"/>
      <c r="AI35" s="13"/>
      <c r="AJ35" s="111"/>
      <c r="AK35" s="13"/>
      <c r="AL35" s="111"/>
      <c r="AM35" s="98"/>
      <c r="AN35" s="98"/>
      <c r="AO35" s="13"/>
      <c r="AP35" s="280"/>
      <c r="AQ35" s="20"/>
      <c r="AR35" s="13"/>
      <c r="AS35" s="111"/>
      <c r="AT35" s="13"/>
      <c r="AU35" s="13"/>
      <c r="AV35" s="13"/>
      <c r="AW35" s="111"/>
      <c r="AX35" s="13"/>
      <c r="AY35" s="111"/>
      <c r="AZ35" s="13"/>
      <c r="BA35" s="111"/>
      <c r="BB35" s="111"/>
      <c r="BC35" s="111"/>
      <c r="BD35" s="13"/>
      <c r="BE35" s="111"/>
      <c r="BF35" s="13"/>
      <c r="BG35" s="13"/>
      <c r="BH35" s="13"/>
      <c r="BI35" s="111"/>
      <c r="BJ35" s="111"/>
      <c r="BK35" s="13"/>
      <c r="BL35" s="13"/>
      <c r="BM35" s="111"/>
      <c r="BN35" s="13"/>
      <c r="BO35" s="111"/>
      <c r="BP35" s="13"/>
      <c r="BQ35" s="13"/>
      <c r="BR35" s="111"/>
      <c r="BS35" s="13"/>
      <c r="BT35" s="111"/>
      <c r="BU35" s="111"/>
      <c r="BV35" s="111"/>
      <c r="BW35" s="111"/>
      <c r="BX35" s="111"/>
      <c r="BY35" s="13"/>
      <c r="BZ35" s="111"/>
      <c r="CA35" s="111"/>
      <c r="CB35" s="111"/>
      <c r="CC35" s="111"/>
      <c r="CD35" s="111"/>
      <c r="CE35" s="111"/>
      <c r="CF35" s="111"/>
      <c r="CG35" s="111"/>
      <c r="CH35" s="111"/>
      <c r="CI35" s="111"/>
      <c r="CJ35" s="111"/>
      <c r="CK35" s="111"/>
      <c r="CL35" s="111"/>
      <c r="CM35" s="111"/>
      <c r="CN35" s="111"/>
      <c r="CO35" s="111"/>
      <c r="CP35" s="111"/>
      <c r="CQ35" s="111"/>
      <c r="CR35" s="111"/>
      <c r="CS35" s="111"/>
      <c r="CT35" s="111"/>
      <c r="CU35" s="111"/>
      <c r="CV35" s="111"/>
      <c r="CW35" s="111"/>
      <c r="CX35" s="111"/>
      <c r="CY35" s="111"/>
      <c r="CZ35" s="111"/>
      <c r="DA35" s="111"/>
      <c r="DB35" s="111"/>
      <c r="DC35" s="111"/>
      <c r="DD35" s="111"/>
      <c r="DE35" s="111"/>
      <c r="DF35" s="111"/>
      <c r="DG35" s="111"/>
      <c r="DH35" s="111"/>
      <c r="DI35" s="111"/>
      <c r="DJ35" s="111"/>
      <c r="DK35" s="13"/>
      <c r="DL35" s="13"/>
      <c r="DM35" s="13"/>
      <c r="DN35" s="13"/>
      <c r="DO35" s="13"/>
      <c r="DP35" s="13"/>
      <c r="DQ35" s="13"/>
      <c r="DR35" s="13"/>
      <c r="DS35" s="13"/>
      <c r="DT35" s="13"/>
      <c r="DU35" s="13"/>
      <c r="DV35" s="13"/>
      <c r="DW35" s="13"/>
      <c r="DX35" s="13"/>
      <c r="DY35" s="13"/>
      <c r="DZ35" s="13"/>
      <c r="EA35" s="13"/>
      <c r="EB35" s="13"/>
      <c r="EC35" s="280"/>
      <c r="ED35" s="20"/>
      <c r="EE35" s="13"/>
      <c r="EF35" s="111"/>
      <c r="EG35" s="13"/>
      <c r="EH35" s="13"/>
      <c r="EI35" s="111"/>
      <c r="EJ35" s="111"/>
      <c r="EK35" s="111"/>
      <c r="EL35" s="111"/>
      <c r="EM35" s="111"/>
      <c r="EN35" s="111"/>
      <c r="EO35" s="111"/>
      <c r="EP35" s="111"/>
      <c r="EQ35" s="111"/>
      <c r="ER35" s="111"/>
      <c r="ES35" s="111"/>
      <c r="ET35" s="111"/>
      <c r="EU35" s="111"/>
      <c r="EV35" s="111"/>
      <c r="EW35" s="111"/>
      <c r="EX35" s="111"/>
      <c r="EY35" s="111"/>
      <c r="EZ35" s="111"/>
      <c r="FA35" s="111"/>
      <c r="FB35" s="111"/>
      <c r="FC35" s="111"/>
      <c r="FD35" s="111"/>
      <c r="FE35" s="111"/>
      <c r="FF35" s="111"/>
      <c r="FG35" s="111"/>
      <c r="FH35" s="111"/>
      <c r="FI35" s="111"/>
      <c r="FJ35" s="111"/>
      <c r="FK35" s="111"/>
      <c r="FL35" s="111"/>
      <c r="FM35" s="111"/>
      <c r="FN35" s="111"/>
      <c r="FO35" s="13"/>
      <c r="FP35" s="13"/>
      <c r="FQ35" s="13"/>
      <c r="FR35" s="13"/>
      <c r="FS35" s="13"/>
      <c r="FT35" s="13"/>
      <c r="FU35" s="13"/>
      <c r="FV35" s="13"/>
      <c r="FW35" s="360"/>
      <c r="FX35" s="13"/>
      <c r="FY35" s="280"/>
      <c r="FZ35" s="266"/>
      <c r="GA35" s="266"/>
      <c r="GB35" s="267"/>
      <c r="GC35" s="267"/>
    </row>
    <row r="36" spans="1:185" s="109" customFormat="1" x14ac:dyDescent="0.25">
      <c r="A36" s="20"/>
      <c r="B36" s="13"/>
      <c r="C36" s="13"/>
      <c r="D36" s="13"/>
      <c r="E36" s="13"/>
      <c r="F36" s="13"/>
      <c r="G36" s="111"/>
      <c r="H36" s="13"/>
      <c r="I36" s="13"/>
      <c r="J36" s="13"/>
      <c r="K36" s="13"/>
      <c r="L36" s="13"/>
      <c r="M36" s="13"/>
      <c r="N36" s="289"/>
      <c r="O36" s="289"/>
      <c r="P36" s="289"/>
      <c r="Q36" s="111"/>
      <c r="R36" s="111"/>
      <c r="S36" s="111"/>
      <c r="T36" s="111"/>
      <c r="U36" s="111"/>
      <c r="V36" s="13"/>
      <c r="W36" s="13"/>
      <c r="X36" s="111"/>
      <c r="Y36" s="13"/>
      <c r="Z36" s="13"/>
      <c r="AA36" s="111"/>
      <c r="AB36" s="13"/>
      <c r="AC36" s="111"/>
      <c r="AD36" s="13"/>
      <c r="AE36" s="13"/>
      <c r="AF36" s="111"/>
      <c r="AG36" s="13"/>
      <c r="AH36" s="111"/>
      <c r="AI36" s="13"/>
      <c r="AJ36" s="111"/>
      <c r="AK36" s="13"/>
      <c r="AL36" s="111"/>
      <c r="AM36" s="98"/>
      <c r="AN36" s="98"/>
      <c r="AO36" s="13"/>
      <c r="AP36" s="280"/>
      <c r="AQ36" s="20"/>
      <c r="AR36" s="13"/>
      <c r="AS36" s="111"/>
      <c r="AT36" s="13"/>
      <c r="AU36" s="13"/>
      <c r="AV36" s="13"/>
      <c r="AW36" s="111"/>
      <c r="AX36" s="13"/>
      <c r="AY36" s="111"/>
      <c r="AZ36" s="13"/>
      <c r="BA36" s="111"/>
      <c r="BB36" s="111"/>
      <c r="BC36" s="111"/>
      <c r="BD36" s="13"/>
      <c r="BE36" s="111"/>
      <c r="BF36" s="13"/>
      <c r="BG36" s="13"/>
      <c r="BH36" s="13"/>
      <c r="BI36" s="111"/>
      <c r="BJ36" s="111"/>
      <c r="BK36" s="13"/>
      <c r="BL36" s="13"/>
      <c r="BM36" s="111"/>
      <c r="BN36" s="13"/>
      <c r="BO36" s="111"/>
      <c r="BP36" s="13"/>
      <c r="BQ36" s="13"/>
      <c r="BR36" s="111"/>
      <c r="BS36" s="13"/>
      <c r="BT36" s="111"/>
      <c r="BU36" s="111"/>
      <c r="BV36" s="111"/>
      <c r="BW36" s="111"/>
      <c r="BX36" s="111"/>
      <c r="BY36" s="13"/>
      <c r="BZ36" s="111"/>
      <c r="CA36" s="111"/>
      <c r="CB36" s="111"/>
      <c r="CC36" s="111"/>
      <c r="CD36" s="111"/>
      <c r="CE36" s="111"/>
      <c r="CF36" s="111"/>
      <c r="CG36" s="111"/>
      <c r="CH36" s="111"/>
      <c r="CI36" s="111"/>
      <c r="CJ36" s="111"/>
      <c r="CK36" s="111"/>
      <c r="CL36" s="111"/>
      <c r="CM36" s="111"/>
      <c r="CN36" s="111"/>
      <c r="CO36" s="111"/>
      <c r="CP36" s="111"/>
      <c r="CQ36" s="111"/>
      <c r="CR36" s="111"/>
      <c r="CS36" s="111"/>
      <c r="CT36" s="111"/>
      <c r="CU36" s="111"/>
      <c r="CV36" s="111"/>
      <c r="CW36" s="111"/>
      <c r="CX36" s="111"/>
      <c r="CY36" s="111"/>
      <c r="CZ36" s="111"/>
      <c r="DA36" s="111"/>
      <c r="DB36" s="111"/>
      <c r="DC36" s="111"/>
      <c r="DD36" s="111"/>
      <c r="DE36" s="111"/>
      <c r="DF36" s="111"/>
      <c r="DG36" s="111"/>
      <c r="DH36" s="111"/>
      <c r="DI36" s="111"/>
      <c r="DJ36" s="111"/>
      <c r="DK36" s="13"/>
      <c r="DL36" s="13"/>
      <c r="DM36" s="13"/>
      <c r="DN36" s="13"/>
      <c r="DO36" s="13"/>
      <c r="DP36" s="13"/>
      <c r="DQ36" s="13"/>
      <c r="DR36" s="13"/>
      <c r="DS36" s="13"/>
      <c r="DT36" s="13"/>
      <c r="DU36" s="13"/>
      <c r="DV36" s="13"/>
      <c r="DW36" s="13"/>
      <c r="DX36" s="13"/>
      <c r="DY36" s="13"/>
      <c r="DZ36" s="13"/>
      <c r="EA36" s="13"/>
      <c r="EB36" s="13"/>
      <c r="EC36" s="280"/>
      <c r="ED36" s="20"/>
      <c r="EE36" s="13"/>
      <c r="EF36" s="111"/>
      <c r="EG36" s="13"/>
      <c r="EH36" s="13"/>
      <c r="EI36" s="111"/>
      <c r="EJ36" s="111"/>
      <c r="EK36" s="111"/>
      <c r="EL36" s="111"/>
      <c r="EM36" s="111"/>
      <c r="EN36" s="111"/>
      <c r="EO36" s="111"/>
      <c r="EP36" s="111"/>
      <c r="EQ36" s="111"/>
      <c r="ER36" s="111"/>
      <c r="ES36" s="111"/>
      <c r="ET36" s="111"/>
      <c r="EU36" s="111"/>
      <c r="EV36" s="111"/>
      <c r="EW36" s="111"/>
      <c r="EX36" s="111"/>
      <c r="EY36" s="111"/>
      <c r="EZ36" s="111"/>
      <c r="FA36" s="111"/>
      <c r="FB36" s="111"/>
      <c r="FC36" s="111"/>
      <c r="FD36" s="111"/>
      <c r="FE36" s="111"/>
      <c r="FF36" s="111"/>
      <c r="FG36" s="111"/>
      <c r="FH36" s="111"/>
      <c r="FI36" s="111"/>
      <c r="FJ36" s="111"/>
      <c r="FK36" s="111"/>
      <c r="FL36" s="111"/>
      <c r="FM36" s="111"/>
      <c r="FN36" s="111"/>
      <c r="FO36" s="13"/>
      <c r="FP36" s="13"/>
      <c r="FQ36" s="13"/>
      <c r="FR36" s="13"/>
      <c r="FS36" s="13"/>
      <c r="FT36" s="13"/>
      <c r="FU36" s="13"/>
      <c r="FV36" s="13"/>
      <c r="FW36" s="360"/>
      <c r="FX36" s="13"/>
      <c r="FY36" s="280"/>
      <c r="FZ36" s="266"/>
      <c r="GA36" s="266"/>
      <c r="GB36" s="267"/>
      <c r="GC36" s="267"/>
    </row>
    <row r="37" spans="1:185" s="109" customFormat="1" ht="15" customHeight="1" x14ac:dyDescent="0.25">
      <c r="A37" s="20"/>
      <c r="B37" s="13"/>
      <c r="C37" s="13"/>
      <c r="D37" s="13"/>
      <c r="E37" s="13"/>
      <c r="F37" s="287"/>
      <c r="G37" s="111"/>
      <c r="H37" s="13"/>
      <c r="I37" s="287"/>
      <c r="J37" s="287"/>
      <c r="K37" s="287"/>
      <c r="L37" s="287"/>
      <c r="M37" s="287"/>
      <c r="N37" s="289"/>
      <c r="O37" s="289"/>
      <c r="P37" s="289"/>
      <c r="Q37" s="111"/>
      <c r="R37" s="111"/>
      <c r="S37" s="111"/>
      <c r="T37" s="111"/>
      <c r="U37" s="110"/>
      <c r="V37" s="111"/>
      <c r="W37" s="13"/>
      <c r="X37" s="110"/>
      <c r="Y37" s="111"/>
      <c r="Z37" s="13"/>
      <c r="AA37" s="110"/>
      <c r="AB37" s="13"/>
      <c r="AC37" s="110"/>
      <c r="AD37" s="111"/>
      <c r="AE37" s="13"/>
      <c r="AF37" s="110"/>
      <c r="AG37" s="13"/>
      <c r="AH37" s="110"/>
      <c r="AI37" s="13"/>
      <c r="AJ37" s="110"/>
      <c r="AK37" s="13"/>
      <c r="AL37" s="110"/>
      <c r="AM37" s="98"/>
      <c r="AN37" s="98"/>
      <c r="AO37" s="13"/>
      <c r="AP37" s="280"/>
      <c r="AQ37" s="14"/>
      <c r="AR37" s="13"/>
      <c r="AS37" s="110"/>
      <c r="AT37" s="111"/>
      <c r="AU37" s="13"/>
      <c r="AV37" s="13"/>
      <c r="AW37" s="110"/>
      <c r="AX37" s="13"/>
      <c r="AY37" s="110"/>
      <c r="AZ37" s="13"/>
      <c r="BA37" s="110"/>
      <c r="BB37" s="110"/>
      <c r="BC37" s="110"/>
      <c r="BD37" s="13"/>
      <c r="BE37" s="110"/>
      <c r="BF37" s="13"/>
      <c r="BG37" s="13"/>
      <c r="BH37" s="13"/>
      <c r="BI37" s="110"/>
      <c r="BJ37" s="110"/>
      <c r="BK37" s="13"/>
      <c r="BL37" s="13"/>
      <c r="BM37" s="110"/>
      <c r="BN37" s="13"/>
      <c r="BO37" s="110"/>
      <c r="BP37" s="111"/>
      <c r="BQ37" s="13"/>
      <c r="BR37" s="110"/>
      <c r="BS37" s="13"/>
      <c r="BT37" s="110"/>
      <c r="BU37" s="110"/>
      <c r="BV37" s="110"/>
      <c r="BW37" s="110"/>
      <c r="BX37" s="110"/>
      <c r="BY37" s="13"/>
      <c r="BZ37" s="110"/>
      <c r="CA37" s="110"/>
      <c r="CB37" s="110"/>
      <c r="CC37" s="110"/>
      <c r="CD37" s="110"/>
      <c r="CE37" s="110"/>
      <c r="CF37" s="110"/>
      <c r="CG37" s="110"/>
      <c r="CH37" s="110"/>
      <c r="CI37" s="110"/>
      <c r="CJ37" s="110"/>
      <c r="CK37" s="110"/>
      <c r="CL37" s="110"/>
      <c r="CM37" s="110"/>
      <c r="CN37" s="110"/>
      <c r="CO37" s="110"/>
      <c r="CP37" s="110"/>
      <c r="CQ37" s="110"/>
      <c r="CR37" s="110"/>
      <c r="CS37" s="110"/>
      <c r="CT37" s="110"/>
      <c r="CU37" s="110"/>
      <c r="CV37" s="110"/>
      <c r="CW37" s="110"/>
      <c r="CX37" s="110"/>
      <c r="CY37" s="110"/>
      <c r="CZ37" s="110"/>
      <c r="DA37" s="110"/>
      <c r="DB37" s="110"/>
      <c r="DC37" s="110"/>
      <c r="DD37" s="110"/>
      <c r="DE37" s="110"/>
      <c r="DF37" s="110"/>
      <c r="DG37" s="110"/>
      <c r="DH37" s="110"/>
      <c r="DI37" s="110"/>
      <c r="DJ37" s="110"/>
      <c r="DK37" s="13"/>
      <c r="DL37" s="13"/>
      <c r="DM37" s="13"/>
      <c r="DN37" s="13"/>
      <c r="DO37" s="13"/>
      <c r="DP37" s="13"/>
      <c r="DQ37" s="13"/>
      <c r="DR37" s="13"/>
      <c r="DS37" s="13"/>
      <c r="DT37" s="13"/>
      <c r="DU37" s="13"/>
      <c r="DV37" s="13"/>
      <c r="DW37" s="13"/>
      <c r="DX37" s="13"/>
      <c r="DY37" s="13"/>
      <c r="DZ37" s="13"/>
      <c r="EA37" s="13"/>
      <c r="EB37" s="13"/>
      <c r="EC37" s="17"/>
      <c r="ED37" s="14"/>
      <c r="EE37" s="13"/>
      <c r="EF37" s="110"/>
      <c r="EG37" s="111"/>
      <c r="EH37" s="13"/>
      <c r="EI37" s="110"/>
      <c r="EJ37" s="110"/>
      <c r="EK37" s="110"/>
      <c r="EL37" s="110"/>
      <c r="EM37" s="110"/>
      <c r="EN37" s="110"/>
      <c r="EO37" s="110"/>
      <c r="EP37" s="110"/>
      <c r="EQ37" s="110"/>
      <c r="ER37" s="110"/>
      <c r="ES37" s="110"/>
      <c r="ET37" s="110"/>
      <c r="EU37" s="110"/>
      <c r="EV37" s="110"/>
      <c r="EW37" s="110"/>
      <c r="EX37" s="110"/>
      <c r="EY37" s="110"/>
      <c r="EZ37" s="110"/>
      <c r="FA37" s="110"/>
      <c r="FB37" s="110"/>
      <c r="FC37" s="110"/>
      <c r="FD37" s="110"/>
      <c r="FE37" s="110"/>
      <c r="FF37" s="110"/>
      <c r="FG37" s="110"/>
      <c r="FH37" s="110"/>
      <c r="FI37" s="110"/>
      <c r="FJ37" s="110"/>
      <c r="FK37" s="110"/>
      <c r="FL37" s="110"/>
      <c r="FM37" s="110"/>
      <c r="FN37" s="110"/>
      <c r="FO37" s="13"/>
      <c r="FP37" s="13"/>
      <c r="FQ37" s="13"/>
      <c r="FR37" s="13"/>
      <c r="FS37" s="13"/>
      <c r="FT37" s="13"/>
      <c r="FU37" s="13"/>
      <c r="FV37" s="13"/>
      <c r="FW37" s="360"/>
      <c r="FX37" s="13"/>
      <c r="FY37" s="280"/>
      <c r="FZ37" s="266"/>
      <c r="GA37" s="266"/>
      <c r="GB37" s="267"/>
      <c r="GC37" s="267"/>
    </row>
    <row r="38" spans="1:185" s="109" customFormat="1" x14ac:dyDescent="0.25">
      <c r="A38" s="14"/>
      <c r="B38" s="13"/>
      <c r="C38" s="13"/>
      <c r="D38" s="13"/>
      <c r="E38" s="13"/>
      <c r="F38" s="13"/>
      <c r="G38" s="110"/>
      <c r="H38" s="13"/>
      <c r="I38" s="13"/>
      <c r="J38" s="13"/>
      <c r="K38" s="13"/>
      <c r="L38" s="13"/>
      <c r="M38" s="13"/>
      <c r="N38" s="289"/>
      <c r="O38" s="289"/>
      <c r="P38" s="289"/>
      <c r="Q38" s="112"/>
      <c r="R38" s="112"/>
      <c r="S38" s="112"/>
      <c r="T38" s="112"/>
      <c r="U38" s="110"/>
      <c r="V38" s="13"/>
      <c r="W38" s="13"/>
      <c r="X38" s="110"/>
      <c r="Y38" s="13"/>
      <c r="Z38" s="13"/>
      <c r="AA38" s="110"/>
      <c r="AB38" s="13"/>
      <c r="AC38" s="110"/>
      <c r="AD38" s="13"/>
      <c r="AE38" s="13"/>
      <c r="AF38" s="110"/>
      <c r="AG38" s="13"/>
      <c r="AH38" s="110"/>
      <c r="AI38" s="13"/>
      <c r="AJ38" s="110"/>
      <c r="AK38" s="13"/>
      <c r="AL38" s="110"/>
      <c r="AM38" s="98"/>
      <c r="AN38" s="98"/>
      <c r="AO38" s="13"/>
      <c r="AP38" s="308"/>
      <c r="AQ38" s="14"/>
      <c r="AR38" s="13"/>
      <c r="AS38" s="110"/>
      <c r="AT38" s="13"/>
      <c r="AU38" s="13"/>
      <c r="AV38" s="13"/>
      <c r="AW38" s="110"/>
      <c r="AX38" s="13"/>
      <c r="AY38" s="110"/>
      <c r="AZ38" s="13"/>
      <c r="BA38" s="110"/>
      <c r="BB38" s="110"/>
      <c r="BC38" s="110"/>
      <c r="BD38" s="13"/>
      <c r="BE38" s="110"/>
      <c r="BF38" s="13"/>
      <c r="BG38" s="13"/>
      <c r="BH38" s="13"/>
      <c r="BI38" s="110"/>
      <c r="BJ38" s="110"/>
      <c r="BK38" s="13"/>
      <c r="BL38" s="13"/>
      <c r="BM38" s="110"/>
      <c r="BN38" s="13"/>
      <c r="BO38" s="110"/>
      <c r="BP38" s="13"/>
      <c r="BQ38" s="13"/>
      <c r="BR38" s="110"/>
      <c r="BS38" s="13"/>
      <c r="BT38" s="110"/>
      <c r="BU38" s="110"/>
      <c r="BV38" s="110"/>
      <c r="BW38" s="110"/>
      <c r="BX38" s="110"/>
      <c r="BY38" s="13"/>
      <c r="BZ38" s="110"/>
      <c r="CA38" s="110"/>
      <c r="CB38" s="110"/>
      <c r="CC38" s="110"/>
      <c r="CD38" s="110"/>
      <c r="CE38" s="110"/>
      <c r="CF38" s="110"/>
      <c r="CG38" s="110"/>
      <c r="CH38" s="110"/>
      <c r="CI38" s="110"/>
      <c r="CJ38" s="110"/>
      <c r="CK38" s="110"/>
      <c r="CL38" s="110"/>
      <c r="CM38" s="110"/>
      <c r="CN38" s="110"/>
      <c r="CO38" s="110"/>
      <c r="CP38" s="110"/>
      <c r="CQ38" s="110"/>
      <c r="CR38" s="110"/>
      <c r="CS38" s="110"/>
      <c r="CT38" s="110"/>
      <c r="CU38" s="110"/>
      <c r="CV38" s="110"/>
      <c r="CW38" s="110"/>
      <c r="CX38" s="110"/>
      <c r="CY38" s="110"/>
      <c r="CZ38" s="110"/>
      <c r="DA38" s="110"/>
      <c r="DB38" s="110"/>
      <c r="DC38" s="110"/>
      <c r="DD38" s="110"/>
      <c r="DE38" s="110"/>
      <c r="DF38" s="110"/>
      <c r="DG38" s="110"/>
      <c r="DH38" s="110"/>
      <c r="DI38" s="110"/>
      <c r="DJ38" s="110"/>
      <c r="DK38" s="13"/>
      <c r="DL38" s="13"/>
      <c r="DM38" s="13"/>
      <c r="DN38" s="13"/>
      <c r="DO38" s="13"/>
      <c r="DP38" s="13"/>
      <c r="DQ38" s="13"/>
      <c r="DR38" s="13"/>
      <c r="DS38" s="13"/>
      <c r="DT38" s="13"/>
      <c r="DU38" s="13"/>
      <c r="DV38" s="13"/>
      <c r="DW38" s="13"/>
      <c r="DX38" s="13"/>
      <c r="DY38" s="13"/>
      <c r="DZ38" s="13"/>
      <c r="EA38" s="13"/>
      <c r="EB38" s="13"/>
      <c r="EC38" s="17"/>
      <c r="ED38" s="14"/>
      <c r="EE38" s="13"/>
      <c r="EF38" s="110"/>
      <c r="EG38" s="13"/>
      <c r="EH38" s="13"/>
      <c r="EI38" s="110"/>
      <c r="EJ38" s="110"/>
      <c r="EK38" s="110"/>
      <c r="EL38" s="110"/>
      <c r="EM38" s="110"/>
      <c r="EN38" s="110"/>
      <c r="EO38" s="110"/>
      <c r="EP38" s="110"/>
      <c r="EQ38" s="110"/>
      <c r="ER38" s="110"/>
      <c r="ES38" s="110"/>
      <c r="ET38" s="110"/>
      <c r="EU38" s="110"/>
      <c r="EV38" s="110"/>
      <c r="EW38" s="110"/>
      <c r="EX38" s="110"/>
      <c r="EY38" s="110"/>
      <c r="EZ38" s="110"/>
      <c r="FA38" s="110"/>
      <c r="FB38" s="110"/>
      <c r="FC38" s="110"/>
      <c r="FD38" s="110"/>
      <c r="FE38" s="110"/>
      <c r="FF38" s="110"/>
      <c r="FG38" s="110"/>
      <c r="FH38" s="110"/>
      <c r="FI38" s="110"/>
      <c r="FJ38" s="110"/>
      <c r="FK38" s="110"/>
      <c r="FL38" s="110"/>
      <c r="FM38" s="110"/>
      <c r="FN38" s="110"/>
      <c r="FO38" s="13"/>
      <c r="FP38" s="13"/>
      <c r="FQ38" s="13"/>
      <c r="FR38" s="13"/>
      <c r="FS38" s="13"/>
      <c r="FT38" s="13"/>
      <c r="FU38" s="13"/>
      <c r="FV38" s="13"/>
      <c r="FW38" s="360"/>
      <c r="FX38" s="13"/>
      <c r="FY38" s="308"/>
      <c r="FZ38" s="266"/>
      <c r="GA38" s="266"/>
      <c r="GB38" s="267"/>
      <c r="GC38" s="267"/>
    </row>
    <row r="39" spans="1:185" s="109" customFormat="1" x14ac:dyDescent="0.25">
      <c r="A39" s="14"/>
      <c r="B39" s="13"/>
      <c r="C39" s="13"/>
      <c r="D39" s="13"/>
      <c r="E39" s="13"/>
      <c r="F39" s="13"/>
      <c r="G39" s="110"/>
      <c r="H39" s="13"/>
      <c r="I39" s="13"/>
      <c r="J39" s="13"/>
      <c r="K39" s="13"/>
      <c r="L39" s="13"/>
      <c r="M39" s="13"/>
      <c r="N39" s="289"/>
      <c r="O39" s="289"/>
      <c r="P39" s="289"/>
      <c r="Q39" s="112"/>
      <c r="R39" s="112"/>
      <c r="S39" s="112"/>
      <c r="T39" s="112"/>
      <c r="U39" s="110"/>
      <c r="V39" s="13"/>
      <c r="W39" s="13"/>
      <c r="X39" s="110"/>
      <c r="Y39" s="13"/>
      <c r="Z39" s="13"/>
      <c r="AA39" s="110"/>
      <c r="AB39" s="13"/>
      <c r="AC39" s="110"/>
      <c r="AD39" s="13"/>
      <c r="AE39" s="13"/>
      <c r="AF39" s="110"/>
      <c r="AG39" s="13"/>
      <c r="AH39" s="110"/>
      <c r="AI39" s="13"/>
      <c r="AJ39" s="110"/>
      <c r="AK39" s="13"/>
      <c r="AL39" s="110"/>
      <c r="AM39" s="98"/>
      <c r="AN39" s="98"/>
      <c r="AO39" s="13"/>
      <c r="AP39" s="308"/>
      <c r="AQ39" s="14"/>
      <c r="AR39" s="13"/>
      <c r="AS39" s="110"/>
      <c r="AT39" s="13"/>
      <c r="AU39" s="13"/>
      <c r="AV39" s="13"/>
      <c r="AW39" s="110"/>
      <c r="AX39" s="13"/>
      <c r="AY39" s="110"/>
      <c r="AZ39" s="13"/>
      <c r="BA39" s="110"/>
      <c r="BB39" s="110"/>
      <c r="BC39" s="110"/>
      <c r="BD39" s="13"/>
      <c r="BE39" s="110"/>
      <c r="BF39" s="13"/>
      <c r="BG39" s="13"/>
      <c r="BH39" s="13"/>
      <c r="BI39" s="110"/>
      <c r="BJ39" s="110"/>
      <c r="BK39" s="13"/>
      <c r="BL39" s="13"/>
      <c r="BM39" s="110"/>
      <c r="BN39" s="13"/>
      <c r="BO39" s="110"/>
      <c r="BP39" s="13"/>
      <c r="BQ39" s="13"/>
      <c r="BR39" s="110"/>
      <c r="BS39" s="13"/>
      <c r="BT39" s="110"/>
      <c r="BU39" s="110"/>
      <c r="BV39" s="110"/>
      <c r="BW39" s="110"/>
      <c r="BX39" s="110"/>
      <c r="BY39" s="13"/>
      <c r="BZ39" s="110"/>
      <c r="CA39" s="110"/>
      <c r="CB39" s="110"/>
      <c r="CC39" s="110"/>
      <c r="CD39" s="110"/>
      <c r="CE39" s="110"/>
      <c r="CF39" s="110"/>
      <c r="CG39" s="110"/>
      <c r="CH39" s="110"/>
      <c r="CI39" s="110"/>
      <c r="CJ39" s="110"/>
      <c r="CK39" s="110"/>
      <c r="CL39" s="110"/>
      <c r="CM39" s="110"/>
      <c r="CN39" s="110"/>
      <c r="CO39" s="110"/>
      <c r="CP39" s="110"/>
      <c r="CQ39" s="110"/>
      <c r="CR39" s="110"/>
      <c r="CS39" s="110"/>
      <c r="CT39" s="110"/>
      <c r="CU39" s="110"/>
      <c r="CV39" s="110"/>
      <c r="CW39" s="110"/>
      <c r="CX39" s="110"/>
      <c r="CY39" s="110"/>
      <c r="CZ39" s="110"/>
      <c r="DA39" s="110"/>
      <c r="DB39" s="110"/>
      <c r="DC39" s="110"/>
      <c r="DD39" s="110"/>
      <c r="DE39" s="110"/>
      <c r="DF39" s="110"/>
      <c r="DG39" s="110"/>
      <c r="DH39" s="110"/>
      <c r="DI39" s="110"/>
      <c r="DJ39" s="110"/>
      <c r="DK39" s="13"/>
      <c r="DL39" s="13"/>
      <c r="DM39" s="13"/>
      <c r="DN39" s="13"/>
      <c r="DO39" s="13"/>
      <c r="DP39" s="13"/>
      <c r="DQ39" s="13"/>
      <c r="DR39" s="13"/>
      <c r="DS39" s="13"/>
      <c r="DT39" s="13"/>
      <c r="DU39" s="13"/>
      <c r="DV39" s="13"/>
      <c r="DW39" s="13"/>
      <c r="DX39" s="13"/>
      <c r="DY39" s="13"/>
      <c r="DZ39" s="13"/>
      <c r="EA39" s="13"/>
      <c r="EB39" s="13"/>
      <c r="EC39" s="17"/>
      <c r="ED39" s="14"/>
      <c r="EE39" s="13"/>
      <c r="EF39" s="110"/>
      <c r="EG39" s="13"/>
      <c r="EH39" s="13"/>
      <c r="EI39" s="110"/>
      <c r="EJ39" s="110"/>
      <c r="EK39" s="110"/>
      <c r="EL39" s="110"/>
      <c r="EM39" s="110"/>
      <c r="EN39" s="110"/>
      <c r="EO39" s="110"/>
      <c r="EP39" s="110"/>
      <c r="EQ39" s="110"/>
      <c r="ER39" s="110"/>
      <c r="ES39" s="110"/>
      <c r="ET39" s="110"/>
      <c r="EU39" s="110"/>
      <c r="EV39" s="110"/>
      <c r="EW39" s="110"/>
      <c r="EX39" s="110"/>
      <c r="EY39" s="110"/>
      <c r="EZ39" s="110"/>
      <c r="FA39" s="110"/>
      <c r="FB39" s="110"/>
      <c r="FC39" s="110"/>
      <c r="FD39" s="110"/>
      <c r="FE39" s="110"/>
      <c r="FF39" s="110"/>
      <c r="FG39" s="110"/>
      <c r="FH39" s="110"/>
      <c r="FI39" s="110"/>
      <c r="FJ39" s="110"/>
      <c r="FK39" s="110"/>
      <c r="FL39" s="110"/>
      <c r="FM39" s="110"/>
      <c r="FN39" s="110"/>
      <c r="FO39" s="13"/>
      <c r="FP39" s="13"/>
      <c r="FQ39" s="13"/>
      <c r="FR39" s="13"/>
      <c r="FS39" s="13"/>
      <c r="FT39" s="13"/>
      <c r="FU39" s="13"/>
      <c r="FV39" s="13"/>
      <c r="FW39" s="360"/>
      <c r="FX39" s="13"/>
      <c r="FY39" s="308"/>
      <c r="FZ39" s="266"/>
      <c r="GA39" s="266"/>
      <c r="GB39" s="267"/>
      <c r="GC39" s="267"/>
    </row>
    <row r="40" spans="1:185" s="109" customFormat="1" x14ac:dyDescent="0.25">
      <c r="A40" s="14"/>
      <c r="B40" s="13"/>
      <c r="C40" s="13"/>
      <c r="D40" s="13"/>
      <c r="E40" s="13"/>
      <c r="F40" s="13"/>
      <c r="G40" s="110"/>
      <c r="H40" s="13"/>
      <c r="I40" s="13"/>
      <c r="J40" s="13"/>
      <c r="K40" s="13"/>
      <c r="L40" s="13"/>
      <c r="M40" s="13"/>
      <c r="N40" s="13"/>
      <c r="O40" s="13"/>
      <c r="P40" s="111"/>
      <c r="Q40" s="112"/>
      <c r="R40" s="112"/>
      <c r="S40" s="112"/>
      <c r="T40" s="112"/>
      <c r="U40" s="110"/>
      <c r="V40" s="13"/>
      <c r="W40" s="13"/>
      <c r="X40" s="110"/>
      <c r="Y40" s="13"/>
      <c r="Z40" s="13"/>
      <c r="AA40" s="110"/>
      <c r="AB40" s="13"/>
      <c r="AC40" s="110"/>
      <c r="AD40" s="13"/>
      <c r="AE40" s="13"/>
      <c r="AF40" s="110"/>
      <c r="AG40" s="13"/>
      <c r="AH40" s="110"/>
      <c r="AI40" s="13"/>
      <c r="AJ40" s="110"/>
      <c r="AK40" s="13"/>
      <c r="AL40" s="110"/>
      <c r="AM40" s="98"/>
      <c r="AN40" s="98"/>
      <c r="AO40" s="13"/>
      <c r="AP40" s="308"/>
      <c r="AQ40" s="14"/>
      <c r="AR40" s="13"/>
      <c r="AS40" s="110"/>
      <c r="AT40" s="13"/>
      <c r="AU40" s="13"/>
      <c r="AV40" s="13"/>
      <c r="AW40" s="110"/>
      <c r="AX40" s="13"/>
      <c r="AY40" s="110"/>
      <c r="AZ40" s="13"/>
      <c r="BA40" s="110"/>
      <c r="BB40" s="110"/>
      <c r="BC40" s="110"/>
      <c r="BD40" s="13"/>
      <c r="BE40" s="110"/>
      <c r="BF40" s="13"/>
      <c r="BG40" s="13"/>
      <c r="BH40" s="13"/>
      <c r="BI40" s="110"/>
      <c r="BJ40" s="110"/>
      <c r="BK40" s="13"/>
      <c r="BL40" s="13"/>
      <c r="BM40" s="110"/>
      <c r="BN40" s="13"/>
      <c r="BO40" s="110"/>
      <c r="BP40" s="13"/>
      <c r="BQ40" s="13"/>
      <c r="BR40" s="110"/>
      <c r="BS40" s="13"/>
      <c r="BT40" s="110"/>
      <c r="BU40" s="110"/>
      <c r="BV40" s="110"/>
      <c r="BW40" s="110"/>
      <c r="BX40" s="110"/>
      <c r="BY40" s="13"/>
      <c r="BZ40" s="110"/>
      <c r="CA40" s="110"/>
      <c r="CB40" s="110"/>
      <c r="CC40" s="110"/>
      <c r="CD40" s="110"/>
      <c r="CE40" s="110"/>
      <c r="CF40" s="110"/>
      <c r="CG40" s="110"/>
      <c r="CH40" s="110"/>
      <c r="CI40" s="110"/>
      <c r="CJ40" s="110"/>
      <c r="CK40" s="110"/>
      <c r="CL40" s="110"/>
      <c r="CM40" s="110"/>
      <c r="CN40" s="110"/>
      <c r="CO40" s="110"/>
      <c r="CP40" s="110"/>
      <c r="CQ40" s="110"/>
      <c r="CR40" s="110"/>
      <c r="CS40" s="110"/>
      <c r="CT40" s="110"/>
      <c r="CU40" s="110"/>
      <c r="CV40" s="110"/>
      <c r="CW40" s="110"/>
      <c r="CX40" s="110"/>
      <c r="CY40" s="110"/>
      <c r="CZ40" s="110"/>
      <c r="DA40" s="110"/>
      <c r="DB40" s="110"/>
      <c r="DC40" s="110"/>
      <c r="DD40" s="110"/>
      <c r="DE40" s="110"/>
      <c r="DF40" s="110"/>
      <c r="DG40" s="110"/>
      <c r="DH40" s="110"/>
      <c r="DI40" s="110"/>
      <c r="DJ40" s="110"/>
      <c r="DK40" s="13"/>
      <c r="DL40" s="13"/>
      <c r="DM40" s="13"/>
      <c r="DN40" s="13"/>
      <c r="DO40" s="13"/>
      <c r="DP40" s="13"/>
      <c r="DQ40" s="13"/>
      <c r="DR40" s="13"/>
      <c r="DS40" s="13"/>
      <c r="DT40" s="13"/>
      <c r="DU40" s="13"/>
      <c r="DV40" s="13"/>
      <c r="DW40" s="13"/>
      <c r="DX40" s="13"/>
      <c r="DY40" s="13"/>
      <c r="DZ40" s="13"/>
      <c r="EA40" s="13"/>
      <c r="EB40" s="13"/>
      <c r="EC40" s="17"/>
      <c r="ED40" s="14"/>
      <c r="EE40" s="13"/>
      <c r="EF40" s="110"/>
      <c r="EG40" s="13"/>
      <c r="EH40" s="13"/>
      <c r="EI40" s="110"/>
      <c r="EJ40" s="110"/>
      <c r="EK40" s="110"/>
      <c r="EL40" s="110"/>
      <c r="EM40" s="110"/>
      <c r="EN40" s="110"/>
      <c r="EO40" s="110"/>
      <c r="EP40" s="110"/>
      <c r="EQ40" s="110"/>
      <c r="ER40" s="110"/>
      <c r="ES40" s="110"/>
      <c r="ET40" s="110"/>
      <c r="EU40" s="110"/>
      <c r="EV40" s="110"/>
      <c r="EW40" s="110"/>
      <c r="EX40" s="110"/>
      <c r="EY40" s="110"/>
      <c r="EZ40" s="110"/>
      <c r="FA40" s="110"/>
      <c r="FB40" s="110"/>
      <c r="FC40" s="110"/>
      <c r="FD40" s="110"/>
      <c r="FE40" s="110"/>
      <c r="FF40" s="110"/>
      <c r="FG40" s="110"/>
      <c r="FH40" s="110"/>
      <c r="FI40" s="110"/>
      <c r="FJ40" s="110"/>
      <c r="FK40" s="110"/>
      <c r="FL40" s="110"/>
      <c r="FM40" s="110"/>
      <c r="FN40" s="110"/>
      <c r="FO40" s="13"/>
      <c r="FP40" s="13"/>
      <c r="FQ40" s="13"/>
      <c r="FR40" s="13"/>
      <c r="FS40" s="13"/>
      <c r="FT40" s="13"/>
      <c r="FU40" s="13"/>
      <c r="FV40" s="13"/>
      <c r="FW40" s="360"/>
      <c r="FX40" s="13"/>
      <c r="FY40" s="308"/>
      <c r="FZ40" s="266"/>
      <c r="GA40" s="266"/>
      <c r="GB40" s="267"/>
      <c r="GC40" s="267"/>
    </row>
    <row r="41" spans="1:185" s="109" customFormat="1" x14ac:dyDescent="0.25">
      <c r="A41" s="14"/>
      <c r="B41" s="13"/>
      <c r="C41" s="13"/>
      <c r="D41" s="13"/>
      <c r="E41" s="13"/>
      <c r="F41" s="13"/>
      <c r="G41" s="110"/>
      <c r="H41" s="13"/>
      <c r="I41" s="13"/>
      <c r="J41" s="13"/>
      <c r="K41" s="13"/>
      <c r="L41" s="13"/>
      <c r="M41" s="13"/>
      <c r="N41" s="13"/>
      <c r="O41" s="13"/>
      <c r="P41" s="111"/>
      <c r="Q41" s="112"/>
      <c r="R41" s="112"/>
      <c r="S41" s="112"/>
      <c r="T41" s="112"/>
      <c r="U41" s="110"/>
      <c r="V41" s="13"/>
      <c r="W41" s="13"/>
      <c r="X41" s="110"/>
      <c r="Y41" s="13"/>
      <c r="Z41" s="13"/>
      <c r="AA41" s="110"/>
      <c r="AB41" s="13"/>
      <c r="AC41" s="110"/>
      <c r="AD41" s="13"/>
      <c r="AE41" s="13"/>
      <c r="AF41" s="110"/>
      <c r="AG41" s="13"/>
      <c r="AH41" s="110"/>
      <c r="AI41" s="13"/>
      <c r="AJ41" s="110"/>
      <c r="AK41" s="13"/>
      <c r="AL41" s="110"/>
      <c r="AM41" s="98"/>
      <c r="AN41" s="98"/>
      <c r="AO41" s="13"/>
      <c r="AP41" s="308"/>
      <c r="AQ41" s="14"/>
      <c r="AR41" s="13"/>
      <c r="AS41" s="110"/>
      <c r="AT41" s="13"/>
      <c r="AU41" s="13"/>
      <c r="AV41" s="13"/>
      <c r="AW41" s="110"/>
      <c r="AX41" s="13"/>
      <c r="AY41" s="110"/>
      <c r="AZ41" s="13"/>
      <c r="BA41" s="110"/>
      <c r="BB41" s="110"/>
      <c r="BC41" s="110"/>
      <c r="BD41" s="13"/>
      <c r="BE41" s="110"/>
      <c r="BF41" s="13"/>
      <c r="BG41" s="13"/>
      <c r="BH41" s="13"/>
      <c r="BI41" s="110"/>
      <c r="BJ41" s="110"/>
      <c r="BK41" s="13"/>
      <c r="BL41" s="13"/>
      <c r="BM41" s="110"/>
      <c r="BN41" s="13"/>
      <c r="BO41" s="110"/>
      <c r="BP41" s="13"/>
      <c r="BQ41" s="13"/>
      <c r="BR41" s="110"/>
      <c r="BS41" s="13"/>
      <c r="BT41" s="110"/>
      <c r="BU41" s="110"/>
      <c r="BV41" s="110"/>
      <c r="BW41" s="110"/>
      <c r="BX41" s="110"/>
      <c r="BY41" s="13"/>
      <c r="BZ41" s="110"/>
      <c r="CA41" s="110"/>
      <c r="CB41" s="110"/>
      <c r="CC41" s="110"/>
      <c r="CD41" s="110"/>
      <c r="CE41" s="110"/>
      <c r="CF41" s="110"/>
      <c r="CG41" s="110"/>
      <c r="CH41" s="110"/>
      <c r="CI41" s="110"/>
      <c r="CJ41" s="110"/>
      <c r="CK41" s="110"/>
      <c r="CL41" s="110"/>
      <c r="CM41" s="110"/>
      <c r="CN41" s="110"/>
      <c r="CO41" s="110"/>
      <c r="CP41" s="110"/>
      <c r="CQ41" s="110"/>
      <c r="CR41" s="110"/>
      <c r="CS41" s="110"/>
      <c r="CT41" s="110"/>
      <c r="CU41" s="110"/>
      <c r="CV41" s="110"/>
      <c r="CW41" s="110"/>
      <c r="CX41" s="110"/>
      <c r="CY41" s="110"/>
      <c r="CZ41" s="110"/>
      <c r="DA41" s="110"/>
      <c r="DB41" s="110"/>
      <c r="DC41" s="110"/>
      <c r="DD41" s="110"/>
      <c r="DE41" s="110"/>
      <c r="DF41" s="110"/>
      <c r="DG41" s="110"/>
      <c r="DH41" s="110"/>
      <c r="DI41" s="110"/>
      <c r="DJ41" s="110"/>
      <c r="DK41" s="13"/>
      <c r="DL41" s="13"/>
      <c r="DM41" s="13"/>
      <c r="DN41" s="13"/>
      <c r="DO41" s="13"/>
      <c r="DP41" s="13"/>
      <c r="DQ41" s="13"/>
      <c r="DR41" s="13"/>
      <c r="DS41" s="13"/>
      <c r="DT41" s="13"/>
      <c r="DU41" s="13"/>
      <c r="DV41" s="13"/>
      <c r="DW41" s="13"/>
      <c r="DX41" s="13"/>
      <c r="DY41" s="13"/>
      <c r="DZ41" s="13"/>
      <c r="EA41" s="13"/>
      <c r="EB41" s="13"/>
      <c r="EC41" s="17"/>
      <c r="ED41" s="14"/>
      <c r="EE41" s="13"/>
      <c r="EF41" s="110"/>
      <c r="EG41" s="13"/>
      <c r="EH41" s="13"/>
      <c r="EI41" s="110"/>
      <c r="EJ41" s="110"/>
      <c r="EK41" s="110"/>
      <c r="EL41" s="110"/>
      <c r="EM41" s="110"/>
      <c r="EN41" s="110"/>
      <c r="EO41" s="110"/>
      <c r="EP41" s="110"/>
      <c r="EQ41" s="110"/>
      <c r="ER41" s="110"/>
      <c r="ES41" s="110"/>
      <c r="ET41" s="110"/>
      <c r="EU41" s="110"/>
      <c r="EV41" s="110"/>
      <c r="EW41" s="110"/>
      <c r="EX41" s="110"/>
      <c r="EY41" s="110"/>
      <c r="EZ41" s="110"/>
      <c r="FA41" s="110"/>
      <c r="FB41" s="110"/>
      <c r="FC41" s="110"/>
      <c r="FD41" s="110"/>
      <c r="FE41" s="110"/>
      <c r="FF41" s="110"/>
      <c r="FG41" s="110"/>
      <c r="FH41" s="110"/>
      <c r="FI41" s="110"/>
      <c r="FJ41" s="110"/>
      <c r="FK41" s="110"/>
      <c r="FL41" s="110"/>
      <c r="FM41" s="110"/>
      <c r="FN41" s="110"/>
      <c r="FO41" s="13"/>
      <c r="FP41" s="13"/>
      <c r="FQ41" s="13"/>
      <c r="FR41" s="13"/>
      <c r="FS41" s="13"/>
      <c r="FT41" s="13"/>
      <c r="FU41" s="13"/>
      <c r="FV41" s="13"/>
      <c r="FW41" s="360"/>
      <c r="FX41" s="13"/>
      <c r="FY41" s="308"/>
      <c r="FZ41" s="266"/>
      <c r="GA41" s="266"/>
      <c r="GB41" s="267"/>
      <c r="GC41" s="267"/>
    </row>
    <row r="42" spans="1:185" s="109" customFormat="1" x14ac:dyDescent="0.25">
      <c r="A42" s="14"/>
      <c r="B42" s="13"/>
      <c r="C42" s="13"/>
      <c r="D42" s="13"/>
      <c r="E42" s="13"/>
      <c r="F42" s="13"/>
      <c r="G42" s="110"/>
      <c r="H42" s="13"/>
      <c r="I42" s="13"/>
      <c r="J42" s="13"/>
      <c r="K42" s="13"/>
      <c r="L42" s="13"/>
      <c r="M42" s="13"/>
      <c r="N42" s="13"/>
      <c r="O42" s="13"/>
      <c r="P42" s="111"/>
      <c r="Q42" s="112"/>
      <c r="R42" s="112"/>
      <c r="S42" s="112"/>
      <c r="T42" s="112"/>
      <c r="U42" s="110"/>
      <c r="V42" s="13"/>
      <c r="W42" s="13"/>
      <c r="X42" s="110"/>
      <c r="Y42" s="13"/>
      <c r="Z42" s="13"/>
      <c r="AA42" s="110"/>
      <c r="AB42" s="13"/>
      <c r="AC42" s="110"/>
      <c r="AD42" s="13"/>
      <c r="AE42" s="13"/>
      <c r="AF42" s="110"/>
      <c r="AG42" s="13"/>
      <c r="AH42" s="110"/>
      <c r="AI42" s="13"/>
      <c r="AJ42" s="110"/>
      <c r="AK42" s="13"/>
      <c r="AL42" s="110"/>
      <c r="AM42" s="98"/>
      <c r="AN42" s="98"/>
      <c r="AO42" s="13"/>
      <c r="AP42" s="308"/>
      <c r="AQ42" s="14"/>
      <c r="AR42" s="13"/>
      <c r="AS42" s="110"/>
      <c r="AT42" s="13"/>
      <c r="AU42" s="13"/>
      <c r="AV42" s="13"/>
      <c r="AW42" s="110"/>
      <c r="AX42" s="13"/>
      <c r="AY42" s="110"/>
      <c r="AZ42" s="13"/>
      <c r="BA42" s="110"/>
      <c r="BB42" s="110"/>
      <c r="BC42" s="110"/>
      <c r="BD42" s="13"/>
      <c r="BE42" s="110"/>
      <c r="BF42" s="13"/>
      <c r="BG42" s="13"/>
      <c r="BH42" s="13"/>
      <c r="BI42" s="110"/>
      <c r="BJ42" s="110"/>
      <c r="BK42" s="13"/>
      <c r="BL42" s="13"/>
      <c r="BM42" s="110"/>
      <c r="BN42" s="13"/>
      <c r="BO42" s="110"/>
      <c r="BP42" s="13"/>
      <c r="BQ42" s="13"/>
      <c r="BR42" s="110"/>
      <c r="BS42" s="13"/>
      <c r="BT42" s="110"/>
      <c r="BU42" s="110"/>
      <c r="BV42" s="110"/>
      <c r="BW42" s="110"/>
      <c r="BX42" s="110"/>
      <c r="BY42" s="13"/>
      <c r="BZ42" s="110"/>
      <c r="CA42" s="110"/>
      <c r="CB42" s="110"/>
      <c r="CC42" s="110"/>
      <c r="CD42" s="110"/>
      <c r="CE42" s="110"/>
      <c r="CF42" s="110"/>
      <c r="CG42" s="110"/>
      <c r="CH42" s="110"/>
      <c r="CI42" s="110"/>
      <c r="CJ42" s="110"/>
      <c r="CK42" s="110"/>
      <c r="CL42" s="110"/>
      <c r="CM42" s="110"/>
      <c r="CN42" s="110"/>
      <c r="CO42" s="110"/>
      <c r="CP42" s="110"/>
      <c r="CQ42" s="110"/>
      <c r="CR42" s="110"/>
      <c r="CS42" s="110"/>
      <c r="CT42" s="110"/>
      <c r="CU42" s="110"/>
      <c r="CV42" s="110"/>
      <c r="CW42" s="110"/>
      <c r="CX42" s="110"/>
      <c r="CY42" s="110"/>
      <c r="CZ42" s="110"/>
      <c r="DA42" s="110"/>
      <c r="DB42" s="110"/>
      <c r="DC42" s="110"/>
      <c r="DD42" s="110"/>
      <c r="DE42" s="110"/>
      <c r="DF42" s="110"/>
      <c r="DG42" s="110"/>
      <c r="DH42" s="110"/>
      <c r="DI42" s="110"/>
      <c r="DJ42" s="110"/>
      <c r="DK42" s="13"/>
      <c r="DL42" s="13"/>
      <c r="DM42" s="13"/>
      <c r="DN42" s="13"/>
      <c r="DO42" s="13"/>
      <c r="DP42" s="13"/>
      <c r="DQ42" s="13"/>
      <c r="DR42" s="13"/>
      <c r="DS42" s="13"/>
      <c r="DT42" s="13"/>
      <c r="DU42" s="13"/>
      <c r="DV42" s="13"/>
      <c r="DW42" s="13"/>
      <c r="DX42" s="13"/>
      <c r="DY42" s="13"/>
      <c r="DZ42" s="13"/>
      <c r="EA42" s="13"/>
      <c r="EB42" s="13"/>
      <c r="EC42" s="17"/>
      <c r="ED42" s="14"/>
      <c r="EE42" s="13"/>
      <c r="EF42" s="110"/>
      <c r="EG42" s="13"/>
      <c r="EH42" s="13"/>
      <c r="EI42" s="110"/>
      <c r="EJ42" s="110"/>
      <c r="EK42" s="110"/>
      <c r="EL42" s="110"/>
      <c r="EM42" s="110"/>
      <c r="EN42" s="110"/>
      <c r="EO42" s="110"/>
      <c r="EP42" s="110"/>
      <c r="EQ42" s="110"/>
      <c r="ER42" s="110"/>
      <c r="ES42" s="110"/>
      <c r="ET42" s="110"/>
      <c r="EU42" s="110"/>
      <c r="EV42" s="110"/>
      <c r="EW42" s="110"/>
      <c r="EX42" s="110"/>
      <c r="EY42" s="110"/>
      <c r="EZ42" s="110"/>
      <c r="FA42" s="110"/>
      <c r="FB42" s="110"/>
      <c r="FC42" s="110"/>
      <c r="FD42" s="110"/>
      <c r="FE42" s="110"/>
      <c r="FF42" s="110"/>
      <c r="FG42" s="110"/>
      <c r="FH42" s="110"/>
      <c r="FI42" s="110"/>
      <c r="FJ42" s="110"/>
      <c r="FK42" s="110"/>
      <c r="FL42" s="110"/>
      <c r="FM42" s="110"/>
      <c r="FN42" s="110"/>
      <c r="FO42" s="13"/>
      <c r="FP42" s="13"/>
      <c r="FQ42" s="13"/>
      <c r="FR42" s="13"/>
      <c r="FS42" s="13"/>
      <c r="FT42" s="13"/>
      <c r="FU42" s="13"/>
      <c r="FV42" s="13"/>
      <c r="FW42" s="360"/>
      <c r="FX42" s="13"/>
      <c r="FY42" s="308"/>
      <c r="FZ42" s="266"/>
      <c r="GA42" s="266"/>
      <c r="GB42" s="267"/>
      <c r="GC42" s="267"/>
    </row>
    <row r="43" spans="1:185" s="109" customFormat="1" x14ac:dyDescent="0.25">
      <c r="A43" s="14"/>
      <c r="B43" s="13"/>
      <c r="C43" s="13"/>
      <c r="D43" s="13"/>
      <c r="E43" s="13"/>
      <c r="F43" s="13"/>
      <c r="G43" s="110"/>
      <c r="H43" s="13"/>
      <c r="I43" s="13"/>
      <c r="J43" s="13"/>
      <c r="K43" s="13"/>
      <c r="L43" s="13"/>
      <c r="M43" s="13"/>
      <c r="N43" s="13"/>
      <c r="O43" s="13"/>
      <c r="P43" s="111"/>
      <c r="Q43" s="112"/>
      <c r="R43" s="112"/>
      <c r="S43" s="112"/>
      <c r="T43" s="112"/>
      <c r="U43" s="110"/>
      <c r="V43" s="13"/>
      <c r="W43" s="13"/>
      <c r="X43" s="110"/>
      <c r="Y43" s="13"/>
      <c r="Z43" s="13"/>
      <c r="AA43" s="110"/>
      <c r="AB43" s="13"/>
      <c r="AC43" s="110"/>
      <c r="AD43" s="13"/>
      <c r="AE43" s="13"/>
      <c r="AF43" s="110"/>
      <c r="AG43" s="13"/>
      <c r="AH43" s="110"/>
      <c r="AI43" s="13"/>
      <c r="AJ43" s="110"/>
      <c r="AK43" s="13"/>
      <c r="AL43" s="110"/>
      <c r="AM43" s="98"/>
      <c r="AN43" s="98"/>
      <c r="AO43" s="13"/>
      <c r="AP43" s="308"/>
      <c r="AQ43" s="14"/>
      <c r="AR43" s="13"/>
      <c r="AS43" s="110"/>
      <c r="AT43" s="13"/>
      <c r="AU43" s="13"/>
      <c r="AV43" s="13"/>
      <c r="AW43" s="110"/>
      <c r="AX43" s="13"/>
      <c r="AY43" s="110"/>
      <c r="AZ43" s="13"/>
      <c r="BA43" s="110"/>
      <c r="BB43" s="110"/>
      <c r="BC43" s="110"/>
      <c r="BD43" s="13"/>
      <c r="BE43" s="110"/>
      <c r="BF43" s="13"/>
      <c r="BG43" s="13"/>
      <c r="BH43" s="13"/>
      <c r="BI43" s="110"/>
      <c r="BJ43" s="110"/>
      <c r="BK43" s="13"/>
      <c r="BL43" s="13"/>
      <c r="BM43" s="110"/>
      <c r="BN43" s="13"/>
      <c r="BO43" s="110"/>
      <c r="BP43" s="13"/>
      <c r="BQ43" s="13"/>
      <c r="BR43" s="110"/>
      <c r="BS43" s="13"/>
      <c r="BT43" s="110"/>
      <c r="BU43" s="110"/>
      <c r="BV43" s="110"/>
      <c r="BW43" s="110"/>
      <c r="BX43" s="110"/>
      <c r="BY43" s="13"/>
      <c r="BZ43" s="110"/>
      <c r="CA43" s="110"/>
      <c r="CB43" s="110"/>
      <c r="CC43" s="110"/>
      <c r="CD43" s="110"/>
      <c r="CE43" s="110"/>
      <c r="CF43" s="110"/>
      <c r="CG43" s="110"/>
      <c r="CH43" s="110"/>
      <c r="CI43" s="110"/>
      <c r="CJ43" s="110"/>
      <c r="CK43" s="110"/>
      <c r="CL43" s="110"/>
      <c r="CM43" s="110"/>
      <c r="CN43" s="110"/>
      <c r="CO43" s="110"/>
      <c r="CP43" s="110"/>
      <c r="CQ43" s="110"/>
      <c r="CR43" s="110"/>
      <c r="CS43" s="110"/>
      <c r="CT43" s="110"/>
      <c r="CU43" s="110"/>
      <c r="CV43" s="110"/>
      <c r="CW43" s="110"/>
      <c r="CX43" s="110"/>
      <c r="CY43" s="110"/>
      <c r="CZ43" s="110"/>
      <c r="DA43" s="110"/>
      <c r="DB43" s="110"/>
      <c r="DC43" s="110"/>
      <c r="DD43" s="110"/>
      <c r="DE43" s="110"/>
      <c r="DF43" s="110"/>
      <c r="DG43" s="110"/>
      <c r="DH43" s="110"/>
      <c r="DI43" s="110"/>
      <c r="DJ43" s="110"/>
      <c r="DK43" s="13"/>
      <c r="DL43" s="13"/>
      <c r="DM43" s="13"/>
      <c r="DN43" s="13"/>
      <c r="DO43" s="13"/>
      <c r="DP43" s="13"/>
      <c r="DQ43" s="13"/>
      <c r="DR43" s="13"/>
      <c r="DS43" s="13"/>
      <c r="DT43" s="13"/>
      <c r="DU43" s="13"/>
      <c r="DV43" s="13"/>
      <c r="DW43" s="13"/>
      <c r="DX43" s="13"/>
      <c r="DY43" s="13"/>
      <c r="DZ43" s="13"/>
      <c r="EA43" s="13"/>
      <c r="EB43" s="13"/>
      <c r="EC43" s="17"/>
      <c r="ED43" s="14"/>
      <c r="EE43" s="13"/>
      <c r="EF43" s="110"/>
      <c r="EG43" s="13"/>
      <c r="EH43" s="13"/>
      <c r="EI43" s="110"/>
      <c r="EJ43" s="110"/>
      <c r="EK43" s="110"/>
      <c r="EL43" s="110"/>
      <c r="EM43" s="110"/>
      <c r="EN43" s="110"/>
      <c r="EO43" s="110"/>
      <c r="EP43" s="110"/>
      <c r="EQ43" s="110"/>
      <c r="ER43" s="110"/>
      <c r="ES43" s="110"/>
      <c r="ET43" s="110"/>
      <c r="EU43" s="110"/>
      <c r="EV43" s="110"/>
      <c r="EW43" s="110"/>
      <c r="EX43" s="110"/>
      <c r="EY43" s="110"/>
      <c r="EZ43" s="110"/>
      <c r="FA43" s="110"/>
      <c r="FB43" s="110"/>
      <c r="FC43" s="110"/>
      <c r="FD43" s="110"/>
      <c r="FE43" s="110"/>
      <c r="FF43" s="110"/>
      <c r="FG43" s="110"/>
      <c r="FH43" s="110"/>
      <c r="FI43" s="110"/>
      <c r="FJ43" s="110"/>
      <c r="FK43" s="110"/>
      <c r="FL43" s="110"/>
      <c r="FM43" s="110"/>
      <c r="FN43" s="110"/>
      <c r="FO43" s="13"/>
      <c r="FP43" s="13"/>
      <c r="FQ43" s="13"/>
      <c r="FR43" s="13"/>
      <c r="FS43" s="13"/>
      <c r="FT43" s="13"/>
      <c r="FU43" s="13"/>
      <c r="FV43" s="13"/>
      <c r="FW43" s="360"/>
      <c r="FX43" s="13"/>
      <c r="FY43" s="308"/>
      <c r="FZ43" s="266"/>
      <c r="GA43" s="266"/>
      <c r="GB43" s="267"/>
      <c r="GC43" s="267"/>
    </row>
    <row r="44" spans="1:185" s="109" customFormat="1" x14ac:dyDescent="0.25">
      <c r="A44" s="14"/>
      <c r="B44" s="13"/>
      <c r="C44" s="13"/>
      <c r="D44" s="13"/>
      <c r="E44" s="13"/>
      <c r="F44" s="13"/>
      <c r="G44" s="110"/>
      <c r="H44" s="13"/>
      <c r="I44" s="13"/>
      <c r="J44" s="13"/>
      <c r="K44" s="13"/>
      <c r="L44" s="13"/>
      <c r="M44" s="13"/>
      <c r="N44" s="13"/>
      <c r="O44" s="13"/>
      <c r="P44" s="111"/>
      <c r="Q44" s="112"/>
      <c r="R44" s="112"/>
      <c r="S44" s="112"/>
      <c r="T44" s="112"/>
      <c r="U44" s="110"/>
      <c r="V44" s="13"/>
      <c r="W44" s="13"/>
      <c r="X44" s="110"/>
      <c r="Y44" s="13"/>
      <c r="Z44" s="13"/>
      <c r="AA44" s="110"/>
      <c r="AB44" s="13"/>
      <c r="AC44" s="110"/>
      <c r="AD44" s="13"/>
      <c r="AE44" s="13"/>
      <c r="AF44" s="110"/>
      <c r="AG44" s="13"/>
      <c r="AH44" s="110"/>
      <c r="AI44" s="13"/>
      <c r="AJ44" s="110"/>
      <c r="AK44" s="13"/>
      <c r="AL44" s="110"/>
      <c r="AM44" s="98"/>
      <c r="AN44" s="98"/>
      <c r="AO44" s="13"/>
      <c r="AP44" s="308"/>
      <c r="AQ44" s="14"/>
      <c r="AR44" s="13"/>
      <c r="AS44" s="110"/>
      <c r="AT44" s="13"/>
      <c r="AU44" s="13"/>
      <c r="AV44" s="13"/>
      <c r="AW44" s="110"/>
      <c r="AX44" s="13"/>
      <c r="AY44" s="110"/>
      <c r="AZ44" s="13"/>
      <c r="BA44" s="110"/>
      <c r="BB44" s="110"/>
      <c r="BC44" s="110"/>
      <c r="BD44" s="13"/>
      <c r="BE44" s="110"/>
      <c r="BF44" s="13"/>
      <c r="BG44" s="13"/>
      <c r="BH44" s="13"/>
      <c r="BI44" s="110"/>
      <c r="BJ44" s="110"/>
      <c r="BK44" s="13"/>
      <c r="BL44" s="13"/>
      <c r="BM44" s="110"/>
      <c r="BN44" s="13"/>
      <c r="BO44" s="110"/>
      <c r="BP44" s="13"/>
      <c r="BQ44" s="13"/>
      <c r="BR44" s="110"/>
      <c r="BS44" s="13"/>
      <c r="BT44" s="110"/>
      <c r="BU44" s="110"/>
      <c r="BV44" s="110"/>
      <c r="BW44" s="110"/>
      <c r="BX44" s="110"/>
      <c r="BY44" s="13"/>
      <c r="BZ44" s="110"/>
      <c r="CA44" s="110"/>
      <c r="CB44" s="110"/>
      <c r="CC44" s="110"/>
      <c r="CD44" s="110"/>
      <c r="CE44" s="110"/>
      <c r="CF44" s="110"/>
      <c r="CG44" s="110"/>
      <c r="CH44" s="110"/>
      <c r="CI44" s="110"/>
      <c r="CJ44" s="110"/>
      <c r="CK44" s="110"/>
      <c r="CL44" s="110"/>
      <c r="CM44" s="110"/>
      <c r="CN44" s="110"/>
      <c r="CO44" s="110"/>
      <c r="CP44" s="110"/>
      <c r="CQ44" s="110"/>
      <c r="CR44" s="110"/>
      <c r="CS44" s="110"/>
      <c r="CT44" s="110"/>
      <c r="CU44" s="110"/>
      <c r="CV44" s="110"/>
      <c r="CW44" s="110"/>
      <c r="CX44" s="110"/>
      <c r="CY44" s="110"/>
      <c r="CZ44" s="110"/>
      <c r="DA44" s="110"/>
      <c r="DB44" s="110"/>
      <c r="DC44" s="110"/>
      <c r="DD44" s="110"/>
      <c r="DE44" s="110"/>
      <c r="DF44" s="110"/>
      <c r="DG44" s="110"/>
      <c r="DH44" s="110"/>
      <c r="DI44" s="110"/>
      <c r="DJ44" s="110"/>
      <c r="DK44" s="13"/>
      <c r="DL44" s="13"/>
      <c r="DM44" s="13"/>
      <c r="DN44" s="13"/>
      <c r="DO44" s="13"/>
      <c r="DP44" s="13"/>
      <c r="DQ44" s="13"/>
      <c r="DR44" s="13"/>
      <c r="DS44" s="13"/>
      <c r="DT44" s="13"/>
      <c r="DU44" s="13"/>
      <c r="DV44" s="13"/>
      <c r="DW44" s="13"/>
      <c r="DX44" s="13"/>
      <c r="DY44" s="13"/>
      <c r="DZ44" s="13"/>
      <c r="EA44" s="13"/>
      <c r="EB44" s="13"/>
      <c r="EC44" s="17"/>
      <c r="ED44" s="14"/>
      <c r="EE44" s="13"/>
      <c r="EF44" s="110"/>
      <c r="EG44" s="13"/>
      <c r="EH44" s="13"/>
      <c r="EI44" s="110"/>
      <c r="EJ44" s="110"/>
      <c r="EK44" s="110"/>
      <c r="EL44" s="110"/>
      <c r="EM44" s="110"/>
      <c r="EN44" s="110"/>
      <c r="EO44" s="110"/>
      <c r="EP44" s="110"/>
      <c r="EQ44" s="110"/>
      <c r="ER44" s="110"/>
      <c r="ES44" s="110"/>
      <c r="ET44" s="110"/>
      <c r="EU44" s="110"/>
      <c r="EV44" s="110"/>
      <c r="EW44" s="110"/>
      <c r="EX44" s="110"/>
      <c r="EY44" s="110"/>
      <c r="EZ44" s="110"/>
      <c r="FA44" s="110"/>
      <c r="FB44" s="110"/>
      <c r="FC44" s="110"/>
      <c r="FD44" s="110"/>
      <c r="FE44" s="110"/>
      <c r="FF44" s="110"/>
      <c r="FG44" s="110"/>
      <c r="FH44" s="110"/>
      <c r="FI44" s="110"/>
      <c r="FJ44" s="110"/>
      <c r="FK44" s="110"/>
      <c r="FL44" s="110"/>
      <c r="FM44" s="110"/>
      <c r="FN44" s="110"/>
      <c r="FO44" s="13"/>
      <c r="FP44" s="13"/>
      <c r="FQ44" s="13"/>
      <c r="FR44" s="13"/>
      <c r="FS44" s="13"/>
      <c r="FT44" s="13"/>
      <c r="FU44" s="13"/>
      <c r="FV44" s="13"/>
      <c r="FW44" s="360"/>
      <c r="FX44" s="13"/>
      <c r="FY44" s="308"/>
      <c r="FZ44" s="266"/>
      <c r="GA44" s="266"/>
      <c r="GB44" s="267"/>
      <c r="GC44" s="267"/>
    </row>
    <row r="45" spans="1:185" s="109" customFormat="1" x14ac:dyDescent="0.25">
      <c r="A45" s="14"/>
      <c r="B45" s="13"/>
      <c r="C45" s="13"/>
      <c r="D45" s="13"/>
      <c r="E45" s="13"/>
      <c r="F45" s="13"/>
      <c r="G45" s="110"/>
      <c r="H45" s="13"/>
      <c r="I45" s="13"/>
      <c r="J45" s="13"/>
      <c r="K45" s="13"/>
      <c r="L45" s="13"/>
      <c r="M45" s="13"/>
      <c r="N45" s="13"/>
      <c r="O45" s="13"/>
      <c r="P45" s="111"/>
      <c r="Q45" s="112"/>
      <c r="R45" s="112"/>
      <c r="S45" s="112"/>
      <c r="T45" s="112"/>
      <c r="U45" s="110"/>
      <c r="V45" s="13"/>
      <c r="W45" s="13"/>
      <c r="X45" s="110"/>
      <c r="Y45" s="13"/>
      <c r="Z45" s="13"/>
      <c r="AA45" s="110"/>
      <c r="AB45" s="13"/>
      <c r="AC45" s="110"/>
      <c r="AD45" s="13"/>
      <c r="AE45" s="13"/>
      <c r="AF45" s="110"/>
      <c r="AG45" s="13"/>
      <c r="AH45" s="110"/>
      <c r="AI45" s="13"/>
      <c r="AJ45" s="110"/>
      <c r="AK45" s="13"/>
      <c r="AL45" s="110"/>
      <c r="AM45" s="98"/>
      <c r="AN45" s="98"/>
      <c r="AO45" s="13"/>
      <c r="AP45" s="308"/>
      <c r="AQ45" s="14"/>
      <c r="AR45" s="13"/>
      <c r="AS45" s="110"/>
      <c r="AT45" s="13"/>
      <c r="AU45" s="13"/>
      <c r="AV45" s="13"/>
      <c r="AW45" s="110"/>
      <c r="AX45" s="13"/>
      <c r="AY45" s="110"/>
      <c r="AZ45" s="13"/>
      <c r="BA45" s="110"/>
      <c r="BB45" s="110"/>
      <c r="BC45" s="110"/>
      <c r="BD45" s="13"/>
      <c r="BE45" s="110"/>
      <c r="BF45" s="13"/>
      <c r="BG45" s="13"/>
      <c r="BH45" s="13"/>
      <c r="BI45" s="110"/>
      <c r="BJ45" s="110"/>
      <c r="BK45" s="13"/>
      <c r="BL45" s="13"/>
      <c r="BM45" s="110"/>
      <c r="BN45" s="13"/>
      <c r="BO45" s="110"/>
      <c r="BP45" s="13"/>
      <c r="BQ45" s="13"/>
      <c r="BR45" s="110"/>
      <c r="BS45" s="13"/>
      <c r="BT45" s="110"/>
      <c r="BU45" s="110"/>
      <c r="BV45" s="110"/>
      <c r="BW45" s="110"/>
      <c r="BX45" s="110"/>
      <c r="BY45" s="13"/>
      <c r="BZ45" s="110"/>
      <c r="CA45" s="110"/>
      <c r="CB45" s="110"/>
      <c r="CC45" s="110"/>
      <c r="CD45" s="110"/>
      <c r="CE45" s="110"/>
      <c r="CF45" s="110"/>
      <c r="CG45" s="110"/>
      <c r="CH45" s="110"/>
      <c r="CI45" s="110"/>
      <c r="CJ45" s="110"/>
      <c r="CK45" s="110"/>
      <c r="CL45" s="110"/>
      <c r="CM45" s="110"/>
      <c r="CN45" s="110"/>
      <c r="CO45" s="110"/>
      <c r="CP45" s="110"/>
      <c r="CQ45" s="110"/>
      <c r="CR45" s="110"/>
      <c r="CS45" s="110"/>
      <c r="CT45" s="110"/>
      <c r="CU45" s="110"/>
      <c r="CV45" s="110"/>
      <c r="CW45" s="110"/>
      <c r="CX45" s="110"/>
      <c r="CY45" s="110"/>
      <c r="CZ45" s="110"/>
      <c r="DA45" s="110"/>
      <c r="DB45" s="110"/>
      <c r="DC45" s="110"/>
      <c r="DD45" s="110"/>
      <c r="DE45" s="110"/>
      <c r="DF45" s="110"/>
      <c r="DG45" s="110"/>
      <c r="DH45" s="110"/>
      <c r="DI45" s="110"/>
      <c r="DJ45" s="110"/>
      <c r="DK45" s="13"/>
      <c r="DL45" s="13"/>
      <c r="DM45" s="13"/>
      <c r="DN45" s="13"/>
      <c r="DO45" s="13"/>
      <c r="DP45" s="13"/>
      <c r="DQ45" s="13"/>
      <c r="DR45" s="13"/>
      <c r="DS45" s="13"/>
      <c r="DT45" s="13"/>
      <c r="DU45" s="13"/>
      <c r="DV45" s="13"/>
      <c r="DW45" s="13"/>
      <c r="DX45" s="13"/>
      <c r="DY45" s="13"/>
      <c r="DZ45" s="13"/>
      <c r="EA45" s="13"/>
      <c r="EB45" s="13"/>
      <c r="EC45" s="17"/>
      <c r="ED45" s="14"/>
      <c r="EE45" s="13"/>
      <c r="EF45" s="110"/>
      <c r="EG45" s="13"/>
      <c r="EH45" s="13"/>
      <c r="EI45" s="110"/>
      <c r="EJ45" s="110"/>
      <c r="EK45" s="110"/>
      <c r="EL45" s="110"/>
      <c r="EM45" s="110"/>
      <c r="EN45" s="110"/>
      <c r="EO45" s="110"/>
      <c r="EP45" s="110"/>
      <c r="EQ45" s="110"/>
      <c r="ER45" s="110"/>
      <c r="ES45" s="110"/>
      <c r="ET45" s="110"/>
      <c r="EU45" s="110"/>
      <c r="EV45" s="110"/>
      <c r="EW45" s="110"/>
      <c r="EX45" s="110"/>
      <c r="EY45" s="110"/>
      <c r="EZ45" s="110"/>
      <c r="FA45" s="110"/>
      <c r="FB45" s="110"/>
      <c r="FC45" s="110"/>
      <c r="FD45" s="110"/>
      <c r="FE45" s="110"/>
      <c r="FF45" s="110"/>
      <c r="FG45" s="110"/>
      <c r="FH45" s="110"/>
      <c r="FI45" s="110"/>
      <c r="FJ45" s="110"/>
      <c r="FK45" s="110"/>
      <c r="FL45" s="110"/>
      <c r="FM45" s="110"/>
      <c r="FN45" s="110"/>
      <c r="FO45" s="13"/>
      <c r="FP45" s="13"/>
      <c r="FQ45" s="13"/>
      <c r="FR45" s="13"/>
      <c r="FS45" s="13"/>
      <c r="FT45" s="13"/>
      <c r="FU45" s="13"/>
      <c r="FV45" s="13"/>
      <c r="FW45" s="360"/>
      <c r="FX45" s="13"/>
      <c r="FY45" s="308"/>
      <c r="FZ45" s="266"/>
      <c r="GA45" s="266"/>
      <c r="GB45" s="267"/>
      <c r="GC45" s="267"/>
    </row>
    <row r="46" spans="1:185" s="109" customFormat="1" x14ac:dyDescent="0.25">
      <c r="A46" s="14"/>
      <c r="B46" s="13"/>
      <c r="C46" s="13"/>
      <c r="D46" s="13"/>
      <c r="E46" s="13"/>
      <c r="F46" s="13"/>
      <c r="G46" s="110"/>
      <c r="H46" s="13"/>
      <c r="I46" s="13"/>
      <c r="J46" s="13"/>
      <c r="K46" s="13"/>
      <c r="L46" s="13"/>
      <c r="M46" s="13"/>
      <c r="N46" s="13"/>
      <c r="O46" s="13"/>
      <c r="P46" s="111"/>
      <c r="Q46" s="112"/>
      <c r="R46" s="112"/>
      <c r="S46" s="112"/>
      <c r="T46" s="112"/>
      <c r="U46" s="110"/>
      <c r="V46" s="13"/>
      <c r="W46" s="13"/>
      <c r="X46" s="110"/>
      <c r="Y46" s="13"/>
      <c r="Z46" s="13"/>
      <c r="AA46" s="110"/>
      <c r="AB46" s="13"/>
      <c r="AC46" s="110"/>
      <c r="AD46" s="13"/>
      <c r="AE46" s="13"/>
      <c r="AF46" s="110"/>
      <c r="AG46" s="13"/>
      <c r="AH46" s="110"/>
      <c r="AI46" s="13"/>
      <c r="AJ46" s="110"/>
      <c r="AK46" s="13"/>
      <c r="AL46" s="110"/>
      <c r="AM46" s="98"/>
      <c r="AN46" s="98"/>
      <c r="AO46" s="13"/>
      <c r="AP46" s="308"/>
      <c r="AQ46" s="14"/>
      <c r="AR46" s="13"/>
      <c r="AS46" s="110"/>
      <c r="AT46" s="13"/>
      <c r="AU46" s="13"/>
      <c r="AV46" s="13"/>
      <c r="AW46" s="110"/>
      <c r="AX46" s="13"/>
      <c r="AY46" s="110"/>
      <c r="AZ46" s="13"/>
      <c r="BA46" s="110"/>
      <c r="BB46" s="110"/>
      <c r="BC46" s="110"/>
      <c r="BD46" s="13"/>
      <c r="BE46" s="110"/>
      <c r="BF46" s="13"/>
      <c r="BG46" s="13"/>
      <c r="BH46" s="13"/>
      <c r="BI46" s="110"/>
      <c r="BJ46" s="110"/>
      <c r="BK46" s="13"/>
      <c r="BL46" s="13"/>
      <c r="BM46" s="110"/>
      <c r="BN46" s="13"/>
      <c r="BO46" s="110"/>
      <c r="BP46" s="13"/>
      <c r="BQ46" s="13"/>
      <c r="BR46" s="110"/>
      <c r="BS46" s="13"/>
      <c r="BT46" s="110"/>
      <c r="BU46" s="110"/>
      <c r="BV46" s="110"/>
      <c r="BW46" s="110"/>
      <c r="BX46" s="110"/>
      <c r="BY46" s="13"/>
      <c r="BZ46" s="110"/>
      <c r="CA46" s="110"/>
      <c r="CB46" s="110"/>
      <c r="CC46" s="110"/>
      <c r="CD46" s="110"/>
      <c r="CE46" s="110"/>
      <c r="CF46" s="110"/>
      <c r="CG46" s="110"/>
      <c r="CH46" s="110"/>
      <c r="CI46" s="110"/>
      <c r="CJ46" s="110"/>
      <c r="CK46" s="110"/>
      <c r="CL46" s="110"/>
      <c r="CM46" s="110"/>
      <c r="CN46" s="110"/>
      <c r="CO46" s="110"/>
      <c r="CP46" s="110"/>
      <c r="CQ46" s="110"/>
      <c r="CR46" s="110"/>
      <c r="CS46" s="110"/>
      <c r="CT46" s="110"/>
      <c r="CU46" s="110"/>
      <c r="CV46" s="110"/>
      <c r="CW46" s="110"/>
      <c r="CX46" s="110"/>
      <c r="CY46" s="110"/>
      <c r="CZ46" s="110"/>
      <c r="DA46" s="110"/>
      <c r="DB46" s="110"/>
      <c r="DC46" s="110"/>
      <c r="DD46" s="110"/>
      <c r="DE46" s="110"/>
      <c r="DF46" s="110"/>
      <c r="DG46" s="110"/>
      <c r="DH46" s="110"/>
      <c r="DI46" s="110"/>
      <c r="DJ46" s="110"/>
      <c r="DK46" s="13"/>
      <c r="DL46" s="13"/>
      <c r="DM46" s="13"/>
      <c r="DN46" s="13"/>
      <c r="DO46" s="13"/>
      <c r="DP46" s="13"/>
      <c r="DQ46" s="13"/>
      <c r="DR46" s="13"/>
      <c r="DS46" s="13"/>
      <c r="DT46" s="13"/>
      <c r="DU46" s="13"/>
      <c r="DV46" s="13"/>
      <c r="DW46" s="13"/>
      <c r="DX46" s="13"/>
      <c r="DY46" s="13"/>
      <c r="DZ46" s="13"/>
      <c r="EA46" s="13"/>
      <c r="EB46" s="13"/>
      <c r="EC46" s="17"/>
      <c r="ED46" s="14"/>
      <c r="EE46" s="13"/>
      <c r="EF46" s="110"/>
      <c r="EG46" s="13"/>
      <c r="EH46" s="13"/>
      <c r="EI46" s="110"/>
      <c r="EJ46" s="110"/>
      <c r="EK46" s="110"/>
      <c r="EL46" s="110"/>
      <c r="EM46" s="110"/>
      <c r="EN46" s="110"/>
      <c r="EO46" s="110"/>
      <c r="EP46" s="110"/>
      <c r="EQ46" s="110"/>
      <c r="ER46" s="110"/>
      <c r="ES46" s="110"/>
      <c r="ET46" s="110"/>
      <c r="EU46" s="110"/>
      <c r="EV46" s="110"/>
      <c r="EW46" s="110"/>
      <c r="EX46" s="110"/>
      <c r="EY46" s="110"/>
      <c r="EZ46" s="110"/>
      <c r="FA46" s="110"/>
      <c r="FB46" s="110"/>
      <c r="FC46" s="110"/>
      <c r="FD46" s="110"/>
      <c r="FE46" s="110"/>
      <c r="FF46" s="110"/>
      <c r="FG46" s="110"/>
      <c r="FH46" s="110"/>
      <c r="FI46" s="110"/>
      <c r="FJ46" s="110"/>
      <c r="FK46" s="110"/>
      <c r="FL46" s="110"/>
      <c r="FM46" s="110"/>
      <c r="FN46" s="110"/>
      <c r="FO46" s="13"/>
      <c r="FP46" s="13"/>
      <c r="FQ46" s="13"/>
      <c r="FR46" s="13"/>
      <c r="FS46" s="13"/>
      <c r="FT46" s="13"/>
      <c r="FU46" s="13"/>
      <c r="FV46" s="13"/>
      <c r="FW46" s="360"/>
      <c r="FX46" s="13"/>
      <c r="FY46" s="308"/>
      <c r="FZ46" s="266"/>
      <c r="GA46" s="266"/>
      <c r="GB46" s="267"/>
      <c r="GC46" s="267"/>
    </row>
    <row r="47" spans="1:185" s="109" customFormat="1" x14ac:dyDescent="0.25">
      <c r="A47" s="14"/>
      <c r="B47" s="13"/>
      <c r="C47" s="13"/>
      <c r="D47" s="13"/>
      <c r="E47" s="13"/>
      <c r="F47" s="13"/>
      <c r="G47" s="110"/>
      <c r="H47" s="13"/>
      <c r="I47" s="13"/>
      <c r="J47" s="13"/>
      <c r="K47" s="13"/>
      <c r="L47" s="13"/>
      <c r="M47" s="13"/>
      <c r="N47" s="13"/>
      <c r="O47" s="13"/>
      <c r="P47" s="111"/>
      <c r="Q47" s="112"/>
      <c r="R47" s="112"/>
      <c r="S47" s="112"/>
      <c r="T47" s="112"/>
      <c r="U47" s="110"/>
      <c r="V47" s="13"/>
      <c r="W47" s="13"/>
      <c r="X47" s="110"/>
      <c r="Y47" s="13"/>
      <c r="Z47" s="13"/>
      <c r="AA47" s="110"/>
      <c r="AB47" s="13"/>
      <c r="AC47" s="110"/>
      <c r="AD47" s="13"/>
      <c r="AE47" s="13"/>
      <c r="AF47" s="110"/>
      <c r="AG47" s="13"/>
      <c r="AH47" s="110"/>
      <c r="AI47" s="13"/>
      <c r="AJ47" s="110"/>
      <c r="AK47" s="13"/>
      <c r="AL47" s="110"/>
      <c r="AM47" s="98"/>
      <c r="AN47" s="98"/>
      <c r="AO47" s="13"/>
      <c r="AP47" s="308"/>
      <c r="AQ47" s="14"/>
      <c r="AR47" s="13"/>
      <c r="AS47" s="110"/>
      <c r="AT47" s="13"/>
      <c r="AU47" s="13"/>
      <c r="AV47" s="13"/>
      <c r="AW47" s="110"/>
      <c r="AX47" s="13"/>
      <c r="AY47" s="110"/>
      <c r="AZ47" s="13"/>
      <c r="BA47" s="110"/>
      <c r="BB47" s="110"/>
      <c r="BC47" s="110"/>
      <c r="BD47" s="13"/>
      <c r="BE47" s="110"/>
      <c r="BF47" s="13"/>
      <c r="BG47" s="13"/>
      <c r="BH47" s="13"/>
      <c r="BI47" s="110"/>
      <c r="BJ47" s="110"/>
      <c r="BK47" s="13"/>
      <c r="BL47" s="13"/>
      <c r="BM47" s="110"/>
      <c r="BN47" s="13"/>
      <c r="BO47" s="110"/>
      <c r="BP47" s="13"/>
      <c r="BQ47" s="13"/>
      <c r="BR47" s="110"/>
      <c r="BS47" s="13"/>
      <c r="BT47" s="110"/>
      <c r="BU47" s="110"/>
      <c r="BV47" s="110"/>
      <c r="BW47" s="110"/>
      <c r="BX47" s="110"/>
      <c r="BY47" s="13"/>
      <c r="BZ47" s="110"/>
      <c r="CA47" s="110"/>
      <c r="CB47" s="110"/>
      <c r="CC47" s="110"/>
      <c r="CD47" s="110"/>
      <c r="CE47" s="110"/>
      <c r="CF47" s="110"/>
      <c r="CG47" s="110"/>
      <c r="CH47" s="110"/>
      <c r="CI47" s="110"/>
      <c r="CJ47" s="110"/>
      <c r="CK47" s="110"/>
      <c r="CL47" s="110"/>
      <c r="CM47" s="110"/>
      <c r="CN47" s="110"/>
      <c r="CO47" s="110"/>
      <c r="CP47" s="110"/>
      <c r="CQ47" s="110"/>
      <c r="CR47" s="110"/>
      <c r="CS47" s="110"/>
      <c r="CT47" s="110"/>
      <c r="CU47" s="110"/>
      <c r="CV47" s="110"/>
      <c r="CW47" s="110"/>
      <c r="CX47" s="110"/>
      <c r="CY47" s="110"/>
      <c r="CZ47" s="110"/>
      <c r="DA47" s="110"/>
      <c r="DB47" s="110"/>
      <c r="DC47" s="110"/>
      <c r="DD47" s="110"/>
      <c r="DE47" s="110"/>
      <c r="DF47" s="110"/>
      <c r="DG47" s="110"/>
      <c r="DH47" s="110"/>
      <c r="DI47" s="110"/>
      <c r="DJ47" s="110"/>
      <c r="DK47" s="13"/>
      <c r="DL47" s="13"/>
      <c r="DM47" s="13"/>
      <c r="DN47" s="13"/>
      <c r="DO47" s="13"/>
      <c r="DP47" s="13"/>
      <c r="DQ47" s="13"/>
      <c r="DR47" s="13"/>
      <c r="DS47" s="13"/>
      <c r="DT47" s="13"/>
      <c r="DU47" s="13"/>
      <c r="DV47" s="13"/>
      <c r="DW47" s="13"/>
      <c r="DX47" s="13"/>
      <c r="DY47" s="13"/>
      <c r="DZ47" s="13"/>
      <c r="EA47" s="13"/>
      <c r="EB47" s="13"/>
      <c r="EC47" s="17"/>
      <c r="ED47" s="14"/>
      <c r="EE47" s="13"/>
      <c r="EF47" s="110"/>
      <c r="EG47" s="13"/>
      <c r="EH47" s="13"/>
      <c r="EI47" s="110"/>
      <c r="EJ47" s="110"/>
      <c r="EK47" s="110"/>
      <c r="EL47" s="110"/>
      <c r="EM47" s="110"/>
      <c r="EN47" s="110"/>
      <c r="EO47" s="110"/>
      <c r="EP47" s="110"/>
      <c r="EQ47" s="110"/>
      <c r="ER47" s="110"/>
      <c r="ES47" s="110"/>
      <c r="ET47" s="110"/>
      <c r="EU47" s="110"/>
      <c r="EV47" s="110"/>
      <c r="EW47" s="110"/>
      <c r="EX47" s="110"/>
      <c r="EY47" s="110"/>
      <c r="EZ47" s="110"/>
      <c r="FA47" s="110"/>
      <c r="FB47" s="110"/>
      <c r="FC47" s="110"/>
      <c r="FD47" s="110"/>
      <c r="FE47" s="110"/>
      <c r="FF47" s="110"/>
      <c r="FG47" s="110"/>
      <c r="FH47" s="110"/>
      <c r="FI47" s="110"/>
      <c r="FJ47" s="110"/>
      <c r="FK47" s="110"/>
      <c r="FL47" s="110"/>
      <c r="FM47" s="110"/>
      <c r="FN47" s="110"/>
      <c r="FO47" s="13"/>
      <c r="FP47" s="13"/>
      <c r="FQ47" s="13"/>
      <c r="FR47" s="13"/>
      <c r="FS47" s="13"/>
      <c r="FT47" s="13"/>
      <c r="FU47" s="13"/>
      <c r="FV47" s="13"/>
      <c r="FW47" s="360"/>
      <c r="FX47" s="13"/>
      <c r="FY47" s="308"/>
      <c r="FZ47" s="266"/>
      <c r="GA47" s="266"/>
      <c r="GB47" s="267"/>
      <c r="GC47" s="267"/>
    </row>
    <row r="48" spans="1:185" s="109" customFormat="1" x14ac:dyDescent="0.25">
      <c r="A48" s="14"/>
      <c r="B48" s="13"/>
      <c r="C48" s="13"/>
      <c r="D48" s="13"/>
      <c r="E48" s="13"/>
      <c r="F48" s="13"/>
      <c r="G48" s="110"/>
      <c r="H48" s="13"/>
      <c r="I48" s="13"/>
      <c r="J48" s="13"/>
      <c r="K48" s="13"/>
      <c r="L48" s="13"/>
      <c r="M48" s="13"/>
      <c r="N48" s="13"/>
      <c r="O48" s="13"/>
      <c r="P48" s="111"/>
      <c r="Q48" s="112"/>
      <c r="R48" s="112"/>
      <c r="S48" s="112"/>
      <c r="T48" s="112"/>
      <c r="U48" s="110"/>
      <c r="V48" s="13"/>
      <c r="W48" s="13"/>
      <c r="X48" s="110"/>
      <c r="Y48" s="13"/>
      <c r="Z48" s="13"/>
      <c r="AA48" s="110"/>
      <c r="AB48" s="13"/>
      <c r="AC48" s="110"/>
      <c r="AD48" s="13"/>
      <c r="AE48" s="13"/>
      <c r="AF48" s="110"/>
      <c r="AG48" s="13"/>
      <c r="AH48" s="110"/>
      <c r="AI48" s="13"/>
      <c r="AJ48" s="110"/>
      <c r="AK48" s="13"/>
      <c r="AL48" s="110"/>
      <c r="AM48" s="98"/>
      <c r="AN48" s="98"/>
      <c r="AO48" s="13"/>
      <c r="AP48" s="308"/>
      <c r="AQ48" s="14"/>
      <c r="AR48" s="13"/>
      <c r="AS48" s="110"/>
      <c r="AT48" s="13"/>
      <c r="AU48" s="13"/>
      <c r="AV48" s="13"/>
      <c r="AW48" s="110"/>
      <c r="AX48" s="13"/>
      <c r="AY48" s="110"/>
      <c r="AZ48" s="13"/>
      <c r="BA48" s="110"/>
      <c r="BB48" s="110"/>
      <c r="BC48" s="110"/>
      <c r="BD48" s="13"/>
      <c r="BE48" s="110"/>
      <c r="BF48" s="13"/>
      <c r="BG48" s="13"/>
      <c r="BH48" s="13"/>
      <c r="BI48" s="110"/>
      <c r="BJ48" s="110"/>
      <c r="BK48" s="13"/>
      <c r="BL48" s="13"/>
      <c r="BM48" s="110"/>
      <c r="BN48" s="13"/>
      <c r="BO48" s="110"/>
      <c r="BP48" s="13"/>
      <c r="BQ48" s="13"/>
      <c r="BR48" s="110"/>
      <c r="BS48" s="13"/>
      <c r="BT48" s="110"/>
      <c r="BU48" s="110"/>
      <c r="BV48" s="110"/>
      <c r="BW48" s="110"/>
      <c r="BX48" s="110"/>
      <c r="BY48" s="13"/>
      <c r="BZ48" s="110"/>
      <c r="CA48" s="110"/>
      <c r="CB48" s="110"/>
      <c r="CC48" s="110"/>
      <c r="CD48" s="110"/>
      <c r="CE48" s="110"/>
      <c r="CF48" s="110"/>
      <c r="CG48" s="110"/>
      <c r="CH48" s="110"/>
      <c r="CI48" s="110"/>
      <c r="CJ48" s="110"/>
      <c r="CK48" s="110"/>
      <c r="CL48" s="110"/>
      <c r="CM48" s="110"/>
      <c r="CN48" s="110"/>
      <c r="CO48" s="110"/>
      <c r="CP48" s="110"/>
      <c r="CQ48" s="110"/>
      <c r="CR48" s="110"/>
      <c r="CS48" s="110"/>
      <c r="CT48" s="110"/>
      <c r="CU48" s="110"/>
      <c r="CV48" s="110"/>
      <c r="CW48" s="110"/>
      <c r="CX48" s="110"/>
      <c r="CY48" s="110"/>
      <c r="CZ48" s="110"/>
      <c r="DA48" s="110"/>
      <c r="DB48" s="110"/>
      <c r="DC48" s="110"/>
      <c r="DD48" s="110"/>
      <c r="DE48" s="110"/>
      <c r="DF48" s="110"/>
      <c r="DG48" s="110"/>
      <c r="DH48" s="110"/>
      <c r="DI48" s="110"/>
      <c r="DJ48" s="110"/>
      <c r="DK48" s="13"/>
      <c r="DL48" s="13"/>
      <c r="DM48" s="13"/>
      <c r="DN48" s="13"/>
      <c r="DO48" s="13"/>
      <c r="DP48" s="13"/>
      <c r="DQ48" s="13"/>
      <c r="DR48" s="13"/>
      <c r="DS48" s="13"/>
      <c r="DT48" s="13"/>
      <c r="DU48" s="13"/>
      <c r="DV48" s="13"/>
      <c r="DW48" s="13"/>
      <c r="DX48" s="13"/>
      <c r="DY48" s="13"/>
      <c r="DZ48" s="13"/>
      <c r="EA48" s="13"/>
      <c r="EB48" s="13"/>
      <c r="EC48" s="17"/>
      <c r="ED48" s="14"/>
      <c r="EE48" s="13"/>
      <c r="EF48" s="110"/>
      <c r="EG48" s="13"/>
      <c r="EH48" s="13"/>
      <c r="EI48" s="110"/>
      <c r="EJ48" s="110"/>
      <c r="EK48" s="110"/>
      <c r="EL48" s="110"/>
      <c r="EM48" s="110"/>
      <c r="EN48" s="110"/>
      <c r="EO48" s="110"/>
      <c r="EP48" s="110"/>
      <c r="EQ48" s="110"/>
      <c r="ER48" s="110"/>
      <c r="ES48" s="110"/>
      <c r="ET48" s="110"/>
      <c r="EU48" s="110"/>
      <c r="EV48" s="110"/>
      <c r="EW48" s="110"/>
      <c r="EX48" s="110"/>
      <c r="EY48" s="110"/>
      <c r="EZ48" s="110"/>
      <c r="FA48" s="110"/>
      <c r="FB48" s="110"/>
      <c r="FC48" s="110"/>
      <c r="FD48" s="110"/>
      <c r="FE48" s="110"/>
      <c r="FF48" s="110"/>
      <c r="FG48" s="110"/>
      <c r="FH48" s="110"/>
      <c r="FI48" s="110"/>
      <c r="FJ48" s="110"/>
      <c r="FK48" s="110"/>
      <c r="FL48" s="110"/>
      <c r="FM48" s="110"/>
      <c r="FN48" s="110"/>
      <c r="FO48" s="13"/>
      <c r="FP48" s="13"/>
      <c r="FQ48" s="13"/>
      <c r="FR48" s="13"/>
      <c r="FS48" s="13"/>
      <c r="FT48" s="13"/>
      <c r="FU48" s="13"/>
      <c r="FV48" s="13"/>
      <c r="FW48" s="360"/>
      <c r="FX48" s="13"/>
      <c r="FY48" s="308"/>
      <c r="FZ48" s="266"/>
      <c r="GA48" s="266"/>
      <c r="GB48" s="267"/>
      <c r="GC48" s="267"/>
    </row>
    <row r="49" spans="1:185" s="109" customFormat="1" x14ac:dyDescent="0.25">
      <c r="A49" s="14"/>
      <c r="B49" s="13"/>
      <c r="C49" s="13"/>
      <c r="D49" s="13"/>
      <c r="E49" s="13"/>
      <c r="F49" s="13"/>
      <c r="G49" s="110"/>
      <c r="H49" s="13"/>
      <c r="I49" s="13"/>
      <c r="J49" s="13"/>
      <c r="K49" s="13"/>
      <c r="L49" s="13"/>
      <c r="M49" s="13"/>
      <c r="N49" s="13"/>
      <c r="O49" s="13"/>
      <c r="P49" s="111"/>
      <c r="Q49" s="112"/>
      <c r="R49" s="112"/>
      <c r="S49" s="112"/>
      <c r="T49" s="112"/>
      <c r="U49" s="110"/>
      <c r="V49" s="13"/>
      <c r="W49" s="13"/>
      <c r="X49" s="110"/>
      <c r="Y49" s="13"/>
      <c r="Z49" s="13"/>
      <c r="AA49" s="110"/>
      <c r="AB49" s="13"/>
      <c r="AC49" s="110"/>
      <c r="AD49" s="13"/>
      <c r="AE49" s="13"/>
      <c r="AF49" s="110"/>
      <c r="AG49" s="13"/>
      <c r="AH49" s="110"/>
      <c r="AI49" s="13"/>
      <c r="AJ49" s="110"/>
      <c r="AK49" s="13"/>
      <c r="AL49" s="110"/>
      <c r="AM49" s="98"/>
      <c r="AN49" s="98"/>
      <c r="AO49" s="13"/>
      <c r="AP49" s="308"/>
      <c r="AQ49" s="14"/>
      <c r="AR49" s="13"/>
      <c r="AS49" s="110"/>
      <c r="AT49" s="13"/>
      <c r="AU49" s="13"/>
      <c r="AV49" s="13"/>
      <c r="AW49" s="110"/>
      <c r="AX49" s="13"/>
      <c r="AY49" s="110"/>
      <c r="AZ49" s="13"/>
      <c r="BA49" s="110"/>
      <c r="BB49" s="110"/>
      <c r="BC49" s="110"/>
      <c r="BD49" s="13"/>
      <c r="BE49" s="110"/>
      <c r="BF49" s="13"/>
      <c r="BG49" s="13"/>
      <c r="BH49" s="13"/>
      <c r="BI49" s="110"/>
      <c r="BJ49" s="110"/>
      <c r="BK49" s="13"/>
      <c r="BL49" s="13"/>
      <c r="BM49" s="110"/>
      <c r="BN49" s="13"/>
      <c r="BO49" s="110"/>
      <c r="BP49" s="13"/>
      <c r="BQ49" s="13"/>
      <c r="BR49" s="110"/>
      <c r="BS49" s="13"/>
      <c r="BT49" s="110"/>
      <c r="BU49" s="110"/>
      <c r="BV49" s="110"/>
      <c r="BW49" s="110"/>
      <c r="BX49" s="110"/>
      <c r="BY49" s="13"/>
      <c r="BZ49" s="110"/>
      <c r="CA49" s="110"/>
      <c r="CB49" s="110"/>
      <c r="CC49" s="110"/>
      <c r="CD49" s="110"/>
      <c r="CE49" s="110"/>
      <c r="CF49" s="110"/>
      <c r="CG49" s="110"/>
      <c r="CH49" s="110"/>
      <c r="CI49" s="110"/>
      <c r="CJ49" s="110"/>
      <c r="CK49" s="110"/>
      <c r="CL49" s="110"/>
      <c r="CM49" s="110"/>
      <c r="CN49" s="110"/>
      <c r="CO49" s="110"/>
      <c r="CP49" s="110"/>
      <c r="CQ49" s="110"/>
      <c r="CR49" s="110"/>
      <c r="CS49" s="110"/>
      <c r="CT49" s="110"/>
      <c r="CU49" s="110"/>
      <c r="CV49" s="110"/>
      <c r="CW49" s="110"/>
      <c r="CX49" s="110"/>
      <c r="CY49" s="110"/>
      <c r="CZ49" s="110"/>
      <c r="DA49" s="110"/>
      <c r="DB49" s="110"/>
      <c r="DC49" s="110"/>
      <c r="DD49" s="110"/>
      <c r="DE49" s="110"/>
      <c r="DF49" s="110"/>
      <c r="DG49" s="110"/>
      <c r="DH49" s="110"/>
      <c r="DI49" s="110"/>
      <c r="DJ49" s="110"/>
      <c r="DK49" s="13"/>
      <c r="DL49" s="13"/>
      <c r="DM49" s="13"/>
      <c r="DN49" s="13"/>
      <c r="DO49" s="13"/>
      <c r="DP49" s="13"/>
      <c r="DQ49" s="13"/>
      <c r="DR49" s="13"/>
      <c r="DS49" s="13"/>
      <c r="DT49" s="13"/>
      <c r="DU49" s="13"/>
      <c r="DV49" s="13"/>
      <c r="DW49" s="13"/>
      <c r="DX49" s="13"/>
      <c r="DY49" s="13"/>
      <c r="DZ49" s="13"/>
      <c r="EA49" s="13"/>
      <c r="EB49" s="13"/>
      <c r="EC49" s="17"/>
      <c r="ED49" s="14"/>
      <c r="EE49" s="13"/>
      <c r="EF49" s="110"/>
      <c r="EG49" s="13"/>
      <c r="EH49" s="13"/>
      <c r="EI49" s="110"/>
      <c r="EJ49" s="110"/>
      <c r="EK49" s="110"/>
      <c r="EL49" s="110"/>
      <c r="EM49" s="110"/>
      <c r="EN49" s="110"/>
      <c r="EO49" s="110"/>
      <c r="EP49" s="110"/>
      <c r="EQ49" s="110"/>
      <c r="ER49" s="110"/>
      <c r="ES49" s="110"/>
      <c r="ET49" s="110"/>
      <c r="EU49" s="110"/>
      <c r="EV49" s="110"/>
      <c r="EW49" s="110"/>
      <c r="EX49" s="110"/>
      <c r="EY49" s="110"/>
      <c r="EZ49" s="110"/>
      <c r="FA49" s="110"/>
      <c r="FB49" s="110"/>
      <c r="FC49" s="110"/>
      <c r="FD49" s="110"/>
      <c r="FE49" s="110"/>
      <c r="FF49" s="110"/>
      <c r="FG49" s="110"/>
      <c r="FH49" s="110"/>
      <c r="FI49" s="110"/>
      <c r="FJ49" s="110"/>
      <c r="FK49" s="110"/>
      <c r="FL49" s="110"/>
      <c r="FM49" s="110"/>
      <c r="FN49" s="110"/>
      <c r="FO49" s="13"/>
      <c r="FP49" s="13"/>
      <c r="FQ49" s="13"/>
      <c r="FR49" s="13"/>
      <c r="FS49" s="13"/>
      <c r="FT49" s="13"/>
      <c r="FU49" s="13"/>
      <c r="FV49" s="13"/>
      <c r="FW49" s="360"/>
      <c r="FX49" s="13"/>
      <c r="FY49" s="308"/>
      <c r="FZ49" s="266"/>
      <c r="GA49" s="266"/>
      <c r="GB49" s="267"/>
      <c r="GC49" s="267"/>
    </row>
    <row r="50" spans="1:185" s="109" customFormat="1" x14ac:dyDescent="0.25">
      <c r="A50" s="14"/>
      <c r="B50" s="13"/>
      <c r="C50" s="13"/>
      <c r="D50" s="13"/>
      <c r="E50" s="13"/>
      <c r="F50" s="13"/>
      <c r="G50" s="110"/>
      <c r="H50" s="13"/>
      <c r="I50" s="13"/>
      <c r="J50" s="13"/>
      <c r="K50" s="13"/>
      <c r="L50" s="13"/>
      <c r="M50" s="13"/>
      <c r="N50" s="13"/>
      <c r="O50" s="13"/>
      <c r="P50" s="111"/>
      <c r="Q50" s="112"/>
      <c r="R50" s="112"/>
      <c r="S50" s="112"/>
      <c r="T50" s="112"/>
      <c r="U50" s="110"/>
      <c r="V50" s="13"/>
      <c r="W50" s="13"/>
      <c r="X50" s="110"/>
      <c r="Y50" s="13"/>
      <c r="Z50" s="13"/>
      <c r="AA50" s="110"/>
      <c r="AB50" s="13"/>
      <c r="AC50" s="110"/>
      <c r="AD50" s="13"/>
      <c r="AE50" s="13"/>
      <c r="AF50" s="110"/>
      <c r="AG50" s="13"/>
      <c r="AH50" s="110"/>
      <c r="AI50" s="13"/>
      <c r="AJ50" s="110"/>
      <c r="AK50" s="13"/>
      <c r="AL50" s="110"/>
      <c r="AM50" s="98"/>
      <c r="AN50" s="98"/>
      <c r="AO50" s="13"/>
      <c r="AP50" s="308"/>
      <c r="AQ50" s="14"/>
      <c r="AR50" s="13"/>
      <c r="AS50" s="110"/>
      <c r="AT50" s="13"/>
      <c r="AU50" s="13"/>
      <c r="AV50" s="13"/>
      <c r="AW50" s="110"/>
      <c r="AX50" s="13"/>
      <c r="AY50" s="110"/>
      <c r="AZ50" s="13"/>
      <c r="BA50" s="110"/>
      <c r="BB50" s="110"/>
      <c r="BC50" s="110"/>
      <c r="BD50" s="13"/>
      <c r="BE50" s="110"/>
      <c r="BF50" s="13"/>
      <c r="BG50" s="13"/>
      <c r="BH50" s="13"/>
      <c r="BI50" s="110"/>
      <c r="BJ50" s="110"/>
      <c r="BK50" s="13"/>
      <c r="BL50" s="13"/>
      <c r="BM50" s="110"/>
      <c r="BN50" s="13"/>
      <c r="BO50" s="110"/>
      <c r="BP50" s="13"/>
      <c r="BQ50" s="13"/>
      <c r="BR50" s="110"/>
      <c r="BS50" s="13"/>
      <c r="BT50" s="110"/>
      <c r="BU50" s="110"/>
      <c r="BV50" s="110"/>
      <c r="BW50" s="110"/>
      <c r="BX50" s="110"/>
      <c r="BY50" s="13"/>
      <c r="BZ50" s="110"/>
      <c r="CA50" s="110"/>
      <c r="CB50" s="110"/>
      <c r="CC50" s="110"/>
      <c r="CD50" s="110"/>
      <c r="CE50" s="110"/>
      <c r="CF50" s="110"/>
      <c r="CG50" s="110"/>
      <c r="CH50" s="110"/>
      <c r="CI50" s="110"/>
      <c r="CJ50" s="110"/>
      <c r="CK50" s="110"/>
      <c r="CL50" s="110"/>
      <c r="CM50" s="110"/>
      <c r="CN50" s="110"/>
      <c r="CO50" s="110"/>
      <c r="CP50" s="110"/>
      <c r="CQ50" s="110"/>
      <c r="CR50" s="110"/>
      <c r="CS50" s="110"/>
      <c r="CT50" s="110"/>
      <c r="CU50" s="110"/>
      <c r="CV50" s="110"/>
      <c r="CW50" s="110"/>
      <c r="CX50" s="110"/>
      <c r="CY50" s="110"/>
      <c r="CZ50" s="110"/>
      <c r="DA50" s="110"/>
      <c r="DB50" s="110"/>
      <c r="DC50" s="110"/>
      <c r="DD50" s="110"/>
      <c r="DE50" s="110"/>
      <c r="DF50" s="110"/>
      <c r="DG50" s="110"/>
      <c r="DH50" s="110"/>
      <c r="DI50" s="110"/>
      <c r="DJ50" s="110"/>
      <c r="DK50" s="13"/>
      <c r="DL50" s="13"/>
      <c r="DM50" s="13"/>
      <c r="DN50" s="13"/>
      <c r="DO50" s="13"/>
      <c r="DP50" s="13"/>
      <c r="DQ50" s="13"/>
      <c r="DR50" s="13"/>
      <c r="DS50" s="13"/>
      <c r="DT50" s="13"/>
      <c r="DU50" s="13"/>
      <c r="DV50" s="13"/>
      <c r="DW50" s="13"/>
      <c r="DX50" s="13"/>
      <c r="DY50" s="13"/>
      <c r="DZ50" s="13"/>
      <c r="EA50" s="13"/>
      <c r="EB50" s="13"/>
      <c r="EC50" s="17"/>
      <c r="ED50" s="14"/>
      <c r="EE50" s="13"/>
      <c r="EF50" s="110"/>
      <c r="EG50" s="13"/>
      <c r="EH50" s="13"/>
      <c r="EI50" s="110"/>
      <c r="EJ50" s="110"/>
      <c r="EK50" s="110"/>
      <c r="EL50" s="110"/>
      <c r="EM50" s="110"/>
      <c r="EN50" s="110"/>
      <c r="EO50" s="110"/>
      <c r="EP50" s="110"/>
      <c r="EQ50" s="110"/>
      <c r="ER50" s="110"/>
      <c r="ES50" s="110"/>
      <c r="ET50" s="110"/>
      <c r="EU50" s="110"/>
      <c r="EV50" s="110"/>
      <c r="EW50" s="110"/>
      <c r="EX50" s="110"/>
      <c r="EY50" s="110"/>
      <c r="EZ50" s="110"/>
      <c r="FA50" s="110"/>
      <c r="FB50" s="110"/>
      <c r="FC50" s="110"/>
      <c r="FD50" s="110"/>
      <c r="FE50" s="110"/>
      <c r="FF50" s="110"/>
      <c r="FG50" s="110"/>
      <c r="FH50" s="110"/>
      <c r="FI50" s="110"/>
      <c r="FJ50" s="110"/>
      <c r="FK50" s="110"/>
      <c r="FL50" s="110"/>
      <c r="FM50" s="110"/>
      <c r="FN50" s="110"/>
      <c r="FO50" s="13"/>
      <c r="FP50" s="13"/>
      <c r="FQ50" s="13"/>
      <c r="FR50" s="13"/>
      <c r="FS50" s="13"/>
      <c r="FT50" s="13"/>
      <c r="FU50" s="13"/>
      <c r="FV50" s="13"/>
      <c r="FW50" s="360"/>
      <c r="FX50" s="13"/>
      <c r="FY50" s="308"/>
      <c r="FZ50" s="266"/>
      <c r="GA50" s="266"/>
      <c r="GB50" s="267"/>
      <c r="GC50" s="267"/>
    </row>
    <row r="51" spans="1:185" s="109" customFormat="1" x14ac:dyDescent="0.25">
      <c r="A51" s="14"/>
      <c r="B51" s="13"/>
      <c r="C51" s="13"/>
      <c r="D51" s="13"/>
      <c r="E51" s="13"/>
      <c r="F51" s="13"/>
      <c r="G51" s="110"/>
      <c r="H51" s="13"/>
      <c r="I51" s="13"/>
      <c r="J51" s="13"/>
      <c r="K51" s="13"/>
      <c r="L51" s="13"/>
      <c r="M51" s="13"/>
      <c r="N51" s="13"/>
      <c r="O51" s="13"/>
      <c r="P51" s="111"/>
      <c r="Q51" s="112"/>
      <c r="R51" s="112"/>
      <c r="S51" s="112"/>
      <c r="T51" s="112"/>
      <c r="U51" s="110"/>
      <c r="V51" s="13"/>
      <c r="W51" s="13"/>
      <c r="X51" s="110"/>
      <c r="Y51" s="13"/>
      <c r="Z51" s="13"/>
      <c r="AA51" s="110"/>
      <c r="AB51" s="13"/>
      <c r="AC51" s="110"/>
      <c r="AD51" s="13"/>
      <c r="AE51" s="13"/>
      <c r="AF51" s="110"/>
      <c r="AG51" s="13"/>
      <c r="AH51" s="110"/>
      <c r="AI51" s="13"/>
      <c r="AJ51" s="110"/>
      <c r="AK51" s="13"/>
      <c r="AL51" s="110"/>
      <c r="AM51" s="98"/>
      <c r="AN51" s="98"/>
      <c r="AO51" s="13"/>
      <c r="AP51" s="308"/>
      <c r="AQ51" s="14"/>
      <c r="AR51" s="13"/>
      <c r="AS51" s="110"/>
      <c r="AT51" s="13"/>
      <c r="AU51" s="13"/>
      <c r="AV51" s="13"/>
      <c r="AW51" s="110"/>
      <c r="AX51" s="13"/>
      <c r="AY51" s="110"/>
      <c r="AZ51" s="13"/>
      <c r="BA51" s="110"/>
      <c r="BB51" s="110"/>
      <c r="BC51" s="110"/>
      <c r="BD51" s="13"/>
      <c r="BE51" s="110"/>
      <c r="BF51" s="13"/>
      <c r="BG51" s="13"/>
      <c r="BH51" s="13"/>
      <c r="BI51" s="110"/>
      <c r="BJ51" s="110"/>
      <c r="BK51" s="13"/>
      <c r="BL51" s="13"/>
      <c r="BM51" s="110"/>
      <c r="BN51" s="13"/>
      <c r="BO51" s="110"/>
      <c r="BP51" s="13"/>
      <c r="BQ51" s="13"/>
      <c r="BR51" s="110"/>
      <c r="BS51" s="13"/>
      <c r="BT51" s="110"/>
      <c r="BU51" s="110"/>
      <c r="BV51" s="110"/>
      <c r="BW51" s="110"/>
      <c r="BX51" s="110"/>
      <c r="BY51" s="13"/>
      <c r="BZ51" s="110"/>
      <c r="CA51" s="110"/>
      <c r="CB51" s="110"/>
      <c r="CC51" s="110"/>
      <c r="CD51" s="110"/>
      <c r="CE51" s="110"/>
      <c r="CF51" s="110"/>
      <c r="CG51" s="110"/>
      <c r="CH51" s="110"/>
      <c r="CI51" s="110"/>
      <c r="CJ51" s="110"/>
      <c r="CK51" s="110"/>
      <c r="CL51" s="110"/>
      <c r="CM51" s="110"/>
      <c r="CN51" s="110"/>
      <c r="CO51" s="110"/>
      <c r="CP51" s="110"/>
      <c r="CQ51" s="110"/>
      <c r="CR51" s="110"/>
      <c r="CS51" s="110"/>
      <c r="CT51" s="110"/>
      <c r="CU51" s="110"/>
      <c r="CV51" s="110"/>
      <c r="CW51" s="110"/>
      <c r="CX51" s="110"/>
      <c r="CY51" s="110"/>
      <c r="CZ51" s="110"/>
      <c r="DA51" s="110"/>
      <c r="DB51" s="110"/>
      <c r="DC51" s="110"/>
      <c r="DD51" s="110"/>
      <c r="DE51" s="110"/>
      <c r="DF51" s="110"/>
      <c r="DG51" s="110"/>
      <c r="DH51" s="110"/>
      <c r="DI51" s="110"/>
      <c r="DJ51" s="110"/>
      <c r="DK51" s="13"/>
      <c r="DL51" s="13"/>
      <c r="DM51" s="13"/>
      <c r="DN51" s="13"/>
      <c r="DO51" s="13"/>
      <c r="DP51" s="13"/>
      <c r="DQ51" s="13"/>
      <c r="DR51" s="13"/>
      <c r="DS51" s="13"/>
      <c r="DT51" s="13"/>
      <c r="DU51" s="13"/>
      <c r="DV51" s="13"/>
      <c r="DW51" s="13"/>
      <c r="DX51" s="13"/>
      <c r="DY51" s="13"/>
      <c r="DZ51" s="13"/>
      <c r="EA51" s="13"/>
      <c r="EB51" s="13"/>
      <c r="EC51" s="17"/>
      <c r="ED51" s="14"/>
      <c r="EE51" s="13"/>
      <c r="EF51" s="110"/>
      <c r="EG51" s="13"/>
      <c r="EH51" s="13"/>
      <c r="EI51" s="110"/>
      <c r="EJ51" s="110"/>
      <c r="EK51" s="110"/>
      <c r="EL51" s="110"/>
      <c r="EM51" s="110"/>
      <c r="EN51" s="110"/>
      <c r="EO51" s="110"/>
      <c r="EP51" s="110"/>
      <c r="EQ51" s="110"/>
      <c r="ER51" s="110"/>
      <c r="ES51" s="110"/>
      <c r="ET51" s="110"/>
      <c r="EU51" s="110"/>
      <c r="EV51" s="110"/>
      <c r="EW51" s="110"/>
      <c r="EX51" s="110"/>
      <c r="EY51" s="110"/>
      <c r="EZ51" s="110"/>
      <c r="FA51" s="110"/>
      <c r="FB51" s="110"/>
      <c r="FC51" s="110"/>
      <c r="FD51" s="110"/>
      <c r="FE51" s="110"/>
      <c r="FF51" s="110"/>
      <c r="FG51" s="110"/>
      <c r="FH51" s="110"/>
      <c r="FI51" s="110"/>
      <c r="FJ51" s="110"/>
      <c r="FK51" s="110"/>
      <c r="FL51" s="110"/>
      <c r="FM51" s="110"/>
      <c r="FN51" s="110"/>
      <c r="FO51" s="13"/>
      <c r="FP51" s="13"/>
      <c r="FQ51" s="13"/>
      <c r="FR51" s="13"/>
      <c r="FS51" s="13"/>
      <c r="FT51" s="13"/>
      <c r="FU51" s="13"/>
      <c r="FV51" s="13"/>
      <c r="FW51" s="360"/>
      <c r="FX51" s="13"/>
      <c r="FY51" s="308"/>
      <c r="FZ51" s="266"/>
      <c r="GA51" s="266"/>
      <c r="GB51" s="267"/>
      <c r="GC51" s="267"/>
    </row>
    <row r="52" spans="1:185" s="109" customFormat="1" x14ac:dyDescent="0.25">
      <c r="A52" s="20"/>
      <c r="B52" s="13"/>
      <c r="C52" s="13"/>
      <c r="D52" s="13"/>
      <c r="E52" s="13"/>
      <c r="F52" s="13"/>
      <c r="G52" s="111"/>
      <c r="H52" s="13"/>
      <c r="I52" s="13"/>
      <c r="J52" s="13"/>
      <c r="K52" s="13"/>
      <c r="L52" s="13"/>
      <c r="M52" s="13"/>
      <c r="N52" s="13"/>
      <c r="O52" s="13"/>
      <c r="P52" s="111"/>
      <c r="Q52" s="111"/>
      <c r="R52" s="111"/>
      <c r="S52" s="111"/>
      <c r="T52" s="111"/>
      <c r="U52" s="111"/>
      <c r="V52" s="13"/>
      <c r="W52" s="13"/>
      <c r="X52" s="111"/>
      <c r="Y52" s="13"/>
      <c r="Z52" s="13"/>
      <c r="AA52" s="111"/>
      <c r="AB52" s="13"/>
      <c r="AC52" s="111"/>
      <c r="AD52" s="13"/>
      <c r="AE52" s="13"/>
      <c r="AF52" s="111"/>
      <c r="AG52" s="13"/>
      <c r="AH52" s="111"/>
      <c r="AI52" s="13"/>
      <c r="AJ52" s="111"/>
      <c r="AK52" s="13"/>
      <c r="AL52" s="111"/>
      <c r="AM52" s="98"/>
      <c r="AN52" s="98"/>
      <c r="AO52" s="13"/>
      <c r="AP52" s="280"/>
      <c r="AQ52" s="20"/>
      <c r="AR52" s="13"/>
      <c r="AS52" s="111"/>
      <c r="AT52" s="13"/>
      <c r="AU52" s="13"/>
      <c r="AV52" s="13"/>
      <c r="AW52" s="111"/>
      <c r="AX52" s="13"/>
      <c r="AY52" s="111"/>
      <c r="AZ52" s="13"/>
      <c r="BA52" s="111"/>
      <c r="BB52" s="111"/>
      <c r="BC52" s="111"/>
      <c r="BD52" s="13"/>
      <c r="BE52" s="111"/>
      <c r="BF52" s="13"/>
      <c r="BG52" s="13"/>
      <c r="BH52" s="13"/>
      <c r="BI52" s="111"/>
      <c r="BJ52" s="111"/>
      <c r="BK52" s="13"/>
      <c r="BL52" s="13"/>
      <c r="BM52" s="111"/>
      <c r="BN52" s="13"/>
      <c r="BO52" s="111"/>
      <c r="BP52" s="13"/>
      <c r="BQ52" s="13"/>
      <c r="BR52" s="111"/>
      <c r="BS52" s="13"/>
      <c r="BT52" s="111"/>
      <c r="BU52" s="111"/>
      <c r="BV52" s="111"/>
      <c r="BW52" s="111"/>
      <c r="BX52" s="111"/>
      <c r="BY52" s="13"/>
      <c r="BZ52" s="111"/>
      <c r="CA52" s="111"/>
      <c r="CB52" s="111"/>
      <c r="CC52" s="111"/>
      <c r="CD52" s="111"/>
      <c r="CE52" s="111"/>
      <c r="CF52" s="111"/>
      <c r="CG52" s="111"/>
      <c r="CH52" s="111"/>
      <c r="CI52" s="111"/>
      <c r="CJ52" s="111"/>
      <c r="CK52" s="111"/>
      <c r="CL52" s="111"/>
      <c r="CM52" s="111"/>
      <c r="CN52" s="111"/>
      <c r="CO52" s="111"/>
      <c r="CP52" s="111"/>
      <c r="CQ52" s="111"/>
      <c r="CR52" s="111"/>
      <c r="CS52" s="111"/>
      <c r="CT52" s="111"/>
      <c r="CU52" s="111"/>
      <c r="CV52" s="111"/>
      <c r="CW52" s="111"/>
      <c r="CX52" s="111"/>
      <c r="CY52" s="111"/>
      <c r="CZ52" s="111"/>
      <c r="DA52" s="111"/>
      <c r="DB52" s="111"/>
      <c r="DC52" s="111"/>
      <c r="DD52" s="111"/>
      <c r="DE52" s="111"/>
      <c r="DF52" s="111"/>
      <c r="DG52" s="111"/>
      <c r="DH52" s="111"/>
      <c r="DI52" s="111"/>
      <c r="DJ52" s="111"/>
      <c r="DK52" s="13"/>
      <c r="DL52" s="13"/>
      <c r="DM52" s="13"/>
      <c r="DN52" s="13"/>
      <c r="DO52" s="13"/>
      <c r="DP52" s="13"/>
      <c r="DQ52" s="13"/>
      <c r="DR52" s="13"/>
      <c r="DS52" s="13"/>
      <c r="DT52" s="13"/>
      <c r="DU52" s="13"/>
      <c r="DV52" s="13"/>
      <c r="DW52" s="13"/>
      <c r="DX52" s="13"/>
      <c r="DY52" s="13"/>
      <c r="DZ52" s="13"/>
      <c r="EA52" s="13"/>
      <c r="EB52" s="13"/>
      <c r="EC52" s="280"/>
      <c r="ED52" s="20"/>
      <c r="EE52" s="13"/>
      <c r="EF52" s="111"/>
      <c r="EG52" s="13"/>
      <c r="EH52" s="13"/>
      <c r="EI52" s="111"/>
      <c r="EJ52" s="111"/>
      <c r="EK52" s="111"/>
      <c r="EL52" s="111"/>
      <c r="EM52" s="111"/>
      <c r="EN52" s="111"/>
      <c r="EO52" s="111"/>
      <c r="EP52" s="111"/>
      <c r="EQ52" s="111"/>
      <c r="ER52" s="111"/>
      <c r="ES52" s="111"/>
      <c r="ET52" s="111"/>
      <c r="EU52" s="111"/>
      <c r="EV52" s="111"/>
      <c r="EW52" s="111"/>
      <c r="EX52" s="111"/>
      <c r="EY52" s="111"/>
      <c r="EZ52" s="111"/>
      <c r="FA52" s="111"/>
      <c r="FB52" s="111"/>
      <c r="FC52" s="111"/>
      <c r="FD52" s="111"/>
      <c r="FE52" s="111"/>
      <c r="FF52" s="111"/>
      <c r="FG52" s="111"/>
      <c r="FH52" s="111"/>
      <c r="FI52" s="111"/>
      <c r="FJ52" s="111"/>
      <c r="FK52" s="111"/>
      <c r="FL52" s="111"/>
      <c r="FM52" s="111"/>
      <c r="FN52" s="111"/>
      <c r="FO52" s="13"/>
      <c r="FP52" s="13"/>
      <c r="FQ52" s="13"/>
      <c r="FR52" s="13"/>
      <c r="FS52" s="13"/>
      <c r="FT52" s="13"/>
      <c r="FU52" s="13"/>
      <c r="FV52" s="13"/>
      <c r="FW52" s="360"/>
      <c r="FX52" s="13"/>
      <c r="FY52" s="280"/>
      <c r="FZ52" s="266"/>
      <c r="GA52" s="266"/>
      <c r="GB52" s="267"/>
      <c r="GC52" s="267"/>
    </row>
    <row r="53" spans="1:185" s="109" customFormat="1" x14ac:dyDescent="0.25">
      <c r="A53" s="20"/>
      <c r="B53" s="13"/>
      <c r="C53" s="13"/>
      <c r="D53" s="13"/>
      <c r="E53" s="13"/>
      <c r="F53" s="13"/>
      <c r="G53" s="111"/>
      <c r="H53" s="13"/>
      <c r="I53" s="13"/>
      <c r="J53" s="13"/>
      <c r="K53" s="13"/>
      <c r="L53" s="13"/>
      <c r="M53" s="13"/>
      <c r="N53" s="13"/>
      <c r="O53" s="13"/>
      <c r="P53" s="111"/>
      <c r="Q53" s="111"/>
      <c r="R53" s="111"/>
      <c r="S53" s="111"/>
      <c r="T53" s="111"/>
      <c r="U53" s="111"/>
      <c r="V53" s="13"/>
      <c r="W53" s="13"/>
      <c r="X53" s="111"/>
      <c r="Y53" s="13"/>
      <c r="Z53" s="13"/>
      <c r="AA53" s="111"/>
      <c r="AB53" s="13"/>
      <c r="AC53" s="111"/>
      <c r="AD53" s="13"/>
      <c r="AE53" s="13"/>
      <c r="AF53" s="111"/>
      <c r="AG53" s="13"/>
      <c r="AH53" s="111"/>
      <c r="AI53" s="13"/>
      <c r="AJ53" s="111"/>
      <c r="AK53" s="13"/>
      <c r="AL53" s="111"/>
      <c r="AM53" s="98"/>
      <c r="AN53" s="98"/>
      <c r="AO53" s="13"/>
      <c r="AP53" s="280"/>
      <c r="AQ53" s="20"/>
      <c r="AR53" s="13"/>
      <c r="AS53" s="111"/>
      <c r="AT53" s="13"/>
      <c r="AU53" s="13"/>
      <c r="AV53" s="13"/>
      <c r="AW53" s="111"/>
      <c r="AX53" s="13"/>
      <c r="AY53" s="111"/>
      <c r="AZ53" s="13"/>
      <c r="BA53" s="111"/>
      <c r="BB53" s="111"/>
      <c r="BC53" s="111"/>
      <c r="BD53" s="13"/>
      <c r="BE53" s="111"/>
      <c r="BF53" s="13"/>
      <c r="BG53" s="13"/>
      <c r="BH53" s="13"/>
      <c r="BI53" s="111"/>
      <c r="BJ53" s="111"/>
      <c r="BK53" s="13"/>
      <c r="BL53" s="13"/>
      <c r="BM53" s="111"/>
      <c r="BN53" s="13"/>
      <c r="BO53" s="111"/>
      <c r="BP53" s="13"/>
      <c r="BQ53" s="13"/>
      <c r="BR53" s="111"/>
      <c r="BS53" s="13"/>
      <c r="BT53" s="111"/>
      <c r="BU53" s="111"/>
      <c r="BV53" s="111"/>
      <c r="BW53" s="111"/>
      <c r="BX53" s="111"/>
      <c r="BY53" s="13"/>
      <c r="BZ53" s="111"/>
      <c r="CA53" s="111"/>
      <c r="CB53" s="111"/>
      <c r="CC53" s="111"/>
      <c r="CD53" s="111"/>
      <c r="CE53" s="111"/>
      <c r="CF53" s="111"/>
      <c r="CG53" s="111"/>
      <c r="CH53" s="111"/>
      <c r="CI53" s="111"/>
      <c r="CJ53" s="111"/>
      <c r="CK53" s="111"/>
      <c r="CL53" s="111"/>
      <c r="CM53" s="111"/>
      <c r="CN53" s="111"/>
      <c r="CO53" s="111"/>
      <c r="CP53" s="111"/>
      <c r="CQ53" s="111"/>
      <c r="CR53" s="111"/>
      <c r="CS53" s="111"/>
      <c r="CT53" s="111"/>
      <c r="CU53" s="111"/>
      <c r="CV53" s="111"/>
      <c r="CW53" s="111"/>
      <c r="CX53" s="111"/>
      <c r="CY53" s="111"/>
      <c r="CZ53" s="111"/>
      <c r="DA53" s="111"/>
      <c r="DB53" s="111"/>
      <c r="DC53" s="111"/>
      <c r="DD53" s="111"/>
      <c r="DE53" s="111"/>
      <c r="DF53" s="111"/>
      <c r="DG53" s="111"/>
      <c r="DH53" s="111"/>
      <c r="DI53" s="111"/>
      <c r="DJ53" s="111"/>
      <c r="DK53" s="13"/>
      <c r="DL53" s="13"/>
      <c r="DM53" s="13"/>
      <c r="DN53" s="13"/>
      <c r="DO53" s="13"/>
      <c r="DP53" s="13"/>
      <c r="DQ53" s="13"/>
      <c r="DR53" s="13"/>
      <c r="DS53" s="13"/>
      <c r="DT53" s="13"/>
      <c r="DU53" s="13"/>
      <c r="DV53" s="13"/>
      <c r="DW53" s="13"/>
      <c r="DX53" s="13"/>
      <c r="DY53" s="13"/>
      <c r="DZ53" s="13"/>
      <c r="EA53" s="13"/>
      <c r="EB53" s="13"/>
      <c r="EC53" s="280"/>
      <c r="ED53" s="20"/>
      <c r="EE53" s="13"/>
      <c r="EF53" s="111"/>
      <c r="EG53" s="13"/>
      <c r="EH53" s="13"/>
      <c r="EI53" s="111"/>
      <c r="EJ53" s="111"/>
      <c r="EK53" s="111"/>
      <c r="EL53" s="111"/>
      <c r="EM53" s="111"/>
      <c r="EN53" s="111"/>
      <c r="EO53" s="111"/>
      <c r="EP53" s="111"/>
      <c r="EQ53" s="111"/>
      <c r="ER53" s="111"/>
      <c r="ES53" s="111"/>
      <c r="ET53" s="111"/>
      <c r="EU53" s="111"/>
      <c r="EV53" s="111"/>
      <c r="EW53" s="111"/>
      <c r="EX53" s="111"/>
      <c r="EY53" s="111"/>
      <c r="EZ53" s="111"/>
      <c r="FA53" s="111"/>
      <c r="FB53" s="111"/>
      <c r="FC53" s="111"/>
      <c r="FD53" s="111"/>
      <c r="FE53" s="111"/>
      <c r="FF53" s="111"/>
      <c r="FG53" s="111"/>
      <c r="FH53" s="111"/>
      <c r="FI53" s="111"/>
      <c r="FJ53" s="111"/>
      <c r="FK53" s="111"/>
      <c r="FL53" s="111"/>
      <c r="FM53" s="111"/>
      <c r="FN53" s="111"/>
      <c r="FO53" s="13"/>
      <c r="FP53" s="13"/>
      <c r="FQ53" s="13"/>
      <c r="FR53" s="13"/>
      <c r="FS53" s="13"/>
      <c r="FT53" s="13"/>
      <c r="FU53" s="13"/>
      <c r="FV53" s="13"/>
      <c r="FW53" s="360"/>
      <c r="FX53" s="13"/>
      <c r="FY53" s="280"/>
      <c r="FZ53" s="266"/>
      <c r="GA53" s="266"/>
      <c r="GB53" s="267"/>
      <c r="GC53" s="267"/>
    </row>
    <row r="54" spans="1:185" s="109" customFormat="1" ht="15" customHeight="1" x14ac:dyDescent="0.25">
      <c r="A54" s="20"/>
      <c r="B54" s="13"/>
      <c r="C54" s="13"/>
      <c r="D54" s="13"/>
      <c r="E54" s="13"/>
      <c r="F54" s="287"/>
      <c r="G54" s="111"/>
      <c r="H54" s="13"/>
      <c r="I54" s="287"/>
      <c r="J54" s="287"/>
      <c r="K54" s="287"/>
      <c r="L54" s="287"/>
      <c r="M54" s="287"/>
      <c r="N54" s="287"/>
      <c r="O54" s="287"/>
      <c r="P54" s="111"/>
      <c r="Q54" s="111"/>
      <c r="R54" s="111"/>
      <c r="S54" s="111"/>
      <c r="T54" s="111"/>
      <c r="U54" s="110"/>
      <c r="V54" s="111"/>
      <c r="W54" s="13"/>
      <c r="X54" s="110"/>
      <c r="Y54" s="111"/>
      <c r="Z54" s="13"/>
      <c r="AA54" s="110"/>
      <c r="AB54" s="13"/>
      <c r="AC54" s="110"/>
      <c r="AD54" s="111"/>
      <c r="AE54" s="13"/>
      <c r="AF54" s="110"/>
      <c r="AG54" s="13"/>
      <c r="AH54" s="110"/>
      <c r="AI54" s="13"/>
      <c r="AJ54" s="110"/>
      <c r="AK54" s="13"/>
      <c r="AL54" s="110"/>
      <c r="AM54" s="98"/>
      <c r="AN54" s="98"/>
      <c r="AO54" s="13"/>
      <c r="AP54" s="280"/>
      <c r="AQ54" s="14"/>
      <c r="AR54" s="13"/>
      <c r="AS54" s="110"/>
      <c r="AT54" s="111"/>
      <c r="AU54" s="13"/>
      <c r="AV54" s="13"/>
      <c r="AW54" s="110"/>
      <c r="AX54" s="13"/>
      <c r="AY54" s="110"/>
      <c r="AZ54" s="13"/>
      <c r="BA54" s="110"/>
      <c r="BB54" s="110"/>
      <c r="BC54" s="110"/>
      <c r="BD54" s="13"/>
      <c r="BE54" s="110"/>
      <c r="BF54" s="13"/>
      <c r="BG54" s="13"/>
      <c r="BH54" s="13"/>
      <c r="BI54" s="110"/>
      <c r="BJ54" s="110"/>
      <c r="BK54" s="13"/>
      <c r="BL54" s="13"/>
      <c r="BM54" s="110"/>
      <c r="BN54" s="13"/>
      <c r="BO54" s="110"/>
      <c r="BP54" s="111"/>
      <c r="BQ54" s="13"/>
      <c r="BR54" s="110"/>
      <c r="BS54" s="13"/>
      <c r="BT54" s="110"/>
      <c r="BU54" s="110"/>
      <c r="BV54" s="110"/>
      <c r="BW54" s="110"/>
      <c r="BX54" s="110"/>
      <c r="BY54" s="13"/>
      <c r="BZ54" s="110"/>
      <c r="CA54" s="110"/>
      <c r="CB54" s="110"/>
      <c r="CC54" s="110"/>
      <c r="CD54" s="110"/>
      <c r="CE54" s="110"/>
      <c r="CF54" s="110"/>
      <c r="CG54" s="110"/>
      <c r="CH54" s="110"/>
      <c r="CI54" s="110"/>
      <c r="CJ54" s="110"/>
      <c r="CK54" s="110"/>
      <c r="CL54" s="110"/>
      <c r="CM54" s="110"/>
      <c r="CN54" s="110"/>
      <c r="CO54" s="110"/>
      <c r="CP54" s="110"/>
      <c r="CQ54" s="110"/>
      <c r="CR54" s="110"/>
      <c r="CS54" s="110"/>
      <c r="CT54" s="110"/>
      <c r="CU54" s="110"/>
      <c r="CV54" s="110"/>
      <c r="CW54" s="110"/>
      <c r="CX54" s="110"/>
      <c r="CY54" s="110"/>
      <c r="CZ54" s="110"/>
      <c r="DA54" s="110"/>
      <c r="DB54" s="110"/>
      <c r="DC54" s="110"/>
      <c r="DD54" s="110"/>
      <c r="DE54" s="110"/>
      <c r="DF54" s="110"/>
      <c r="DG54" s="110"/>
      <c r="DH54" s="110"/>
      <c r="DI54" s="110"/>
      <c r="DJ54" s="110"/>
      <c r="DK54" s="13"/>
      <c r="DL54" s="13"/>
      <c r="DM54" s="13"/>
      <c r="DN54" s="13"/>
      <c r="DO54" s="13"/>
      <c r="DP54" s="13"/>
      <c r="DQ54" s="13"/>
      <c r="DR54" s="13"/>
      <c r="DS54" s="13"/>
      <c r="DT54" s="13"/>
      <c r="DU54" s="13"/>
      <c r="DV54" s="13"/>
      <c r="DW54" s="13"/>
      <c r="DX54" s="13"/>
      <c r="DY54" s="13"/>
      <c r="DZ54" s="13"/>
      <c r="EA54" s="13"/>
      <c r="EB54" s="13"/>
      <c r="EC54" s="17"/>
      <c r="ED54" s="14"/>
      <c r="EE54" s="13"/>
      <c r="EF54" s="110"/>
      <c r="EG54" s="111"/>
      <c r="EH54" s="13"/>
      <c r="EI54" s="110"/>
      <c r="EJ54" s="110"/>
      <c r="EK54" s="110"/>
      <c r="EL54" s="110"/>
      <c r="EM54" s="110"/>
      <c r="EN54" s="110"/>
      <c r="EO54" s="110"/>
      <c r="EP54" s="110"/>
      <c r="EQ54" s="110"/>
      <c r="ER54" s="110"/>
      <c r="ES54" s="110"/>
      <c r="ET54" s="110"/>
      <c r="EU54" s="110"/>
      <c r="EV54" s="110"/>
      <c r="EW54" s="110"/>
      <c r="EX54" s="110"/>
      <c r="EY54" s="110"/>
      <c r="EZ54" s="110"/>
      <c r="FA54" s="110"/>
      <c r="FB54" s="110"/>
      <c r="FC54" s="110"/>
      <c r="FD54" s="110"/>
      <c r="FE54" s="110"/>
      <c r="FF54" s="110"/>
      <c r="FG54" s="110"/>
      <c r="FH54" s="110"/>
      <c r="FI54" s="110"/>
      <c r="FJ54" s="110"/>
      <c r="FK54" s="110"/>
      <c r="FL54" s="110"/>
      <c r="FM54" s="110"/>
      <c r="FN54" s="110"/>
      <c r="FO54" s="13"/>
      <c r="FP54" s="13"/>
      <c r="FQ54" s="13"/>
      <c r="FR54" s="13"/>
      <c r="FS54" s="13"/>
      <c r="FT54" s="13"/>
      <c r="FU54" s="13"/>
      <c r="FV54" s="13"/>
      <c r="FW54" s="360"/>
      <c r="FX54" s="13"/>
      <c r="FY54" s="280"/>
      <c r="FZ54" s="266"/>
      <c r="GA54" s="266"/>
      <c r="GB54" s="267"/>
      <c r="GC54" s="267"/>
    </row>
    <row r="55" spans="1:185" s="109" customFormat="1" x14ac:dyDescent="0.25">
      <c r="A55" s="20"/>
      <c r="B55" s="111"/>
      <c r="C55" s="111"/>
      <c r="D55" s="111"/>
      <c r="E55" s="111"/>
      <c r="F55" s="111"/>
      <c r="G55" s="111"/>
      <c r="H55" s="111"/>
      <c r="I55" s="111"/>
      <c r="J55" s="111"/>
      <c r="K55" s="111"/>
      <c r="L55" s="111"/>
      <c r="M55" s="111"/>
      <c r="N55" s="111"/>
      <c r="O55" s="111"/>
      <c r="P55" s="111"/>
      <c r="Q55" s="113"/>
      <c r="R55" s="113"/>
      <c r="S55" s="113"/>
      <c r="T55" s="113"/>
      <c r="U55" s="111"/>
      <c r="V55" s="111"/>
      <c r="W55" s="111"/>
      <c r="X55" s="111"/>
      <c r="Y55" s="111"/>
      <c r="Z55" s="111"/>
      <c r="AA55" s="111"/>
      <c r="AB55" s="111"/>
      <c r="AC55" s="111"/>
      <c r="AD55" s="111"/>
      <c r="AE55" s="111"/>
      <c r="AF55" s="111"/>
      <c r="AG55" s="111"/>
      <c r="AH55" s="111"/>
      <c r="AI55" s="111"/>
      <c r="AJ55" s="111"/>
      <c r="AK55" s="111"/>
      <c r="AL55" s="111"/>
      <c r="AM55" s="101"/>
      <c r="AN55" s="101"/>
      <c r="AO55" s="111"/>
      <c r="AP55" s="280"/>
      <c r="AQ55" s="20"/>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c r="CB55" s="111"/>
      <c r="CC55" s="111"/>
      <c r="CD55" s="111"/>
      <c r="CE55" s="111"/>
      <c r="CF55" s="111"/>
      <c r="CG55" s="111"/>
      <c r="CH55" s="111"/>
      <c r="CI55" s="111"/>
      <c r="CJ55" s="111"/>
      <c r="CK55" s="111"/>
      <c r="CL55" s="111"/>
      <c r="CM55" s="111"/>
      <c r="CN55" s="111"/>
      <c r="CO55" s="111"/>
      <c r="CP55" s="111"/>
      <c r="CQ55" s="111"/>
      <c r="CR55" s="111"/>
      <c r="CS55" s="111"/>
      <c r="CT55" s="111"/>
      <c r="CU55" s="111"/>
      <c r="CV55" s="111"/>
      <c r="CW55" s="111"/>
      <c r="CX55" s="111"/>
      <c r="CY55" s="111"/>
      <c r="CZ55" s="111"/>
      <c r="DA55" s="111"/>
      <c r="DB55" s="111"/>
      <c r="DC55" s="111"/>
      <c r="DD55" s="111"/>
      <c r="DE55" s="111"/>
      <c r="DF55" s="111"/>
      <c r="DG55" s="111"/>
      <c r="DH55" s="111"/>
      <c r="DI55" s="111"/>
      <c r="DJ55" s="111"/>
      <c r="DK55" s="111"/>
      <c r="DL55" s="111"/>
      <c r="DM55" s="111"/>
      <c r="DN55" s="111"/>
      <c r="DO55" s="111"/>
      <c r="DP55" s="111"/>
      <c r="DQ55" s="111"/>
      <c r="DR55" s="111"/>
      <c r="DS55" s="111"/>
      <c r="DT55" s="111"/>
      <c r="DU55" s="111"/>
      <c r="DV55" s="111"/>
      <c r="DW55" s="111"/>
      <c r="DX55" s="111"/>
      <c r="DY55" s="111"/>
      <c r="DZ55" s="111"/>
      <c r="EA55" s="111"/>
      <c r="EB55" s="111"/>
      <c r="EC55" s="280"/>
      <c r="ED55" s="20"/>
      <c r="EE55" s="111"/>
      <c r="EF55" s="111"/>
      <c r="EG55" s="111"/>
      <c r="EH55" s="111"/>
      <c r="EI55" s="111"/>
      <c r="EJ55" s="111"/>
      <c r="EK55" s="111"/>
      <c r="EL55" s="111"/>
      <c r="EM55" s="111"/>
      <c r="EN55" s="111"/>
      <c r="EO55" s="111"/>
      <c r="EP55" s="111"/>
      <c r="EQ55" s="111"/>
      <c r="ER55" s="111"/>
      <c r="ES55" s="111"/>
      <c r="ET55" s="111"/>
      <c r="EU55" s="111"/>
      <c r="EV55" s="111"/>
      <c r="EW55" s="111"/>
      <c r="EX55" s="111"/>
      <c r="EY55" s="111"/>
      <c r="EZ55" s="111"/>
      <c r="FA55" s="111"/>
      <c r="FB55" s="111"/>
      <c r="FC55" s="111"/>
      <c r="FD55" s="111"/>
      <c r="FE55" s="111"/>
      <c r="FF55" s="111"/>
      <c r="FG55" s="111"/>
      <c r="FH55" s="111"/>
      <c r="FI55" s="111"/>
      <c r="FJ55" s="111"/>
      <c r="FK55" s="111"/>
      <c r="FL55" s="111"/>
      <c r="FM55" s="111"/>
      <c r="FN55" s="111"/>
      <c r="FO55" s="111"/>
      <c r="FP55" s="111"/>
      <c r="FQ55" s="111"/>
      <c r="FR55" s="111"/>
      <c r="FS55" s="111"/>
      <c r="FT55" s="111"/>
      <c r="FU55" s="111"/>
      <c r="FV55" s="111"/>
      <c r="FW55" s="305"/>
      <c r="FX55" s="111"/>
      <c r="FY55" s="280"/>
      <c r="FZ55" s="266"/>
      <c r="GA55" s="266"/>
      <c r="GB55" s="269"/>
      <c r="GC55" s="269"/>
    </row>
    <row r="56" spans="1:185" s="109" customFormat="1" x14ac:dyDescent="0.25">
      <c r="A56" s="14"/>
      <c r="B56" s="111"/>
      <c r="C56" s="111"/>
      <c r="D56" s="111"/>
      <c r="E56" s="111"/>
      <c r="F56" s="111"/>
      <c r="G56" s="110"/>
      <c r="H56" s="111"/>
      <c r="I56" s="111"/>
      <c r="J56" s="111"/>
      <c r="K56" s="111"/>
      <c r="L56" s="111"/>
      <c r="M56" s="111"/>
      <c r="N56" s="111"/>
      <c r="O56" s="111"/>
      <c r="P56" s="111"/>
      <c r="Q56" s="113"/>
      <c r="R56" s="113"/>
      <c r="S56" s="113"/>
      <c r="T56" s="113"/>
      <c r="U56" s="110"/>
      <c r="V56" s="111"/>
      <c r="W56" s="111"/>
      <c r="X56" s="111"/>
      <c r="Y56" s="13"/>
      <c r="Z56" s="103"/>
      <c r="AA56" s="111"/>
      <c r="AB56" s="103"/>
      <c r="AC56" s="111"/>
      <c r="AD56" s="13"/>
      <c r="AE56" s="103"/>
      <c r="AF56" s="111"/>
      <c r="AG56" s="103"/>
      <c r="AH56" s="111"/>
      <c r="AI56" s="103"/>
      <c r="AJ56" s="111"/>
      <c r="AK56" s="103"/>
      <c r="AL56" s="111"/>
      <c r="AM56" s="353"/>
      <c r="AN56" s="353"/>
      <c r="AO56" s="103"/>
      <c r="AP56" s="280"/>
      <c r="AQ56" s="20"/>
      <c r="AR56" s="103"/>
      <c r="AS56" s="111"/>
      <c r="AT56" s="13"/>
      <c r="AU56" s="103"/>
      <c r="AV56" s="103"/>
      <c r="AW56" s="111"/>
      <c r="AX56" s="103"/>
      <c r="AY56" s="111"/>
      <c r="AZ56" s="103"/>
      <c r="BA56" s="111"/>
      <c r="BB56" s="111"/>
      <c r="BC56" s="111"/>
      <c r="BD56" s="103"/>
      <c r="BE56" s="111"/>
      <c r="BF56" s="103"/>
      <c r="BG56" s="103"/>
      <c r="BH56" s="103"/>
      <c r="BI56" s="111"/>
      <c r="BJ56" s="111"/>
      <c r="BK56" s="103"/>
      <c r="BL56" s="103"/>
      <c r="BM56" s="111"/>
      <c r="BN56" s="103"/>
      <c r="BO56" s="111"/>
      <c r="BP56" s="13"/>
      <c r="BQ56" s="103"/>
      <c r="BR56" s="111"/>
      <c r="BS56" s="103"/>
      <c r="BT56" s="111"/>
      <c r="BU56" s="111"/>
      <c r="BV56" s="111"/>
      <c r="BW56" s="111"/>
      <c r="BX56" s="111"/>
      <c r="BY56" s="103"/>
      <c r="BZ56" s="111"/>
      <c r="CA56" s="111"/>
      <c r="CB56" s="111"/>
      <c r="CC56" s="111"/>
      <c r="CD56" s="111"/>
      <c r="CE56" s="111"/>
      <c r="CF56" s="111"/>
      <c r="CG56" s="111"/>
      <c r="CH56" s="111"/>
      <c r="CI56" s="111"/>
      <c r="CJ56" s="111"/>
      <c r="CK56" s="111"/>
      <c r="CL56" s="111"/>
      <c r="CM56" s="111"/>
      <c r="CN56" s="111"/>
      <c r="CO56" s="111"/>
      <c r="CP56" s="111"/>
      <c r="CQ56" s="111"/>
      <c r="CR56" s="111"/>
      <c r="CS56" s="111"/>
      <c r="CT56" s="111"/>
      <c r="CU56" s="111"/>
      <c r="CV56" s="111"/>
      <c r="CW56" s="111"/>
      <c r="CX56" s="111"/>
      <c r="CY56" s="111"/>
      <c r="CZ56" s="111"/>
      <c r="DA56" s="111"/>
      <c r="DB56" s="111"/>
      <c r="DC56" s="111"/>
      <c r="DD56" s="111"/>
      <c r="DE56" s="111"/>
      <c r="DF56" s="111"/>
      <c r="DG56" s="111"/>
      <c r="DH56" s="111"/>
      <c r="DI56" s="111"/>
      <c r="DJ56" s="111"/>
      <c r="DK56" s="103"/>
      <c r="DL56" s="103"/>
      <c r="DM56" s="103"/>
      <c r="DN56" s="103"/>
      <c r="DO56" s="103"/>
      <c r="DP56" s="103"/>
      <c r="DQ56" s="103"/>
      <c r="DR56" s="103"/>
      <c r="DS56" s="103"/>
      <c r="DT56" s="103"/>
      <c r="DU56" s="103"/>
      <c r="DV56" s="103"/>
      <c r="DW56" s="103"/>
      <c r="DX56" s="103"/>
      <c r="DY56" s="103"/>
      <c r="DZ56" s="103"/>
      <c r="EA56" s="103"/>
      <c r="EB56" s="103"/>
      <c r="EC56" s="280"/>
      <c r="ED56" s="20"/>
      <c r="EE56" s="103"/>
      <c r="EF56" s="111"/>
      <c r="EG56" s="13"/>
      <c r="EH56" s="103"/>
      <c r="EI56" s="111"/>
      <c r="EJ56" s="111"/>
      <c r="EK56" s="111"/>
      <c r="EL56" s="111"/>
      <c r="EM56" s="111"/>
      <c r="EN56" s="111"/>
      <c r="EO56" s="111"/>
      <c r="EP56" s="111"/>
      <c r="EQ56" s="111"/>
      <c r="ER56" s="111"/>
      <c r="ES56" s="111"/>
      <c r="ET56" s="111"/>
      <c r="EU56" s="111"/>
      <c r="EV56" s="111"/>
      <c r="EW56" s="111"/>
      <c r="EX56" s="111"/>
      <c r="EY56" s="111"/>
      <c r="EZ56" s="111"/>
      <c r="FA56" s="111"/>
      <c r="FB56" s="111"/>
      <c r="FC56" s="111"/>
      <c r="FD56" s="111"/>
      <c r="FE56" s="111"/>
      <c r="FF56" s="111"/>
      <c r="FG56" s="111"/>
      <c r="FH56" s="111"/>
      <c r="FI56" s="111"/>
      <c r="FJ56" s="111"/>
      <c r="FK56" s="111"/>
      <c r="FL56" s="111"/>
      <c r="FM56" s="111"/>
      <c r="FN56" s="111"/>
      <c r="FO56" s="103"/>
      <c r="FP56" s="103"/>
      <c r="FQ56" s="103"/>
      <c r="FR56" s="103"/>
      <c r="FS56" s="103"/>
      <c r="FT56" s="103"/>
      <c r="FU56" s="103"/>
      <c r="FV56" s="103"/>
      <c r="FW56" s="386"/>
      <c r="FX56" s="103"/>
      <c r="FY56" s="280"/>
      <c r="FZ56" s="266"/>
      <c r="GA56" s="266"/>
      <c r="GB56" s="269"/>
      <c r="GC56" s="269"/>
    </row>
    <row r="57" spans="1:185" s="109" customFormat="1" x14ac:dyDescent="0.25">
      <c r="A57" s="14"/>
      <c r="B57" s="111"/>
      <c r="C57" s="111"/>
      <c r="D57" s="111"/>
      <c r="E57" s="111"/>
      <c r="F57" s="111"/>
      <c r="G57" s="110"/>
      <c r="H57" s="111"/>
      <c r="I57" s="111"/>
      <c r="J57" s="111"/>
      <c r="K57" s="111"/>
      <c r="L57" s="111"/>
      <c r="M57" s="111"/>
      <c r="N57" s="111"/>
      <c r="O57" s="111"/>
      <c r="P57" s="111"/>
      <c r="Q57" s="113"/>
      <c r="R57" s="113"/>
      <c r="S57" s="113"/>
      <c r="T57" s="113"/>
      <c r="U57" s="110"/>
      <c r="V57" s="111"/>
      <c r="W57" s="111"/>
      <c r="X57" s="111"/>
      <c r="Y57" s="13"/>
      <c r="Z57" s="103"/>
      <c r="AA57" s="111"/>
      <c r="AB57" s="103"/>
      <c r="AC57" s="111"/>
      <c r="AD57" s="13"/>
      <c r="AE57" s="103"/>
      <c r="AF57" s="111"/>
      <c r="AG57" s="103"/>
      <c r="AH57" s="111"/>
      <c r="AI57" s="103"/>
      <c r="AJ57" s="111"/>
      <c r="AK57" s="103"/>
      <c r="AL57" s="111"/>
      <c r="AM57" s="353"/>
      <c r="AN57" s="353"/>
      <c r="AO57" s="103"/>
      <c r="AP57" s="280"/>
      <c r="AQ57" s="20"/>
      <c r="AR57" s="103"/>
      <c r="AS57" s="111"/>
      <c r="AT57" s="13"/>
      <c r="AU57" s="103"/>
      <c r="AV57" s="103"/>
      <c r="AW57" s="111"/>
      <c r="AX57" s="103"/>
      <c r="AY57" s="111"/>
      <c r="AZ57" s="103"/>
      <c r="BA57" s="111"/>
      <c r="BB57" s="111"/>
      <c r="BC57" s="111"/>
      <c r="BD57" s="103"/>
      <c r="BE57" s="111"/>
      <c r="BF57" s="103"/>
      <c r="BG57" s="103"/>
      <c r="BH57" s="103"/>
      <c r="BI57" s="111"/>
      <c r="BJ57" s="111"/>
      <c r="BK57" s="103"/>
      <c r="BL57" s="103"/>
      <c r="BM57" s="111"/>
      <c r="BN57" s="103"/>
      <c r="BO57" s="111"/>
      <c r="BP57" s="13"/>
      <c r="BQ57" s="103"/>
      <c r="BR57" s="111"/>
      <c r="BS57" s="103"/>
      <c r="BT57" s="111"/>
      <c r="BU57" s="111"/>
      <c r="BV57" s="111"/>
      <c r="BW57" s="111"/>
      <c r="BX57" s="111"/>
      <c r="BY57" s="103"/>
      <c r="BZ57" s="111"/>
      <c r="CA57" s="111"/>
      <c r="CB57" s="111"/>
      <c r="CC57" s="111"/>
      <c r="CD57" s="111"/>
      <c r="CE57" s="111"/>
      <c r="CF57" s="111"/>
      <c r="CG57" s="111"/>
      <c r="CH57" s="111"/>
      <c r="CI57" s="111"/>
      <c r="CJ57" s="111"/>
      <c r="CK57" s="111"/>
      <c r="CL57" s="111"/>
      <c r="CM57" s="111"/>
      <c r="CN57" s="111"/>
      <c r="CO57" s="111"/>
      <c r="CP57" s="111"/>
      <c r="CQ57" s="111"/>
      <c r="CR57" s="111"/>
      <c r="CS57" s="111"/>
      <c r="CT57" s="111"/>
      <c r="CU57" s="111"/>
      <c r="CV57" s="111"/>
      <c r="CW57" s="111"/>
      <c r="CX57" s="111"/>
      <c r="CY57" s="111"/>
      <c r="CZ57" s="111"/>
      <c r="DA57" s="111"/>
      <c r="DB57" s="111"/>
      <c r="DC57" s="111"/>
      <c r="DD57" s="111"/>
      <c r="DE57" s="111"/>
      <c r="DF57" s="111"/>
      <c r="DG57" s="111"/>
      <c r="DH57" s="111"/>
      <c r="DI57" s="111"/>
      <c r="DJ57" s="111"/>
      <c r="DK57" s="103"/>
      <c r="DL57" s="103"/>
      <c r="DM57" s="103"/>
      <c r="DN57" s="103"/>
      <c r="DO57" s="103"/>
      <c r="DP57" s="103"/>
      <c r="DQ57" s="103"/>
      <c r="DR57" s="103"/>
      <c r="DS57" s="103"/>
      <c r="DT57" s="103"/>
      <c r="DU57" s="103"/>
      <c r="DV57" s="103"/>
      <c r="DW57" s="103"/>
      <c r="DX57" s="103"/>
      <c r="DY57" s="103"/>
      <c r="DZ57" s="103"/>
      <c r="EA57" s="103"/>
      <c r="EB57" s="103"/>
      <c r="EC57" s="280"/>
      <c r="ED57" s="20"/>
      <c r="EE57" s="103"/>
      <c r="EF57" s="111"/>
      <c r="EG57" s="13"/>
      <c r="EH57" s="103"/>
      <c r="EI57" s="111"/>
      <c r="EJ57" s="111"/>
      <c r="EK57" s="111"/>
      <c r="EL57" s="111"/>
      <c r="EM57" s="111"/>
      <c r="EN57" s="111"/>
      <c r="EO57" s="111"/>
      <c r="EP57" s="111"/>
      <c r="EQ57" s="111"/>
      <c r="ER57" s="111"/>
      <c r="ES57" s="111"/>
      <c r="ET57" s="111"/>
      <c r="EU57" s="111"/>
      <c r="EV57" s="111"/>
      <c r="EW57" s="111"/>
      <c r="EX57" s="111"/>
      <c r="EY57" s="111"/>
      <c r="EZ57" s="111"/>
      <c r="FA57" s="111"/>
      <c r="FB57" s="111"/>
      <c r="FC57" s="111"/>
      <c r="FD57" s="111"/>
      <c r="FE57" s="111"/>
      <c r="FF57" s="111"/>
      <c r="FG57" s="111"/>
      <c r="FH57" s="111"/>
      <c r="FI57" s="111"/>
      <c r="FJ57" s="111"/>
      <c r="FK57" s="111"/>
      <c r="FL57" s="111"/>
      <c r="FM57" s="111"/>
      <c r="FN57" s="111"/>
      <c r="FO57" s="103"/>
      <c r="FP57" s="103"/>
      <c r="FQ57" s="103"/>
      <c r="FR57" s="103"/>
      <c r="FS57" s="103"/>
      <c r="FT57" s="103"/>
      <c r="FU57" s="103"/>
      <c r="FV57" s="103"/>
      <c r="FW57" s="386"/>
      <c r="FX57" s="103"/>
      <c r="FY57" s="280"/>
      <c r="FZ57" s="266"/>
      <c r="GA57" s="266"/>
      <c r="GB57" s="269"/>
      <c r="GC57" s="269"/>
    </row>
    <row r="58" spans="1:185" s="109" customFormat="1" x14ac:dyDescent="0.25">
      <c r="A58" s="14"/>
      <c r="B58" s="111"/>
      <c r="C58" s="111"/>
      <c r="D58" s="111"/>
      <c r="E58" s="111"/>
      <c r="F58" s="111"/>
      <c r="G58" s="110"/>
      <c r="H58" s="111"/>
      <c r="I58" s="111"/>
      <c r="J58" s="111"/>
      <c r="K58" s="111"/>
      <c r="L58" s="111"/>
      <c r="M58" s="111"/>
      <c r="N58" s="111"/>
      <c r="O58" s="111"/>
      <c r="P58" s="111"/>
      <c r="Q58" s="113"/>
      <c r="R58" s="113"/>
      <c r="S58" s="113"/>
      <c r="T58" s="113"/>
      <c r="U58" s="110"/>
      <c r="V58" s="111"/>
      <c r="W58" s="111"/>
      <c r="X58" s="111"/>
      <c r="Y58" s="13"/>
      <c r="Z58" s="103"/>
      <c r="AA58" s="111"/>
      <c r="AB58" s="103"/>
      <c r="AC58" s="111"/>
      <c r="AD58" s="13"/>
      <c r="AE58" s="103"/>
      <c r="AF58" s="111"/>
      <c r="AG58" s="103"/>
      <c r="AH58" s="111"/>
      <c r="AI58" s="103"/>
      <c r="AJ58" s="111"/>
      <c r="AK58" s="103"/>
      <c r="AL58" s="111"/>
      <c r="AM58" s="353"/>
      <c r="AN58" s="353"/>
      <c r="AO58" s="103"/>
      <c r="AP58" s="280"/>
      <c r="AQ58" s="20"/>
      <c r="AR58" s="103"/>
      <c r="AS58" s="111"/>
      <c r="AT58" s="13"/>
      <c r="AU58" s="103"/>
      <c r="AV58" s="103"/>
      <c r="AW58" s="111"/>
      <c r="AX58" s="103"/>
      <c r="AY58" s="111"/>
      <c r="AZ58" s="103"/>
      <c r="BA58" s="111"/>
      <c r="BB58" s="111"/>
      <c r="BC58" s="111"/>
      <c r="BD58" s="103"/>
      <c r="BE58" s="111"/>
      <c r="BF58" s="103"/>
      <c r="BG58" s="103"/>
      <c r="BH58" s="103"/>
      <c r="BI58" s="111"/>
      <c r="BJ58" s="111"/>
      <c r="BK58" s="103"/>
      <c r="BL58" s="103"/>
      <c r="BM58" s="111"/>
      <c r="BN58" s="103"/>
      <c r="BO58" s="111"/>
      <c r="BP58" s="13"/>
      <c r="BQ58" s="103"/>
      <c r="BR58" s="111"/>
      <c r="BS58" s="103"/>
      <c r="BT58" s="111"/>
      <c r="BU58" s="111"/>
      <c r="BV58" s="111"/>
      <c r="BW58" s="111"/>
      <c r="BX58" s="111"/>
      <c r="BY58" s="103"/>
      <c r="BZ58" s="111"/>
      <c r="CA58" s="111"/>
      <c r="CB58" s="111"/>
      <c r="CC58" s="111"/>
      <c r="CD58" s="111"/>
      <c r="CE58" s="111"/>
      <c r="CF58" s="111"/>
      <c r="CG58" s="111"/>
      <c r="CH58" s="111"/>
      <c r="CI58" s="111"/>
      <c r="CJ58" s="111"/>
      <c r="CK58" s="111"/>
      <c r="CL58" s="111"/>
      <c r="CM58" s="111"/>
      <c r="CN58" s="111"/>
      <c r="CO58" s="111"/>
      <c r="CP58" s="111"/>
      <c r="CQ58" s="111"/>
      <c r="CR58" s="111"/>
      <c r="CS58" s="111"/>
      <c r="CT58" s="111"/>
      <c r="CU58" s="111"/>
      <c r="CV58" s="111"/>
      <c r="CW58" s="111"/>
      <c r="CX58" s="111"/>
      <c r="CY58" s="111"/>
      <c r="CZ58" s="111"/>
      <c r="DA58" s="111"/>
      <c r="DB58" s="111"/>
      <c r="DC58" s="111"/>
      <c r="DD58" s="111"/>
      <c r="DE58" s="111"/>
      <c r="DF58" s="111"/>
      <c r="DG58" s="111"/>
      <c r="DH58" s="111"/>
      <c r="DI58" s="111"/>
      <c r="DJ58" s="111"/>
      <c r="DK58" s="103"/>
      <c r="DL58" s="103"/>
      <c r="DM58" s="103"/>
      <c r="DN58" s="103"/>
      <c r="DO58" s="103"/>
      <c r="DP58" s="103"/>
      <c r="DQ58" s="103"/>
      <c r="DR58" s="103"/>
      <c r="DS58" s="103"/>
      <c r="DT58" s="103"/>
      <c r="DU58" s="103"/>
      <c r="DV58" s="103"/>
      <c r="DW58" s="103"/>
      <c r="DX58" s="103"/>
      <c r="DY58" s="103"/>
      <c r="DZ58" s="103"/>
      <c r="EA58" s="103"/>
      <c r="EB58" s="103"/>
      <c r="EC58" s="280"/>
      <c r="ED58" s="20"/>
      <c r="EE58" s="103"/>
      <c r="EF58" s="111"/>
      <c r="EG58" s="13"/>
      <c r="EH58" s="103"/>
      <c r="EI58" s="111"/>
      <c r="EJ58" s="111"/>
      <c r="EK58" s="111"/>
      <c r="EL58" s="111"/>
      <c r="EM58" s="111"/>
      <c r="EN58" s="111"/>
      <c r="EO58" s="111"/>
      <c r="EP58" s="111"/>
      <c r="EQ58" s="111"/>
      <c r="ER58" s="111"/>
      <c r="ES58" s="111"/>
      <c r="ET58" s="111"/>
      <c r="EU58" s="111"/>
      <c r="EV58" s="111"/>
      <c r="EW58" s="111"/>
      <c r="EX58" s="111"/>
      <c r="EY58" s="111"/>
      <c r="EZ58" s="111"/>
      <c r="FA58" s="111"/>
      <c r="FB58" s="111"/>
      <c r="FC58" s="111"/>
      <c r="FD58" s="111"/>
      <c r="FE58" s="111"/>
      <c r="FF58" s="111"/>
      <c r="FG58" s="111"/>
      <c r="FH58" s="111"/>
      <c r="FI58" s="111"/>
      <c r="FJ58" s="111"/>
      <c r="FK58" s="111"/>
      <c r="FL58" s="111"/>
      <c r="FM58" s="111"/>
      <c r="FN58" s="111"/>
      <c r="FO58" s="103"/>
      <c r="FP58" s="103"/>
      <c r="FQ58" s="103"/>
      <c r="FR58" s="103"/>
      <c r="FS58" s="103"/>
      <c r="FT58" s="103"/>
      <c r="FU58" s="103"/>
      <c r="FV58" s="103"/>
      <c r="FW58" s="386"/>
      <c r="FX58" s="103"/>
      <c r="FY58" s="280"/>
      <c r="FZ58" s="266"/>
      <c r="GA58" s="266"/>
      <c r="GB58" s="269"/>
      <c r="GC58" s="269"/>
    </row>
    <row r="59" spans="1:185" s="109" customFormat="1" x14ac:dyDescent="0.25">
      <c r="A59" s="14"/>
      <c r="B59" s="111"/>
      <c r="C59" s="111"/>
      <c r="D59" s="111"/>
      <c r="E59" s="111"/>
      <c r="F59" s="111"/>
      <c r="G59" s="110"/>
      <c r="H59" s="111"/>
      <c r="I59" s="111"/>
      <c r="J59" s="111"/>
      <c r="K59" s="111"/>
      <c r="L59" s="111"/>
      <c r="M59" s="111"/>
      <c r="N59" s="111"/>
      <c r="O59" s="111"/>
      <c r="P59" s="111"/>
      <c r="Q59" s="113"/>
      <c r="R59" s="113"/>
      <c r="S59" s="113"/>
      <c r="T59" s="113"/>
      <c r="U59" s="110"/>
      <c r="V59" s="111"/>
      <c r="W59" s="111"/>
      <c r="X59" s="111"/>
      <c r="Y59" s="13"/>
      <c r="Z59" s="13"/>
      <c r="AA59" s="111"/>
      <c r="AB59" s="13"/>
      <c r="AC59" s="111"/>
      <c r="AD59" s="13"/>
      <c r="AE59" s="13"/>
      <c r="AF59" s="111"/>
      <c r="AG59" s="13"/>
      <c r="AH59" s="111"/>
      <c r="AI59" s="13"/>
      <c r="AJ59" s="111"/>
      <c r="AK59" s="13"/>
      <c r="AL59" s="111"/>
      <c r="AM59" s="98"/>
      <c r="AN59" s="98"/>
      <c r="AO59" s="13"/>
      <c r="AP59" s="280"/>
      <c r="AQ59" s="20"/>
      <c r="AR59" s="13"/>
      <c r="AS59" s="111"/>
      <c r="AT59" s="13"/>
      <c r="AU59" s="13"/>
      <c r="AV59" s="13"/>
      <c r="AW59" s="111"/>
      <c r="AX59" s="13"/>
      <c r="AY59" s="111"/>
      <c r="AZ59" s="13"/>
      <c r="BA59" s="111"/>
      <c r="BB59" s="111"/>
      <c r="BC59" s="111"/>
      <c r="BD59" s="13"/>
      <c r="BE59" s="111"/>
      <c r="BF59" s="13"/>
      <c r="BG59" s="13"/>
      <c r="BH59" s="13"/>
      <c r="BI59" s="111"/>
      <c r="BJ59" s="111"/>
      <c r="BK59" s="13"/>
      <c r="BL59" s="13"/>
      <c r="BM59" s="111"/>
      <c r="BN59" s="13"/>
      <c r="BO59" s="111"/>
      <c r="BP59" s="13"/>
      <c r="BQ59" s="13"/>
      <c r="BR59" s="111"/>
      <c r="BS59" s="13"/>
      <c r="BT59" s="111"/>
      <c r="BU59" s="111"/>
      <c r="BV59" s="111"/>
      <c r="BW59" s="111"/>
      <c r="BX59" s="111"/>
      <c r="BY59" s="13"/>
      <c r="BZ59" s="111"/>
      <c r="CA59" s="111"/>
      <c r="CB59" s="111"/>
      <c r="CC59" s="111"/>
      <c r="CD59" s="111"/>
      <c r="CE59" s="111"/>
      <c r="CF59" s="111"/>
      <c r="CG59" s="111"/>
      <c r="CH59" s="111"/>
      <c r="CI59" s="111"/>
      <c r="CJ59" s="111"/>
      <c r="CK59" s="111"/>
      <c r="CL59" s="111"/>
      <c r="CM59" s="111"/>
      <c r="CN59" s="111"/>
      <c r="CO59" s="111"/>
      <c r="CP59" s="111"/>
      <c r="CQ59" s="111"/>
      <c r="CR59" s="111"/>
      <c r="CS59" s="111"/>
      <c r="CT59" s="111"/>
      <c r="CU59" s="111"/>
      <c r="CV59" s="111"/>
      <c r="CW59" s="111"/>
      <c r="CX59" s="111"/>
      <c r="CY59" s="111"/>
      <c r="CZ59" s="111"/>
      <c r="DA59" s="111"/>
      <c r="DB59" s="111"/>
      <c r="DC59" s="111"/>
      <c r="DD59" s="111"/>
      <c r="DE59" s="111"/>
      <c r="DF59" s="111"/>
      <c r="DG59" s="111"/>
      <c r="DH59" s="111"/>
      <c r="DI59" s="111"/>
      <c r="DJ59" s="111"/>
      <c r="DK59" s="13"/>
      <c r="DL59" s="13"/>
      <c r="DM59" s="13"/>
      <c r="DN59" s="13"/>
      <c r="DO59" s="13"/>
      <c r="DP59" s="13"/>
      <c r="DQ59" s="13"/>
      <c r="DR59" s="13"/>
      <c r="DS59" s="13"/>
      <c r="DT59" s="13"/>
      <c r="DU59" s="13"/>
      <c r="DV59" s="13"/>
      <c r="DW59" s="13"/>
      <c r="DX59" s="13"/>
      <c r="DY59" s="13"/>
      <c r="DZ59" s="13"/>
      <c r="EA59" s="13"/>
      <c r="EB59" s="13"/>
      <c r="EC59" s="280"/>
      <c r="ED59" s="20"/>
      <c r="EE59" s="13"/>
      <c r="EF59" s="111"/>
      <c r="EG59" s="13"/>
      <c r="EH59" s="13"/>
      <c r="EI59" s="111"/>
      <c r="EJ59" s="111"/>
      <c r="EK59" s="111"/>
      <c r="EL59" s="111"/>
      <c r="EM59" s="111"/>
      <c r="EN59" s="111"/>
      <c r="EO59" s="111"/>
      <c r="EP59" s="111"/>
      <c r="EQ59" s="111"/>
      <c r="ER59" s="111"/>
      <c r="ES59" s="111"/>
      <c r="ET59" s="111"/>
      <c r="EU59" s="111"/>
      <c r="EV59" s="111"/>
      <c r="EW59" s="111"/>
      <c r="EX59" s="111"/>
      <c r="EY59" s="111"/>
      <c r="EZ59" s="111"/>
      <c r="FA59" s="111"/>
      <c r="FB59" s="111"/>
      <c r="FC59" s="111"/>
      <c r="FD59" s="111"/>
      <c r="FE59" s="111"/>
      <c r="FF59" s="111"/>
      <c r="FG59" s="111"/>
      <c r="FH59" s="111"/>
      <c r="FI59" s="111"/>
      <c r="FJ59" s="111"/>
      <c r="FK59" s="111"/>
      <c r="FL59" s="111"/>
      <c r="FM59" s="111"/>
      <c r="FN59" s="111"/>
      <c r="FO59" s="13"/>
      <c r="FP59" s="13"/>
      <c r="FQ59" s="13"/>
      <c r="FR59" s="13"/>
      <c r="FS59" s="13"/>
      <c r="FT59" s="13"/>
      <c r="FU59" s="13"/>
      <c r="FV59" s="13"/>
      <c r="FW59" s="360"/>
      <c r="FX59" s="13"/>
      <c r="FY59" s="280"/>
      <c r="FZ59" s="266"/>
      <c r="GA59" s="266"/>
      <c r="GB59" s="269"/>
      <c r="GC59" s="269"/>
    </row>
    <row r="60" spans="1:185" s="109" customFormat="1" x14ac:dyDescent="0.25">
      <c r="A60" s="14"/>
      <c r="B60" s="111"/>
      <c r="C60" s="111"/>
      <c r="D60" s="111"/>
      <c r="E60" s="111"/>
      <c r="F60" s="111"/>
      <c r="G60" s="110"/>
      <c r="H60" s="111"/>
      <c r="I60" s="111"/>
      <c r="J60" s="111"/>
      <c r="K60" s="111"/>
      <c r="L60" s="111"/>
      <c r="M60" s="111"/>
      <c r="N60" s="111"/>
      <c r="O60" s="111"/>
      <c r="P60" s="111"/>
      <c r="Q60" s="113"/>
      <c r="R60" s="113"/>
      <c r="S60" s="113"/>
      <c r="T60" s="113"/>
      <c r="U60" s="110"/>
      <c r="V60" s="111"/>
      <c r="W60" s="111"/>
      <c r="X60" s="111"/>
      <c r="Y60" s="13"/>
      <c r="Z60" s="13"/>
      <c r="AA60" s="111"/>
      <c r="AB60" s="13"/>
      <c r="AC60" s="111"/>
      <c r="AD60" s="13"/>
      <c r="AE60" s="13"/>
      <c r="AF60" s="111"/>
      <c r="AG60" s="13"/>
      <c r="AH60" s="111"/>
      <c r="AI60" s="13"/>
      <c r="AJ60" s="111"/>
      <c r="AK60" s="13"/>
      <c r="AL60" s="111"/>
      <c r="AM60" s="98"/>
      <c r="AN60" s="98"/>
      <c r="AO60" s="13"/>
      <c r="AP60" s="280"/>
      <c r="AQ60" s="20"/>
      <c r="AR60" s="13"/>
      <c r="AS60" s="111"/>
      <c r="AT60" s="13"/>
      <c r="AU60" s="13"/>
      <c r="AV60" s="13"/>
      <c r="AW60" s="111"/>
      <c r="AX60" s="13"/>
      <c r="AY60" s="111"/>
      <c r="AZ60" s="13"/>
      <c r="BA60" s="111"/>
      <c r="BB60" s="111"/>
      <c r="BC60" s="111"/>
      <c r="BD60" s="13"/>
      <c r="BE60" s="111"/>
      <c r="BF60" s="13"/>
      <c r="BG60" s="13"/>
      <c r="BH60" s="13"/>
      <c r="BI60" s="111"/>
      <c r="BJ60" s="111"/>
      <c r="BK60" s="13"/>
      <c r="BL60" s="13"/>
      <c r="BM60" s="111"/>
      <c r="BN60" s="13"/>
      <c r="BO60" s="111"/>
      <c r="BP60" s="13"/>
      <c r="BQ60" s="13"/>
      <c r="BR60" s="111"/>
      <c r="BS60" s="13"/>
      <c r="BT60" s="111"/>
      <c r="BU60" s="111"/>
      <c r="BV60" s="111"/>
      <c r="BW60" s="111"/>
      <c r="BX60" s="111"/>
      <c r="BY60" s="13"/>
      <c r="BZ60" s="111"/>
      <c r="CA60" s="111"/>
      <c r="CB60" s="111"/>
      <c r="CC60" s="111"/>
      <c r="CD60" s="111"/>
      <c r="CE60" s="111"/>
      <c r="CF60" s="111"/>
      <c r="CG60" s="111"/>
      <c r="CH60" s="111"/>
      <c r="CI60" s="111"/>
      <c r="CJ60" s="111"/>
      <c r="CK60" s="111"/>
      <c r="CL60" s="111"/>
      <c r="CM60" s="111"/>
      <c r="CN60" s="111"/>
      <c r="CO60" s="111"/>
      <c r="CP60" s="111"/>
      <c r="CQ60" s="111"/>
      <c r="CR60" s="111"/>
      <c r="CS60" s="111"/>
      <c r="CT60" s="111"/>
      <c r="CU60" s="111"/>
      <c r="CV60" s="111"/>
      <c r="CW60" s="111"/>
      <c r="CX60" s="111"/>
      <c r="CY60" s="111"/>
      <c r="CZ60" s="111"/>
      <c r="DA60" s="111"/>
      <c r="DB60" s="111"/>
      <c r="DC60" s="111"/>
      <c r="DD60" s="111"/>
      <c r="DE60" s="111"/>
      <c r="DF60" s="111"/>
      <c r="DG60" s="111"/>
      <c r="DH60" s="111"/>
      <c r="DI60" s="111"/>
      <c r="DJ60" s="111"/>
      <c r="DK60" s="13"/>
      <c r="DL60" s="13"/>
      <c r="DM60" s="13"/>
      <c r="DN60" s="13"/>
      <c r="DO60" s="13"/>
      <c r="DP60" s="13"/>
      <c r="DQ60" s="13"/>
      <c r="DR60" s="13"/>
      <c r="DS60" s="13"/>
      <c r="DT60" s="13"/>
      <c r="DU60" s="13"/>
      <c r="DV60" s="13"/>
      <c r="DW60" s="13"/>
      <c r="DX60" s="13"/>
      <c r="DY60" s="13"/>
      <c r="DZ60" s="13"/>
      <c r="EA60" s="13"/>
      <c r="EB60" s="13"/>
      <c r="EC60" s="280"/>
      <c r="ED60" s="20"/>
      <c r="EE60" s="13"/>
      <c r="EF60" s="111"/>
      <c r="EG60" s="13"/>
      <c r="EH60" s="13"/>
      <c r="EI60" s="111"/>
      <c r="EJ60" s="111"/>
      <c r="EK60" s="111"/>
      <c r="EL60" s="111"/>
      <c r="EM60" s="111"/>
      <c r="EN60" s="111"/>
      <c r="EO60" s="111"/>
      <c r="EP60" s="111"/>
      <c r="EQ60" s="111"/>
      <c r="ER60" s="111"/>
      <c r="ES60" s="111"/>
      <c r="ET60" s="111"/>
      <c r="EU60" s="111"/>
      <c r="EV60" s="111"/>
      <c r="EW60" s="111"/>
      <c r="EX60" s="111"/>
      <c r="EY60" s="111"/>
      <c r="EZ60" s="111"/>
      <c r="FA60" s="111"/>
      <c r="FB60" s="111"/>
      <c r="FC60" s="111"/>
      <c r="FD60" s="111"/>
      <c r="FE60" s="111"/>
      <c r="FF60" s="111"/>
      <c r="FG60" s="111"/>
      <c r="FH60" s="111"/>
      <c r="FI60" s="111"/>
      <c r="FJ60" s="111"/>
      <c r="FK60" s="111"/>
      <c r="FL60" s="111"/>
      <c r="FM60" s="111"/>
      <c r="FN60" s="111"/>
      <c r="FO60" s="13"/>
      <c r="FP60" s="13"/>
      <c r="FQ60" s="13"/>
      <c r="FR60" s="13"/>
      <c r="FS60" s="13"/>
      <c r="FT60" s="13"/>
      <c r="FU60" s="13"/>
      <c r="FV60" s="13"/>
      <c r="FW60" s="360"/>
      <c r="FX60" s="13"/>
      <c r="FY60" s="280"/>
      <c r="FZ60" s="266"/>
      <c r="GA60" s="266"/>
      <c r="GB60" s="269"/>
      <c r="GC60" s="269"/>
    </row>
    <row r="61" spans="1:185" s="109" customFormat="1" x14ac:dyDescent="0.25">
      <c r="A61" s="14"/>
      <c r="B61" s="111"/>
      <c r="C61" s="111"/>
      <c r="D61" s="111"/>
      <c r="E61" s="111"/>
      <c r="F61" s="111"/>
      <c r="G61" s="110"/>
      <c r="H61" s="111"/>
      <c r="I61" s="111"/>
      <c r="J61" s="111"/>
      <c r="K61" s="111"/>
      <c r="L61" s="111"/>
      <c r="M61" s="111"/>
      <c r="N61" s="111"/>
      <c r="O61" s="111"/>
      <c r="P61" s="111"/>
      <c r="Q61" s="113"/>
      <c r="R61" s="113"/>
      <c r="S61" s="113"/>
      <c r="T61" s="113"/>
      <c r="U61" s="110"/>
      <c r="V61" s="111"/>
      <c r="W61" s="111"/>
      <c r="X61" s="111"/>
      <c r="Y61" s="13"/>
      <c r="Z61" s="13"/>
      <c r="AA61" s="111"/>
      <c r="AB61" s="13"/>
      <c r="AC61" s="111"/>
      <c r="AD61" s="13"/>
      <c r="AE61" s="13"/>
      <c r="AF61" s="111"/>
      <c r="AG61" s="13"/>
      <c r="AH61" s="111"/>
      <c r="AI61" s="13"/>
      <c r="AJ61" s="111"/>
      <c r="AK61" s="13"/>
      <c r="AL61" s="111"/>
      <c r="AM61" s="98"/>
      <c r="AN61" s="98"/>
      <c r="AO61" s="13"/>
      <c r="AP61" s="280"/>
      <c r="AQ61" s="20"/>
      <c r="AR61" s="13"/>
      <c r="AS61" s="111"/>
      <c r="AT61" s="13"/>
      <c r="AU61" s="13"/>
      <c r="AV61" s="13"/>
      <c r="AW61" s="111"/>
      <c r="AX61" s="13"/>
      <c r="AY61" s="111"/>
      <c r="AZ61" s="13"/>
      <c r="BA61" s="111"/>
      <c r="BB61" s="111"/>
      <c r="BC61" s="111"/>
      <c r="BD61" s="13"/>
      <c r="BE61" s="111"/>
      <c r="BF61" s="13"/>
      <c r="BG61" s="13"/>
      <c r="BH61" s="13"/>
      <c r="BI61" s="111"/>
      <c r="BJ61" s="111"/>
      <c r="BK61" s="13"/>
      <c r="BL61" s="13"/>
      <c r="BM61" s="111"/>
      <c r="BN61" s="13"/>
      <c r="BO61" s="111"/>
      <c r="BP61" s="13"/>
      <c r="BQ61" s="13"/>
      <c r="BR61" s="111"/>
      <c r="BS61" s="13"/>
      <c r="BT61" s="111"/>
      <c r="BU61" s="111"/>
      <c r="BV61" s="111"/>
      <c r="BW61" s="111"/>
      <c r="BX61" s="111"/>
      <c r="BY61" s="13"/>
      <c r="BZ61" s="111"/>
      <c r="CA61" s="111"/>
      <c r="CB61" s="111"/>
      <c r="CC61" s="111"/>
      <c r="CD61" s="111"/>
      <c r="CE61" s="111"/>
      <c r="CF61" s="111"/>
      <c r="CG61" s="111"/>
      <c r="CH61" s="111"/>
      <c r="CI61" s="111"/>
      <c r="CJ61" s="111"/>
      <c r="CK61" s="111"/>
      <c r="CL61" s="111"/>
      <c r="CM61" s="111"/>
      <c r="CN61" s="111"/>
      <c r="CO61" s="111"/>
      <c r="CP61" s="111"/>
      <c r="CQ61" s="111"/>
      <c r="CR61" s="111"/>
      <c r="CS61" s="111"/>
      <c r="CT61" s="111"/>
      <c r="CU61" s="111"/>
      <c r="CV61" s="111"/>
      <c r="CW61" s="111"/>
      <c r="CX61" s="111"/>
      <c r="CY61" s="111"/>
      <c r="CZ61" s="111"/>
      <c r="DA61" s="111"/>
      <c r="DB61" s="111"/>
      <c r="DC61" s="111"/>
      <c r="DD61" s="111"/>
      <c r="DE61" s="111"/>
      <c r="DF61" s="111"/>
      <c r="DG61" s="111"/>
      <c r="DH61" s="111"/>
      <c r="DI61" s="111"/>
      <c r="DJ61" s="111"/>
      <c r="DK61" s="13"/>
      <c r="DL61" s="13"/>
      <c r="DM61" s="13"/>
      <c r="DN61" s="13"/>
      <c r="DO61" s="13"/>
      <c r="DP61" s="13"/>
      <c r="DQ61" s="13"/>
      <c r="DR61" s="13"/>
      <c r="DS61" s="13"/>
      <c r="DT61" s="13"/>
      <c r="DU61" s="13"/>
      <c r="DV61" s="13"/>
      <c r="DW61" s="13"/>
      <c r="DX61" s="13"/>
      <c r="DY61" s="13"/>
      <c r="DZ61" s="13"/>
      <c r="EA61" s="13"/>
      <c r="EB61" s="13"/>
      <c r="EC61" s="280"/>
      <c r="ED61" s="20"/>
      <c r="EE61" s="13"/>
      <c r="EF61" s="111"/>
      <c r="EG61" s="13"/>
      <c r="EH61" s="13"/>
      <c r="EI61" s="111"/>
      <c r="EJ61" s="111"/>
      <c r="EK61" s="111"/>
      <c r="EL61" s="111"/>
      <c r="EM61" s="111"/>
      <c r="EN61" s="111"/>
      <c r="EO61" s="111"/>
      <c r="EP61" s="111"/>
      <c r="EQ61" s="111"/>
      <c r="ER61" s="111"/>
      <c r="ES61" s="111"/>
      <c r="ET61" s="111"/>
      <c r="EU61" s="111"/>
      <c r="EV61" s="111"/>
      <c r="EW61" s="111"/>
      <c r="EX61" s="111"/>
      <c r="EY61" s="111"/>
      <c r="EZ61" s="111"/>
      <c r="FA61" s="111"/>
      <c r="FB61" s="111"/>
      <c r="FC61" s="111"/>
      <c r="FD61" s="111"/>
      <c r="FE61" s="111"/>
      <c r="FF61" s="111"/>
      <c r="FG61" s="111"/>
      <c r="FH61" s="111"/>
      <c r="FI61" s="111"/>
      <c r="FJ61" s="111"/>
      <c r="FK61" s="111"/>
      <c r="FL61" s="111"/>
      <c r="FM61" s="111"/>
      <c r="FN61" s="111"/>
      <c r="FO61" s="13"/>
      <c r="FP61" s="13"/>
      <c r="FQ61" s="13"/>
      <c r="FR61" s="13"/>
      <c r="FS61" s="13"/>
      <c r="FT61" s="13"/>
      <c r="FU61" s="13"/>
      <c r="FV61" s="13"/>
      <c r="FW61" s="360"/>
      <c r="FX61" s="13"/>
      <c r="FY61" s="280"/>
      <c r="FZ61" s="266"/>
      <c r="GA61" s="266"/>
      <c r="GB61" s="269"/>
      <c r="GC61" s="269"/>
    </row>
    <row r="62" spans="1:185" s="109" customFormat="1" x14ac:dyDescent="0.25">
      <c r="A62" s="14"/>
      <c r="B62" s="111"/>
      <c r="C62" s="111"/>
      <c r="D62" s="111"/>
      <c r="E62" s="111"/>
      <c r="F62" s="111"/>
      <c r="G62" s="110"/>
      <c r="H62" s="111"/>
      <c r="I62" s="111"/>
      <c r="J62" s="111"/>
      <c r="K62" s="111"/>
      <c r="L62" s="111"/>
      <c r="M62" s="111"/>
      <c r="N62" s="111"/>
      <c r="O62" s="111"/>
      <c r="P62" s="111"/>
      <c r="Q62" s="113"/>
      <c r="R62" s="113"/>
      <c r="S62" s="113"/>
      <c r="T62" s="113"/>
      <c r="U62" s="110"/>
      <c r="V62" s="111"/>
      <c r="W62" s="111"/>
      <c r="X62" s="111"/>
      <c r="Y62" s="13"/>
      <c r="Z62" s="13"/>
      <c r="AA62" s="111"/>
      <c r="AB62" s="13"/>
      <c r="AC62" s="111"/>
      <c r="AD62" s="13"/>
      <c r="AE62" s="13"/>
      <c r="AF62" s="111"/>
      <c r="AG62" s="13"/>
      <c r="AH62" s="111"/>
      <c r="AI62" s="13"/>
      <c r="AJ62" s="111"/>
      <c r="AK62" s="13"/>
      <c r="AL62" s="111"/>
      <c r="AM62" s="98"/>
      <c r="AN62" s="98"/>
      <c r="AO62" s="13"/>
      <c r="AP62" s="280"/>
      <c r="AQ62" s="20"/>
      <c r="AR62" s="13"/>
      <c r="AS62" s="111"/>
      <c r="AT62" s="13"/>
      <c r="AU62" s="13"/>
      <c r="AV62" s="13"/>
      <c r="AW62" s="111"/>
      <c r="AX62" s="13"/>
      <c r="AY62" s="111"/>
      <c r="AZ62" s="13"/>
      <c r="BA62" s="111"/>
      <c r="BB62" s="111"/>
      <c r="BC62" s="111"/>
      <c r="BD62" s="13"/>
      <c r="BE62" s="111"/>
      <c r="BF62" s="13"/>
      <c r="BG62" s="13"/>
      <c r="BH62" s="13"/>
      <c r="BI62" s="111"/>
      <c r="BJ62" s="111"/>
      <c r="BK62" s="13"/>
      <c r="BL62" s="13"/>
      <c r="BM62" s="111"/>
      <c r="BN62" s="13"/>
      <c r="BO62" s="111"/>
      <c r="BP62" s="13"/>
      <c r="BQ62" s="13"/>
      <c r="BR62" s="111"/>
      <c r="BS62" s="13"/>
      <c r="BT62" s="111"/>
      <c r="BU62" s="111"/>
      <c r="BV62" s="111"/>
      <c r="BW62" s="111"/>
      <c r="BX62" s="111"/>
      <c r="BY62" s="13"/>
      <c r="BZ62" s="111"/>
      <c r="CA62" s="111"/>
      <c r="CB62" s="111"/>
      <c r="CC62" s="111"/>
      <c r="CD62" s="111"/>
      <c r="CE62" s="111"/>
      <c r="CF62" s="111"/>
      <c r="CG62" s="111"/>
      <c r="CH62" s="111"/>
      <c r="CI62" s="111"/>
      <c r="CJ62" s="111"/>
      <c r="CK62" s="111"/>
      <c r="CL62" s="111"/>
      <c r="CM62" s="111"/>
      <c r="CN62" s="111"/>
      <c r="CO62" s="111"/>
      <c r="CP62" s="111"/>
      <c r="CQ62" s="111"/>
      <c r="CR62" s="111"/>
      <c r="CS62" s="111"/>
      <c r="CT62" s="111"/>
      <c r="CU62" s="111"/>
      <c r="CV62" s="111"/>
      <c r="CW62" s="111"/>
      <c r="CX62" s="111"/>
      <c r="CY62" s="111"/>
      <c r="CZ62" s="111"/>
      <c r="DA62" s="111"/>
      <c r="DB62" s="111"/>
      <c r="DC62" s="111"/>
      <c r="DD62" s="111"/>
      <c r="DE62" s="111"/>
      <c r="DF62" s="111"/>
      <c r="DG62" s="111"/>
      <c r="DH62" s="111"/>
      <c r="DI62" s="111"/>
      <c r="DJ62" s="111"/>
      <c r="DK62" s="13"/>
      <c r="DL62" s="13"/>
      <c r="DM62" s="13"/>
      <c r="DN62" s="13"/>
      <c r="DO62" s="13"/>
      <c r="DP62" s="13"/>
      <c r="DQ62" s="13"/>
      <c r="DR62" s="13"/>
      <c r="DS62" s="13"/>
      <c r="DT62" s="13"/>
      <c r="DU62" s="13"/>
      <c r="DV62" s="13"/>
      <c r="DW62" s="13"/>
      <c r="DX62" s="13"/>
      <c r="DY62" s="13"/>
      <c r="DZ62" s="13"/>
      <c r="EA62" s="13"/>
      <c r="EB62" s="13"/>
      <c r="EC62" s="280"/>
      <c r="ED62" s="20"/>
      <c r="EE62" s="13"/>
      <c r="EF62" s="111"/>
      <c r="EG62" s="13"/>
      <c r="EH62" s="13"/>
      <c r="EI62" s="111"/>
      <c r="EJ62" s="111"/>
      <c r="EK62" s="111"/>
      <c r="EL62" s="111"/>
      <c r="EM62" s="111"/>
      <c r="EN62" s="111"/>
      <c r="EO62" s="111"/>
      <c r="EP62" s="111"/>
      <c r="EQ62" s="111"/>
      <c r="ER62" s="111"/>
      <c r="ES62" s="111"/>
      <c r="ET62" s="111"/>
      <c r="EU62" s="111"/>
      <c r="EV62" s="111"/>
      <c r="EW62" s="111"/>
      <c r="EX62" s="111"/>
      <c r="EY62" s="111"/>
      <c r="EZ62" s="111"/>
      <c r="FA62" s="111"/>
      <c r="FB62" s="111"/>
      <c r="FC62" s="111"/>
      <c r="FD62" s="111"/>
      <c r="FE62" s="111"/>
      <c r="FF62" s="111"/>
      <c r="FG62" s="111"/>
      <c r="FH62" s="111"/>
      <c r="FI62" s="111"/>
      <c r="FJ62" s="111"/>
      <c r="FK62" s="111"/>
      <c r="FL62" s="111"/>
      <c r="FM62" s="111"/>
      <c r="FN62" s="111"/>
      <c r="FO62" s="13"/>
      <c r="FP62" s="13"/>
      <c r="FQ62" s="13"/>
      <c r="FR62" s="13"/>
      <c r="FS62" s="13"/>
      <c r="FT62" s="13"/>
      <c r="FU62" s="13"/>
      <c r="FV62" s="13"/>
      <c r="FW62" s="360"/>
      <c r="FX62" s="13"/>
      <c r="FY62" s="280"/>
      <c r="FZ62" s="266"/>
      <c r="GA62" s="266"/>
      <c r="GB62" s="269"/>
      <c r="GC62" s="269"/>
    </row>
    <row r="63" spans="1:185" s="109" customFormat="1" x14ac:dyDescent="0.25">
      <c r="A63" s="20"/>
      <c r="B63" s="111"/>
      <c r="C63" s="111"/>
      <c r="D63" s="111"/>
      <c r="E63" s="111"/>
      <c r="F63" s="111"/>
      <c r="G63" s="111"/>
      <c r="H63" s="111"/>
      <c r="I63" s="111"/>
      <c r="J63" s="111"/>
      <c r="K63" s="111"/>
      <c r="L63" s="111"/>
      <c r="M63" s="111"/>
      <c r="N63" s="111"/>
      <c r="O63" s="111"/>
      <c r="P63" s="111"/>
      <c r="Q63" s="113"/>
      <c r="R63" s="113"/>
      <c r="S63" s="113"/>
      <c r="T63" s="113"/>
      <c r="U63" s="111"/>
      <c r="V63" s="111"/>
      <c r="W63" s="111"/>
      <c r="X63" s="111"/>
      <c r="Y63" s="13"/>
      <c r="Z63" s="13"/>
      <c r="AA63" s="111"/>
      <c r="AB63" s="13"/>
      <c r="AC63" s="111"/>
      <c r="AD63" s="13"/>
      <c r="AE63" s="13"/>
      <c r="AF63" s="111"/>
      <c r="AG63" s="13"/>
      <c r="AH63" s="111"/>
      <c r="AI63" s="13"/>
      <c r="AJ63" s="111"/>
      <c r="AK63" s="13"/>
      <c r="AL63" s="111"/>
      <c r="AM63" s="98"/>
      <c r="AN63" s="98"/>
      <c r="AO63" s="13"/>
      <c r="AP63" s="280"/>
      <c r="AQ63" s="20"/>
      <c r="AR63" s="13"/>
      <c r="AS63" s="111"/>
      <c r="AT63" s="13"/>
      <c r="AU63" s="13"/>
      <c r="AV63" s="13"/>
      <c r="AW63" s="111"/>
      <c r="AX63" s="13"/>
      <c r="AY63" s="111"/>
      <c r="AZ63" s="13"/>
      <c r="BA63" s="111"/>
      <c r="BB63" s="111"/>
      <c r="BC63" s="111"/>
      <c r="BD63" s="13"/>
      <c r="BE63" s="111"/>
      <c r="BF63" s="13"/>
      <c r="BG63" s="13"/>
      <c r="BH63" s="13"/>
      <c r="BI63" s="111"/>
      <c r="BJ63" s="111"/>
      <c r="BK63" s="13"/>
      <c r="BL63" s="13"/>
      <c r="BM63" s="111"/>
      <c r="BN63" s="13"/>
      <c r="BO63" s="111"/>
      <c r="BP63" s="13"/>
      <c r="BQ63" s="13"/>
      <c r="BR63" s="111"/>
      <c r="BS63" s="13"/>
      <c r="BT63" s="111"/>
      <c r="BU63" s="111"/>
      <c r="BV63" s="111"/>
      <c r="BW63" s="111"/>
      <c r="BX63" s="111"/>
      <c r="BY63" s="13"/>
      <c r="BZ63" s="111"/>
      <c r="CA63" s="111"/>
      <c r="CB63" s="111"/>
      <c r="CC63" s="111"/>
      <c r="CD63" s="111"/>
      <c r="CE63" s="111"/>
      <c r="CF63" s="111"/>
      <c r="CG63" s="111"/>
      <c r="CH63" s="111"/>
      <c r="CI63" s="111"/>
      <c r="CJ63" s="111"/>
      <c r="CK63" s="111"/>
      <c r="CL63" s="111"/>
      <c r="CM63" s="111"/>
      <c r="CN63" s="111"/>
      <c r="CO63" s="111"/>
      <c r="CP63" s="111"/>
      <c r="CQ63" s="111"/>
      <c r="CR63" s="111"/>
      <c r="CS63" s="111"/>
      <c r="CT63" s="111"/>
      <c r="CU63" s="111"/>
      <c r="CV63" s="111"/>
      <c r="CW63" s="111"/>
      <c r="CX63" s="111"/>
      <c r="CY63" s="111"/>
      <c r="CZ63" s="111"/>
      <c r="DA63" s="111"/>
      <c r="DB63" s="111"/>
      <c r="DC63" s="111"/>
      <c r="DD63" s="111"/>
      <c r="DE63" s="111"/>
      <c r="DF63" s="111"/>
      <c r="DG63" s="111"/>
      <c r="DH63" s="111"/>
      <c r="DI63" s="111"/>
      <c r="DJ63" s="111"/>
      <c r="DK63" s="13"/>
      <c r="DL63" s="13"/>
      <c r="DM63" s="13"/>
      <c r="DN63" s="13"/>
      <c r="DO63" s="13"/>
      <c r="DP63" s="13"/>
      <c r="DQ63" s="13"/>
      <c r="DR63" s="13"/>
      <c r="DS63" s="13"/>
      <c r="DT63" s="13"/>
      <c r="DU63" s="13"/>
      <c r="DV63" s="13"/>
      <c r="DW63" s="13"/>
      <c r="DX63" s="13"/>
      <c r="DY63" s="13"/>
      <c r="DZ63" s="13"/>
      <c r="EA63" s="13"/>
      <c r="EB63" s="13"/>
      <c r="EC63" s="280"/>
      <c r="ED63" s="20"/>
      <c r="EE63" s="13"/>
      <c r="EF63" s="111"/>
      <c r="EG63" s="13"/>
      <c r="EH63" s="13"/>
      <c r="EI63" s="111"/>
      <c r="EJ63" s="111"/>
      <c r="EK63" s="111"/>
      <c r="EL63" s="111"/>
      <c r="EM63" s="111"/>
      <c r="EN63" s="111"/>
      <c r="EO63" s="111"/>
      <c r="EP63" s="111"/>
      <c r="EQ63" s="111"/>
      <c r="ER63" s="111"/>
      <c r="ES63" s="111"/>
      <c r="ET63" s="111"/>
      <c r="EU63" s="111"/>
      <c r="EV63" s="111"/>
      <c r="EW63" s="111"/>
      <c r="EX63" s="111"/>
      <c r="EY63" s="111"/>
      <c r="EZ63" s="111"/>
      <c r="FA63" s="111"/>
      <c r="FB63" s="111"/>
      <c r="FC63" s="111"/>
      <c r="FD63" s="111"/>
      <c r="FE63" s="111"/>
      <c r="FF63" s="111"/>
      <c r="FG63" s="111"/>
      <c r="FH63" s="111"/>
      <c r="FI63" s="111"/>
      <c r="FJ63" s="111"/>
      <c r="FK63" s="111"/>
      <c r="FL63" s="111"/>
      <c r="FM63" s="111"/>
      <c r="FN63" s="111"/>
      <c r="FO63" s="13"/>
      <c r="FP63" s="13"/>
      <c r="FQ63" s="13"/>
      <c r="FR63" s="13"/>
      <c r="FS63" s="13"/>
      <c r="FT63" s="13"/>
      <c r="FU63" s="13"/>
      <c r="FV63" s="13"/>
      <c r="FW63" s="360"/>
      <c r="FX63" s="13"/>
      <c r="FY63" s="280"/>
      <c r="FZ63" s="266"/>
      <c r="GA63" s="266"/>
      <c r="GB63" s="269"/>
      <c r="GC63" s="269"/>
    </row>
    <row r="64" spans="1:185" s="109" customFormat="1" x14ac:dyDescent="0.25">
      <c r="A64" s="20"/>
      <c r="B64" s="111"/>
      <c r="C64" s="111"/>
      <c r="D64" s="111"/>
      <c r="E64" s="111"/>
      <c r="F64" s="111"/>
      <c r="G64" s="111"/>
      <c r="H64" s="111"/>
      <c r="I64" s="111"/>
      <c r="J64" s="111"/>
      <c r="K64" s="111"/>
      <c r="L64" s="111"/>
      <c r="M64" s="111"/>
      <c r="N64" s="111"/>
      <c r="O64" s="111"/>
      <c r="P64" s="111"/>
      <c r="Q64" s="113"/>
      <c r="R64" s="113"/>
      <c r="S64" s="113"/>
      <c r="T64" s="113"/>
      <c r="U64" s="111"/>
      <c r="V64" s="111"/>
      <c r="W64" s="111"/>
      <c r="X64" s="110"/>
      <c r="Y64" s="111"/>
      <c r="Z64" s="13"/>
      <c r="AA64" s="110"/>
      <c r="AB64" s="13"/>
      <c r="AC64" s="110"/>
      <c r="AD64" s="111"/>
      <c r="AE64" s="13"/>
      <c r="AF64" s="110"/>
      <c r="AG64" s="13"/>
      <c r="AH64" s="110"/>
      <c r="AI64" s="13"/>
      <c r="AJ64" s="110"/>
      <c r="AK64" s="13"/>
      <c r="AL64" s="110"/>
      <c r="AM64" s="98"/>
      <c r="AN64" s="98"/>
      <c r="AO64" s="13"/>
      <c r="AP64" s="280"/>
      <c r="AQ64" s="14"/>
      <c r="AR64" s="13"/>
      <c r="AS64" s="110"/>
      <c r="AT64" s="111"/>
      <c r="AU64" s="13"/>
      <c r="AV64" s="13"/>
      <c r="AW64" s="110"/>
      <c r="AX64" s="13"/>
      <c r="AY64" s="110"/>
      <c r="AZ64" s="13"/>
      <c r="BA64" s="110"/>
      <c r="BB64" s="110"/>
      <c r="BC64" s="110"/>
      <c r="BD64" s="13"/>
      <c r="BE64" s="110"/>
      <c r="BF64" s="13"/>
      <c r="BG64" s="13"/>
      <c r="BH64" s="13"/>
      <c r="BI64" s="110"/>
      <c r="BJ64" s="110"/>
      <c r="BK64" s="13"/>
      <c r="BL64" s="13"/>
      <c r="BM64" s="110"/>
      <c r="BN64" s="13"/>
      <c r="BO64" s="110"/>
      <c r="BP64" s="111"/>
      <c r="BQ64" s="13"/>
      <c r="BR64" s="110"/>
      <c r="BS64" s="13"/>
      <c r="BT64" s="110"/>
      <c r="BU64" s="110"/>
      <c r="BV64" s="110"/>
      <c r="BW64" s="110"/>
      <c r="BX64" s="110"/>
      <c r="BY64" s="13"/>
      <c r="BZ64" s="110"/>
      <c r="CA64" s="110"/>
      <c r="CB64" s="110"/>
      <c r="CC64" s="110"/>
      <c r="CD64" s="110"/>
      <c r="CE64" s="110"/>
      <c r="CF64" s="110"/>
      <c r="CG64" s="110"/>
      <c r="CH64" s="110"/>
      <c r="CI64" s="110"/>
      <c r="CJ64" s="110"/>
      <c r="CK64" s="110"/>
      <c r="CL64" s="110"/>
      <c r="CM64" s="110"/>
      <c r="CN64" s="110"/>
      <c r="CO64" s="110"/>
      <c r="CP64" s="110"/>
      <c r="CQ64" s="110"/>
      <c r="CR64" s="110"/>
      <c r="CS64" s="110"/>
      <c r="CT64" s="110"/>
      <c r="CU64" s="110"/>
      <c r="CV64" s="110"/>
      <c r="CW64" s="110"/>
      <c r="CX64" s="110"/>
      <c r="CY64" s="110"/>
      <c r="CZ64" s="110"/>
      <c r="DA64" s="110"/>
      <c r="DB64" s="110"/>
      <c r="DC64" s="110"/>
      <c r="DD64" s="110"/>
      <c r="DE64" s="110"/>
      <c r="DF64" s="110"/>
      <c r="DG64" s="110"/>
      <c r="DH64" s="110"/>
      <c r="DI64" s="110"/>
      <c r="DJ64" s="110"/>
      <c r="DK64" s="13"/>
      <c r="DL64" s="13"/>
      <c r="DM64" s="13"/>
      <c r="DN64" s="13"/>
      <c r="DO64" s="13"/>
      <c r="DP64" s="13"/>
      <c r="DQ64" s="13"/>
      <c r="DR64" s="13"/>
      <c r="DS64" s="13"/>
      <c r="DT64" s="13"/>
      <c r="DU64" s="13"/>
      <c r="DV64" s="13"/>
      <c r="DW64" s="13"/>
      <c r="DX64" s="13"/>
      <c r="DY64" s="13"/>
      <c r="DZ64" s="13"/>
      <c r="EA64" s="13"/>
      <c r="EB64" s="13"/>
      <c r="EC64" s="17"/>
      <c r="ED64" s="14"/>
      <c r="EE64" s="13"/>
      <c r="EF64" s="110"/>
      <c r="EG64" s="111"/>
      <c r="EH64" s="13"/>
      <c r="EI64" s="110"/>
      <c r="EJ64" s="110"/>
      <c r="EK64" s="110"/>
      <c r="EL64" s="110"/>
      <c r="EM64" s="110"/>
      <c r="EN64" s="110"/>
      <c r="EO64" s="110"/>
      <c r="EP64" s="110"/>
      <c r="EQ64" s="110"/>
      <c r="ER64" s="110"/>
      <c r="ES64" s="110"/>
      <c r="ET64" s="110"/>
      <c r="EU64" s="110"/>
      <c r="EV64" s="110"/>
      <c r="EW64" s="110"/>
      <c r="EX64" s="110"/>
      <c r="EY64" s="110"/>
      <c r="EZ64" s="110"/>
      <c r="FA64" s="110"/>
      <c r="FB64" s="110"/>
      <c r="FC64" s="110"/>
      <c r="FD64" s="110"/>
      <c r="FE64" s="110"/>
      <c r="FF64" s="110"/>
      <c r="FG64" s="110"/>
      <c r="FH64" s="110"/>
      <c r="FI64" s="110"/>
      <c r="FJ64" s="110"/>
      <c r="FK64" s="110"/>
      <c r="FL64" s="110"/>
      <c r="FM64" s="110"/>
      <c r="FN64" s="110"/>
      <c r="FO64" s="13"/>
      <c r="FP64" s="13"/>
      <c r="FQ64" s="13"/>
      <c r="FR64" s="13"/>
      <c r="FS64" s="13"/>
      <c r="FT64" s="13"/>
      <c r="FU64" s="13"/>
      <c r="FV64" s="13"/>
      <c r="FW64" s="360"/>
      <c r="FX64" s="13"/>
      <c r="FY64" s="280"/>
      <c r="FZ64" s="266"/>
      <c r="GA64" s="266"/>
      <c r="GB64" s="269"/>
      <c r="GC64" s="269"/>
    </row>
    <row r="65" spans="1:185" s="109" customFormat="1" x14ac:dyDescent="0.25">
      <c r="A65" s="20"/>
      <c r="B65" s="111"/>
      <c r="C65" s="111"/>
      <c r="D65" s="111"/>
      <c r="E65" s="111"/>
      <c r="F65" s="111"/>
      <c r="G65" s="111"/>
      <c r="H65" s="111"/>
      <c r="I65" s="111"/>
      <c r="J65" s="111"/>
      <c r="K65" s="111"/>
      <c r="L65" s="111"/>
      <c r="M65" s="111"/>
      <c r="N65" s="111"/>
      <c r="O65" s="111"/>
      <c r="P65" s="111"/>
      <c r="Q65" s="113"/>
      <c r="R65" s="113"/>
      <c r="S65" s="113"/>
      <c r="T65" s="113"/>
      <c r="U65" s="111"/>
      <c r="V65" s="111"/>
      <c r="W65" s="111"/>
      <c r="X65" s="111"/>
      <c r="Y65" s="111"/>
      <c r="Z65" s="111"/>
      <c r="AA65" s="111"/>
      <c r="AB65" s="111"/>
      <c r="AC65" s="111"/>
      <c r="AD65" s="111"/>
      <c r="AE65" s="111"/>
      <c r="AF65" s="111"/>
      <c r="AG65" s="111"/>
      <c r="AH65" s="111"/>
      <c r="AI65" s="111"/>
      <c r="AJ65" s="111"/>
      <c r="AK65" s="111"/>
      <c r="AL65" s="111"/>
      <c r="AM65" s="101"/>
      <c r="AN65" s="101"/>
      <c r="AO65" s="111"/>
      <c r="AP65" s="280"/>
      <c r="AQ65" s="20"/>
      <c r="AR65" s="111"/>
      <c r="AS65" s="111"/>
      <c r="AT65" s="111"/>
      <c r="AU65" s="111"/>
      <c r="AV65" s="111"/>
      <c r="AW65" s="111"/>
      <c r="AX65" s="111"/>
      <c r="AY65" s="111"/>
      <c r="AZ65" s="111"/>
      <c r="BA65" s="111"/>
      <c r="BB65" s="111"/>
      <c r="BC65" s="111"/>
      <c r="BD65" s="111"/>
      <c r="BE65" s="111"/>
      <c r="BF65" s="111"/>
      <c r="BG65" s="111"/>
      <c r="BH65" s="111"/>
      <c r="BI65" s="111"/>
      <c r="BJ65" s="111"/>
      <c r="BK65" s="111"/>
      <c r="BL65" s="111"/>
      <c r="BM65" s="111"/>
      <c r="BN65" s="111"/>
      <c r="BO65" s="111"/>
      <c r="BP65" s="111"/>
      <c r="BQ65" s="111"/>
      <c r="BR65" s="111"/>
      <c r="BS65" s="111"/>
      <c r="BT65" s="111"/>
      <c r="BU65" s="111"/>
      <c r="BV65" s="111"/>
      <c r="BW65" s="111"/>
      <c r="BX65" s="111"/>
      <c r="BY65" s="111"/>
      <c r="BZ65" s="111"/>
      <c r="CA65" s="111"/>
      <c r="CB65" s="111"/>
      <c r="CC65" s="111"/>
      <c r="CD65" s="111"/>
      <c r="CE65" s="111"/>
      <c r="CF65" s="111"/>
      <c r="CG65" s="111"/>
      <c r="CH65" s="111"/>
      <c r="CI65" s="111"/>
      <c r="CJ65" s="111"/>
      <c r="CK65" s="111"/>
      <c r="CL65" s="111"/>
      <c r="CM65" s="111"/>
      <c r="CN65" s="111"/>
      <c r="CO65" s="111"/>
      <c r="CP65" s="111"/>
      <c r="CQ65" s="111"/>
      <c r="CR65" s="111"/>
      <c r="CS65" s="111"/>
      <c r="CT65" s="111"/>
      <c r="CU65" s="111"/>
      <c r="CV65" s="111"/>
      <c r="CW65" s="111"/>
      <c r="CX65" s="111"/>
      <c r="CY65" s="111"/>
      <c r="CZ65" s="111"/>
      <c r="DA65" s="111"/>
      <c r="DB65" s="111"/>
      <c r="DC65" s="111"/>
      <c r="DD65" s="111"/>
      <c r="DE65" s="111"/>
      <c r="DF65" s="111"/>
      <c r="DG65" s="111"/>
      <c r="DH65" s="111"/>
      <c r="DI65" s="111"/>
      <c r="DJ65" s="111"/>
      <c r="DK65" s="111"/>
      <c r="DL65" s="111"/>
      <c r="DM65" s="111"/>
      <c r="DN65" s="111"/>
      <c r="DO65" s="111"/>
      <c r="DP65" s="111"/>
      <c r="DQ65" s="111"/>
      <c r="DR65" s="111"/>
      <c r="DS65" s="111"/>
      <c r="DT65" s="111"/>
      <c r="DU65" s="111"/>
      <c r="DV65" s="111"/>
      <c r="DW65" s="111"/>
      <c r="DX65" s="111"/>
      <c r="DY65" s="111"/>
      <c r="DZ65" s="111"/>
      <c r="EA65" s="111"/>
      <c r="EB65" s="111"/>
      <c r="EC65" s="280"/>
      <c r="ED65" s="20"/>
      <c r="EE65" s="111"/>
      <c r="EF65" s="111"/>
      <c r="EG65" s="111"/>
      <c r="EH65" s="111"/>
      <c r="EI65" s="111"/>
      <c r="EJ65" s="111"/>
      <c r="EK65" s="111"/>
      <c r="EL65" s="111"/>
      <c r="EM65" s="111"/>
      <c r="EN65" s="111"/>
      <c r="EO65" s="111"/>
      <c r="EP65" s="111"/>
      <c r="EQ65" s="111"/>
      <c r="ER65" s="111"/>
      <c r="ES65" s="111"/>
      <c r="ET65" s="111"/>
      <c r="EU65" s="111"/>
      <c r="EV65" s="111"/>
      <c r="EW65" s="111"/>
      <c r="EX65" s="111"/>
      <c r="EY65" s="111"/>
      <c r="EZ65" s="111"/>
      <c r="FA65" s="111"/>
      <c r="FB65" s="111"/>
      <c r="FC65" s="111"/>
      <c r="FD65" s="111"/>
      <c r="FE65" s="111"/>
      <c r="FF65" s="111"/>
      <c r="FG65" s="111"/>
      <c r="FH65" s="111"/>
      <c r="FI65" s="111"/>
      <c r="FJ65" s="111"/>
      <c r="FK65" s="111"/>
      <c r="FL65" s="111"/>
      <c r="FM65" s="111"/>
      <c r="FN65" s="111"/>
      <c r="FO65" s="111"/>
      <c r="FP65" s="111"/>
      <c r="FQ65" s="111"/>
      <c r="FR65" s="111"/>
      <c r="FS65" s="111"/>
      <c r="FT65" s="111"/>
      <c r="FU65" s="111"/>
      <c r="FV65" s="111"/>
      <c r="FW65" s="305"/>
      <c r="FX65" s="111"/>
      <c r="FY65" s="280"/>
      <c r="FZ65" s="266"/>
      <c r="GA65" s="266"/>
      <c r="GB65" s="269"/>
      <c r="GC65" s="269"/>
    </row>
    <row r="66" spans="1:185" s="109" customFormat="1" x14ac:dyDescent="0.25">
      <c r="A66" s="20"/>
      <c r="B66" s="111"/>
      <c r="C66" s="111"/>
      <c r="D66" s="111"/>
      <c r="E66" s="111"/>
      <c r="F66" s="111"/>
      <c r="G66" s="111"/>
      <c r="H66" s="111"/>
      <c r="I66" s="111"/>
      <c r="J66" s="111"/>
      <c r="K66" s="111"/>
      <c r="L66" s="111"/>
      <c r="M66" s="111"/>
      <c r="N66" s="111"/>
      <c r="O66" s="111"/>
      <c r="P66" s="111"/>
      <c r="Q66" s="113"/>
      <c r="R66" s="113"/>
      <c r="S66" s="113"/>
      <c r="T66" s="113"/>
      <c r="U66" s="111"/>
      <c r="V66" s="111"/>
      <c r="W66" s="111"/>
      <c r="X66" s="111"/>
      <c r="Y66" s="13"/>
      <c r="Z66" s="103"/>
      <c r="AA66" s="111"/>
      <c r="AB66" s="103"/>
      <c r="AC66" s="111"/>
      <c r="AD66" s="13"/>
      <c r="AE66" s="103"/>
      <c r="AF66" s="111"/>
      <c r="AG66" s="103"/>
      <c r="AH66" s="111"/>
      <c r="AI66" s="103"/>
      <c r="AJ66" s="111"/>
      <c r="AK66" s="103"/>
      <c r="AL66" s="111"/>
      <c r="AM66" s="353"/>
      <c r="AN66" s="353"/>
      <c r="AO66" s="103"/>
      <c r="AP66" s="280"/>
      <c r="AQ66" s="20"/>
      <c r="AR66" s="103"/>
      <c r="AS66" s="111"/>
      <c r="AT66" s="13"/>
      <c r="AU66" s="103"/>
      <c r="AV66" s="103"/>
      <c r="AW66" s="111"/>
      <c r="AX66" s="103"/>
      <c r="AY66" s="111"/>
      <c r="AZ66" s="103"/>
      <c r="BA66" s="111"/>
      <c r="BB66" s="111"/>
      <c r="BC66" s="111"/>
      <c r="BD66" s="103"/>
      <c r="BE66" s="111"/>
      <c r="BF66" s="103"/>
      <c r="BG66" s="103"/>
      <c r="BH66" s="103"/>
      <c r="BI66" s="111"/>
      <c r="BJ66" s="111"/>
      <c r="BK66" s="103"/>
      <c r="BL66" s="103"/>
      <c r="BM66" s="111"/>
      <c r="BN66" s="103"/>
      <c r="BO66" s="111"/>
      <c r="BP66" s="13"/>
      <c r="BQ66" s="103"/>
      <c r="BR66" s="111"/>
      <c r="BS66" s="103"/>
      <c r="BT66" s="111"/>
      <c r="BU66" s="111"/>
      <c r="BV66" s="111"/>
      <c r="BW66" s="111"/>
      <c r="BX66" s="111"/>
      <c r="BY66" s="103"/>
      <c r="BZ66" s="111"/>
      <c r="CA66" s="111"/>
      <c r="CB66" s="111"/>
      <c r="CC66" s="111"/>
      <c r="CD66" s="111"/>
      <c r="CE66" s="111"/>
      <c r="CF66" s="111"/>
      <c r="CG66" s="111"/>
      <c r="CH66" s="111"/>
      <c r="CI66" s="111"/>
      <c r="CJ66" s="111"/>
      <c r="CK66" s="111"/>
      <c r="CL66" s="111"/>
      <c r="CM66" s="111"/>
      <c r="CN66" s="111"/>
      <c r="CO66" s="111"/>
      <c r="CP66" s="111"/>
      <c r="CQ66" s="111"/>
      <c r="CR66" s="111"/>
      <c r="CS66" s="111"/>
      <c r="CT66" s="111"/>
      <c r="CU66" s="111"/>
      <c r="CV66" s="111"/>
      <c r="CW66" s="111"/>
      <c r="CX66" s="111"/>
      <c r="CY66" s="111"/>
      <c r="CZ66" s="111"/>
      <c r="DA66" s="111"/>
      <c r="DB66" s="111"/>
      <c r="DC66" s="111"/>
      <c r="DD66" s="111"/>
      <c r="DE66" s="111"/>
      <c r="DF66" s="111"/>
      <c r="DG66" s="111"/>
      <c r="DH66" s="111"/>
      <c r="DI66" s="111"/>
      <c r="DJ66" s="111"/>
      <c r="DK66" s="103"/>
      <c r="DL66" s="103"/>
      <c r="DM66" s="103"/>
      <c r="DN66" s="103"/>
      <c r="DO66" s="103"/>
      <c r="DP66" s="103"/>
      <c r="DQ66" s="103"/>
      <c r="DR66" s="103"/>
      <c r="DS66" s="103"/>
      <c r="DT66" s="103"/>
      <c r="DU66" s="103"/>
      <c r="DV66" s="103"/>
      <c r="DW66" s="103"/>
      <c r="DX66" s="103"/>
      <c r="DY66" s="103"/>
      <c r="DZ66" s="103"/>
      <c r="EA66" s="103"/>
      <c r="EB66" s="103"/>
      <c r="EC66" s="280"/>
      <c r="ED66" s="20"/>
      <c r="EE66" s="103"/>
      <c r="EF66" s="111"/>
      <c r="EG66" s="13"/>
      <c r="EH66" s="103"/>
      <c r="EI66" s="111"/>
      <c r="EJ66" s="111"/>
      <c r="EK66" s="111"/>
      <c r="EL66" s="111"/>
      <c r="EM66" s="111"/>
      <c r="EN66" s="111"/>
      <c r="EO66" s="111"/>
      <c r="EP66" s="111"/>
      <c r="EQ66" s="111"/>
      <c r="ER66" s="111"/>
      <c r="ES66" s="111"/>
      <c r="ET66" s="111"/>
      <c r="EU66" s="111"/>
      <c r="EV66" s="111"/>
      <c r="EW66" s="111"/>
      <c r="EX66" s="111"/>
      <c r="EY66" s="111"/>
      <c r="EZ66" s="111"/>
      <c r="FA66" s="111"/>
      <c r="FB66" s="111"/>
      <c r="FC66" s="111"/>
      <c r="FD66" s="111"/>
      <c r="FE66" s="111"/>
      <c r="FF66" s="111"/>
      <c r="FG66" s="111"/>
      <c r="FH66" s="111"/>
      <c r="FI66" s="111"/>
      <c r="FJ66" s="111"/>
      <c r="FK66" s="111"/>
      <c r="FL66" s="111"/>
      <c r="FM66" s="111"/>
      <c r="FN66" s="111"/>
      <c r="FO66" s="103"/>
      <c r="FP66" s="103"/>
      <c r="FQ66" s="103"/>
      <c r="FR66" s="103"/>
      <c r="FS66" s="103"/>
      <c r="FT66" s="103"/>
      <c r="FU66" s="103"/>
      <c r="FV66" s="103"/>
      <c r="FW66" s="386"/>
      <c r="FX66" s="103"/>
      <c r="FY66" s="280"/>
      <c r="FZ66" s="266"/>
      <c r="GA66" s="266"/>
      <c r="GB66" s="269"/>
      <c r="GC66" s="269"/>
    </row>
    <row r="67" spans="1:185" s="109" customFormat="1" x14ac:dyDescent="0.25">
      <c r="A67" s="20"/>
      <c r="B67" s="111"/>
      <c r="C67" s="111"/>
      <c r="D67" s="111"/>
      <c r="E67" s="111"/>
      <c r="F67" s="111"/>
      <c r="G67" s="111"/>
      <c r="H67" s="111"/>
      <c r="I67" s="111"/>
      <c r="J67" s="111"/>
      <c r="K67" s="111"/>
      <c r="L67" s="111"/>
      <c r="M67" s="111"/>
      <c r="N67" s="111"/>
      <c r="O67" s="111"/>
      <c r="P67" s="111"/>
      <c r="Q67" s="113"/>
      <c r="R67" s="113"/>
      <c r="S67" s="113"/>
      <c r="T67" s="113"/>
      <c r="U67" s="111"/>
      <c r="V67" s="111"/>
      <c r="W67" s="111"/>
      <c r="X67" s="111"/>
      <c r="Y67" s="13"/>
      <c r="Z67" s="103"/>
      <c r="AA67" s="111"/>
      <c r="AB67" s="103"/>
      <c r="AC67" s="111"/>
      <c r="AD67" s="13"/>
      <c r="AE67" s="103"/>
      <c r="AF67" s="111"/>
      <c r="AG67" s="103"/>
      <c r="AH67" s="111"/>
      <c r="AI67" s="103"/>
      <c r="AJ67" s="111"/>
      <c r="AK67" s="103"/>
      <c r="AL67" s="111"/>
      <c r="AM67" s="353"/>
      <c r="AN67" s="353"/>
      <c r="AO67" s="103"/>
      <c r="AP67" s="280"/>
      <c r="AQ67" s="20"/>
      <c r="AR67" s="103"/>
      <c r="AS67" s="111"/>
      <c r="AT67" s="13"/>
      <c r="AU67" s="103"/>
      <c r="AV67" s="103"/>
      <c r="AW67" s="111"/>
      <c r="AX67" s="103"/>
      <c r="AY67" s="111"/>
      <c r="AZ67" s="103"/>
      <c r="BA67" s="111"/>
      <c r="BB67" s="111"/>
      <c r="BC67" s="111"/>
      <c r="BD67" s="103"/>
      <c r="BE67" s="111"/>
      <c r="BF67" s="103"/>
      <c r="BG67" s="103"/>
      <c r="BH67" s="103"/>
      <c r="BI67" s="111"/>
      <c r="BJ67" s="111"/>
      <c r="BK67" s="103"/>
      <c r="BL67" s="103"/>
      <c r="BM67" s="111"/>
      <c r="BN67" s="103"/>
      <c r="BO67" s="111"/>
      <c r="BP67" s="13"/>
      <c r="BQ67" s="103"/>
      <c r="BR67" s="111"/>
      <c r="BS67" s="103"/>
      <c r="BT67" s="111"/>
      <c r="BU67" s="111"/>
      <c r="BV67" s="111"/>
      <c r="BW67" s="111"/>
      <c r="BX67" s="111"/>
      <c r="BY67" s="103"/>
      <c r="BZ67" s="111"/>
      <c r="CA67" s="111"/>
      <c r="CB67" s="111"/>
      <c r="CC67" s="111"/>
      <c r="CD67" s="111"/>
      <c r="CE67" s="111"/>
      <c r="CF67" s="111"/>
      <c r="CG67" s="111"/>
      <c r="CH67" s="111"/>
      <c r="CI67" s="111"/>
      <c r="CJ67" s="111"/>
      <c r="CK67" s="111"/>
      <c r="CL67" s="111"/>
      <c r="CM67" s="111"/>
      <c r="CN67" s="111"/>
      <c r="CO67" s="111"/>
      <c r="CP67" s="111"/>
      <c r="CQ67" s="111"/>
      <c r="CR67" s="111"/>
      <c r="CS67" s="111"/>
      <c r="CT67" s="111"/>
      <c r="CU67" s="111"/>
      <c r="CV67" s="111"/>
      <c r="CW67" s="111"/>
      <c r="CX67" s="111"/>
      <c r="CY67" s="111"/>
      <c r="CZ67" s="111"/>
      <c r="DA67" s="111"/>
      <c r="DB67" s="111"/>
      <c r="DC67" s="111"/>
      <c r="DD67" s="111"/>
      <c r="DE67" s="111"/>
      <c r="DF67" s="111"/>
      <c r="DG67" s="111"/>
      <c r="DH67" s="111"/>
      <c r="DI67" s="111"/>
      <c r="DJ67" s="111"/>
      <c r="DK67" s="103"/>
      <c r="DL67" s="103"/>
      <c r="DM67" s="103"/>
      <c r="DN67" s="103"/>
      <c r="DO67" s="103"/>
      <c r="DP67" s="103"/>
      <c r="DQ67" s="103"/>
      <c r="DR67" s="103"/>
      <c r="DS67" s="103"/>
      <c r="DT67" s="103"/>
      <c r="DU67" s="103"/>
      <c r="DV67" s="103"/>
      <c r="DW67" s="103"/>
      <c r="DX67" s="103"/>
      <c r="DY67" s="103"/>
      <c r="DZ67" s="103"/>
      <c r="EA67" s="103"/>
      <c r="EB67" s="103"/>
      <c r="EC67" s="280"/>
      <c r="ED67" s="20"/>
      <c r="EE67" s="103"/>
      <c r="EF67" s="111"/>
      <c r="EG67" s="13"/>
      <c r="EH67" s="103"/>
      <c r="EI67" s="111"/>
      <c r="EJ67" s="111"/>
      <c r="EK67" s="111"/>
      <c r="EL67" s="111"/>
      <c r="EM67" s="111"/>
      <c r="EN67" s="111"/>
      <c r="EO67" s="111"/>
      <c r="EP67" s="111"/>
      <c r="EQ67" s="111"/>
      <c r="ER67" s="111"/>
      <c r="ES67" s="111"/>
      <c r="ET67" s="111"/>
      <c r="EU67" s="111"/>
      <c r="EV67" s="111"/>
      <c r="EW67" s="111"/>
      <c r="EX67" s="111"/>
      <c r="EY67" s="111"/>
      <c r="EZ67" s="111"/>
      <c r="FA67" s="111"/>
      <c r="FB67" s="111"/>
      <c r="FC67" s="111"/>
      <c r="FD67" s="111"/>
      <c r="FE67" s="111"/>
      <c r="FF67" s="111"/>
      <c r="FG67" s="111"/>
      <c r="FH67" s="111"/>
      <c r="FI67" s="111"/>
      <c r="FJ67" s="111"/>
      <c r="FK67" s="111"/>
      <c r="FL67" s="111"/>
      <c r="FM67" s="111"/>
      <c r="FN67" s="111"/>
      <c r="FO67" s="103"/>
      <c r="FP67" s="103"/>
      <c r="FQ67" s="103"/>
      <c r="FR67" s="103"/>
      <c r="FS67" s="103"/>
      <c r="FT67" s="103"/>
      <c r="FU67" s="103"/>
      <c r="FV67" s="103"/>
      <c r="FW67" s="386"/>
      <c r="FX67" s="103"/>
      <c r="FY67" s="280"/>
      <c r="FZ67" s="266"/>
      <c r="GA67" s="266"/>
      <c r="GB67" s="269"/>
      <c r="GC67" s="269"/>
    </row>
    <row r="68" spans="1:185" s="109" customFormat="1" x14ac:dyDescent="0.25">
      <c r="A68" s="20"/>
      <c r="B68" s="111"/>
      <c r="C68" s="111"/>
      <c r="D68" s="111"/>
      <c r="E68" s="111"/>
      <c r="F68" s="111"/>
      <c r="G68" s="111"/>
      <c r="H68" s="111"/>
      <c r="I68" s="111"/>
      <c r="J68" s="111"/>
      <c r="K68" s="111"/>
      <c r="L68" s="111"/>
      <c r="M68" s="111"/>
      <c r="N68" s="111"/>
      <c r="O68" s="111"/>
      <c r="P68" s="111"/>
      <c r="Q68" s="113"/>
      <c r="R68" s="113"/>
      <c r="S68" s="113"/>
      <c r="T68" s="113"/>
      <c r="U68" s="111"/>
      <c r="V68" s="111"/>
      <c r="W68" s="111"/>
      <c r="X68" s="111"/>
      <c r="Y68" s="13"/>
      <c r="Z68" s="103"/>
      <c r="AA68" s="111"/>
      <c r="AB68" s="103"/>
      <c r="AC68" s="111"/>
      <c r="AD68" s="13"/>
      <c r="AE68" s="103"/>
      <c r="AF68" s="111"/>
      <c r="AG68" s="103"/>
      <c r="AH68" s="111"/>
      <c r="AI68" s="103"/>
      <c r="AJ68" s="111"/>
      <c r="AK68" s="103"/>
      <c r="AL68" s="111"/>
      <c r="AM68" s="353"/>
      <c r="AN68" s="353"/>
      <c r="AO68" s="103"/>
      <c r="AP68" s="280"/>
      <c r="AQ68" s="20"/>
      <c r="AR68" s="103"/>
      <c r="AS68" s="111"/>
      <c r="AT68" s="13"/>
      <c r="AU68" s="103"/>
      <c r="AV68" s="103"/>
      <c r="AW68" s="111"/>
      <c r="AX68" s="103"/>
      <c r="AY68" s="111"/>
      <c r="AZ68" s="103"/>
      <c r="BA68" s="111"/>
      <c r="BB68" s="111"/>
      <c r="BC68" s="111"/>
      <c r="BD68" s="103"/>
      <c r="BE68" s="111"/>
      <c r="BF68" s="103"/>
      <c r="BG68" s="103"/>
      <c r="BH68" s="103"/>
      <c r="BI68" s="111"/>
      <c r="BJ68" s="111"/>
      <c r="BK68" s="103"/>
      <c r="BL68" s="103"/>
      <c r="BM68" s="111"/>
      <c r="BN68" s="103"/>
      <c r="BO68" s="111"/>
      <c r="BP68" s="13"/>
      <c r="BQ68" s="103"/>
      <c r="BR68" s="111"/>
      <c r="BS68" s="103"/>
      <c r="BT68" s="111"/>
      <c r="BU68" s="111"/>
      <c r="BV68" s="111"/>
      <c r="BW68" s="111"/>
      <c r="BX68" s="111"/>
      <c r="BY68" s="103"/>
      <c r="BZ68" s="111"/>
      <c r="CA68" s="111"/>
      <c r="CB68" s="111"/>
      <c r="CC68" s="111"/>
      <c r="CD68" s="111"/>
      <c r="CE68" s="111"/>
      <c r="CF68" s="111"/>
      <c r="CG68" s="111"/>
      <c r="CH68" s="111"/>
      <c r="CI68" s="111"/>
      <c r="CJ68" s="111"/>
      <c r="CK68" s="111"/>
      <c r="CL68" s="111"/>
      <c r="CM68" s="111"/>
      <c r="CN68" s="111"/>
      <c r="CO68" s="111"/>
      <c r="CP68" s="111"/>
      <c r="CQ68" s="111"/>
      <c r="CR68" s="111"/>
      <c r="CS68" s="111"/>
      <c r="CT68" s="111"/>
      <c r="CU68" s="111"/>
      <c r="CV68" s="111"/>
      <c r="CW68" s="111"/>
      <c r="CX68" s="111"/>
      <c r="CY68" s="111"/>
      <c r="CZ68" s="111"/>
      <c r="DA68" s="111"/>
      <c r="DB68" s="111"/>
      <c r="DC68" s="111"/>
      <c r="DD68" s="111"/>
      <c r="DE68" s="111"/>
      <c r="DF68" s="111"/>
      <c r="DG68" s="111"/>
      <c r="DH68" s="111"/>
      <c r="DI68" s="111"/>
      <c r="DJ68" s="111"/>
      <c r="DK68" s="103"/>
      <c r="DL68" s="103"/>
      <c r="DM68" s="103"/>
      <c r="DN68" s="103"/>
      <c r="DO68" s="103"/>
      <c r="DP68" s="103"/>
      <c r="DQ68" s="103"/>
      <c r="DR68" s="103"/>
      <c r="DS68" s="103"/>
      <c r="DT68" s="103"/>
      <c r="DU68" s="103"/>
      <c r="DV68" s="103"/>
      <c r="DW68" s="103"/>
      <c r="DX68" s="103"/>
      <c r="DY68" s="103"/>
      <c r="DZ68" s="103"/>
      <c r="EA68" s="103"/>
      <c r="EB68" s="103"/>
      <c r="EC68" s="280"/>
      <c r="ED68" s="20"/>
      <c r="EE68" s="103"/>
      <c r="EF68" s="111"/>
      <c r="EG68" s="13"/>
      <c r="EH68" s="103"/>
      <c r="EI68" s="111"/>
      <c r="EJ68" s="111"/>
      <c r="EK68" s="111"/>
      <c r="EL68" s="111"/>
      <c r="EM68" s="111"/>
      <c r="EN68" s="111"/>
      <c r="EO68" s="111"/>
      <c r="EP68" s="111"/>
      <c r="EQ68" s="111"/>
      <c r="ER68" s="111"/>
      <c r="ES68" s="111"/>
      <c r="ET68" s="111"/>
      <c r="EU68" s="111"/>
      <c r="EV68" s="111"/>
      <c r="EW68" s="111"/>
      <c r="EX68" s="111"/>
      <c r="EY68" s="111"/>
      <c r="EZ68" s="111"/>
      <c r="FA68" s="111"/>
      <c r="FB68" s="111"/>
      <c r="FC68" s="111"/>
      <c r="FD68" s="111"/>
      <c r="FE68" s="111"/>
      <c r="FF68" s="111"/>
      <c r="FG68" s="111"/>
      <c r="FH68" s="111"/>
      <c r="FI68" s="111"/>
      <c r="FJ68" s="111"/>
      <c r="FK68" s="111"/>
      <c r="FL68" s="111"/>
      <c r="FM68" s="111"/>
      <c r="FN68" s="111"/>
      <c r="FO68" s="103"/>
      <c r="FP68" s="103"/>
      <c r="FQ68" s="103"/>
      <c r="FR68" s="103"/>
      <c r="FS68" s="103"/>
      <c r="FT68" s="103"/>
      <c r="FU68" s="103"/>
      <c r="FV68" s="103"/>
      <c r="FW68" s="386"/>
      <c r="FX68" s="103"/>
      <c r="FY68" s="280"/>
      <c r="FZ68" s="266"/>
      <c r="GA68" s="266"/>
      <c r="GB68" s="269"/>
      <c r="GC68" s="269"/>
    </row>
    <row r="69" spans="1:185" s="109" customFormat="1" x14ac:dyDescent="0.25">
      <c r="A69" s="20"/>
      <c r="B69" s="111"/>
      <c r="C69" s="111"/>
      <c r="D69" s="111"/>
      <c r="E69" s="111"/>
      <c r="F69" s="111"/>
      <c r="G69" s="111"/>
      <c r="H69" s="111"/>
      <c r="I69" s="111"/>
      <c r="J69" s="111"/>
      <c r="K69" s="111"/>
      <c r="L69" s="111"/>
      <c r="M69" s="111"/>
      <c r="N69" s="111"/>
      <c r="O69" s="111"/>
      <c r="P69" s="111"/>
      <c r="Q69" s="113"/>
      <c r="R69" s="113"/>
      <c r="S69" s="113"/>
      <c r="T69" s="113"/>
      <c r="U69" s="111"/>
      <c r="V69" s="111"/>
      <c r="W69" s="111"/>
      <c r="X69" s="111"/>
      <c r="Y69" s="13"/>
      <c r="Z69" s="13"/>
      <c r="AA69" s="111"/>
      <c r="AB69" s="13"/>
      <c r="AC69" s="111"/>
      <c r="AD69" s="13"/>
      <c r="AE69" s="13"/>
      <c r="AF69" s="111"/>
      <c r="AG69" s="13"/>
      <c r="AH69" s="111"/>
      <c r="AI69" s="13"/>
      <c r="AJ69" s="111"/>
      <c r="AK69" s="13"/>
      <c r="AL69" s="111"/>
      <c r="AM69" s="98"/>
      <c r="AN69" s="98"/>
      <c r="AO69" s="13"/>
      <c r="AP69" s="280"/>
      <c r="AQ69" s="20"/>
      <c r="AR69" s="13"/>
      <c r="AS69" s="111"/>
      <c r="AT69" s="13"/>
      <c r="AU69" s="13"/>
      <c r="AV69" s="13"/>
      <c r="AW69" s="111"/>
      <c r="AX69" s="13"/>
      <c r="AY69" s="111"/>
      <c r="AZ69" s="13"/>
      <c r="BA69" s="111"/>
      <c r="BB69" s="111"/>
      <c r="BC69" s="111"/>
      <c r="BD69" s="13"/>
      <c r="BE69" s="111"/>
      <c r="BF69" s="13"/>
      <c r="BG69" s="13"/>
      <c r="BH69" s="13"/>
      <c r="BI69" s="111"/>
      <c r="BJ69" s="111"/>
      <c r="BK69" s="13"/>
      <c r="BL69" s="13"/>
      <c r="BM69" s="111"/>
      <c r="BN69" s="13"/>
      <c r="BO69" s="111"/>
      <c r="BP69" s="13"/>
      <c r="BQ69" s="13"/>
      <c r="BR69" s="111"/>
      <c r="BS69" s="13"/>
      <c r="BT69" s="111"/>
      <c r="BU69" s="111"/>
      <c r="BV69" s="111"/>
      <c r="BW69" s="111"/>
      <c r="BX69" s="111"/>
      <c r="BY69" s="13"/>
      <c r="BZ69" s="111"/>
      <c r="CA69" s="111"/>
      <c r="CB69" s="111"/>
      <c r="CC69" s="111"/>
      <c r="CD69" s="111"/>
      <c r="CE69" s="111"/>
      <c r="CF69" s="111"/>
      <c r="CG69" s="111"/>
      <c r="CH69" s="111"/>
      <c r="CI69" s="111"/>
      <c r="CJ69" s="111"/>
      <c r="CK69" s="111"/>
      <c r="CL69" s="111"/>
      <c r="CM69" s="111"/>
      <c r="CN69" s="111"/>
      <c r="CO69" s="111"/>
      <c r="CP69" s="111"/>
      <c r="CQ69" s="111"/>
      <c r="CR69" s="111"/>
      <c r="CS69" s="111"/>
      <c r="CT69" s="111"/>
      <c r="CU69" s="111"/>
      <c r="CV69" s="111"/>
      <c r="CW69" s="111"/>
      <c r="CX69" s="111"/>
      <c r="CY69" s="111"/>
      <c r="CZ69" s="111"/>
      <c r="DA69" s="111"/>
      <c r="DB69" s="111"/>
      <c r="DC69" s="111"/>
      <c r="DD69" s="111"/>
      <c r="DE69" s="111"/>
      <c r="DF69" s="111"/>
      <c r="DG69" s="111"/>
      <c r="DH69" s="111"/>
      <c r="DI69" s="111"/>
      <c r="DJ69" s="111"/>
      <c r="DK69" s="13"/>
      <c r="DL69" s="13"/>
      <c r="DM69" s="13"/>
      <c r="DN69" s="13"/>
      <c r="DO69" s="13"/>
      <c r="DP69" s="13"/>
      <c r="DQ69" s="13"/>
      <c r="DR69" s="13"/>
      <c r="DS69" s="13"/>
      <c r="DT69" s="13"/>
      <c r="DU69" s="13"/>
      <c r="DV69" s="13"/>
      <c r="DW69" s="13"/>
      <c r="DX69" s="13"/>
      <c r="DY69" s="13"/>
      <c r="DZ69" s="13"/>
      <c r="EA69" s="13"/>
      <c r="EB69" s="13"/>
      <c r="EC69" s="280"/>
      <c r="ED69" s="20"/>
      <c r="EE69" s="13"/>
      <c r="EF69" s="111"/>
      <c r="EG69" s="13"/>
      <c r="EH69" s="13"/>
      <c r="EI69" s="111"/>
      <c r="EJ69" s="111"/>
      <c r="EK69" s="111"/>
      <c r="EL69" s="111"/>
      <c r="EM69" s="111"/>
      <c r="EN69" s="111"/>
      <c r="EO69" s="111"/>
      <c r="EP69" s="111"/>
      <c r="EQ69" s="111"/>
      <c r="ER69" s="111"/>
      <c r="ES69" s="111"/>
      <c r="ET69" s="111"/>
      <c r="EU69" s="111"/>
      <c r="EV69" s="111"/>
      <c r="EW69" s="111"/>
      <c r="EX69" s="111"/>
      <c r="EY69" s="111"/>
      <c r="EZ69" s="111"/>
      <c r="FA69" s="111"/>
      <c r="FB69" s="111"/>
      <c r="FC69" s="111"/>
      <c r="FD69" s="111"/>
      <c r="FE69" s="111"/>
      <c r="FF69" s="111"/>
      <c r="FG69" s="111"/>
      <c r="FH69" s="111"/>
      <c r="FI69" s="111"/>
      <c r="FJ69" s="111"/>
      <c r="FK69" s="111"/>
      <c r="FL69" s="111"/>
      <c r="FM69" s="111"/>
      <c r="FN69" s="111"/>
      <c r="FO69" s="13"/>
      <c r="FP69" s="13"/>
      <c r="FQ69" s="13"/>
      <c r="FR69" s="13"/>
      <c r="FS69" s="13"/>
      <c r="FT69" s="13"/>
      <c r="FU69" s="13"/>
      <c r="FV69" s="13"/>
      <c r="FW69" s="360"/>
      <c r="FX69" s="13"/>
      <c r="FY69" s="280"/>
      <c r="FZ69" s="266"/>
      <c r="GA69" s="266"/>
      <c r="GB69" s="269"/>
      <c r="GC69" s="269"/>
    </row>
    <row r="70" spans="1:185" s="109" customFormat="1" x14ac:dyDescent="0.25">
      <c r="A70" s="20"/>
      <c r="B70" s="111"/>
      <c r="C70" s="111"/>
      <c r="D70" s="111"/>
      <c r="E70" s="111"/>
      <c r="F70" s="111"/>
      <c r="G70" s="111"/>
      <c r="H70" s="111"/>
      <c r="I70" s="111"/>
      <c r="J70" s="111"/>
      <c r="K70" s="111"/>
      <c r="L70" s="111"/>
      <c r="M70" s="111"/>
      <c r="N70" s="111"/>
      <c r="O70" s="111"/>
      <c r="P70" s="111"/>
      <c r="Q70" s="113"/>
      <c r="R70" s="113"/>
      <c r="S70" s="113"/>
      <c r="T70" s="113"/>
      <c r="U70" s="111"/>
      <c r="V70" s="111"/>
      <c r="W70" s="111"/>
      <c r="X70" s="111"/>
      <c r="Y70" s="13"/>
      <c r="Z70" s="13"/>
      <c r="AA70" s="111"/>
      <c r="AB70" s="13"/>
      <c r="AC70" s="111"/>
      <c r="AD70" s="13"/>
      <c r="AE70" s="13"/>
      <c r="AF70" s="111"/>
      <c r="AG70" s="13"/>
      <c r="AH70" s="111"/>
      <c r="AI70" s="13"/>
      <c r="AJ70" s="111"/>
      <c r="AK70" s="13"/>
      <c r="AL70" s="111"/>
      <c r="AM70" s="98"/>
      <c r="AN70" s="98"/>
      <c r="AO70" s="13"/>
      <c r="AP70" s="280"/>
      <c r="AQ70" s="20"/>
      <c r="AR70" s="13"/>
      <c r="AS70" s="111"/>
      <c r="AT70" s="13"/>
      <c r="AU70" s="13"/>
      <c r="AV70" s="13"/>
      <c r="AW70" s="111"/>
      <c r="AX70" s="13"/>
      <c r="AY70" s="111"/>
      <c r="AZ70" s="13"/>
      <c r="BA70" s="111"/>
      <c r="BB70" s="111"/>
      <c r="BC70" s="111"/>
      <c r="BD70" s="13"/>
      <c r="BE70" s="111"/>
      <c r="BF70" s="13"/>
      <c r="BG70" s="13"/>
      <c r="BH70" s="13"/>
      <c r="BI70" s="111"/>
      <c r="BJ70" s="111"/>
      <c r="BK70" s="13"/>
      <c r="BL70" s="13"/>
      <c r="BM70" s="111"/>
      <c r="BN70" s="13"/>
      <c r="BO70" s="111"/>
      <c r="BP70" s="13"/>
      <c r="BQ70" s="13"/>
      <c r="BR70" s="111"/>
      <c r="BS70" s="13"/>
      <c r="BT70" s="111"/>
      <c r="BU70" s="111"/>
      <c r="BV70" s="111"/>
      <c r="BW70" s="111"/>
      <c r="BX70" s="111"/>
      <c r="BY70" s="13"/>
      <c r="BZ70" s="111"/>
      <c r="CA70" s="111"/>
      <c r="CB70" s="111"/>
      <c r="CC70" s="111"/>
      <c r="CD70" s="111"/>
      <c r="CE70" s="111"/>
      <c r="CF70" s="111"/>
      <c r="CG70" s="111"/>
      <c r="CH70" s="111"/>
      <c r="CI70" s="111"/>
      <c r="CJ70" s="111"/>
      <c r="CK70" s="111"/>
      <c r="CL70" s="111"/>
      <c r="CM70" s="111"/>
      <c r="CN70" s="111"/>
      <c r="CO70" s="111"/>
      <c r="CP70" s="111"/>
      <c r="CQ70" s="111"/>
      <c r="CR70" s="111"/>
      <c r="CS70" s="111"/>
      <c r="CT70" s="111"/>
      <c r="CU70" s="111"/>
      <c r="CV70" s="111"/>
      <c r="CW70" s="111"/>
      <c r="CX70" s="111"/>
      <c r="CY70" s="111"/>
      <c r="CZ70" s="111"/>
      <c r="DA70" s="111"/>
      <c r="DB70" s="111"/>
      <c r="DC70" s="111"/>
      <c r="DD70" s="111"/>
      <c r="DE70" s="111"/>
      <c r="DF70" s="111"/>
      <c r="DG70" s="111"/>
      <c r="DH70" s="111"/>
      <c r="DI70" s="111"/>
      <c r="DJ70" s="111"/>
      <c r="DK70" s="13"/>
      <c r="DL70" s="13"/>
      <c r="DM70" s="13"/>
      <c r="DN70" s="13"/>
      <c r="DO70" s="13"/>
      <c r="DP70" s="13"/>
      <c r="DQ70" s="13"/>
      <c r="DR70" s="13"/>
      <c r="DS70" s="13"/>
      <c r="DT70" s="13"/>
      <c r="DU70" s="13"/>
      <c r="DV70" s="13"/>
      <c r="DW70" s="13"/>
      <c r="DX70" s="13"/>
      <c r="DY70" s="13"/>
      <c r="DZ70" s="13"/>
      <c r="EA70" s="13"/>
      <c r="EB70" s="13"/>
      <c r="EC70" s="280"/>
      <c r="ED70" s="20"/>
      <c r="EE70" s="13"/>
      <c r="EF70" s="111"/>
      <c r="EG70" s="13"/>
      <c r="EH70" s="13"/>
      <c r="EI70" s="111"/>
      <c r="EJ70" s="111"/>
      <c r="EK70" s="111"/>
      <c r="EL70" s="111"/>
      <c r="EM70" s="111"/>
      <c r="EN70" s="111"/>
      <c r="EO70" s="111"/>
      <c r="EP70" s="111"/>
      <c r="EQ70" s="111"/>
      <c r="ER70" s="111"/>
      <c r="ES70" s="111"/>
      <c r="ET70" s="111"/>
      <c r="EU70" s="111"/>
      <c r="EV70" s="111"/>
      <c r="EW70" s="111"/>
      <c r="EX70" s="111"/>
      <c r="EY70" s="111"/>
      <c r="EZ70" s="111"/>
      <c r="FA70" s="111"/>
      <c r="FB70" s="111"/>
      <c r="FC70" s="111"/>
      <c r="FD70" s="111"/>
      <c r="FE70" s="111"/>
      <c r="FF70" s="111"/>
      <c r="FG70" s="111"/>
      <c r="FH70" s="111"/>
      <c r="FI70" s="111"/>
      <c r="FJ70" s="111"/>
      <c r="FK70" s="111"/>
      <c r="FL70" s="111"/>
      <c r="FM70" s="111"/>
      <c r="FN70" s="111"/>
      <c r="FO70" s="13"/>
      <c r="FP70" s="13"/>
      <c r="FQ70" s="13"/>
      <c r="FR70" s="13"/>
      <c r="FS70" s="13"/>
      <c r="FT70" s="13"/>
      <c r="FU70" s="13"/>
      <c r="FV70" s="13"/>
      <c r="FW70" s="360"/>
      <c r="FX70" s="13"/>
      <c r="FY70" s="280"/>
      <c r="FZ70" s="266"/>
      <c r="GA70" s="266"/>
      <c r="GB70" s="269"/>
      <c r="GC70" s="269"/>
    </row>
    <row r="71" spans="1:185" s="109" customFormat="1" x14ac:dyDescent="0.25">
      <c r="A71" s="20"/>
      <c r="B71" s="111"/>
      <c r="C71" s="111"/>
      <c r="D71" s="111"/>
      <c r="E71" s="111"/>
      <c r="F71" s="111"/>
      <c r="G71" s="111"/>
      <c r="H71" s="111"/>
      <c r="I71" s="111"/>
      <c r="J71" s="111"/>
      <c r="K71" s="111"/>
      <c r="L71" s="111"/>
      <c r="M71" s="111"/>
      <c r="N71" s="111"/>
      <c r="O71" s="111"/>
      <c r="P71" s="111"/>
      <c r="Q71" s="113"/>
      <c r="R71" s="113"/>
      <c r="S71" s="113"/>
      <c r="T71" s="113"/>
      <c r="U71" s="111"/>
      <c r="V71" s="111"/>
      <c r="W71" s="111"/>
      <c r="X71" s="111"/>
      <c r="Y71" s="13"/>
      <c r="Z71" s="13"/>
      <c r="AA71" s="111"/>
      <c r="AB71" s="13"/>
      <c r="AC71" s="111"/>
      <c r="AD71" s="13"/>
      <c r="AE71" s="13"/>
      <c r="AF71" s="111"/>
      <c r="AG71" s="13"/>
      <c r="AH71" s="111"/>
      <c r="AI71" s="13"/>
      <c r="AJ71" s="111"/>
      <c r="AK71" s="13"/>
      <c r="AL71" s="111"/>
      <c r="AM71" s="98"/>
      <c r="AN71" s="98"/>
      <c r="AO71" s="13"/>
      <c r="AP71" s="280"/>
      <c r="AQ71" s="20"/>
      <c r="AR71" s="13"/>
      <c r="AS71" s="111"/>
      <c r="AT71" s="13"/>
      <c r="AU71" s="13"/>
      <c r="AV71" s="13"/>
      <c r="AW71" s="111"/>
      <c r="AX71" s="13"/>
      <c r="AY71" s="111"/>
      <c r="AZ71" s="13"/>
      <c r="BA71" s="111"/>
      <c r="BB71" s="111"/>
      <c r="BC71" s="111"/>
      <c r="BD71" s="13"/>
      <c r="BE71" s="111"/>
      <c r="BF71" s="13"/>
      <c r="BG71" s="13"/>
      <c r="BH71" s="13"/>
      <c r="BI71" s="111"/>
      <c r="BJ71" s="111"/>
      <c r="BK71" s="13"/>
      <c r="BL71" s="13"/>
      <c r="BM71" s="111"/>
      <c r="BN71" s="13"/>
      <c r="BO71" s="111"/>
      <c r="BP71" s="13"/>
      <c r="BQ71" s="13"/>
      <c r="BR71" s="111"/>
      <c r="BS71" s="13"/>
      <c r="BT71" s="111"/>
      <c r="BU71" s="111"/>
      <c r="BV71" s="111"/>
      <c r="BW71" s="111"/>
      <c r="BX71" s="111"/>
      <c r="BY71" s="13"/>
      <c r="BZ71" s="111"/>
      <c r="CA71" s="111"/>
      <c r="CB71" s="111"/>
      <c r="CC71" s="111"/>
      <c r="CD71" s="111"/>
      <c r="CE71" s="111"/>
      <c r="CF71" s="111"/>
      <c r="CG71" s="111"/>
      <c r="CH71" s="111"/>
      <c r="CI71" s="111"/>
      <c r="CJ71" s="111"/>
      <c r="CK71" s="111"/>
      <c r="CL71" s="111"/>
      <c r="CM71" s="111"/>
      <c r="CN71" s="111"/>
      <c r="CO71" s="111"/>
      <c r="CP71" s="111"/>
      <c r="CQ71" s="111"/>
      <c r="CR71" s="111"/>
      <c r="CS71" s="111"/>
      <c r="CT71" s="111"/>
      <c r="CU71" s="111"/>
      <c r="CV71" s="111"/>
      <c r="CW71" s="111"/>
      <c r="CX71" s="111"/>
      <c r="CY71" s="111"/>
      <c r="CZ71" s="111"/>
      <c r="DA71" s="111"/>
      <c r="DB71" s="111"/>
      <c r="DC71" s="111"/>
      <c r="DD71" s="111"/>
      <c r="DE71" s="111"/>
      <c r="DF71" s="111"/>
      <c r="DG71" s="111"/>
      <c r="DH71" s="111"/>
      <c r="DI71" s="111"/>
      <c r="DJ71" s="111"/>
      <c r="DK71" s="13"/>
      <c r="DL71" s="13"/>
      <c r="DM71" s="13"/>
      <c r="DN71" s="13"/>
      <c r="DO71" s="13"/>
      <c r="DP71" s="13"/>
      <c r="DQ71" s="13"/>
      <c r="DR71" s="13"/>
      <c r="DS71" s="13"/>
      <c r="DT71" s="13"/>
      <c r="DU71" s="13"/>
      <c r="DV71" s="13"/>
      <c r="DW71" s="13"/>
      <c r="DX71" s="13"/>
      <c r="DY71" s="13"/>
      <c r="DZ71" s="13"/>
      <c r="EA71" s="13"/>
      <c r="EB71" s="13"/>
      <c r="EC71" s="280"/>
      <c r="ED71" s="20"/>
      <c r="EE71" s="13"/>
      <c r="EF71" s="111"/>
      <c r="EG71" s="13"/>
      <c r="EH71" s="13"/>
      <c r="EI71" s="111"/>
      <c r="EJ71" s="111"/>
      <c r="EK71" s="111"/>
      <c r="EL71" s="111"/>
      <c r="EM71" s="111"/>
      <c r="EN71" s="111"/>
      <c r="EO71" s="111"/>
      <c r="EP71" s="111"/>
      <c r="EQ71" s="111"/>
      <c r="ER71" s="111"/>
      <c r="ES71" s="111"/>
      <c r="ET71" s="111"/>
      <c r="EU71" s="111"/>
      <c r="EV71" s="111"/>
      <c r="EW71" s="111"/>
      <c r="EX71" s="111"/>
      <c r="EY71" s="111"/>
      <c r="EZ71" s="111"/>
      <c r="FA71" s="111"/>
      <c r="FB71" s="111"/>
      <c r="FC71" s="111"/>
      <c r="FD71" s="111"/>
      <c r="FE71" s="111"/>
      <c r="FF71" s="111"/>
      <c r="FG71" s="111"/>
      <c r="FH71" s="111"/>
      <c r="FI71" s="111"/>
      <c r="FJ71" s="111"/>
      <c r="FK71" s="111"/>
      <c r="FL71" s="111"/>
      <c r="FM71" s="111"/>
      <c r="FN71" s="111"/>
      <c r="FO71" s="13"/>
      <c r="FP71" s="13"/>
      <c r="FQ71" s="13"/>
      <c r="FR71" s="13"/>
      <c r="FS71" s="13"/>
      <c r="FT71" s="13"/>
      <c r="FU71" s="13"/>
      <c r="FV71" s="13"/>
      <c r="FW71" s="360"/>
      <c r="FX71" s="13"/>
      <c r="FY71" s="280"/>
      <c r="FZ71" s="266"/>
      <c r="GA71" s="266"/>
      <c r="GB71" s="269"/>
      <c r="GC71" s="269"/>
    </row>
    <row r="72" spans="1:185" s="109" customFormat="1" x14ac:dyDescent="0.25">
      <c r="A72" s="20"/>
      <c r="B72" s="111"/>
      <c r="C72" s="111"/>
      <c r="D72" s="111"/>
      <c r="E72" s="111"/>
      <c r="F72" s="111"/>
      <c r="G72" s="111"/>
      <c r="H72" s="111"/>
      <c r="I72" s="111"/>
      <c r="J72" s="111"/>
      <c r="K72" s="111"/>
      <c r="L72" s="111"/>
      <c r="M72" s="111"/>
      <c r="N72" s="111"/>
      <c r="O72" s="111"/>
      <c r="P72" s="111"/>
      <c r="Q72" s="113"/>
      <c r="R72" s="113"/>
      <c r="S72" s="113"/>
      <c r="T72" s="113"/>
      <c r="U72" s="111"/>
      <c r="V72" s="111"/>
      <c r="W72" s="111"/>
      <c r="X72" s="111"/>
      <c r="Y72" s="13"/>
      <c r="Z72" s="13"/>
      <c r="AA72" s="111"/>
      <c r="AB72" s="13"/>
      <c r="AC72" s="111"/>
      <c r="AD72" s="13"/>
      <c r="AE72" s="13"/>
      <c r="AF72" s="111"/>
      <c r="AG72" s="13"/>
      <c r="AH72" s="111"/>
      <c r="AI72" s="13"/>
      <c r="AJ72" s="111"/>
      <c r="AK72" s="13"/>
      <c r="AL72" s="111"/>
      <c r="AM72" s="98"/>
      <c r="AN72" s="98"/>
      <c r="AO72" s="13"/>
      <c r="AP72" s="280"/>
      <c r="AQ72" s="20"/>
      <c r="AR72" s="13"/>
      <c r="AS72" s="111"/>
      <c r="AT72" s="13"/>
      <c r="AU72" s="13"/>
      <c r="AV72" s="13"/>
      <c r="AW72" s="111"/>
      <c r="AX72" s="13"/>
      <c r="AY72" s="111"/>
      <c r="AZ72" s="13"/>
      <c r="BA72" s="111"/>
      <c r="BB72" s="111"/>
      <c r="BC72" s="111"/>
      <c r="BD72" s="13"/>
      <c r="BE72" s="111"/>
      <c r="BF72" s="13"/>
      <c r="BG72" s="13"/>
      <c r="BH72" s="13"/>
      <c r="BI72" s="111"/>
      <c r="BJ72" s="111"/>
      <c r="BK72" s="13"/>
      <c r="BL72" s="13"/>
      <c r="BM72" s="111"/>
      <c r="BN72" s="13"/>
      <c r="BO72" s="111"/>
      <c r="BP72" s="13"/>
      <c r="BQ72" s="13"/>
      <c r="BR72" s="111"/>
      <c r="BS72" s="13"/>
      <c r="BT72" s="111"/>
      <c r="BU72" s="111"/>
      <c r="BV72" s="111"/>
      <c r="BW72" s="111"/>
      <c r="BX72" s="111"/>
      <c r="BY72" s="13"/>
      <c r="BZ72" s="111"/>
      <c r="CA72" s="111"/>
      <c r="CB72" s="111"/>
      <c r="CC72" s="111"/>
      <c r="CD72" s="111"/>
      <c r="CE72" s="111"/>
      <c r="CF72" s="111"/>
      <c r="CG72" s="111"/>
      <c r="CH72" s="111"/>
      <c r="CI72" s="111"/>
      <c r="CJ72" s="111"/>
      <c r="CK72" s="111"/>
      <c r="CL72" s="111"/>
      <c r="CM72" s="111"/>
      <c r="CN72" s="111"/>
      <c r="CO72" s="111"/>
      <c r="CP72" s="111"/>
      <c r="CQ72" s="111"/>
      <c r="CR72" s="111"/>
      <c r="CS72" s="111"/>
      <c r="CT72" s="111"/>
      <c r="CU72" s="111"/>
      <c r="CV72" s="111"/>
      <c r="CW72" s="111"/>
      <c r="CX72" s="111"/>
      <c r="CY72" s="111"/>
      <c r="CZ72" s="111"/>
      <c r="DA72" s="111"/>
      <c r="DB72" s="111"/>
      <c r="DC72" s="111"/>
      <c r="DD72" s="111"/>
      <c r="DE72" s="111"/>
      <c r="DF72" s="111"/>
      <c r="DG72" s="111"/>
      <c r="DH72" s="111"/>
      <c r="DI72" s="111"/>
      <c r="DJ72" s="111"/>
      <c r="DK72" s="13"/>
      <c r="DL72" s="13"/>
      <c r="DM72" s="13"/>
      <c r="DN72" s="13"/>
      <c r="DO72" s="13"/>
      <c r="DP72" s="13"/>
      <c r="DQ72" s="13"/>
      <c r="DR72" s="13"/>
      <c r="DS72" s="13"/>
      <c r="DT72" s="13"/>
      <c r="DU72" s="13"/>
      <c r="DV72" s="13"/>
      <c r="DW72" s="13"/>
      <c r="DX72" s="13"/>
      <c r="DY72" s="13"/>
      <c r="DZ72" s="13"/>
      <c r="EA72" s="13"/>
      <c r="EB72" s="13"/>
      <c r="EC72" s="280"/>
      <c r="ED72" s="20"/>
      <c r="EE72" s="13"/>
      <c r="EF72" s="111"/>
      <c r="EG72" s="13"/>
      <c r="EH72" s="13"/>
      <c r="EI72" s="111"/>
      <c r="EJ72" s="111"/>
      <c r="EK72" s="111"/>
      <c r="EL72" s="111"/>
      <c r="EM72" s="111"/>
      <c r="EN72" s="111"/>
      <c r="EO72" s="111"/>
      <c r="EP72" s="111"/>
      <c r="EQ72" s="111"/>
      <c r="ER72" s="111"/>
      <c r="ES72" s="111"/>
      <c r="ET72" s="111"/>
      <c r="EU72" s="111"/>
      <c r="EV72" s="111"/>
      <c r="EW72" s="111"/>
      <c r="EX72" s="111"/>
      <c r="EY72" s="111"/>
      <c r="EZ72" s="111"/>
      <c r="FA72" s="111"/>
      <c r="FB72" s="111"/>
      <c r="FC72" s="111"/>
      <c r="FD72" s="111"/>
      <c r="FE72" s="111"/>
      <c r="FF72" s="111"/>
      <c r="FG72" s="111"/>
      <c r="FH72" s="111"/>
      <c r="FI72" s="111"/>
      <c r="FJ72" s="111"/>
      <c r="FK72" s="111"/>
      <c r="FL72" s="111"/>
      <c r="FM72" s="111"/>
      <c r="FN72" s="111"/>
      <c r="FO72" s="13"/>
      <c r="FP72" s="13"/>
      <c r="FQ72" s="13"/>
      <c r="FR72" s="13"/>
      <c r="FS72" s="13"/>
      <c r="FT72" s="13"/>
      <c r="FU72" s="13"/>
      <c r="FV72" s="13"/>
      <c r="FW72" s="360"/>
      <c r="FX72" s="13"/>
      <c r="FY72" s="280"/>
      <c r="FZ72" s="266"/>
      <c r="GA72" s="266"/>
      <c r="GB72" s="269"/>
      <c r="GC72" s="269"/>
    </row>
    <row r="73" spans="1:185" s="109" customFormat="1" x14ac:dyDescent="0.25">
      <c r="A73" s="20"/>
      <c r="B73" s="111"/>
      <c r="C73" s="111"/>
      <c r="D73" s="111"/>
      <c r="E73" s="111"/>
      <c r="F73" s="111"/>
      <c r="G73" s="111"/>
      <c r="H73" s="111"/>
      <c r="I73" s="111"/>
      <c r="J73" s="111"/>
      <c r="K73" s="111"/>
      <c r="L73" s="111"/>
      <c r="M73" s="111"/>
      <c r="N73" s="111"/>
      <c r="O73" s="111"/>
      <c r="P73" s="111"/>
      <c r="Q73" s="113"/>
      <c r="R73" s="113"/>
      <c r="S73" s="113"/>
      <c r="T73" s="113"/>
      <c r="U73" s="111"/>
      <c r="V73" s="111"/>
      <c r="W73" s="111"/>
      <c r="X73" s="111"/>
      <c r="Y73" s="13"/>
      <c r="Z73" s="13"/>
      <c r="AA73" s="111"/>
      <c r="AB73" s="13"/>
      <c r="AC73" s="111"/>
      <c r="AD73" s="13"/>
      <c r="AE73" s="13"/>
      <c r="AF73" s="111"/>
      <c r="AG73" s="13"/>
      <c r="AH73" s="111"/>
      <c r="AI73" s="13"/>
      <c r="AJ73" s="111"/>
      <c r="AK73" s="13"/>
      <c r="AL73" s="111"/>
      <c r="AM73" s="98"/>
      <c r="AN73" s="98"/>
      <c r="AO73" s="13"/>
      <c r="AP73" s="280"/>
      <c r="AQ73" s="20"/>
      <c r="AR73" s="13"/>
      <c r="AS73" s="111"/>
      <c r="AT73" s="13"/>
      <c r="AU73" s="13"/>
      <c r="AV73" s="13"/>
      <c r="AW73" s="111"/>
      <c r="AX73" s="13"/>
      <c r="AY73" s="111"/>
      <c r="AZ73" s="13"/>
      <c r="BA73" s="111"/>
      <c r="BB73" s="111"/>
      <c r="BC73" s="111"/>
      <c r="BD73" s="13"/>
      <c r="BE73" s="111"/>
      <c r="BF73" s="13"/>
      <c r="BG73" s="13"/>
      <c r="BH73" s="13"/>
      <c r="BI73" s="111"/>
      <c r="BJ73" s="111"/>
      <c r="BK73" s="13"/>
      <c r="BL73" s="13"/>
      <c r="BM73" s="111"/>
      <c r="BN73" s="13"/>
      <c r="BO73" s="111"/>
      <c r="BP73" s="13"/>
      <c r="BQ73" s="13"/>
      <c r="BR73" s="111"/>
      <c r="BS73" s="13"/>
      <c r="BT73" s="111"/>
      <c r="BU73" s="111"/>
      <c r="BV73" s="111"/>
      <c r="BW73" s="111"/>
      <c r="BX73" s="111"/>
      <c r="BY73" s="13"/>
      <c r="BZ73" s="111"/>
      <c r="CA73" s="111"/>
      <c r="CB73" s="111"/>
      <c r="CC73" s="111"/>
      <c r="CD73" s="111"/>
      <c r="CE73" s="111"/>
      <c r="CF73" s="111"/>
      <c r="CG73" s="111"/>
      <c r="CH73" s="111"/>
      <c r="CI73" s="111"/>
      <c r="CJ73" s="111"/>
      <c r="CK73" s="111"/>
      <c r="CL73" s="111"/>
      <c r="CM73" s="111"/>
      <c r="CN73" s="111"/>
      <c r="CO73" s="111"/>
      <c r="CP73" s="111"/>
      <c r="CQ73" s="111"/>
      <c r="CR73" s="111"/>
      <c r="CS73" s="111"/>
      <c r="CT73" s="111"/>
      <c r="CU73" s="111"/>
      <c r="CV73" s="111"/>
      <c r="CW73" s="111"/>
      <c r="CX73" s="111"/>
      <c r="CY73" s="111"/>
      <c r="CZ73" s="111"/>
      <c r="DA73" s="111"/>
      <c r="DB73" s="111"/>
      <c r="DC73" s="111"/>
      <c r="DD73" s="111"/>
      <c r="DE73" s="111"/>
      <c r="DF73" s="111"/>
      <c r="DG73" s="111"/>
      <c r="DH73" s="111"/>
      <c r="DI73" s="111"/>
      <c r="DJ73" s="111"/>
      <c r="DK73" s="13"/>
      <c r="DL73" s="13"/>
      <c r="DM73" s="13"/>
      <c r="DN73" s="13"/>
      <c r="DO73" s="13"/>
      <c r="DP73" s="13"/>
      <c r="DQ73" s="13"/>
      <c r="DR73" s="13"/>
      <c r="DS73" s="13"/>
      <c r="DT73" s="13"/>
      <c r="DU73" s="13"/>
      <c r="DV73" s="13"/>
      <c r="DW73" s="13"/>
      <c r="DX73" s="13"/>
      <c r="DY73" s="13"/>
      <c r="DZ73" s="13"/>
      <c r="EA73" s="13"/>
      <c r="EB73" s="13"/>
      <c r="EC73" s="280"/>
      <c r="ED73" s="20"/>
      <c r="EE73" s="13"/>
      <c r="EF73" s="111"/>
      <c r="EG73" s="13"/>
      <c r="EH73" s="13"/>
      <c r="EI73" s="111"/>
      <c r="EJ73" s="111"/>
      <c r="EK73" s="111"/>
      <c r="EL73" s="111"/>
      <c r="EM73" s="111"/>
      <c r="EN73" s="111"/>
      <c r="EO73" s="111"/>
      <c r="EP73" s="111"/>
      <c r="EQ73" s="111"/>
      <c r="ER73" s="111"/>
      <c r="ES73" s="111"/>
      <c r="ET73" s="111"/>
      <c r="EU73" s="111"/>
      <c r="EV73" s="111"/>
      <c r="EW73" s="111"/>
      <c r="EX73" s="111"/>
      <c r="EY73" s="111"/>
      <c r="EZ73" s="111"/>
      <c r="FA73" s="111"/>
      <c r="FB73" s="111"/>
      <c r="FC73" s="111"/>
      <c r="FD73" s="111"/>
      <c r="FE73" s="111"/>
      <c r="FF73" s="111"/>
      <c r="FG73" s="111"/>
      <c r="FH73" s="111"/>
      <c r="FI73" s="111"/>
      <c r="FJ73" s="111"/>
      <c r="FK73" s="111"/>
      <c r="FL73" s="111"/>
      <c r="FM73" s="111"/>
      <c r="FN73" s="111"/>
      <c r="FO73" s="13"/>
      <c r="FP73" s="13"/>
      <c r="FQ73" s="13"/>
      <c r="FR73" s="13"/>
      <c r="FS73" s="13"/>
      <c r="FT73" s="13"/>
      <c r="FU73" s="13"/>
      <c r="FV73" s="13"/>
      <c r="FW73" s="360"/>
      <c r="FX73" s="13"/>
      <c r="FY73" s="280"/>
      <c r="FZ73" s="266"/>
      <c r="GA73" s="266"/>
      <c r="GB73" s="269"/>
      <c r="GC73" s="269"/>
    </row>
    <row r="74" spans="1:185" s="109" customFormat="1" x14ac:dyDescent="0.25">
      <c r="A74" s="20"/>
      <c r="B74" s="111"/>
      <c r="C74" s="111"/>
      <c r="D74" s="111"/>
      <c r="E74" s="111"/>
      <c r="F74" s="111"/>
      <c r="G74" s="111"/>
      <c r="H74" s="111"/>
      <c r="I74" s="111"/>
      <c r="J74" s="111"/>
      <c r="K74" s="111"/>
      <c r="L74" s="111"/>
      <c r="M74" s="111"/>
      <c r="N74" s="111"/>
      <c r="O74" s="111"/>
      <c r="P74" s="111"/>
      <c r="Q74" s="113"/>
      <c r="R74" s="113"/>
      <c r="S74" s="113"/>
      <c r="T74" s="113"/>
      <c r="U74" s="111"/>
      <c r="V74" s="111"/>
      <c r="W74" s="111"/>
      <c r="X74" s="110"/>
      <c r="Y74" s="111"/>
      <c r="Z74" s="13"/>
      <c r="AA74" s="110"/>
      <c r="AB74" s="13"/>
      <c r="AC74" s="110"/>
      <c r="AD74" s="111"/>
      <c r="AE74" s="13"/>
      <c r="AF74" s="110"/>
      <c r="AG74" s="13"/>
      <c r="AH74" s="110"/>
      <c r="AI74" s="13"/>
      <c r="AJ74" s="110"/>
      <c r="AK74" s="13"/>
      <c r="AL74" s="110"/>
      <c r="AM74" s="98"/>
      <c r="AN74" s="98"/>
      <c r="AO74" s="13"/>
      <c r="AP74" s="280"/>
      <c r="AQ74" s="14"/>
      <c r="AR74" s="13"/>
      <c r="AS74" s="110"/>
      <c r="AT74" s="111"/>
      <c r="AU74" s="13"/>
      <c r="AV74" s="13"/>
      <c r="AW74" s="110"/>
      <c r="AX74" s="13"/>
      <c r="AY74" s="110"/>
      <c r="AZ74" s="13"/>
      <c r="BA74" s="110"/>
      <c r="BB74" s="110"/>
      <c r="BC74" s="110"/>
      <c r="BD74" s="13"/>
      <c r="BE74" s="110"/>
      <c r="BF74" s="13"/>
      <c r="BG74" s="13"/>
      <c r="BH74" s="13"/>
      <c r="BI74" s="110"/>
      <c r="BJ74" s="110"/>
      <c r="BK74" s="13"/>
      <c r="BL74" s="13"/>
      <c r="BM74" s="110"/>
      <c r="BN74" s="13"/>
      <c r="BO74" s="110"/>
      <c r="BP74" s="111"/>
      <c r="BQ74" s="13"/>
      <c r="BR74" s="110"/>
      <c r="BS74" s="13"/>
      <c r="BT74" s="110"/>
      <c r="BU74" s="110"/>
      <c r="BV74" s="110"/>
      <c r="BW74" s="110"/>
      <c r="BX74" s="110"/>
      <c r="BY74" s="13"/>
      <c r="BZ74" s="110"/>
      <c r="CA74" s="110"/>
      <c r="CB74" s="110"/>
      <c r="CC74" s="110"/>
      <c r="CD74" s="110"/>
      <c r="CE74" s="110"/>
      <c r="CF74" s="110"/>
      <c r="CG74" s="110"/>
      <c r="CH74" s="110"/>
      <c r="CI74" s="110"/>
      <c r="CJ74" s="110"/>
      <c r="CK74" s="110"/>
      <c r="CL74" s="110"/>
      <c r="CM74" s="110"/>
      <c r="CN74" s="110"/>
      <c r="CO74" s="110"/>
      <c r="CP74" s="110"/>
      <c r="CQ74" s="110"/>
      <c r="CR74" s="110"/>
      <c r="CS74" s="110"/>
      <c r="CT74" s="110"/>
      <c r="CU74" s="110"/>
      <c r="CV74" s="110"/>
      <c r="CW74" s="110"/>
      <c r="CX74" s="110"/>
      <c r="CY74" s="110"/>
      <c r="CZ74" s="110"/>
      <c r="DA74" s="110"/>
      <c r="DB74" s="110"/>
      <c r="DC74" s="110"/>
      <c r="DD74" s="110"/>
      <c r="DE74" s="110"/>
      <c r="DF74" s="110"/>
      <c r="DG74" s="110"/>
      <c r="DH74" s="110"/>
      <c r="DI74" s="110"/>
      <c r="DJ74" s="110"/>
      <c r="DK74" s="13"/>
      <c r="DL74" s="13"/>
      <c r="DM74" s="13"/>
      <c r="DN74" s="13"/>
      <c r="DO74" s="13"/>
      <c r="DP74" s="13"/>
      <c r="DQ74" s="13"/>
      <c r="DR74" s="13"/>
      <c r="DS74" s="13"/>
      <c r="DT74" s="13"/>
      <c r="DU74" s="13"/>
      <c r="DV74" s="13"/>
      <c r="DW74" s="13"/>
      <c r="DX74" s="13"/>
      <c r="DY74" s="13"/>
      <c r="DZ74" s="13"/>
      <c r="EA74" s="13"/>
      <c r="EB74" s="13"/>
      <c r="EC74" s="17"/>
      <c r="ED74" s="14"/>
      <c r="EE74" s="13"/>
      <c r="EF74" s="110"/>
      <c r="EG74" s="111"/>
      <c r="EH74" s="13"/>
      <c r="EI74" s="110"/>
      <c r="EJ74" s="110"/>
      <c r="EK74" s="110"/>
      <c r="EL74" s="110"/>
      <c r="EM74" s="110"/>
      <c r="EN74" s="110"/>
      <c r="EO74" s="110"/>
      <c r="EP74" s="110"/>
      <c r="EQ74" s="110"/>
      <c r="ER74" s="110"/>
      <c r="ES74" s="110"/>
      <c r="ET74" s="110"/>
      <c r="EU74" s="110"/>
      <c r="EV74" s="110"/>
      <c r="EW74" s="110"/>
      <c r="EX74" s="110"/>
      <c r="EY74" s="110"/>
      <c r="EZ74" s="110"/>
      <c r="FA74" s="110"/>
      <c r="FB74" s="110"/>
      <c r="FC74" s="110"/>
      <c r="FD74" s="110"/>
      <c r="FE74" s="110"/>
      <c r="FF74" s="110"/>
      <c r="FG74" s="110"/>
      <c r="FH74" s="110"/>
      <c r="FI74" s="110"/>
      <c r="FJ74" s="110"/>
      <c r="FK74" s="110"/>
      <c r="FL74" s="110"/>
      <c r="FM74" s="110"/>
      <c r="FN74" s="110"/>
      <c r="FO74" s="13"/>
      <c r="FP74" s="13"/>
      <c r="FQ74" s="13"/>
      <c r="FR74" s="13"/>
      <c r="FS74" s="13"/>
      <c r="FT74" s="13"/>
      <c r="FU74" s="13"/>
      <c r="FV74" s="13"/>
      <c r="FW74" s="360"/>
      <c r="FX74" s="13"/>
      <c r="FY74" s="280"/>
      <c r="FZ74" s="266"/>
      <c r="GA74" s="266"/>
      <c r="GB74" s="269"/>
      <c r="GC74" s="269"/>
    </row>
    <row r="75" spans="1:185" s="109" customFormat="1" x14ac:dyDescent="0.25">
      <c r="A75" s="20"/>
      <c r="B75" s="111"/>
      <c r="C75" s="111"/>
      <c r="D75" s="111"/>
      <c r="E75" s="111"/>
      <c r="F75" s="111"/>
      <c r="G75" s="111"/>
      <c r="H75" s="111"/>
      <c r="I75" s="111"/>
      <c r="J75" s="111"/>
      <c r="K75" s="111"/>
      <c r="L75" s="111"/>
      <c r="M75" s="111"/>
      <c r="N75" s="111"/>
      <c r="O75" s="111"/>
      <c r="P75" s="111"/>
      <c r="Q75" s="113"/>
      <c r="R75" s="113"/>
      <c r="S75" s="113"/>
      <c r="T75" s="113"/>
      <c r="U75" s="111"/>
      <c r="V75" s="111"/>
      <c r="W75" s="111"/>
      <c r="X75" s="111"/>
      <c r="Y75" s="111"/>
      <c r="Z75" s="111"/>
      <c r="AA75" s="111"/>
      <c r="AB75" s="111"/>
      <c r="AC75" s="111"/>
      <c r="AD75" s="111"/>
      <c r="AE75" s="111"/>
      <c r="AF75" s="111"/>
      <c r="AG75" s="111"/>
      <c r="AH75" s="111"/>
      <c r="AI75" s="111"/>
      <c r="AJ75" s="111"/>
      <c r="AK75" s="111"/>
      <c r="AL75" s="111"/>
      <c r="AM75" s="101"/>
      <c r="AN75" s="101"/>
      <c r="AO75" s="111"/>
      <c r="AP75" s="280"/>
      <c r="AQ75" s="20"/>
      <c r="AR75" s="111"/>
      <c r="AS75" s="111"/>
      <c r="AT75" s="111"/>
      <c r="AU75" s="111"/>
      <c r="AV75" s="111"/>
      <c r="AW75" s="111"/>
      <c r="AX75" s="111"/>
      <c r="AY75" s="111"/>
      <c r="AZ75" s="111"/>
      <c r="BA75" s="111"/>
      <c r="BB75" s="111"/>
      <c r="BC75" s="111"/>
      <c r="BD75" s="111"/>
      <c r="BE75" s="111"/>
      <c r="BF75" s="111"/>
      <c r="BG75" s="111"/>
      <c r="BH75" s="111"/>
      <c r="BI75" s="111"/>
      <c r="BJ75" s="111"/>
      <c r="BK75" s="111"/>
      <c r="BL75" s="111"/>
      <c r="BM75" s="111"/>
      <c r="BN75" s="111"/>
      <c r="BO75" s="111"/>
      <c r="BP75" s="111"/>
      <c r="BQ75" s="111"/>
      <c r="BR75" s="111"/>
      <c r="BS75" s="111"/>
      <c r="BT75" s="111"/>
      <c r="BU75" s="111"/>
      <c r="BV75" s="111"/>
      <c r="BW75" s="111"/>
      <c r="BX75" s="111"/>
      <c r="BY75" s="111"/>
      <c r="BZ75" s="111"/>
      <c r="CA75" s="111"/>
      <c r="CB75" s="111"/>
      <c r="CC75" s="111"/>
      <c r="CD75" s="111"/>
      <c r="CE75" s="111"/>
      <c r="CF75" s="111"/>
      <c r="CG75" s="111"/>
      <c r="CH75" s="111"/>
      <c r="CI75" s="111"/>
      <c r="CJ75" s="111"/>
      <c r="CK75" s="111"/>
      <c r="CL75" s="111"/>
      <c r="CM75" s="111"/>
      <c r="CN75" s="111"/>
      <c r="CO75" s="111"/>
      <c r="CP75" s="111"/>
      <c r="CQ75" s="111"/>
      <c r="CR75" s="111"/>
      <c r="CS75" s="111"/>
      <c r="CT75" s="111"/>
      <c r="CU75" s="111"/>
      <c r="CV75" s="111"/>
      <c r="CW75" s="111"/>
      <c r="CX75" s="111"/>
      <c r="CY75" s="111"/>
      <c r="CZ75" s="111"/>
      <c r="DA75" s="111"/>
      <c r="DB75" s="111"/>
      <c r="DC75" s="111"/>
      <c r="DD75" s="111"/>
      <c r="DE75" s="111"/>
      <c r="DF75" s="111"/>
      <c r="DG75" s="111"/>
      <c r="DH75" s="111"/>
      <c r="DI75" s="111"/>
      <c r="DJ75" s="111"/>
      <c r="DK75" s="111"/>
      <c r="DL75" s="111"/>
      <c r="DM75" s="111"/>
      <c r="DN75" s="111"/>
      <c r="DO75" s="111"/>
      <c r="DP75" s="111"/>
      <c r="DQ75" s="111"/>
      <c r="DR75" s="111"/>
      <c r="DS75" s="111"/>
      <c r="DT75" s="111"/>
      <c r="DU75" s="111"/>
      <c r="DV75" s="111"/>
      <c r="DW75" s="111"/>
      <c r="DX75" s="111"/>
      <c r="DY75" s="111"/>
      <c r="DZ75" s="111"/>
      <c r="EA75" s="111"/>
      <c r="EB75" s="111"/>
      <c r="EC75" s="280"/>
      <c r="ED75" s="20"/>
      <c r="EE75" s="111"/>
      <c r="EF75" s="111"/>
      <c r="EG75" s="111"/>
      <c r="EH75" s="111"/>
      <c r="EI75" s="111"/>
      <c r="EJ75" s="111"/>
      <c r="EK75" s="111"/>
      <c r="EL75" s="111"/>
      <c r="EM75" s="111"/>
      <c r="EN75" s="111"/>
      <c r="EO75" s="111"/>
      <c r="EP75" s="111"/>
      <c r="EQ75" s="111"/>
      <c r="ER75" s="111"/>
      <c r="ES75" s="111"/>
      <c r="ET75" s="111"/>
      <c r="EU75" s="111"/>
      <c r="EV75" s="111"/>
      <c r="EW75" s="111"/>
      <c r="EX75" s="111"/>
      <c r="EY75" s="111"/>
      <c r="EZ75" s="111"/>
      <c r="FA75" s="111"/>
      <c r="FB75" s="111"/>
      <c r="FC75" s="111"/>
      <c r="FD75" s="111"/>
      <c r="FE75" s="111"/>
      <c r="FF75" s="111"/>
      <c r="FG75" s="111"/>
      <c r="FH75" s="111"/>
      <c r="FI75" s="111"/>
      <c r="FJ75" s="111"/>
      <c r="FK75" s="111"/>
      <c r="FL75" s="111"/>
      <c r="FM75" s="111"/>
      <c r="FN75" s="111"/>
      <c r="FO75" s="111"/>
      <c r="FP75" s="111"/>
      <c r="FQ75" s="111"/>
      <c r="FR75" s="111"/>
      <c r="FS75" s="111"/>
      <c r="FT75" s="111"/>
      <c r="FU75" s="111"/>
      <c r="FV75" s="111"/>
      <c r="FW75" s="305"/>
      <c r="FX75" s="111"/>
      <c r="FY75" s="280"/>
      <c r="FZ75" s="266"/>
      <c r="GA75" s="266"/>
      <c r="GB75" s="269"/>
      <c r="GC75" s="269"/>
    </row>
    <row r="76" spans="1:185" s="109" customFormat="1" x14ac:dyDescent="0.25">
      <c r="A76" s="20"/>
      <c r="B76" s="111"/>
      <c r="C76" s="111"/>
      <c r="D76" s="111"/>
      <c r="E76" s="111"/>
      <c r="F76" s="111"/>
      <c r="G76" s="111"/>
      <c r="H76" s="111"/>
      <c r="I76" s="111"/>
      <c r="J76" s="111"/>
      <c r="K76" s="111"/>
      <c r="L76" s="111"/>
      <c r="M76" s="111"/>
      <c r="N76" s="111"/>
      <c r="O76" s="111"/>
      <c r="P76" s="111"/>
      <c r="Q76" s="113"/>
      <c r="R76" s="113"/>
      <c r="S76" s="113"/>
      <c r="T76" s="113"/>
      <c r="U76" s="111"/>
      <c r="V76" s="111"/>
      <c r="W76" s="111"/>
      <c r="X76" s="111"/>
      <c r="Y76" s="13"/>
      <c r="Z76" s="103"/>
      <c r="AA76" s="111"/>
      <c r="AB76" s="103"/>
      <c r="AC76" s="111"/>
      <c r="AD76" s="13"/>
      <c r="AE76" s="103"/>
      <c r="AF76" s="111"/>
      <c r="AG76" s="103"/>
      <c r="AH76" s="111"/>
      <c r="AI76" s="103"/>
      <c r="AJ76" s="111"/>
      <c r="AK76" s="103"/>
      <c r="AL76" s="111"/>
      <c r="AM76" s="353"/>
      <c r="AN76" s="353"/>
      <c r="AO76" s="103"/>
      <c r="AP76" s="280"/>
      <c r="AQ76" s="20"/>
      <c r="AR76" s="103"/>
      <c r="AS76" s="111"/>
      <c r="AT76" s="13"/>
      <c r="AU76" s="103"/>
      <c r="AV76" s="103"/>
      <c r="AW76" s="111"/>
      <c r="AX76" s="103"/>
      <c r="AY76" s="111"/>
      <c r="AZ76" s="103"/>
      <c r="BA76" s="111"/>
      <c r="BB76" s="111"/>
      <c r="BC76" s="111"/>
      <c r="BD76" s="103"/>
      <c r="BE76" s="111"/>
      <c r="BF76" s="103"/>
      <c r="BG76" s="103"/>
      <c r="BH76" s="103"/>
      <c r="BI76" s="111"/>
      <c r="BJ76" s="111"/>
      <c r="BK76" s="103"/>
      <c r="BL76" s="103"/>
      <c r="BM76" s="111"/>
      <c r="BN76" s="103"/>
      <c r="BO76" s="111"/>
      <c r="BP76" s="13"/>
      <c r="BQ76" s="103"/>
      <c r="BR76" s="111"/>
      <c r="BS76" s="103"/>
      <c r="BT76" s="111"/>
      <c r="BU76" s="111"/>
      <c r="BV76" s="111"/>
      <c r="BW76" s="111"/>
      <c r="BX76" s="111"/>
      <c r="BY76" s="103"/>
      <c r="BZ76" s="111"/>
      <c r="CA76" s="111"/>
      <c r="CB76" s="111"/>
      <c r="CC76" s="111"/>
      <c r="CD76" s="111"/>
      <c r="CE76" s="111"/>
      <c r="CF76" s="111"/>
      <c r="CG76" s="111"/>
      <c r="CH76" s="111"/>
      <c r="CI76" s="111"/>
      <c r="CJ76" s="111"/>
      <c r="CK76" s="111"/>
      <c r="CL76" s="111"/>
      <c r="CM76" s="111"/>
      <c r="CN76" s="111"/>
      <c r="CO76" s="111"/>
      <c r="CP76" s="111"/>
      <c r="CQ76" s="111"/>
      <c r="CR76" s="111"/>
      <c r="CS76" s="111"/>
      <c r="CT76" s="111"/>
      <c r="CU76" s="111"/>
      <c r="CV76" s="111"/>
      <c r="CW76" s="111"/>
      <c r="CX76" s="111"/>
      <c r="CY76" s="111"/>
      <c r="CZ76" s="111"/>
      <c r="DA76" s="111"/>
      <c r="DB76" s="111"/>
      <c r="DC76" s="111"/>
      <c r="DD76" s="111"/>
      <c r="DE76" s="111"/>
      <c r="DF76" s="111"/>
      <c r="DG76" s="111"/>
      <c r="DH76" s="111"/>
      <c r="DI76" s="111"/>
      <c r="DJ76" s="111"/>
      <c r="DK76" s="103"/>
      <c r="DL76" s="103"/>
      <c r="DM76" s="103"/>
      <c r="DN76" s="103"/>
      <c r="DO76" s="103"/>
      <c r="DP76" s="103"/>
      <c r="DQ76" s="103"/>
      <c r="DR76" s="103"/>
      <c r="DS76" s="103"/>
      <c r="DT76" s="103"/>
      <c r="DU76" s="103"/>
      <c r="DV76" s="103"/>
      <c r="DW76" s="103"/>
      <c r="DX76" s="103"/>
      <c r="DY76" s="103"/>
      <c r="DZ76" s="103"/>
      <c r="EA76" s="103"/>
      <c r="EB76" s="103"/>
      <c r="EC76" s="280"/>
      <c r="ED76" s="20"/>
      <c r="EE76" s="103"/>
      <c r="EF76" s="111"/>
      <c r="EG76" s="13"/>
      <c r="EH76" s="103"/>
      <c r="EI76" s="111"/>
      <c r="EJ76" s="111"/>
      <c r="EK76" s="111"/>
      <c r="EL76" s="111"/>
      <c r="EM76" s="111"/>
      <c r="EN76" s="111"/>
      <c r="EO76" s="111"/>
      <c r="EP76" s="111"/>
      <c r="EQ76" s="111"/>
      <c r="ER76" s="111"/>
      <c r="ES76" s="111"/>
      <c r="ET76" s="111"/>
      <c r="EU76" s="111"/>
      <c r="EV76" s="111"/>
      <c r="EW76" s="111"/>
      <c r="EX76" s="111"/>
      <c r="EY76" s="111"/>
      <c r="EZ76" s="111"/>
      <c r="FA76" s="111"/>
      <c r="FB76" s="111"/>
      <c r="FC76" s="111"/>
      <c r="FD76" s="111"/>
      <c r="FE76" s="111"/>
      <c r="FF76" s="111"/>
      <c r="FG76" s="111"/>
      <c r="FH76" s="111"/>
      <c r="FI76" s="111"/>
      <c r="FJ76" s="111"/>
      <c r="FK76" s="111"/>
      <c r="FL76" s="111"/>
      <c r="FM76" s="111"/>
      <c r="FN76" s="111"/>
      <c r="FO76" s="103"/>
      <c r="FP76" s="103"/>
      <c r="FQ76" s="103"/>
      <c r="FR76" s="103"/>
      <c r="FS76" s="103"/>
      <c r="FT76" s="103"/>
      <c r="FU76" s="103"/>
      <c r="FV76" s="103"/>
      <c r="FW76" s="386"/>
      <c r="FX76" s="103"/>
      <c r="FY76" s="280"/>
      <c r="FZ76" s="266"/>
      <c r="GA76" s="266"/>
      <c r="GB76" s="269"/>
      <c r="GC76" s="269"/>
    </row>
    <row r="77" spans="1:185" s="109" customFormat="1" x14ac:dyDescent="0.25">
      <c r="A77" s="20"/>
      <c r="B77" s="111"/>
      <c r="C77" s="111"/>
      <c r="D77" s="111"/>
      <c r="E77" s="111"/>
      <c r="F77" s="111"/>
      <c r="G77" s="111"/>
      <c r="H77" s="111"/>
      <c r="I77" s="111"/>
      <c r="J77" s="111"/>
      <c r="K77" s="111"/>
      <c r="L77" s="111"/>
      <c r="M77" s="111"/>
      <c r="N77" s="111"/>
      <c r="O77" s="111"/>
      <c r="P77" s="111"/>
      <c r="Q77" s="113"/>
      <c r="R77" s="113"/>
      <c r="S77" s="113"/>
      <c r="T77" s="113"/>
      <c r="U77" s="111"/>
      <c r="V77" s="111"/>
      <c r="W77" s="111"/>
      <c r="X77" s="111"/>
      <c r="Y77" s="13"/>
      <c r="Z77" s="103"/>
      <c r="AA77" s="111"/>
      <c r="AB77" s="103"/>
      <c r="AC77" s="111"/>
      <c r="AD77" s="13"/>
      <c r="AE77" s="103"/>
      <c r="AF77" s="111"/>
      <c r="AG77" s="103"/>
      <c r="AH77" s="111"/>
      <c r="AI77" s="103"/>
      <c r="AJ77" s="111"/>
      <c r="AK77" s="103"/>
      <c r="AL77" s="111"/>
      <c r="AM77" s="353"/>
      <c r="AN77" s="353"/>
      <c r="AO77" s="103"/>
      <c r="AP77" s="280"/>
      <c r="AQ77" s="20"/>
      <c r="AR77" s="103"/>
      <c r="AS77" s="111"/>
      <c r="AT77" s="13"/>
      <c r="AU77" s="103"/>
      <c r="AV77" s="103"/>
      <c r="AW77" s="111"/>
      <c r="AX77" s="103"/>
      <c r="AY77" s="111"/>
      <c r="AZ77" s="103"/>
      <c r="BA77" s="111"/>
      <c r="BB77" s="111"/>
      <c r="BC77" s="111"/>
      <c r="BD77" s="103"/>
      <c r="BE77" s="111"/>
      <c r="BF77" s="103"/>
      <c r="BG77" s="103"/>
      <c r="BH77" s="103"/>
      <c r="BI77" s="111"/>
      <c r="BJ77" s="111"/>
      <c r="BK77" s="103"/>
      <c r="BL77" s="103"/>
      <c r="BM77" s="111"/>
      <c r="BN77" s="103"/>
      <c r="BO77" s="111"/>
      <c r="BP77" s="13"/>
      <c r="BQ77" s="103"/>
      <c r="BR77" s="111"/>
      <c r="BS77" s="103"/>
      <c r="BT77" s="111"/>
      <c r="BU77" s="111"/>
      <c r="BV77" s="111"/>
      <c r="BW77" s="111"/>
      <c r="BX77" s="111"/>
      <c r="BY77" s="103"/>
      <c r="BZ77" s="111"/>
      <c r="CA77" s="111"/>
      <c r="CB77" s="111"/>
      <c r="CC77" s="111"/>
      <c r="CD77" s="111"/>
      <c r="CE77" s="111"/>
      <c r="CF77" s="111"/>
      <c r="CG77" s="111"/>
      <c r="CH77" s="111"/>
      <c r="CI77" s="111"/>
      <c r="CJ77" s="111"/>
      <c r="CK77" s="111"/>
      <c r="CL77" s="111"/>
      <c r="CM77" s="111"/>
      <c r="CN77" s="111"/>
      <c r="CO77" s="111"/>
      <c r="CP77" s="111"/>
      <c r="CQ77" s="111"/>
      <c r="CR77" s="111"/>
      <c r="CS77" s="111"/>
      <c r="CT77" s="111"/>
      <c r="CU77" s="111"/>
      <c r="CV77" s="111"/>
      <c r="CW77" s="111"/>
      <c r="CX77" s="111"/>
      <c r="CY77" s="111"/>
      <c r="CZ77" s="111"/>
      <c r="DA77" s="111"/>
      <c r="DB77" s="111"/>
      <c r="DC77" s="111"/>
      <c r="DD77" s="111"/>
      <c r="DE77" s="111"/>
      <c r="DF77" s="111"/>
      <c r="DG77" s="111"/>
      <c r="DH77" s="111"/>
      <c r="DI77" s="111"/>
      <c r="DJ77" s="111"/>
      <c r="DK77" s="103"/>
      <c r="DL77" s="103"/>
      <c r="DM77" s="103"/>
      <c r="DN77" s="103"/>
      <c r="DO77" s="103"/>
      <c r="DP77" s="103"/>
      <c r="DQ77" s="103"/>
      <c r="DR77" s="103"/>
      <c r="DS77" s="103"/>
      <c r="DT77" s="103"/>
      <c r="DU77" s="103"/>
      <c r="DV77" s="103"/>
      <c r="DW77" s="103"/>
      <c r="DX77" s="103"/>
      <c r="DY77" s="103"/>
      <c r="DZ77" s="103"/>
      <c r="EA77" s="103"/>
      <c r="EB77" s="103"/>
      <c r="EC77" s="280"/>
      <c r="ED77" s="20"/>
      <c r="EE77" s="103"/>
      <c r="EF77" s="111"/>
      <c r="EG77" s="13"/>
      <c r="EH77" s="103"/>
      <c r="EI77" s="111"/>
      <c r="EJ77" s="111"/>
      <c r="EK77" s="111"/>
      <c r="EL77" s="111"/>
      <c r="EM77" s="111"/>
      <c r="EN77" s="111"/>
      <c r="EO77" s="111"/>
      <c r="EP77" s="111"/>
      <c r="EQ77" s="111"/>
      <c r="ER77" s="111"/>
      <c r="ES77" s="111"/>
      <c r="ET77" s="111"/>
      <c r="EU77" s="111"/>
      <c r="EV77" s="111"/>
      <c r="EW77" s="111"/>
      <c r="EX77" s="111"/>
      <c r="EY77" s="111"/>
      <c r="EZ77" s="111"/>
      <c r="FA77" s="111"/>
      <c r="FB77" s="111"/>
      <c r="FC77" s="111"/>
      <c r="FD77" s="111"/>
      <c r="FE77" s="111"/>
      <c r="FF77" s="111"/>
      <c r="FG77" s="111"/>
      <c r="FH77" s="111"/>
      <c r="FI77" s="111"/>
      <c r="FJ77" s="111"/>
      <c r="FK77" s="111"/>
      <c r="FL77" s="111"/>
      <c r="FM77" s="111"/>
      <c r="FN77" s="111"/>
      <c r="FO77" s="103"/>
      <c r="FP77" s="103"/>
      <c r="FQ77" s="103"/>
      <c r="FR77" s="103"/>
      <c r="FS77" s="103"/>
      <c r="FT77" s="103"/>
      <c r="FU77" s="103"/>
      <c r="FV77" s="103"/>
      <c r="FW77" s="386"/>
      <c r="FX77" s="103"/>
      <c r="FY77" s="280"/>
      <c r="FZ77" s="266"/>
      <c r="GA77" s="266"/>
      <c r="GB77" s="269"/>
      <c r="GC77" s="269"/>
    </row>
    <row r="78" spans="1:185" s="109" customFormat="1" x14ac:dyDescent="0.25">
      <c r="A78" s="20"/>
      <c r="B78" s="111"/>
      <c r="C78" s="111"/>
      <c r="D78" s="111"/>
      <c r="E78" s="111"/>
      <c r="F78" s="111"/>
      <c r="G78" s="111"/>
      <c r="H78" s="111"/>
      <c r="I78" s="111"/>
      <c r="J78" s="111"/>
      <c r="K78" s="111"/>
      <c r="L78" s="111"/>
      <c r="M78" s="111"/>
      <c r="N78" s="111"/>
      <c r="O78" s="111"/>
      <c r="P78" s="111"/>
      <c r="Q78" s="113"/>
      <c r="R78" s="113"/>
      <c r="S78" s="113"/>
      <c r="T78" s="113"/>
      <c r="U78" s="111"/>
      <c r="V78" s="111"/>
      <c r="W78" s="111"/>
      <c r="X78" s="111"/>
      <c r="Y78" s="13"/>
      <c r="Z78" s="103"/>
      <c r="AA78" s="111"/>
      <c r="AB78" s="103"/>
      <c r="AC78" s="111"/>
      <c r="AD78" s="13"/>
      <c r="AE78" s="103"/>
      <c r="AF78" s="111"/>
      <c r="AG78" s="103"/>
      <c r="AH78" s="111"/>
      <c r="AI78" s="103"/>
      <c r="AJ78" s="111"/>
      <c r="AK78" s="103"/>
      <c r="AL78" s="111"/>
      <c r="AM78" s="353"/>
      <c r="AN78" s="353"/>
      <c r="AO78" s="103"/>
      <c r="AP78" s="280"/>
      <c r="AQ78" s="20"/>
      <c r="AR78" s="103"/>
      <c r="AS78" s="111"/>
      <c r="AT78" s="13"/>
      <c r="AU78" s="103"/>
      <c r="AV78" s="103"/>
      <c r="AW78" s="111"/>
      <c r="AX78" s="103"/>
      <c r="AY78" s="111"/>
      <c r="AZ78" s="103"/>
      <c r="BA78" s="111"/>
      <c r="BB78" s="111"/>
      <c r="BC78" s="111"/>
      <c r="BD78" s="103"/>
      <c r="BE78" s="111"/>
      <c r="BF78" s="103"/>
      <c r="BG78" s="103"/>
      <c r="BH78" s="103"/>
      <c r="BI78" s="111"/>
      <c r="BJ78" s="111"/>
      <c r="BK78" s="103"/>
      <c r="BL78" s="103"/>
      <c r="BM78" s="111"/>
      <c r="BN78" s="103"/>
      <c r="BO78" s="111"/>
      <c r="BP78" s="13"/>
      <c r="BQ78" s="103"/>
      <c r="BR78" s="111"/>
      <c r="BS78" s="103"/>
      <c r="BT78" s="111"/>
      <c r="BU78" s="111"/>
      <c r="BV78" s="111"/>
      <c r="BW78" s="111"/>
      <c r="BX78" s="111"/>
      <c r="BY78" s="103"/>
      <c r="BZ78" s="111"/>
      <c r="CA78" s="111"/>
      <c r="CB78" s="111"/>
      <c r="CC78" s="111"/>
      <c r="CD78" s="111"/>
      <c r="CE78" s="111"/>
      <c r="CF78" s="111"/>
      <c r="CG78" s="111"/>
      <c r="CH78" s="111"/>
      <c r="CI78" s="111"/>
      <c r="CJ78" s="111"/>
      <c r="CK78" s="111"/>
      <c r="CL78" s="111"/>
      <c r="CM78" s="111"/>
      <c r="CN78" s="111"/>
      <c r="CO78" s="111"/>
      <c r="CP78" s="111"/>
      <c r="CQ78" s="111"/>
      <c r="CR78" s="111"/>
      <c r="CS78" s="111"/>
      <c r="CT78" s="111"/>
      <c r="CU78" s="111"/>
      <c r="CV78" s="111"/>
      <c r="CW78" s="111"/>
      <c r="CX78" s="111"/>
      <c r="CY78" s="111"/>
      <c r="CZ78" s="111"/>
      <c r="DA78" s="111"/>
      <c r="DB78" s="111"/>
      <c r="DC78" s="111"/>
      <c r="DD78" s="111"/>
      <c r="DE78" s="111"/>
      <c r="DF78" s="111"/>
      <c r="DG78" s="111"/>
      <c r="DH78" s="111"/>
      <c r="DI78" s="111"/>
      <c r="DJ78" s="111"/>
      <c r="DK78" s="103"/>
      <c r="DL78" s="103"/>
      <c r="DM78" s="103"/>
      <c r="DN78" s="103"/>
      <c r="DO78" s="103"/>
      <c r="DP78" s="103"/>
      <c r="DQ78" s="103"/>
      <c r="DR78" s="103"/>
      <c r="DS78" s="103"/>
      <c r="DT78" s="103"/>
      <c r="DU78" s="103"/>
      <c r="DV78" s="103"/>
      <c r="DW78" s="103"/>
      <c r="DX78" s="103"/>
      <c r="DY78" s="103"/>
      <c r="DZ78" s="103"/>
      <c r="EA78" s="103"/>
      <c r="EB78" s="103"/>
      <c r="EC78" s="280"/>
      <c r="ED78" s="20"/>
      <c r="EE78" s="103"/>
      <c r="EF78" s="111"/>
      <c r="EG78" s="13"/>
      <c r="EH78" s="103"/>
      <c r="EI78" s="111"/>
      <c r="EJ78" s="111"/>
      <c r="EK78" s="111"/>
      <c r="EL78" s="111"/>
      <c r="EM78" s="111"/>
      <c r="EN78" s="111"/>
      <c r="EO78" s="111"/>
      <c r="EP78" s="111"/>
      <c r="EQ78" s="111"/>
      <c r="ER78" s="111"/>
      <c r="ES78" s="111"/>
      <c r="ET78" s="111"/>
      <c r="EU78" s="111"/>
      <c r="EV78" s="111"/>
      <c r="EW78" s="111"/>
      <c r="EX78" s="111"/>
      <c r="EY78" s="111"/>
      <c r="EZ78" s="111"/>
      <c r="FA78" s="111"/>
      <c r="FB78" s="111"/>
      <c r="FC78" s="111"/>
      <c r="FD78" s="111"/>
      <c r="FE78" s="111"/>
      <c r="FF78" s="111"/>
      <c r="FG78" s="111"/>
      <c r="FH78" s="111"/>
      <c r="FI78" s="111"/>
      <c r="FJ78" s="111"/>
      <c r="FK78" s="111"/>
      <c r="FL78" s="111"/>
      <c r="FM78" s="111"/>
      <c r="FN78" s="111"/>
      <c r="FO78" s="103"/>
      <c r="FP78" s="103"/>
      <c r="FQ78" s="103"/>
      <c r="FR78" s="103"/>
      <c r="FS78" s="103"/>
      <c r="FT78" s="103"/>
      <c r="FU78" s="103"/>
      <c r="FV78" s="103"/>
      <c r="FW78" s="386"/>
      <c r="FX78" s="103"/>
      <c r="FY78" s="280"/>
      <c r="FZ78" s="266"/>
      <c r="GA78" s="266"/>
      <c r="GB78" s="269"/>
      <c r="GC78" s="269"/>
    </row>
    <row r="79" spans="1:185" s="109" customFormat="1" x14ac:dyDescent="0.25">
      <c r="A79" s="20"/>
      <c r="B79" s="111"/>
      <c r="C79" s="111"/>
      <c r="D79" s="111"/>
      <c r="E79" s="111"/>
      <c r="F79" s="111"/>
      <c r="G79" s="111"/>
      <c r="H79" s="111"/>
      <c r="I79" s="111"/>
      <c r="J79" s="111"/>
      <c r="K79" s="111"/>
      <c r="L79" s="111"/>
      <c r="M79" s="111"/>
      <c r="N79" s="111"/>
      <c r="O79" s="111"/>
      <c r="P79" s="111"/>
      <c r="Q79" s="113"/>
      <c r="R79" s="113"/>
      <c r="S79" s="113"/>
      <c r="T79" s="113"/>
      <c r="U79" s="111"/>
      <c r="V79" s="111"/>
      <c r="W79" s="111"/>
      <c r="X79" s="111"/>
      <c r="Y79" s="13"/>
      <c r="Z79" s="13"/>
      <c r="AA79" s="111"/>
      <c r="AB79" s="13"/>
      <c r="AC79" s="111"/>
      <c r="AD79" s="13"/>
      <c r="AE79" s="13"/>
      <c r="AF79" s="111"/>
      <c r="AG79" s="13"/>
      <c r="AH79" s="111"/>
      <c r="AI79" s="13"/>
      <c r="AJ79" s="111"/>
      <c r="AK79" s="13"/>
      <c r="AL79" s="111"/>
      <c r="AM79" s="98"/>
      <c r="AN79" s="98"/>
      <c r="AO79" s="13"/>
      <c r="AP79" s="280"/>
      <c r="AQ79" s="20"/>
      <c r="AR79" s="13"/>
      <c r="AS79" s="111"/>
      <c r="AT79" s="13"/>
      <c r="AU79" s="13"/>
      <c r="AV79" s="13"/>
      <c r="AW79" s="111"/>
      <c r="AX79" s="13"/>
      <c r="AY79" s="111"/>
      <c r="AZ79" s="13"/>
      <c r="BA79" s="111"/>
      <c r="BB79" s="111"/>
      <c r="BC79" s="111"/>
      <c r="BD79" s="13"/>
      <c r="BE79" s="111"/>
      <c r="BF79" s="13"/>
      <c r="BG79" s="13"/>
      <c r="BH79" s="13"/>
      <c r="BI79" s="111"/>
      <c r="BJ79" s="111"/>
      <c r="BK79" s="13"/>
      <c r="BL79" s="13"/>
      <c r="BM79" s="111"/>
      <c r="BN79" s="13"/>
      <c r="BO79" s="111"/>
      <c r="BP79" s="13"/>
      <c r="BQ79" s="13"/>
      <c r="BR79" s="111"/>
      <c r="BS79" s="13"/>
      <c r="BT79" s="111"/>
      <c r="BU79" s="111"/>
      <c r="BV79" s="111"/>
      <c r="BW79" s="111"/>
      <c r="BX79" s="111"/>
      <c r="BY79" s="13"/>
      <c r="BZ79" s="111"/>
      <c r="CA79" s="111"/>
      <c r="CB79" s="111"/>
      <c r="CC79" s="111"/>
      <c r="CD79" s="111"/>
      <c r="CE79" s="111"/>
      <c r="CF79" s="111"/>
      <c r="CG79" s="111"/>
      <c r="CH79" s="111"/>
      <c r="CI79" s="111"/>
      <c r="CJ79" s="111"/>
      <c r="CK79" s="111"/>
      <c r="CL79" s="111"/>
      <c r="CM79" s="111"/>
      <c r="CN79" s="111"/>
      <c r="CO79" s="111"/>
      <c r="CP79" s="111"/>
      <c r="CQ79" s="111"/>
      <c r="CR79" s="111"/>
      <c r="CS79" s="111"/>
      <c r="CT79" s="111"/>
      <c r="CU79" s="111"/>
      <c r="CV79" s="111"/>
      <c r="CW79" s="111"/>
      <c r="CX79" s="111"/>
      <c r="CY79" s="111"/>
      <c r="CZ79" s="111"/>
      <c r="DA79" s="111"/>
      <c r="DB79" s="111"/>
      <c r="DC79" s="111"/>
      <c r="DD79" s="111"/>
      <c r="DE79" s="111"/>
      <c r="DF79" s="111"/>
      <c r="DG79" s="111"/>
      <c r="DH79" s="111"/>
      <c r="DI79" s="111"/>
      <c r="DJ79" s="111"/>
      <c r="DK79" s="13"/>
      <c r="DL79" s="13"/>
      <c r="DM79" s="13"/>
      <c r="DN79" s="13"/>
      <c r="DO79" s="13"/>
      <c r="DP79" s="13"/>
      <c r="DQ79" s="13"/>
      <c r="DR79" s="13"/>
      <c r="DS79" s="13"/>
      <c r="DT79" s="13"/>
      <c r="DU79" s="13"/>
      <c r="DV79" s="13"/>
      <c r="DW79" s="13"/>
      <c r="DX79" s="13"/>
      <c r="DY79" s="13"/>
      <c r="DZ79" s="13"/>
      <c r="EA79" s="13"/>
      <c r="EB79" s="13"/>
      <c r="EC79" s="280"/>
      <c r="ED79" s="20"/>
      <c r="EE79" s="13"/>
      <c r="EF79" s="111"/>
      <c r="EG79" s="13"/>
      <c r="EH79" s="13"/>
      <c r="EI79" s="111"/>
      <c r="EJ79" s="111"/>
      <c r="EK79" s="111"/>
      <c r="EL79" s="111"/>
      <c r="EM79" s="111"/>
      <c r="EN79" s="111"/>
      <c r="EO79" s="111"/>
      <c r="EP79" s="111"/>
      <c r="EQ79" s="111"/>
      <c r="ER79" s="111"/>
      <c r="ES79" s="111"/>
      <c r="ET79" s="111"/>
      <c r="EU79" s="111"/>
      <c r="EV79" s="111"/>
      <c r="EW79" s="111"/>
      <c r="EX79" s="111"/>
      <c r="EY79" s="111"/>
      <c r="EZ79" s="111"/>
      <c r="FA79" s="111"/>
      <c r="FB79" s="111"/>
      <c r="FC79" s="111"/>
      <c r="FD79" s="111"/>
      <c r="FE79" s="111"/>
      <c r="FF79" s="111"/>
      <c r="FG79" s="111"/>
      <c r="FH79" s="111"/>
      <c r="FI79" s="111"/>
      <c r="FJ79" s="111"/>
      <c r="FK79" s="111"/>
      <c r="FL79" s="111"/>
      <c r="FM79" s="111"/>
      <c r="FN79" s="111"/>
      <c r="FO79" s="13"/>
      <c r="FP79" s="13"/>
      <c r="FQ79" s="13"/>
      <c r="FR79" s="13"/>
      <c r="FS79" s="13"/>
      <c r="FT79" s="13"/>
      <c r="FU79" s="13"/>
      <c r="FV79" s="13"/>
      <c r="FW79" s="360"/>
      <c r="FX79" s="13"/>
      <c r="FY79" s="280"/>
      <c r="FZ79" s="266"/>
      <c r="GA79" s="266"/>
      <c r="GB79" s="269"/>
      <c r="GC79" s="269"/>
    </row>
    <row r="80" spans="1:185" s="109" customFormat="1" x14ac:dyDescent="0.25">
      <c r="A80" s="20"/>
      <c r="B80" s="111"/>
      <c r="C80" s="111"/>
      <c r="D80" s="111"/>
      <c r="E80" s="111"/>
      <c r="F80" s="111"/>
      <c r="G80" s="111"/>
      <c r="H80" s="111"/>
      <c r="I80" s="111"/>
      <c r="J80" s="111"/>
      <c r="K80" s="111"/>
      <c r="L80" s="111"/>
      <c r="M80" s="111"/>
      <c r="N80" s="111"/>
      <c r="O80" s="111"/>
      <c r="P80" s="111"/>
      <c r="Q80" s="113"/>
      <c r="R80" s="113"/>
      <c r="S80" s="113"/>
      <c r="T80" s="113"/>
      <c r="U80" s="111"/>
      <c r="V80" s="111"/>
      <c r="W80" s="111"/>
      <c r="X80" s="111"/>
      <c r="Y80" s="13"/>
      <c r="Z80" s="13"/>
      <c r="AA80" s="111"/>
      <c r="AB80" s="13"/>
      <c r="AC80" s="111"/>
      <c r="AD80" s="13"/>
      <c r="AE80" s="13"/>
      <c r="AF80" s="111"/>
      <c r="AG80" s="13"/>
      <c r="AH80" s="111"/>
      <c r="AI80" s="13"/>
      <c r="AJ80" s="111"/>
      <c r="AK80" s="13"/>
      <c r="AL80" s="111"/>
      <c r="AM80" s="98"/>
      <c r="AN80" s="98"/>
      <c r="AO80" s="13"/>
      <c r="AP80" s="280"/>
      <c r="AQ80" s="20"/>
      <c r="AR80" s="13"/>
      <c r="AS80" s="111"/>
      <c r="AT80" s="13"/>
      <c r="AU80" s="13"/>
      <c r="AV80" s="13"/>
      <c r="AW80" s="111"/>
      <c r="AX80" s="13"/>
      <c r="AY80" s="111"/>
      <c r="AZ80" s="13"/>
      <c r="BA80" s="111"/>
      <c r="BB80" s="111"/>
      <c r="BC80" s="111"/>
      <c r="BD80" s="13"/>
      <c r="BE80" s="111"/>
      <c r="BF80" s="13"/>
      <c r="BG80" s="13"/>
      <c r="BH80" s="13"/>
      <c r="BI80" s="111"/>
      <c r="BJ80" s="111"/>
      <c r="BK80" s="13"/>
      <c r="BL80" s="13"/>
      <c r="BM80" s="111"/>
      <c r="BN80" s="13"/>
      <c r="BO80" s="111"/>
      <c r="BP80" s="13"/>
      <c r="BQ80" s="13"/>
      <c r="BR80" s="111"/>
      <c r="BS80" s="13"/>
      <c r="BT80" s="111"/>
      <c r="BU80" s="111"/>
      <c r="BV80" s="111"/>
      <c r="BW80" s="111"/>
      <c r="BX80" s="111"/>
      <c r="BY80" s="13"/>
      <c r="BZ80" s="111"/>
      <c r="CA80" s="111"/>
      <c r="CB80" s="111"/>
      <c r="CC80" s="111"/>
      <c r="CD80" s="111"/>
      <c r="CE80" s="111"/>
      <c r="CF80" s="111"/>
      <c r="CG80" s="111"/>
      <c r="CH80" s="111"/>
      <c r="CI80" s="111"/>
      <c r="CJ80" s="111"/>
      <c r="CK80" s="111"/>
      <c r="CL80" s="111"/>
      <c r="CM80" s="111"/>
      <c r="CN80" s="111"/>
      <c r="CO80" s="111"/>
      <c r="CP80" s="111"/>
      <c r="CQ80" s="111"/>
      <c r="CR80" s="111"/>
      <c r="CS80" s="111"/>
      <c r="CT80" s="111"/>
      <c r="CU80" s="111"/>
      <c r="CV80" s="111"/>
      <c r="CW80" s="111"/>
      <c r="CX80" s="111"/>
      <c r="CY80" s="111"/>
      <c r="CZ80" s="111"/>
      <c r="DA80" s="111"/>
      <c r="DB80" s="111"/>
      <c r="DC80" s="111"/>
      <c r="DD80" s="111"/>
      <c r="DE80" s="111"/>
      <c r="DF80" s="111"/>
      <c r="DG80" s="111"/>
      <c r="DH80" s="111"/>
      <c r="DI80" s="111"/>
      <c r="DJ80" s="111"/>
      <c r="DK80" s="13"/>
      <c r="DL80" s="13"/>
      <c r="DM80" s="13"/>
      <c r="DN80" s="13"/>
      <c r="DO80" s="13"/>
      <c r="DP80" s="13"/>
      <c r="DQ80" s="13"/>
      <c r="DR80" s="13"/>
      <c r="DS80" s="13"/>
      <c r="DT80" s="13"/>
      <c r="DU80" s="13"/>
      <c r="DV80" s="13"/>
      <c r="DW80" s="13"/>
      <c r="DX80" s="13"/>
      <c r="DY80" s="13"/>
      <c r="DZ80" s="13"/>
      <c r="EA80" s="13"/>
      <c r="EB80" s="13"/>
      <c r="EC80" s="280"/>
      <c r="ED80" s="20"/>
      <c r="EE80" s="13"/>
      <c r="EF80" s="111"/>
      <c r="EG80" s="13"/>
      <c r="EH80" s="13"/>
      <c r="EI80" s="111"/>
      <c r="EJ80" s="111"/>
      <c r="EK80" s="111"/>
      <c r="EL80" s="111"/>
      <c r="EM80" s="111"/>
      <c r="EN80" s="111"/>
      <c r="EO80" s="111"/>
      <c r="EP80" s="111"/>
      <c r="EQ80" s="111"/>
      <c r="ER80" s="111"/>
      <c r="ES80" s="111"/>
      <c r="ET80" s="111"/>
      <c r="EU80" s="111"/>
      <c r="EV80" s="111"/>
      <c r="EW80" s="111"/>
      <c r="EX80" s="111"/>
      <c r="EY80" s="111"/>
      <c r="EZ80" s="111"/>
      <c r="FA80" s="111"/>
      <c r="FB80" s="111"/>
      <c r="FC80" s="111"/>
      <c r="FD80" s="111"/>
      <c r="FE80" s="111"/>
      <c r="FF80" s="111"/>
      <c r="FG80" s="111"/>
      <c r="FH80" s="111"/>
      <c r="FI80" s="111"/>
      <c r="FJ80" s="111"/>
      <c r="FK80" s="111"/>
      <c r="FL80" s="111"/>
      <c r="FM80" s="111"/>
      <c r="FN80" s="111"/>
      <c r="FO80" s="13"/>
      <c r="FP80" s="13"/>
      <c r="FQ80" s="13"/>
      <c r="FR80" s="13"/>
      <c r="FS80" s="13"/>
      <c r="FT80" s="13"/>
      <c r="FU80" s="13"/>
      <c r="FV80" s="13"/>
      <c r="FW80" s="360"/>
      <c r="FX80" s="13"/>
      <c r="FY80" s="280"/>
      <c r="FZ80" s="266"/>
      <c r="GA80" s="266"/>
      <c r="GB80" s="269"/>
      <c r="GC80" s="269"/>
    </row>
    <row r="81" spans="1:185" s="109" customFormat="1" x14ac:dyDescent="0.25">
      <c r="A81" s="20"/>
      <c r="B81" s="111"/>
      <c r="C81" s="111"/>
      <c r="D81" s="111"/>
      <c r="E81" s="111"/>
      <c r="F81" s="111"/>
      <c r="G81" s="111"/>
      <c r="H81" s="111"/>
      <c r="I81" s="111"/>
      <c r="J81" s="111"/>
      <c r="K81" s="111"/>
      <c r="L81" s="111"/>
      <c r="M81" s="111"/>
      <c r="N81" s="111"/>
      <c r="O81" s="111"/>
      <c r="P81" s="111"/>
      <c r="Q81" s="113"/>
      <c r="R81" s="113"/>
      <c r="S81" s="113"/>
      <c r="T81" s="113"/>
      <c r="U81" s="111"/>
      <c r="V81" s="111"/>
      <c r="W81" s="111"/>
      <c r="X81" s="111"/>
      <c r="Y81" s="13"/>
      <c r="Z81" s="13"/>
      <c r="AA81" s="111"/>
      <c r="AB81" s="13"/>
      <c r="AC81" s="111"/>
      <c r="AD81" s="13"/>
      <c r="AE81" s="13"/>
      <c r="AF81" s="111"/>
      <c r="AG81" s="13"/>
      <c r="AH81" s="111"/>
      <c r="AI81" s="13"/>
      <c r="AJ81" s="111"/>
      <c r="AK81" s="13"/>
      <c r="AL81" s="111"/>
      <c r="AM81" s="98"/>
      <c r="AN81" s="98"/>
      <c r="AO81" s="13"/>
      <c r="AP81" s="280"/>
      <c r="AQ81" s="20"/>
      <c r="AR81" s="13"/>
      <c r="AS81" s="111"/>
      <c r="AT81" s="13"/>
      <c r="AU81" s="13"/>
      <c r="AV81" s="13"/>
      <c r="AW81" s="111"/>
      <c r="AX81" s="13"/>
      <c r="AY81" s="111"/>
      <c r="AZ81" s="13"/>
      <c r="BA81" s="111"/>
      <c r="BB81" s="111"/>
      <c r="BC81" s="111"/>
      <c r="BD81" s="13"/>
      <c r="BE81" s="111"/>
      <c r="BF81" s="13"/>
      <c r="BG81" s="13"/>
      <c r="BH81" s="13"/>
      <c r="BI81" s="111"/>
      <c r="BJ81" s="111"/>
      <c r="BK81" s="13"/>
      <c r="BL81" s="13"/>
      <c r="BM81" s="111"/>
      <c r="BN81" s="13"/>
      <c r="BO81" s="111"/>
      <c r="BP81" s="13"/>
      <c r="BQ81" s="13"/>
      <c r="BR81" s="111"/>
      <c r="BS81" s="13"/>
      <c r="BT81" s="111"/>
      <c r="BU81" s="111"/>
      <c r="BV81" s="111"/>
      <c r="BW81" s="111"/>
      <c r="BX81" s="111"/>
      <c r="BY81" s="13"/>
      <c r="BZ81" s="111"/>
      <c r="CA81" s="111"/>
      <c r="CB81" s="111"/>
      <c r="CC81" s="111"/>
      <c r="CD81" s="111"/>
      <c r="CE81" s="111"/>
      <c r="CF81" s="111"/>
      <c r="CG81" s="111"/>
      <c r="CH81" s="111"/>
      <c r="CI81" s="111"/>
      <c r="CJ81" s="111"/>
      <c r="CK81" s="111"/>
      <c r="CL81" s="111"/>
      <c r="CM81" s="111"/>
      <c r="CN81" s="111"/>
      <c r="CO81" s="111"/>
      <c r="CP81" s="111"/>
      <c r="CQ81" s="111"/>
      <c r="CR81" s="111"/>
      <c r="CS81" s="111"/>
      <c r="CT81" s="111"/>
      <c r="CU81" s="111"/>
      <c r="CV81" s="111"/>
      <c r="CW81" s="111"/>
      <c r="CX81" s="111"/>
      <c r="CY81" s="111"/>
      <c r="CZ81" s="111"/>
      <c r="DA81" s="111"/>
      <c r="DB81" s="111"/>
      <c r="DC81" s="111"/>
      <c r="DD81" s="111"/>
      <c r="DE81" s="111"/>
      <c r="DF81" s="111"/>
      <c r="DG81" s="111"/>
      <c r="DH81" s="111"/>
      <c r="DI81" s="111"/>
      <c r="DJ81" s="111"/>
      <c r="DK81" s="13"/>
      <c r="DL81" s="13"/>
      <c r="DM81" s="13"/>
      <c r="DN81" s="13"/>
      <c r="DO81" s="13"/>
      <c r="DP81" s="13"/>
      <c r="DQ81" s="13"/>
      <c r="DR81" s="13"/>
      <c r="DS81" s="13"/>
      <c r="DT81" s="13"/>
      <c r="DU81" s="13"/>
      <c r="DV81" s="13"/>
      <c r="DW81" s="13"/>
      <c r="DX81" s="13"/>
      <c r="DY81" s="13"/>
      <c r="DZ81" s="13"/>
      <c r="EA81" s="13"/>
      <c r="EB81" s="13"/>
      <c r="EC81" s="280"/>
      <c r="ED81" s="20"/>
      <c r="EE81" s="13"/>
      <c r="EF81" s="111"/>
      <c r="EG81" s="13"/>
      <c r="EH81" s="13"/>
      <c r="EI81" s="111"/>
      <c r="EJ81" s="111"/>
      <c r="EK81" s="111"/>
      <c r="EL81" s="111"/>
      <c r="EM81" s="111"/>
      <c r="EN81" s="111"/>
      <c r="EO81" s="111"/>
      <c r="EP81" s="111"/>
      <c r="EQ81" s="111"/>
      <c r="ER81" s="111"/>
      <c r="ES81" s="111"/>
      <c r="ET81" s="111"/>
      <c r="EU81" s="111"/>
      <c r="EV81" s="111"/>
      <c r="EW81" s="111"/>
      <c r="EX81" s="111"/>
      <c r="EY81" s="111"/>
      <c r="EZ81" s="111"/>
      <c r="FA81" s="111"/>
      <c r="FB81" s="111"/>
      <c r="FC81" s="111"/>
      <c r="FD81" s="111"/>
      <c r="FE81" s="111"/>
      <c r="FF81" s="111"/>
      <c r="FG81" s="111"/>
      <c r="FH81" s="111"/>
      <c r="FI81" s="111"/>
      <c r="FJ81" s="111"/>
      <c r="FK81" s="111"/>
      <c r="FL81" s="111"/>
      <c r="FM81" s="111"/>
      <c r="FN81" s="111"/>
      <c r="FO81" s="13"/>
      <c r="FP81" s="13"/>
      <c r="FQ81" s="13"/>
      <c r="FR81" s="13"/>
      <c r="FS81" s="13"/>
      <c r="FT81" s="13"/>
      <c r="FU81" s="13"/>
      <c r="FV81" s="13"/>
      <c r="FW81" s="360"/>
      <c r="FX81" s="13"/>
      <c r="FY81" s="280"/>
      <c r="FZ81" s="266"/>
      <c r="GA81" s="266"/>
      <c r="GB81" s="269"/>
      <c r="GC81" s="269"/>
    </row>
    <row r="82" spans="1:185" s="109" customFormat="1" x14ac:dyDescent="0.25">
      <c r="A82" s="20"/>
      <c r="B82" s="111"/>
      <c r="C82" s="111"/>
      <c r="D82" s="111"/>
      <c r="E82" s="111"/>
      <c r="F82" s="111"/>
      <c r="G82" s="111"/>
      <c r="H82" s="111"/>
      <c r="I82" s="111"/>
      <c r="J82" s="111"/>
      <c r="K82" s="111"/>
      <c r="L82" s="111"/>
      <c r="M82" s="111"/>
      <c r="N82" s="111"/>
      <c r="O82" s="111"/>
      <c r="P82" s="111"/>
      <c r="Q82" s="113"/>
      <c r="R82" s="113"/>
      <c r="S82" s="113"/>
      <c r="T82" s="113"/>
      <c r="U82" s="111"/>
      <c r="V82" s="111"/>
      <c r="W82" s="111"/>
      <c r="X82" s="111"/>
      <c r="Y82" s="13"/>
      <c r="Z82" s="13"/>
      <c r="AA82" s="111"/>
      <c r="AB82" s="13"/>
      <c r="AC82" s="111"/>
      <c r="AD82" s="13"/>
      <c r="AE82" s="13"/>
      <c r="AF82" s="111"/>
      <c r="AG82" s="13"/>
      <c r="AH82" s="111"/>
      <c r="AI82" s="13"/>
      <c r="AJ82" s="111"/>
      <c r="AK82" s="13"/>
      <c r="AL82" s="111"/>
      <c r="AM82" s="98"/>
      <c r="AN82" s="98"/>
      <c r="AO82" s="13"/>
      <c r="AP82" s="280"/>
      <c r="AQ82" s="20"/>
      <c r="AR82" s="13"/>
      <c r="AS82" s="111"/>
      <c r="AT82" s="13"/>
      <c r="AU82" s="13"/>
      <c r="AV82" s="13"/>
      <c r="AW82" s="111"/>
      <c r="AX82" s="13"/>
      <c r="AY82" s="111"/>
      <c r="AZ82" s="13"/>
      <c r="BA82" s="111"/>
      <c r="BB82" s="111"/>
      <c r="BC82" s="111"/>
      <c r="BD82" s="13"/>
      <c r="BE82" s="111"/>
      <c r="BF82" s="13"/>
      <c r="BG82" s="13"/>
      <c r="BH82" s="13"/>
      <c r="BI82" s="111"/>
      <c r="BJ82" s="111"/>
      <c r="BK82" s="13"/>
      <c r="BL82" s="13"/>
      <c r="BM82" s="111"/>
      <c r="BN82" s="13"/>
      <c r="BO82" s="111"/>
      <c r="BP82" s="13"/>
      <c r="BQ82" s="13"/>
      <c r="BR82" s="111"/>
      <c r="BS82" s="13"/>
      <c r="BT82" s="111"/>
      <c r="BU82" s="111"/>
      <c r="BV82" s="111"/>
      <c r="BW82" s="111"/>
      <c r="BX82" s="111"/>
      <c r="BY82" s="13"/>
      <c r="BZ82" s="111"/>
      <c r="CA82" s="111"/>
      <c r="CB82" s="111"/>
      <c r="CC82" s="111"/>
      <c r="CD82" s="111"/>
      <c r="CE82" s="111"/>
      <c r="CF82" s="111"/>
      <c r="CG82" s="111"/>
      <c r="CH82" s="111"/>
      <c r="CI82" s="111"/>
      <c r="CJ82" s="111"/>
      <c r="CK82" s="111"/>
      <c r="CL82" s="111"/>
      <c r="CM82" s="111"/>
      <c r="CN82" s="111"/>
      <c r="CO82" s="111"/>
      <c r="CP82" s="111"/>
      <c r="CQ82" s="111"/>
      <c r="CR82" s="111"/>
      <c r="CS82" s="111"/>
      <c r="CT82" s="111"/>
      <c r="CU82" s="111"/>
      <c r="CV82" s="111"/>
      <c r="CW82" s="111"/>
      <c r="CX82" s="111"/>
      <c r="CY82" s="111"/>
      <c r="CZ82" s="111"/>
      <c r="DA82" s="111"/>
      <c r="DB82" s="111"/>
      <c r="DC82" s="111"/>
      <c r="DD82" s="111"/>
      <c r="DE82" s="111"/>
      <c r="DF82" s="111"/>
      <c r="DG82" s="111"/>
      <c r="DH82" s="111"/>
      <c r="DI82" s="111"/>
      <c r="DJ82" s="111"/>
      <c r="DK82" s="13"/>
      <c r="DL82" s="13"/>
      <c r="DM82" s="13"/>
      <c r="DN82" s="13"/>
      <c r="DO82" s="13"/>
      <c r="DP82" s="13"/>
      <c r="DQ82" s="13"/>
      <c r="DR82" s="13"/>
      <c r="DS82" s="13"/>
      <c r="DT82" s="13"/>
      <c r="DU82" s="13"/>
      <c r="DV82" s="13"/>
      <c r="DW82" s="13"/>
      <c r="DX82" s="13"/>
      <c r="DY82" s="13"/>
      <c r="DZ82" s="13"/>
      <c r="EA82" s="13"/>
      <c r="EB82" s="13"/>
      <c r="EC82" s="280"/>
      <c r="ED82" s="20"/>
      <c r="EE82" s="13"/>
      <c r="EF82" s="111"/>
      <c r="EG82" s="13"/>
      <c r="EH82" s="13"/>
      <c r="EI82" s="111"/>
      <c r="EJ82" s="111"/>
      <c r="EK82" s="111"/>
      <c r="EL82" s="111"/>
      <c r="EM82" s="111"/>
      <c r="EN82" s="111"/>
      <c r="EO82" s="111"/>
      <c r="EP82" s="111"/>
      <c r="EQ82" s="111"/>
      <c r="ER82" s="111"/>
      <c r="ES82" s="111"/>
      <c r="ET82" s="111"/>
      <c r="EU82" s="111"/>
      <c r="EV82" s="111"/>
      <c r="EW82" s="111"/>
      <c r="EX82" s="111"/>
      <c r="EY82" s="111"/>
      <c r="EZ82" s="111"/>
      <c r="FA82" s="111"/>
      <c r="FB82" s="111"/>
      <c r="FC82" s="111"/>
      <c r="FD82" s="111"/>
      <c r="FE82" s="111"/>
      <c r="FF82" s="111"/>
      <c r="FG82" s="111"/>
      <c r="FH82" s="111"/>
      <c r="FI82" s="111"/>
      <c r="FJ82" s="111"/>
      <c r="FK82" s="111"/>
      <c r="FL82" s="111"/>
      <c r="FM82" s="111"/>
      <c r="FN82" s="111"/>
      <c r="FO82" s="13"/>
      <c r="FP82" s="13"/>
      <c r="FQ82" s="13"/>
      <c r="FR82" s="13"/>
      <c r="FS82" s="13"/>
      <c r="FT82" s="13"/>
      <c r="FU82" s="13"/>
      <c r="FV82" s="13"/>
      <c r="FW82" s="360"/>
      <c r="FX82" s="13"/>
      <c r="FY82" s="280"/>
      <c r="FZ82" s="266"/>
      <c r="GA82" s="266"/>
      <c r="GB82" s="269"/>
      <c r="GC82" s="269"/>
    </row>
    <row r="83" spans="1:185" s="109" customFormat="1" x14ac:dyDescent="0.25">
      <c r="A83" s="20"/>
      <c r="B83" s="111"/>
      <c r="C83" s="111"/>
      <c r="D83" s="111"/>
      <c r="E83" s="111"/>
      <c r="F83" s="111"/>
      <c r="G83" s="111"/>
      <c r="H83" s="111"/>
      <c r="I83" s="111"/>
      <c r="J83" s="111"/>
      <c r="K83" s="111"/>
      <c r="L83" s="111"/>
      <c r="M83" s="111"/>
      <c r="N83" s="111"/>
      <c r="O83" s="111"/>
      <c r="P83" s="111"/>
      <c r="Q83" s="113"/>
      <c r="R83" s="113"/>
      <c r="S83" s="113"/>
      <c r="T83" s="113"/>
      <c r="U83" s="111"/>
      <c r="V83" s="111"/>
      <c r="W83" s="111"/>
      <c r="X83" s="111"/>
      <c r="Y83" s="13"/>
      <c r="Z83" s="13"/>
      <c r="AA83" s="111"/>
      <c r="AB83" s="13"/>
      <c r="AC83" s="111"/>
      <c r="AD83" s="13"/>
      <c r="AE83" s="13"/>
      <c r="AF83" s="111"/>
      <c r="AG83" s="13"/>
      <c r="AH83" s="111"/>
      <c r="AI83" s="13"/>
      <c r="AJ83" s="111"/>
      <c r="AK83" s="13"/>
      <c r="AL83" s="111"/>
      <c r="AM83" s="98"/>
      <c r="AN83" s="98"/>
      <c r="AO83" s="13"/>
      <c r="AP83" s="280"/>
      <c r="AQ83" s="20"/>
      <c r="AR83" s="13"/>
      <c r="AS83" s="111"/>
      <c r="AT83" s="13"/>
      <c r="AU83" s="13"/>
      <c r="AV83" s="13"/>
      <c r="AW83" s="111"/>
      <c r="AX83" s="13"/>
      <c r="AY83" s="111"/>
      <c r="AZ83" s="13"/>
      <c r="BA83" s="111"/>
      <c r="BB83" s="111"/>
      <c r="BC83" s="111"/>
      <c r="BD83" s="13"/>
      <c r="BE83" s="111"/>
      <c r="BF83" s="13"/>
      <c r="BG83" s="13"/>
      <c r="BH83" s="13"/>
      <c r="BI83" s="111"/>
      <c r="BJ83" s="111"/>
      <c r="BK83" s="13"/>
      <c r="BL83" s="13"/>
      <c r="BM83" s="111"/>
      <c r="BN83" s="13"/>
      <c r="BO83" s="111"/>
      <c r="BP83" s="13"/>
      <c r="BQ83" s="13"/>
      <c r="BR83" s="111"/>
      <c r="BS83" s="13"/>
      <c r="BT83" s="111"/>
      <c r="BU83" s="111"/>
      <c r="BV83" s="111"/>
      <c r="BW83" s="111"/>
      <c r="BX83" s="111"/>
      <c r="BY83" s="13"/>
      <c r="BZ83" s="111"/>
      <c r="CA83" s="111"/>
      <c r="CB83" s="111"/>
      <c r="CC83" s="111"/>
      <c r="CD83" s="111"/>
      <c r="CE83" s="111"/>
      <c r="CF83" s="111"/>
      <c r="CG83" s="111"/>
      <c r="CH83" s="111"/>
      <c r="CI83" s="111"/>
      <c r="CJ83" s="111"/>
      <c r="CK83" s="111"/>
      <c r="CL83" s="111"/>
      <c r="CM83" s="111"/>
      <c r="CN83" s="111"/>
      <c r="CO83" s="111"/>
      <c r="CP83" s="111"/>
      <c r="CQ83" s="111"/>
      <c r="CR83" s="111"/>
      <c r="CS83" s="111"/>
      <c r="CT83" s="111"/>
      <c r="CU83" s="111"/>
      <c r="CV83" s="111"/>
      <c r="CW83" s="111"/>
      <c r="CX83" s="111"/>
      <c r="CY83" s="111"/>
      <c r="CZ83" s="111"/>
      <c r="DA83" s="111"/>
      <c r="DB83" s="111"/>
      <c r="DC83" s="111"/>
      <c r="DD83" s="111"/>
      <c r="DE83" s="111"/>
      <c r="DF83" s="111"/>
      <c r="DG83" s="111"/>
      <c r="DH83" s="111"/>
      <c r="DI83" s="111"/>
      <c r="DJ83" s="111"/>
      <c r="DK83" s="13"/>
      <c r="DL83" s="13"/>
      <c r="DM83" s="13"/>
      <c r="DN83" s="13"/>
      <c r="DO83" s="13"/>
      <c r="DP83" s="13"/>
      <c r="DQ83" s="13"/>
      <c r="DR83" s="13"/>
      <c r="DS83" s="13"/>
      <c r="DT83" s="13"/>
      <c r="DU83" s="13"/>
      <c r="DV83" s="13"/>
      <c r="DW83" s="13"/>
      <c r="DX83" s="13"/>
      <c r="DY83" s="13"/>
      <c r="DZ83" s="13"/>
      <c r="EA83" s="13"/>
      <c r="EB83" s="13"/>
      <c r="EC83" s="280"/>
      <c r="ED83" s="20"/>
      <c r="EE83" s="13"/>
      <c r="EF83" s="111"/>
      <c r="EG83" s="13"/>
      <c r="EH83" s="13"/>
      <c r="EI83" s="111"/>
      <c r="EJ83" s="111"/>
      <c r="EK83" s="111"/>
      <c r="EL83" s="111"/>
      <c r="EM83" s="111"/>
      <c r="EN83" s="111"/>
      <c r="EO83" s="111"/>
      <c r="EP83" s="111"/>
      <c r="EQ83" s="111"/>
      <c r="ER83" s="111"/>
      <c r="ES83" s="111"/>
      <c r="ET83" s="111"/>
      <c r="EU83" s="111"/>
      <c r="EV83" s="111"/>
      <c r="EW83" s="111"/>
      <c r="EX83" s="111"/>
      <c r="EY83" s="111"/>
      <c r="EZ83" s="111"/>
      <c r="FA83" s="111"/>
      <c r="FB83" s="111"/>
      <c r="FC83" s="111"/>
      <c r="FD83" s="111"/>
      <c r="FE83" s="111"/>
      <c r="FF83" s="111"/>
      <c r="FG83" s="111"/>
      <c r="FH83" s="111"/>
      <c r="FI83" s="111"/>
      <c r="FJ83" s="111"/>
      <c r="FK83" s="111"/>
      <c r="FL83" s="111"/>
      <c r="FM83" s="111"/>
      <c r="FN83" s="111"/>
      <c r="FO83" s="13"/>
      <c r="FP83" s="13"/>
      <c r="FQ83" s="13"/>
      <c r="FR83" s="13"/>
      <c r="FS83" s="13"/>
      <c r="FT83" s="13"/>
      <c r="FU83" s="13"/>
      <c r="FV83" s="13"/>
      <c r="FW83" s="360"/>
      <c r="FX83" s="13"/>
      <c r="FY83" s="280"/>
      <c r="FZ83" s="266"/>
      <c r="GA83" s="266"/>
      <c r="GB83" s="269"/>
      <c r="GC83" s="269"/>
    </row>
    <row r="84" spans="1:185" s="109" customFormat="1" x14ac:dyDescent="0.25">
      <c r="A84" s="20"/>
      <c r="B84" s="111"/>
      <c r="C84" s="111"/>
      <c r="D84" s="111"/>
      <c r="E84" s="111"/>
      <c r="F84" s="111"/>
      <c r="G84" s="111"/>
      <c r="H84" s="111"/>
      <c r="I84" s="111"/>
      <c r="J84" s="111"/>
      <c r="K84" s="111"/>
      <c r="L84" s="111"/>
      <c r="M84" s="111"/>
      <c r="N84" s="111"/>
      <c r="O84" s="111"/>
      <c r="P84" s="111"/>
      <c r="Q84" s="113"/>
      <c r="R84" s="113"/>
      <c r="S84" s="113"/>
      <c r="T84" s="113"/>
      <c r="U84" s="111"/>
      <c r="V84" s="111"/>
      <c r="W84" s="111"/>
      <c r="X84" s="110"/>
      <c r="Y84" s="111"/>
      <c r="Z84" s="13"/>
      <c r="AA84" s="110"/>
      <c r="AB84" s="13"/>
      <c r="AC84" s="110"/>
      <c r="AD84" s="111"/>
      <c r="AE84" s="13"/>
      <c r="AF84" s="110"/>
      <c r="AG84" s="13"/>
      <c r="AH84" s="110"/>
      <c r="AI84" s="13"/>
      <c r="AJ84" s="110"/>
      <c r="AK84" s="13"/>
      <c r="AL84" s="110"/>
      <c r="AM84" s="98"/>
      <c r="AN84" s="98"/>
      <c r="AO84" s="13"/>
      <c r="AP84" s="280"/>
      <c r="AQ84" s="14"/>
      <c r="AR84" s="13"/>
      <c r="AS84" s="110"/>
      <c r="AT84" s="111"/>
      <c r="AU84" s="13"/>
      <c r="AV84" s="13"/>
      <c r="AW84" s="110"/>
      <c r="AX84" s="13"/>
      <c r="AY84" s="110"/>
      <c r="AZ84" s="13"/>
      <c r="BA84" s="110"/>
      <c r="BB84" s="110"/>
      <c r="BC84" s="110"/>
      <c r="BD84" s="13"/>
      <c r="BE84" s="110"/>
      <c r="BF84" s="13"/>
      <c r="BG84" s="13"/>
      <c r="BH84" s="13"/>
      <c r="BI84" s="110"/>
      <c r="BJ84" s="110"/>
      <c r="BK84" s="13"/>
      <c r="BL84" s="13"/>
      <c r="BM84" s="110"/>
      <c r="BN84" s="13"/>
      <c r="BO84" s="110"/>
      <c r="BP84" s="111"/>
      <c r="BQ84" s="13"/>
      <c r="BR84" s="110"/>
      <c r="BS84" s="13"/>
      <c r="BT84" s="110"/>
      <c r="BU84" s="110"/>
      <c r="BV84" s="110"/>
      <c r="BW84" s="110"/>
      <c r="BX84" s="110"/>
      <c r="BY84" s="13"/>
      <c r="BZ84" s="110"/>
      <c r="CA84" s="110"/>
      <c r="CB84" s="110"/>
      <c r="CC84" s="110"/>
      <c r="CD84" s="110"/>
      <c r="CE84" s="110"/>
      <c r="CF84" s="110"/>
      <c r="CG84" s="110"/>
      <c r="CH84" s="110"/>
      <c r="CI84" s="110"/>
      <c r="CJ84" s="110"/>
      <c r="CK84" s="110"/>
      <c r="CL84" s="110"/>
      <c r="CM84" s="110"/>
      <c r="CN84" s="110"/>
      <c r="CO84" s="110"/>
      <c r="CP84" s="110"/>
      <c r="CQ84" s="110"/>
      <c r="CR84" s="110"/>
      <c r="CS84" s="110"/>
      <c r="CT84" s="110"/>
      <c r="CU84" s="110"/>
      <c r="CV84" s="110"/>
      <c r="CW84" s="110"/>
      <c r="CX84" s="110"/>
      <c r="CY84" s="110"/>
      <c r="CZ84" s="110"/>
      <c r="DA84" s="110"/>
      <c r="DB84" s="110"/>
      <c r="DC84" s="110"/>
      <c r="DD84" s="110"/>
      <c r="DE84" s="110"/>
      <c r="DF84" s="110"/>
      <c r="DG84" s="110"/>
      <c r="DH84" s="110"/>
      <c r="DI84" s="110"/>
      <c r="DJ84" s="110"/>
      <c r="DK84" s="13"/>
      <c r="DL84" s="13"/>
      <c r="DM84" s="13"/>
      <c r="DN84" s="13"/>
      <c r="DO84" s="13"/>
      <c r="DP84" s="13"/>
      <c r="DQ84" s="13"/>
      <c r="DR84" s="13"/>
      <c r="DS84" s="13"/>
      <c r="DT84" s="13"/>
      <c r="DU84" s="13"/>
      <c r="DV84" s="13"/>
      <c r="DW84" s="13"/>
      <c r="DX84" s="13"/>
      <c r="DY84" s="13"/>
      <c r="DZ84" s="13"/>
      <c r="EA84" s="13"/>
      <c r="EB84" s="13"/>
      <c r="EC84" s="17"/>
      <c r="ED84" s="14"/>
      <c r="EE84" s="13"/>
      <c r="EF84" s="110"/>
      <c r="EG84" s="111"/>
      <c r="EH84" s="13"/>
      <c r="EI84" s="110"/>
      <c r="EJ84" s="110"/>
      <c r="EK84" s="110"/>
      <c r="EL84" s="110"/>
      <c r="EM84" s="110"/>
      <c r="EN84" s="110"/>
      <c r="EO84" s="110"/>
      <c r="EP84" s="110"/>
      <c r="EQ84" s="110"/>
      <c r="ER84" s="110"/>
      <c r="ES84" s="110"/>
      <c r="ET84" s="110"/>
      <c r="EU84" s="110"/>
      <c r="EV84" s="110"/>
      <c r="EW84" s="110"/>
      <c r="EX84" s="110"/>
      <c r="EY84" s="110"/>
      <c r="EZ84" s="110"/>
      <c r="FA84" s="110"/>
      <c r="FB84" s="110"/>
      <c r="FC84" s="110"/>
      <c r="FD84" s="110"/>
      <c r="FE84" s="110"/>
      <c r="FF84" s="110"/>
      <c r="FG84" s="110"/>
      <c r="FH84" s="110"/>
      <c r="FI84" s="110"/>
      <c r="FJ84" s="110"/>
      <c r="FK84" s="110"/>
      <c r="FL84" s="110"/>
      <c r="FM84" s="110"/>
      <c r="FN84" s="110"/>
      <c r="FO84" s="13"/>
      <c r="FP84" s="13"/>
      <c r="FQ84" s="13"/>
      <c r="FR84" s="13"/>
      <c r="FS84" s="13"/>
      <c r="FT84" s="13"/>
      <c r="FU84" s="13"/>
      <c r="FV84" s="13"/>
      <c r="FW84" s="360"/>
      <c r="FX84" s="13"/>
      <c r="FY84" s="280"/>
      <c r="FZ84" s="266"/>
      <c r="GA84" s="266"/>
      <c r="GB84" s="269"/>
      <c r="GC84" s="269"/>
    </row>
    <row r="85" spans="1:185" s="109" customFormat="1" x14ac:dyDescent="0.25">
      <c r="A85" s="20"/>
      <c r="B85" s="111"/>
      <c r="C85" s="111"/>
      <c r="D85" s="111"/>
      <c r="E85" s="111"/>
      <c r="F85" s="111"/>
      <c r="G85" s="111"/>
      <c r="H85" s="111"/>
      <c r="I85" s="111"/>
      <c r="J85" s="111"/>
      <c r="K85" s="111"/>
      <c r="L85" s="111"/>
      <c r="M85" s="111"/>
      <c r="N85" s="111"/>
      <c r="O85" s="111"/>
      <c r="P85" s="111"/>
      <c r="Q85" s="113"/>
      <c r="R85" s="113"/>
      <c r="S85" s="113"/>
      <c r="T85" s="113"/>
      <c r="U85" s="111"/>
      <c r="V85" s="111"/>
      <c r="W85" s="111"/>
      <c r="X85" s="111"/>
      <c r="Y85" s="111"/>
      <c r="Z85" s="111"/>
      <c r="AA85" s="111"/>
      <c r="AB85" s="111"/>
      <c r="AC85" s="111"/>
      <c r="AD85" s="111"/>
      <c r="AE85" s="111"/>
      <c r="AF85" s="111"/>
      <c r="AG85" s="111"/>
      <c r="AH85" s="111"/>
      <c r="AI85" s="111"/>
      <c r="AJ85" s="111"/>
      <c r="AK85" s="111"/>
      <c r="AL85" s="111"/>
      <c r="AM85" s="101"/>
      <c r="AN85" s="101"/>
      <c r="AO85" s="111"/>
      <c r="AP85" s="280"/>
      <c r="AQ85" s="20"/>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c r="CB85" s="111"/>
      <c r="CC85" s="111"/>
      <c r="CD85" s="111"/>
      <c r="CE85" s="111"/>
      <c r="CF85" s="111"/>
      <c r="CG85" s="111"/>
      <c r="CH85" s="111"/>
      <c r="CI85" s="111"/>
      <c r="CJ85" s="111"/>
      <c r="CK85" s="111"/>
      <c r="CL85" s="111"/>
      <c r="CM85" s="111"/>
      <c r="CN85" s="111"/>
      <c r="CO85" s="111"/>
      <c r="CP85" s="111"/>
      <c r="CQ85" s="111"/>
      <c r="CR85" s="111"/>
      <c r="CS85" s="111"/>
      <c r="CT85" s="111"/>
      <c r="CU85" s="111"/>
      <c r="CV85" s="111"/>
      <c r="CW85" s="111"/>
      <c r="CX85" s="111"/>
      <c r="CY85" s="111"/>
      <c r="CZ85" s="111"/>
      <c r="DA85" s="111"/>
      <c r="DB85" s="111"/>
      <c r="DC85" s="111"/>
      <c r="DD85" s="111"/>
      <c r="DE85" s="111"/>
      <c r="DF85" s="111"/>
      <c r="DG85" s="111"/>
      <c r="DH85" s="111"/>
      <c r="DI85" s="111"/>
      <c r="DJ85" s="111"/>
      <c r="DK85" s="111"/>
      <c r="DL85" s="111"/>
      <c r="DM85" s="111"/>
      <c r="DN85" s="111"/>
      <c r="DO85" s="111"/>
      <c r="DP85" s="111"/>
      <c r="DQ85" s="111"/>
      <c r="DR85" s="111"/>
      <c r="DS85" s="111"/>
      <c r="DT85" s="111"/>
      <c r="DU85" s="111"/>
      <c r="DV85" s="111"/>
      <c r="DW85" s="111"/>
      <c r="DX85" s="111"/>
      <c r="DY85" s="111"/>
      <c r="DZ85" s="111"/>
      <c r="EA85" s="111"/>
      <c r="EB85" s="111"/>
      <c r="EC85" s="280"/>
      <c r="ED85" s="20"/>
      <c r="EE85" s="111"/>
      <c r="EF85" s="111"/>
      <c r="EG85" s="111"/>
      <c r="EH85" s="111"/>
      <c r="EI85" s="111"/>
      <c r="EJ85" s="111"/>
      <c r="EK85" s="111"/>
      <c r="EL85" s="111"/>
      <c r="EM85" s="111"/>
      <c r="EN85" s="111"/>
      <c r="EO85" s="111"/>
      <c r="EP85" s="111"/>
      <c r="EQ85" s="111"/>
      <c r="ER85" s="111"/>
      <c r="ES85" s="111"/>
      <c r="ET85" s="111"/>
      <c r="EU85" s="111"/>
      <c r="EV85" s="111"/>
      <c r="EW85" s="111"/>
      <c r="EX85" s="111"/>
      <c r="EY85" s="111"/>
      <c r="EZ85" s="111"/>
      <c r="FA85" s="111"/>
      <c r="FB85" s="111"/>
      <c r="FC85" s="111"/>
      <c r="FD85" s="111"/>
      <c r="FE85" s="111"/>
      <c r="FF85" s="111"/>
      <c r="FG85" s="111"/>
      <c r="FH85" s="111"/>
      <c r="FI85" s="111"/>
      <c r="FJ85" s="111"/>
      <c r="FK85" s="111"/>
      <c r="FL85" s="111"/>
      <c r="FM85" s="111"/>
      <c r="FN85" s="111"/>
      <c r="FO85" s="111"/>
      <c r="FP85" s="111"/>
      <c r="FQ85" s="111"/>
      <c r="FR85" s="111"/>
      <c r="FS85" s="111"/>
      <c r="FT85" s="111"/>
      <c r="FU85" s="111"/>
      <c r="FV85" s="111"/>
      <c r="FW85" s="305"/>
      <c r="FX85" s="111"/>
      <c r="FY85" s="280"/>
      <c r="FZ85" s="266"/>
      <c r="GA85" s="266"/>
      <c r="GB85" s="269"/>
      <c r="GC85" s="269"/>
    </row>
    <row r="86" spans="1:185" s="109" customFormat="1" x14ac:dyDescent="0.25">
      <c r="A86" s="20"/>
      <c r="B86" s="111"/>
      <c r="C86" s="111"/>
      <c r="D86" s="111"/>
      <c r="E86" s="111"/>
      <c r="F86" s="111"/>
      <c r="G86" s="111"/>
      <c r="H86" s="111"/>
      <c r="I86" s="111"/>
      <c r="J86" s="111"/>
      <c r="K86" s="111"/>
      <c r="L86" s="111"/>
      <c r="M86" s="111"/>
      <c r="N86" s="111"/>
      <c r="O86" s="111"/>
      <c r="P86" s="111"/>
      <c r="Q86" s="113"/>
      <c r="R86" s="113"/>
      <c r="S86" s="113"/>
      <c r="T86" s="113"/>
      <c r="U86" s="111"/>
      <c r="V86" s="111"/>
      <c r="W86" s="111"/>
      <c r="X86" s="111"/>
      <c r="Y86" s="111"/>
      <c r="Z86" s="111"/>
      <c r="AA86" s="111"/>
      <c r="AB86" s="103"/>
      <c r="AC86" s="111"/>
      <c r="AD86" s="13"/>
      <c r="AE86" s="103"/>
      <c r="AF86" s="111"/>
      <c r="AG86" s="103"/>
      <c r="AH86" s="111"/>
      <c r="AI86" s="103"/>
      <c r="AJ86" s="111"/>
      <c r="AK86" s="103"/>
      <c r="AL86" s="111"/>
      <c r="AM86" s="353"/>
      <c r="AN86" s="353"/>
      <c r="AO86" s="103"/>
      <c r="AP86" s="280"/>
      <c r="AQ86" s="20"/>
      <c r="AR86" s="103"/>
      <c r="AS86" s="111"/>
      <c r="AT86" s="13"/>
      <c r="AU86" s="103"/>
      <c r="AV86" s="103"/>
      <c r="AW86" s="111"/>
      <c r="AX86" s="103"/>
      <c r="AY86" s="111"/>
      <c r="AZ86" s="103"/>
      <c r="BA86" s="111"/>
      <c r="BB86" s="111"/>
      <c r="BC86" s="111"/>
      <c r="BD86" s="103"/>
      <c r="BE86" s="111"/>
      <c r="BF86" s="103"/>
      <c r="BG86" s="103"/>
      <c r="BH86" s="103"/>
      <c r="BI86" s="111"/>
      <c r="BJ86" s="111"/>
      <c r="BK86" s="103"/>
      <c r="BL86" s="103"/>
      <c r="BM86" s="111"/>
      <c r="BN86" s="103"/>
      <c r="BO86" s="111"/>
      <c r="BP86" s="13"/>
      <c r="BQ86" s="103"/>
      <c r="BR86" s="111"/>
      <c r="BS86" s="103"/>
      <c r="BT86" s="111"/>
      <c r="BU86" s="111"/>
      <c r="BV86" s="111"/>
      <c r="BW86" s="111"/>
      <c r="BX86" s="111"/>
      <c r="BY86" s="103"/>
      <c r="BZ86" s="111"/>
      <c r="CA86" s="111"/>
      <c r="CB86" s="111"/>
      <c r="CC86" s="111"/>
      <c r="CD86" s="111"/>
      <c r="CE86" s="111"/>
      <c r="CF86" s="111"/>
      <c r="CG86" s="111"/>
      <c r="CH86" s="111"/>
      <c r="CI86" s="111"/>
      <c r="CJ86" s="111"/>
      <c r="CK86" s="111"/>
      <c r="CL86" s="111"/>
      <c r="CM86" s="111"/>
      <c r="CN86" s="111"/>
      <c r="CO86" s="111"/>
      <c r="CP86" s="111"/>
      <c r="CQ86" s="111"/>
      <c r="CR86" s="111"/>
      <c r="CS86" s="111"/>
      <c r="CT86" s="111"/>
      <c r="CU86" s="111"/>
      <c r="CV86" s="111"/>
      <c r="CW86" s="111"/>
      <c r="CX86" s="111"/>
      <c r="CY86" s="111"/>
      <c r="CZ86" s="111"/>
      <c r="DA86" s="111"/>
      <c r="DB86" s="111"/>
      <c r="DC86" s="111"/>
      <c r="DD86" s="111"/>
      <c r="DE86" s="111"/>
      <c r="DF86" s="111"/>
      <c r="DG86" s="111"/>
      <c r="DH86" s="111"/>
      <c r="DI86" s="111"/>
      <c r="DJ86" s="111"/>
      <c r="DK86" s="103"/>
      <c r="DL86" s="103"/>
      <c r="DM86" s="103"/>
      <c r="DN86" s="103"/>
      <c r="DO86" s="103"/>
      <c r="DP86" s="103"/>
      <c r="DQ86" s="103"/>
      <c r="DR86" s="103"/>
      <c r="DS86" s="103"/>
      <c r="DT86" s="103"/>
      <c r="DU86" s="103"/>
      <c r="DV86" s="103"/>
      <c r="DW86" s="103"/>
      <c r="DX86" s="103"/>
      <c r="DY86" s="103"/>
      <c r="DZ86" s="103"/>
      <c r="EA86" s="103"/>
      <c r="EB86" s="103"/>
      <c r="EC86" s="280"/>
      <c r="ED86" s="20"/>
      <c r="EE86" s="103"/>
      <c r="EF86" s="111"/>
      <c r="EG86" s="13"/>
      <c r="EH86" s="103"/>
      <c r="EI86" s="111"/>
      <c r="EJ86" s="111"/>
      <c r="EK86" s="111"/>
      <c r="EL86" s="111"/>
      <c r="EM86" s="111"/>
      <c r="EN86" s="111"/>
      <c r="EO86" s="111"/>
      <c r="EP86" s="111"/>
      <c r="EQ86" s="111"/>
      <c r="ER86" s="111"/>
      <c r="ES86" s="111"/>
      <c r="ET86" s="111"/>
      <c r="EU86" s="111"/>
      <c r="EV86" s="111"/>
      <c r="EW86" s="111"/>
      <c r="EX86" s="111"/>
      <c r="EY86" s="111"/>
      <c r="EZ86" s="111"/>
      <c r="FA86" s="111"/>
      <c r="FB86" s="111"/>
      <c r="FC86" s="111"/>
      <c r="FD86" s="111"/>
      <c r="FE86" s="111"/>
      <c r="FF86" s="111"/>
      <c r="FG86" s="111"/>
      <c r="FH86" s="111"/>
      <c r="FI86" s="111"/>
      <c r="FJ86" s="111"/>
      <c r="FK86" s="111"/>
      <c r="FL86" s="111"/>
      <c r="FM86" s="111"/>
      <c r="FN86" s="111"/>
      <c r="FO86" s="103"/>
      <c r="FP86" s="103"/>
      <c r="FQ86" s="103"/>
      <c r="FR86" s="103"/>
      <c r="FS86" s="103"/>
      <c r="FT86" s="103"/>
      <c r="FU86" s="103"/>
      <c r="FV86" s="103"/>
      <c r="FW86" s="386"/>
      <c r="FX86" s="103"/>
      <c r="FY86" s="280"/>
      <c r="FZ86" s="266"/>
      <c r="GA86" s="266"/>
      <c r="GB86" s="269"/>
      <c r="GC86" s="269"/>
    </row>
    <row r="87" spans="1:185" s="109" customFormat="1" x14ac:dyDescent="0.25">
      <c r="A87" s="20"/>
      <c r="B87" s="111"/>
      <c r="C87" s="111"/>
      <c r="D87" s="111"/>
      <c r="E87" s="111"/>
      <c r="F87" s="111"/>
      <c r="G87" s="111"/>
      <c r="H87" s="111"/>
      <c r="I87" s="111"/>
      <c r="J87" s="111"/>
      <c r="K87" s="111"/>
      <c r="L87" s="111"/>
      <c r="M87" s="111"/>
      <c r="N87" s="111"/>
      <c r="O87" s="111"/>
      <c r="P87" s="111"/>
      <c r="Q87" s="113"/>
      <c r="R87" s="113"/>
      <c r="S87" s="113"/>
      <c r="T87" s="113"/>
      <c r="U87" s="111"/>
      <c r="V87" s="111"/>
      <c r="W87" s="111"/>
      <c r="X87" s="111"/>
      <c r="Y87" s="111"/>
      <c r="Z87" s="111"/>
      <c r="AA87" s="111"/>
      <c r="AB87" s="103"/>
      <c r="AC87" s="111"/>
      <c r="AD87" s="13"/>
      <c r="AE87" s="103"/>
      <c r="AF87" s="111"/>
      <c r="AG87" s="103"/>
      <c r="AH87" s="111"/>
      <c r="AI87" s="103"/>
      <c r="AJ87" s="111"/>
      <c r="AK87" s="103"/>
      <c r="AL87" s="111"/>
      <c r="AM87" s="353"/>
      <c r="AN87" s="353"/>
      <c r="AO87" s="103"/>
      <c r="AP87" s="280"/>
      <c r="AQ87" s="20"/>
      <c r="AR87" s="103"/>
      <c r="AS87" s="111"/>
      <c r="AT87" s="13"/>
      <c r="AU87" s="103"/>
      <c r="AV87" s="103"/>
      <c r="AW87" s="111"/>
      <c r="AX87" s="103"/>
      <c r="AY87" s="111"/>
      <c r="AZ87" s="103"/>
      <c r="BA87" s="111"/>
      <c r="BB87" s="111"/>
      <c r="BC87" s="111"/>
      <c r="BD87" s="103"/>
      <c r="BE87" s="111"/>
      <c r="BF87" s="103"/>
      <c r="BG87" s="103"/>
      <c r="BH87" s="103"/>
      <c r="BI87" s="111"/>
      <c r="BJ87" s="111"/>
      <c r="BK87" s="103"/>
      <c r="BL87" s="103"/>
      <c r="BM87" s="111"/>
      <c r="BN87" s="103"/>
      <c r="BO87" s="111"/>
      <c r="BP87" s="13"/>
      <c r="BQ87" s="103"/>
      <c r="BR87" s="111"/>
      <c r="BS87" s="103"/>
      <c r="BT87" s="111"/>
      <c r="BU87" s="111"/>
      <c r="BV87" s="111"/>
      <c r="BW87" s="111"/>
      <c r="BX87" s="111"/>
      <c r="BY87" s="103"/>
      <c r="BZ87" s="111"/>
      <c r="CA87" s="111"/>
      <c r="CB87" s="111"/>
      <c r="CC87" s="111"/>
      <c r="CD87" s="111"/>
      <c r="CE87" s="111"/>
      <c r="CF87" s="111"/>
      <c r="CG87" s="111"/>
      <c r="CH87" s="111"/>
      <c r="CI87" s="111"/>
      <c r="CJ87" s="111"/>
      <c r="CK87" s="111"/>
      <c r="CL87" s="111"/>
      <c r="CM87" s="111"/>
      <c r="CN87" s="111"/>
      <c r="CO87" s="111"/>
      <c r="CP87" s="111"/>
      <c r="CQ87" s="111"/>
      <c r="CR87" s="111"/>
      <c r="CS87" s="111"/>
      <c r="CT87" s="111"/>
      <c r="CU87" s="111"/>
      <c r="CV87" s="111"/>
      <c r="CW87" s="111"/>
      <c r="CX87" s="111"/>
      <c r="CY87" s="111"/>
      <c r="CZ87" s="111"/>
      <c r="DA87" s="111"/>
      <c r="DB87" s="111"/>
      <c r="DC87" s="111"/>
      <c r="DD87" s="111"/>
      <c r="DE87" s="111"/>
      <c r="DF87" s="111"/>
      <c r="DG87" s="111"/>
      <c r="DH87" s="111"/>
      <c r="DI87" s="111"/>
      <c r="DJ87" s="111"/>
      <c r="DK87" s="103"/>
      <c r="DL87" s="103"/>
      <c r="DM87" s="103"/>
      <c r="DN87" s="103"/>
      <c r="DO87" s="103"/>
      <c r="DP87" s="103"/>
      <c r="DQ87" s="103"/>
      <c r="DR87" s="103"/>
      <c r="DS87" s="103"/>
      <c r="DT87" s="103"/>
      <c r="DU87" s="103"/>
      <c r="DV87" s="103"/>
      <c r="DW87" s="103"/>
      <c r="DX87" s="103"/>
      <c r="DY87" s="103"/>
      <c r="DZ87" s="103"/>
      <c r="EA87" s="103"/>
      <c r="EB87" s="103"/>
      <c r="EC87" s="280"/>
      <c r="ED87" s="20"/>
      <c r="EE87" s="103"/>
      <c r="EF87" s="111"/>
      <c r="EG87" s="13"/>
      <c r="EH87" s="103"/>
      <c r="EI87" s="111"/>
      <c r="EJ87" s="111"/>
      <c r="EK87" s="111"/>
      <c r="EL87" s="111"/>
      <c r="EM87" s="111"/>
      <c r="EN87" s="111"/>
      <c r="EO87" s="111"/>
      <c r="EP87" s="111"/>
      <c r="EQ87" s="111"/>
      <c r="ER87" s="111"/>
      <c r="ES87" s="111"/>
      <c r="ET87" s="111"/>
      <c r="EU87" s="111"/>
      <c r="EV87" s="111"/>
      <c r="EW87" s="111"/>
      <c r="EX87" s="111"/>
      <c r="EY87" s="111"/>
      <c r="EZ87" s="111"/>
      <c r="FA87" s="111"/>
      <c r="FB87" s="111"/>
      <c r="FC87" s="111"/>
      <c r="FD87" s="111"/>
      <c r="FE87" s="111"/>
      <c r="FF87" s="111"/>
      <c r="FG87" s="111"/>
      <c r="FH87" s="111"/>
      <c r="FI87" s="111"/>
      <c r="FJ87" s="111"/>
      <c r="FK87" s="111"/>
      <c r="FL87" s="111"/>
      <c r="FM87" s="111"/>
      <c r="FN87" s="111"/>
      <c r="FO87" s="103"/>
      <c r="FP87" s="103"/>
      <c r="FQ87" s="103"/>
      <c r="FR87" s="103"/>
      <c r="FS87" s="103"/>
      <c r="FT87" s="103"/>
      <c r="FU87" s="103"/>
      <c r="FV87" s="103"/>
      <c r="FW87" s="386"/>
      <c r="FX87" s="103"/>
      <c r="FY87" s="280"/>
      <c r="FZ87" s="266"/>
      <c r="GA87" s="266"/>
      <c r="GB87" s="269"/>
      <c r="GC87" s="269"/>
    </row>
    <row r="88" spans="1:185" s="109" customFormat="1" x14ac:dyDescent="0.25">
      <c r="A88" s="20"/>
      <c r="B88" s="111"/>
      <c r="C88" s="111"/>
      <c r="D88" s="111"/>
      <c r="E88" s="111"/>
      <c r="F88" s="111"/>
      <c r="G88" s="111"/>
      <c r="H88" s="111"/>
      <c r="I88" s="111"/>
      <c r="J88" s="111"/>
      <c r="K88" s="111"/>
      <c r="L88" s="111"/>
      <c r="M88" s="111"/>
      <c r="N88" s="111"/>
      <c r="O88" s="111"/>
      <c r="P88" s="111"/>
      <c r="Q88" s="113"/>
      <c r="R88" s="113"/>
      <c r="S88" s="113"/>
      <c r="T88" s="113"/>
      <c r="U88" s="111"/>
      <c r="V88" s="111"/>
      <c r="W88" s="111"/>
      <c r="X88" s="111"/>
      <c r="Y88" s="111"/>
      <c r="Z88" s="111"/>
      <c r="AA88" s="111"/>
      <c r="AB88" s="103"/>
      <c r="AC88" s="111"/>
      <c r="AD88" s="13"/>
      <c r="AE88" s="103"/>
      <c r="AF88" s="111"/>
      <c r="AG88" s="103"/>
      <c r="AH88" s="111"/>
      <c r="AI88" s="103"/>
      <c r="AJ88" s="111"/>
      <c r="AK88" s="103"/>
      <c r="AL88" s="111"/>
      <c r="AM88" s="353"/>
      <c r="AN88" s="353"/>
      <c r="AO88" s="103"/>
      <c r="AP88" s="280"/>
      <c r="AQ88" s="20"/>
      <c r="AR88" s="103"/>
      <c r="AS88" s="111"/>
      <c r="AT88" s="13"/>
      <c r="AU88" s="103"/>
      <c r="AV88" s="103"/>
      <c r="AW88" s="111"/>
      <c r="AX88" s="103"/>
      <c r="AY88" s="111"/>
      <c r="AZ88" s="103"/>
      <c r="BA88" s="111"/>
      <c r="BB88" s="111"/>
      <c r="BC88" s="111"/>
      <c r="BD88" s="103"/>
      <c r="BE88" s="111"/>
      <c r="BF88" s="103"/>
      <c r="BG88" s="103"/>
      <c r="BH88" s="103"/>
      <c r="BI88" s="111"/>
      <c r="BJ88" s="111"/>
      <c r="BK88" s="103"/>
      <c r="BL88" s="103"/>
      <c r="BM88" s="111"/>
      <c r="BN88" s="103"/>
      <c r="BO88" s="111"/>
      <c r="BP88" s="13"/>
      <c r="BQ88" s="103"/>
      <c r="BR88" s="111"/>
      <c r="BS88" s="103"/>
      <c r="BT88" s="111"/>
      <c r="BU88" s="111"/>
      <c r="BV88" s="111"/>
      <c r="BW88" s="111"/>
      <c r="BX88" s="111"/>
      <c r="BY88" s="103"/>
      <c r="BZ88" s="111"/>
      <c r="CA88" s="111"/>
      <c r="CB88" s="111"/>
      <c r="CC88" s="111"/>
      <c r="CD88" s="111"/>
      <c r="CE88" s="111"/>
      <c r="CF88" s="111"/>
      <c r="CG88" s="111"/>
      <c r="CH88" s="111"/>
      <c r="CI88" s="111"/>
      <c r="CJ88" s="111"/>
      <c r="CK88" s="111"/>
      <c r="CL88" s="111"/>
      <c r="CM88" s="111"/>
      <c r="CN88" s="111"/>
      <c r="CO88" s="111"/>
      <c r="CP88" s="111"/>
      <c r="CQ88" s="111"/>
      <c r="CR88" s="111"/>
      <c r="CS88" s="111"/>
      <c r="CT88" s="111"/>
      <c r="CU88" s="111"/>
      <c r="CV88" s="111"/>
      <c r="CW88" s="111"/>
      <c r="CX88" s="111"/>
      <c r="CY88" s="111"/>
      <c r="CZ88" s="111"/>
      <c r="DA88" s="111"/>
      <c r="DB88" s="111"/>
      <c r="DC88" s="111"/>
      <c r="DD88" s="111"/>
      <c r="DE88" s="111"/>
      <c r="DF88" s="111"/>
      <c r="DG88" s="111"/>
      <c r="DH88" s="111"/>
      <c r="DI88" s="111"/>
      <c r="DJ88" s="111"/>
      <c r="DK88" s="103"/>
      <c r="DL88" s="103"/>
      <c r="DM88" s="103"/>
      <c r="DN88" s="103"/>
      <c r="DO88" s="103"/>
      <c r="DP88" s="103"/>
      <c r="DQ88" s="103"/>
      <c r="DR88" s="103"/>
      <c r="DS88" s="103"/>
      <c r="DT88" s="103"/>
      <c r="DU88" s="103"/>
      <c r="DV88" s="103"/>
      <c r="DW88" s="103"/>
      <c r="DX88" s="103"/>
      <c r="DY88" s="103"/>
      <c r="DZ88" s="103"/>
      <c r="EA88" s="103"/>
      <c r="EB88" s="103"/>
      <c r="EC88" s="280"/>
      <c r="ED88" s="20"/>
      <c r="EE88" s="103"/>
      <c r="EF88" s="111"/>
      <c r="EG88" s="13"/>
      <c r="EH88" s="103"/>
      <c r="EI88" s="111"/>
      <c r="EJ88" s="111"/>
      <c r="EK88" s="111"/>
      <c r="EL88" s="111"/>
      <c r="EM88" s="111"/>
      <c r="EN88" s="111"/>
      <c r="EO88" s="111"/>
      <c r="EP88" s="111"/>
      <c r="EQ88" s="111"/>
      <c r="ER88" s="111"/>
      <c r="ES88" s="111"/>
      <c r="ET88" s="111"/>
      <c r="EU88" s="111"/>
      <c r="EV88" s="111"/>
      <c r="EW88" s="111"/>
      <c r="EX88" s="111"/>
      <c r="EY88" s="111"/>
      <c r="EZ88" s="111"/>
      <c r="FA88" s="111"/>
      <c r="FB88" s="111"/>
      <c r="FC88" s="111"/>
      <c r="FD88" s="111"/>
      <c r="FE88" s="111"/>
      <c r="FF88" s="111"/>
      <c r="FG88" s="111"/>
      <c r="FH88" s="111"/>
      <c r="FI88" s="111"/>
      <c r="FJ88" s="111"/>
      <c r="FK88" s="111"/>
      <c r="FL88" s="111"/>
      <c r="FM88" s="111"/>
      <c r="FN88" s="111"/>
      <c r="FO88" s="103"/>
      <c r="FP88" s="103"/>
      <c r="FQ88" s="103"/>
      <c r="FR88" s="103"/>
      <c r="FS88" s="103"/>
      <c r="FT88" s="103"/>
      <c r="FU88" s="103"/>
      <c r="FV88" s="103"/>
      <c r="FW88" s="386"/>
      <c r="FX88" s="103"/>
      <c r="FY88" s="280"/>
      <c r="FZ88" s="266"/>
      <c r="GA88" s="266"/>
      <c r="GB88" s="269"/>
      <c r="GC88" s="269"/>
    </row>
    <row r="89" spans="1:185" s="109" customFormat="1" x14ac:dyDescent="0.25">
      <c r="A89" s="18"/>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11"/>
      <c r="AB89" s="13"/>
      <c r="AC89" s="111"/>
      <c r="AD89" s="13"/>
      <c r="AE89" s="13"/>
      <c r="AF89" s="111"/>
      <c r="AG89" s="13"/>
      <c r="AH89" s="111"/>
      <c r="AI89" s="13"/>
      <c r="AJ89" s="111"/>
      <c r="AK89" s="13"/>
      <c r="AL89" s="111"/>
      <c r="AM89" s="98"/>
      <c r="AN89" s="98"/>
      <c r="AO89" s="13"/>
      <c r="AP89" s="280"/>
      <c r="AQ89" s="20"/>
      <c r="AR89" s="13"/>
      <c r="AS89" s="111"/>
      <c r="AT89" s="13"/>
      <c r="AU89" s="13"/>
      <c r="AV89" s="13"/>
      <c r="AW89" s="111"/>
      <c r="AX89" s="13"/>
      <c r="AY89" s="111"/>
      <c r="AZ89" s="13"/>
      <c r="BA89" s="111"/>
      <c r="BB89" s="111"/>
      <c r="BC89" s="111"/>
      <c r="BD89" s="13"/>
      <c r="BE89" s="111"/>
      <c r="BF89" s="13"/>
      <c r="BG89" s="13"/>
      <c r="BH89" s="13"/>
      <c r="BI89" s="111"/>
      <c r="BJ89" s="111"/>
      <c r="BK89" s="13"/>
      <c r="BL89" s="13"/>
      <c r="BM89" s="111"/>
      <c r="BN89" s="13"/>
      <c r="BO89" s="111"/>
      <c r="BP89" s="13"/>
      <c r="BQ89" s="13"/>
      <c r="BR89" s="111"/>
      <c r="BS89" s="13"/>
      <c r="BT89" s="111"/>
      <c r="BU89" s="111"/>
      <c r="BV89" s="111"/>
      <c r="BW89" s="111"/>
      <c r="BX89" s="111"/>
      <c r="BY89" s="13"/>
      <c r="BZ89" s="111"/>
      <c r="CA89" s="111"/>
      <c r="CB89" s="111"/>
      <c r="CC89" s="111"/>
      <c r="CD89" s="111"/>
      <c r="CE89" s="111"/>
      <c r="CF89" s="111"/>
      <c r="CG89" s="111"/>
      <c r="CH89" s="111"/>
      <c r="CI89" s="111"/>
      <c r="CJ89" s="111"/>
      <c r="CK89" s="111"/>
      <c r="CL89" s="111"/>
      <c r="CM89" s="111"/>
      <c r="CN89" s="111"/>
      <c r="CO89" s="111"/>
      <c r="CP89" s="111"/>
      <c r="CQ89" s="111"/>
      <c r="CR89" s="111"/>
      <c r="CS89" s="111"/>
      <c r="CT89" s="111"/>
      <c r="CU89" s="111"/>
      <c r="CV89" s="111"/>
      <c r="CW89" s="111"/>
      <c r="CX89" s="111"/>
      <c r="CY89" s="111"/>
      <c r="CZ89" s="111"/>
      <c r="DA89" s="111"/>
      <c r="DB89" s="111"/>
      <c r="DC89" s="111"/>
      <c r="DD89" s="111"/>
      <c r="DE89" s="111"/>
      <c r="DF89" s="111"/>
      <c r="DG89" s="111"/>
      <c r="DH89" s="111"/>
      <c r="DI89" s="111"/>
      <c r="DJ89" s="111"/>
      <c r="DK89" s="13"/>
      <c r="DL89" s="13"/>
      <c r="DM89" s="13"/>
      <c r="DN89" s="13"/>
      <c r="DO89" s="13"/>
      <c r="DP89" s="13"/>
      <c r="DQ89" s="13"/>
      <c r="DR89" s="13"/>
      <c r="DS89" s="13"/>
      <c r="DT89" s="13"/>
      <c r="DU89" s="13"/>
      <c r="DV89" s="13"/>
      <c r="DW89" s="13"/>
      <c r="DX89" s="13"/>
      <c r="DY89" s="13"/>
      <c r="DZ89" s="13"/>
      <c r="EA89" s="13"/>
      <c r="EB89" s="13"/>
      <c r="EC89" s="280"/>
      <c r="ED89" s="20"/>
      <c r="EE89" s="13"/>
      <c r="EF89" s="111"/>
      <c r="EG89" s="13"/>
      <c r="EH89" s="13"/>
      <c r="EI89" s="111"/>
      <c r="EJ89" s="111"/>
      <c r="EK89" s="111"/>
      <c r="EL89" s="111"/>
      <c r="EM89" s="111"/>
      <c r="EN89" s="111"/>
      <c r="EO89" s="111"/>
      <c r="EP89" s="111"/>
      <c r="EQ89" s="111"/>
      <c r="ER89" s="111"/>
      <c r="ES89" s="111"/>
      <c r="ET89" s="111"/>
      <c r="EU89" s="111"/>
      <c r="EV89" s="111"/>
      <c r="EW89" s="111"/>
      <c r="EX89" s="111"/>
      <c r="EY89" s="111"/>
      <c r="EZ89" s="111"/>
      <c r="FA89" s="111"/>
      <c r="FB89" s="111"/>
      <c r="FC89" s="111"/>
      <c r="FD89" s="111"/>
      <c r="FE89" s="111"/>
      <c r="FF89" s="111"/>
      <c r="FG89" s="111"/>
      <c r="FH89" s="111"/>
      <c r="FI89" s="111"/>
      <c r="FJ89" s="111"/>
      <c r="FK89" s="111"/>
      <c r="FL89" s="111"/>
      <c r="FM89" s="111"/>
      <c r="FN89" s="111"/>
      <c r="FO89" s="13"/>
      <c r="FP89" s="13"/>
      <c r="FQ89" s="13"/>
      <c r="FR89" s="13"/>
      <c r="FS89" s="13"/>
      <c r="FT89" s="13"/>
      <c r="FU89" s="13"/>
      <c r="FV89" s="13"/>
      <c r="FW89" s="360"/>
      <c r="FX89" s="13"/>
      <c r="FY89" s="280"/>
      <c r="FZ89" s="266"/>
      <c r="GA89" s="266"/>
      <c r="GB89" s="269"/>
      <c r="GC89" s="269"/>
    </row>
    <row r="90" spans="1:185" s="109" customFormat="1" x14ac:dyDescent="0.25">
      <c r="A90" s="18"/>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11"/>
      <c r="AB90" s="13"/>
      <c r="AC90" s="111"/>
      <c r="AD90" s="13"/>
      <c r="AE90" s="13"/>
      <c r="AF90" s="111"/>
      <c r="AG90" s="13"/>
      <c r="AH90" s="111"/>
      <c r="AI90" s="13"/>
      <c r="AJ90" s="111"/>
      <c r="AK90" s="13"/>
      <c r="AL90" s="111"/>
      <c r="AM90" s="98"/>
      <c r="AN90" s="98"/>
      <c r="AO90" s="13"/>
      <c r="AP90" s="280"/>
      <c r="AQ90" s="20"/>
      <c r="AR90" s="13"/>
      <c r="AS90" s="111"/>
      <c r="AT90" s="13"/>
      <c r="AU90" s="13"/>
      <c r="AV90" s="13"/>
      <c r="AW90" s="111"/>
      <c r="AX90" s="13"/>
      <c r="AY90" s="111"/>
      <c r="AZ90" s="13"/>
      <c r="BA90" s="111"/>
      <c r="BB90" s="111"/>
      <c r="BC90" s="111"/>
      <c r="BD90" s="13"/>
      <c r="BE90" s="111"/>
      <c r="BF90" s="13"/>
      <c r="BG90" s="13"/>
      <c r="BH90" s="13"/>
      <c r="BI90" s="111"/>
      <c r="BJ90" s="111"/>
      <c r="BK90" s="13"/>
      <c r="BL90" s="13"/>
      <c r="BM90" s="111"/>
      <c r="BN90" s="13"/>
      <c r="BO90" s="111"/>
      <c r="BP90" s="13"/>
      <c r="BQ90" s="13"/>
      <c r="BR90" s="111"/>
      <c r="BS90" s="13"/>
      <c r="BT90" s="111"/>
      <c r="BU90" s="111"/>
      <c r="BV90" s="111"/>
      <c r="BW90" s="111"/>
      <c r="BX90" s="111"/>
      <c r="BY90" s="13"/>
      <c r="BZ90" s="111"/>
      <c r="CA90" s="111"/>
      <c r="CB90" s="111"/>
      <c r="CC90" s="111"/>
      <c r="CD90" s="111"/>
      <c r="CE90" s="111"/>
      <c r="CF90" s="111"/>
      <c r="CG90" s="111"/>
      <c r="CH90" s="111"/>
      <c r="CI90" s="111"/>
      <c r="CJ90" s="111"/>
      <c r="CK90" s="111"/>
      <c r="CL90" s="111"/>
      <c r="CM90" s="111"/>
      <c r="CN90" s="111"/>
      <c r="CO90" s="111"/>
      <c r="CP90" s="111"/>
      <c r="CQ90" s="111"/>
      <c r="CR90" s="111"/>
      <c r="CS90" s="111"/>
      <c r="CT90" s="111"/>
      <c r="CU90" s="111"/>
      <c r="CV90" s="111"/>
      <c r="CW90" s="111"/>
      <c r="CX90" s="111"/>
      <c r="CY90" s="111"/>
      <c r="CZ90" s="111"/>
      <c r="DA90" s="111"/>
      <c r="DB90" s="111"/>
      <c r="DC90" s="111"/>
      <c r="DD90" s="111"/>
      <c r="DE90" s="111"/>
      <c r="DF90" s="111"/>
      <c r="DG90" s="111"/>
      <c r="DH90" s="111"/>
      <c r="DI90" s="111"/>
      <c r="DJ90" s="111"/>
      <c r="DK90" s="13"/>
      <c r="DL90" s="13"/>
      <c r="DM90" s="13"/>
      <c r="DN90" s="13"/>
      <c r="DO90" s="13"/>
      <c r="DP90" s="13"/>
      <c r="DQ90" s="13"/>
      <c r="DR90" s="13"/>
      <c r="DS90" s="13"/>
      <c r="DT90" s="13"/>
      <c r="DU90" s="13"/>
      <c r="DV90" s="13"/>
      <c r="DW90" s="13"/>
      <c r="DX90" s="13"/>
      <c r="DY90" s="13"/>
      <c r="DZ90" s="13"/>
      <c r="EA90" s="13"/>
      <c r="EB90" s="13"/>
      <c r="EC90" s="280"/>
      <c r="ED90" s="20"/>
      <c r="EE90" s="13"/>
      <c r="EF90" s="111"/>
      <c r="EG90" s="13"/>
      <c r="EH90" s="13"/>
      <c r="EI90" s="111"/>
      <c r="EJ90" s="111"/>
      <c r="EK90" s="111"/>
      <c r="EL90" s="111"/>
      <c r="EM90" s="111"/>
      <c r="EN90" s="111"/>
      <c r="EO90" s="111"/>
      <c r="EP90" s="111"/>
      <c r="EQ90" s="111"/>
      <c r="ER90" s="111"/>
      <c r="ES90" s="111"/>
      <c r="ET90" s="111"/>
      <c r="EU90" s="111"/>
      <c r="EV90" s="111"/>
      <c r="EW90" s="111"/>
      <c r="EX90" s="111"/>
      <c r="EY90" s="111"/>
      <c r="EZ90" s="111"/>
      <c r="FA90" s="111"/>
      <c r="FB90" s="111"/>
      <c r="FC90" s="111"/>
      <c r="FD90" s="111"/>
      <c r="FE90" s="111"/>
      <c r="FF90" s="111"/>
      <c r="FG90" s="111"/>
      <c r="FH90" s="111"/>
      <c r="FI90" s="111"/>
      <c r="FJ90" s="111"/>
      <c r="FK90" s="111"/>
      <c r="FL90" s="111"/>
      <c r="FM90" s="111"/>
      <c r="FN90" s="111"/>
      <c r="FO90" s="13"/>
      <c r="FP90" s="13"/>
      <c r="FQ90" s="13"/>
      <c r="FR90" s="13"/>
      <c r="FS90" s="13"/>
      <c r="FT90" s="13"/>
      <c r="FU90" s="13"/>
      <c r="FV90" s="13"/>
      <c r="FW90" s="360"/>
      <c r="FX90" s="13"/>
      <c r="FY90" s="280"/>
      <c r="FZ90" s="266"/>
      <c r="GA90" s="266"/>
      <c r="GB90" s="269"/>
      <c r="GC90" s="269"/>
    </row>
    <row r="91" spans="1:185" s="109" customFormat="1" x14ac:dyDescent="0.25">
      <c r="A91" s="18"/>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11"/>
      <c r="AB91" s="13"/>
      <c r="AC91" s="111"/>
      <c r="AD91" s="13"/>
      <c r="AE91" s="13"/>
      <c r="AF91" s="111"/>
      <c r="AG91" s="13"/>
      <c r="AH91" s="111"/>
      <c r="AI91" s="13"/>
      <c r="AJ91" s="111"/>
      <c r="AK91" s="13"/>
      <c r="AL91" s="111"/>
      <c r="AM91" s="98"/>
      <c r="AN91" s="98"/>
      <c r="AO91" s="13"/>
      <c r="AP91" s="280"/>
      <c r="AQ91" s="20"/>
      <c r="AR91" s="13"/>
      <c r="AS91" s="111"/>
      <c r="AT91" s="13"/>
      <c r="AU91" s="13"/>
      <c r="AV91" s="13"/>
      <c r="AW91" s="111"/>
      <c r="AX91" s="13"/>
      <c r="AY91" s="111"/>
      <c r="AZ91" s="13"/>
      <c r="BA91" s="111"/>
      <c r="BB91" s="111"/>
      <c r="BC91" s="111"/>
      <c r="BD91" s="13"/>
      <c r="BE91" s="111"/>
      <c r="BF91" s="13"/>
      <c r="BG91" s="13"/>
      <c r="BH91" s="13"/>
      <c r="BI91" s="111"/>
      <c r="BJ91" s="111"/>
      <c r="BK91" s="13"/>
      <c r="BL91" s="13"/>
      <c r="BM91" s="111"/>
      <c r="BN91" s="13"/>
      <c r="BO91" s="111"/>
      <c r="BP91" s="13"/>
      <c r="BQ91" s="13"/>
      <c r="BR91" s="111"/>
      <c r="BS91" s="13"/>
      <c r="BT91" s="111"/>
      <c r="BU91" s="111"/>
      <c r="BV91" s="111"/>
      <c r="BW91" s="111"/>
      <c r="BX91" s="111"/>
      <c r="BY91" s="13"/>
      <c r="BZ91" s="111"/>
      <c r="CA91" s="111"/>
      <c r="CB91" s="111"/>
      <c r="CC91" s="111"/>
      <c r="CD91" s="111"/>
      <c r="CE91" s="111"/>
      <c r="CF91" s="111"/>
      <c r="CG91" s="111"/>
      <c r="CH91" s="111"/>
      <c r="CI91" s="111"/>
      <c r="CJ91" s="111"/>
      <c r="CK91" s="111"/>
      <c r="CL91" s="111"/>
      <c r="CM91" s="111"/>
      <c r="CN91" s="111"/>
      <c r="CO91" s="111"/>
      <c r="CP91" s="111"/>
      <c r="CQ91" s="111"/>
      <c r="CR91" s="111"/>
      <c r="CS91" s="111"/>
      <c r="CT91" s="111"/>
      <c r="CU91" s="111"/>
      <c r="CV91" s="111"/>
      <c r="CW91" s="111"/>
      <c r="CX91" s="111"/>
      <c r="CY91" s="111"/>
      <c r="CZ91" s="111"/>
      <c r="DA91" s="111"/>
      <c r="DB91" s="111"/>
      <c r="DC91" s="111"/>
      <c r="DD91" s="111"/>
      <c r="DE91" s="111"/>
      <c r="DF91" s="111"/>
      <c r="DG91" s="111"/>
      <c r="DH91" s="111"/>
      <c r="DI91" s="111"/>
      <c r="DJ91" s="111"/>
      <c r="DK91" s="13"/>
      <c r="DL91" s="13"/>
      <c r="DM91" s="13"/>
      <c r="DN91" s="13"/>
      <c r="DO91" s="13"/>
      <c r="DP91" s="13"/>
      <c r="DQ91" s="13"/>
      <c r="DR91" s="13"/>
      <c r="DS91" s="13"/>
      <c r="DT91" s="13"/>
      <c r="DU91" s="13"/>
      <c r="DV91" s="13"/>
      <c r="DW91" s="13"/>
      <c r="DX91" s="13"/>
      <c r="DY91" s="13"/>
      <c r="DZ91" s="13"/>
      <c r="EA91" s="13"/>
      <c r="EB91" s="13"/>
      <c r="EC91" s="280"/>
      <c r="ED91" s="20"/>
      <c r="EE91" s="13"/>
      <c r="EF91" s="111"/>
      <c r="EG91" s="13"/>
      <c r="EH91" s="13"/>
      <c r="EI91" s="111"/>
      <c r="EJ91" s="111"/>
      <c r="EK91" s="111"/>
      <c r="EL91" s="111"/>
      <c r="EM91" s="111"/>
      <c r="EN91" s="111"/>
      <c r="EO91" s="111"/>
      <c r="EP91" s="111"/>
      <c r="EQ91" s="111"/>
      <c r="ER91" s="111"/>
      <c r="ES91" s="111"/>
      <c r="ET91" s="111"/>
      <c r="EU91" s="111"/>
      <c r="EV91" s="111"/>
      <c r="EW91" s="111"/>
      <c r="EX91" s="111"/>
      <c r="EY91" s="111"/>
      <c r="EZ91" s="111"/>
      <c r="FA91" s="111"/>
      <c r="FB91" s="111"/>
      <c r="FC91" s="111"/>
      <c r="FD91" s="111"/>
      <c r="FE91" s="111"/>
      <c r="FF91" s="111"/>
      <c r="FG91" s="111"/>
      <c r="FH91" s="111"/>
      <c r="FI91" s="111"/>
      <c r="FJ91" s="111"/>
      <c r="FK91" s="111"/>
      <c r="FL91" s="111"/>
      <c r="FM91" s="111"/>
      <c r="FN91" s="111"/>
      <c r="FO91" s="13"/>
      <c r="FP91" s="13"/>
      <c r="FQ91" s="13"/>
      <c r="FR91" s="13"/>
      <c r="FS91" s="13"/>
      <c r="FT91" s="13"/>
      <c r="FU91" s="13"/>
      <c r="FV91" s="13"/>
      <c r="FW91" s="360"/>
      <c r="FX91" s="13"/>
      <c r="FY91" s="280"/>
      <c r="FZ91" s="266"/>
      <c r="GA91" s="266"/>
      <c r="GB91" s="269"/>
      <c r="GC91" s="269"/>
    </row>
    <row r="92" spans="1:185" s="109" customFormat="1" x14ac:dyDescent="0.25">
      <c r="A92" s="18"/>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11"/>
      <c r="AB92" s="13"/>
      <c r="AC92" s="111"/>
      <c r="AD92" s="13"/>
      <c r="AE92" s="13"/>
      <c r="AF92" s="111"/>
      <c r="AG92" s="13"/>
      <c r="AH92" s="111"/>
      <c r="AI92" s="13"/>
      <c r="AJ92" s="111"/>
      <c r="AK92" s="13"/>
      <c r="AL92" s="111"/>
      <c r="AM92" s="98"/>
      <c r="AN92" s="98"/>
      <c r="AO92" s="13"/>
      <c r="AP92" s="280"/>
      <c r="AQ92" s="20"/>
      <c r="AR92" s="13"/>
      <c r="AS92" s="111"/>
      <c r="AT92" s="13"/>
      <c r="AU92" s="13"/>
      <c r="AV92" s="13"/>
      <c r="AW92" s="111"/>
      <c r="AX92" s="13"/>
      <c r="AY92" s="111"/>
      <c r="AZ92" s="13"/>
      <c r="BA92" s="111"/>
      <c r="BB92" s="111"/>
      <c r="BC92" s="111"/>
      <c r="BD92" s="13"/>
      <c r="BE92" s="111"/>
      <c r="BF92" s="13"/>
      <c r="BG92" s="13"/>
      <c r="BH92" s="13"/>
      <c r="BI92" s="111"/>
      <c r="BJ92" s="111"/>
      <c r="BK92" s="13"/>
      <c r="BL92" s="13"/>
      <c r="BM92" s="111"/>
      <c r="BN92" s="13"/>
      <c r="BO92" s="111"/>
      <c r="BP92" s="13"/>
      <c r="BQ92" s="13"/>
      <c r="BR92" s="111"/>
      <c r="BS92" s="13"/>
      <c r="BT92" s="111"/>
      <c r="BU92" s="111"/>
      <c r="BV92" s="111"/>
      <c r="BW92" s="111"/>
      <c r="BX92" s="111"/>
      <c r="BY92" s="13"/>
      <c r="BZ92" s="111"/>
      <c r="CA92" s="111"/>
      <c r="CB92" s="111"/>
      <c r="CC92" s="111"/>
      <c r="CD92" s="111"/>
      <c r="CE92" s="111"/>
      <c r="CF92" s="111"/>
      <c r="CG92" s="111"/>
      <c r="CH92" s="111"/>
      <c r="CI92" s="111"/>
      <c r="CJ92" s="111"/>
      <c r="CK92" s="111"/>
      <c r="CL92" s="111"/>
      <c r="CM92" s="111"/>
      <c r="CN92" s="111"/>
      <c r="CO92" s="111"/>
      <c r="CP92" s="111"/>
      <c r="CQ92" s="111"/>
      <c r="CR92" s="111"/>
      <c r="CS92" s="111"/>
      <c r="CT92" s="111"/>
      <c r="CU92" s="111"/>
      <c r="CV92" s="111"/>
      <c r="CW92" s="111"/>
      <c r="CX92" s="111"/>
      <c r="CY92" s="111"/>
      <c r="CZ92" s="111"/>
      <c r="DA92" s="111"/>
      <c r="DB92" s="111"/>
      <c r="DC92" s="111"/>
      <c r="DD92" s="111"/>
      <c r="DE92" s="111"/>
      <c r="DF92" s="111"/>
      <c r="DG92" s="111"/>
      <c r="DH92" s="111"/>
      <c r="DI92" s="111"/>
      <c r="DJ92" s="111"/>
      <c r="DK92" s="13"/>
      <c r="DL92" s="13"/>
      <c r="DM92" s="13"/>
      <c r="DN92" s="13"/>
      <c r="DO92" s="13"/>
      <c r="DP92" s="13"/>
      <c r="DQ92" s="13"/>
      <c r="DR92" s="13"/>
      <c r="DS92" s="13"/>
      <c r="DT92" s="13"/>
      <c r="DU92" s="13"/>
      <c r="DV92" s="13"/>
      <c r="DW92" s="13"/>
      <c r="DX92" s="13"/>
      <c r="DY92" s="13"/>
      <c r="DZ92" s="13"/>
      <c r="EA92" s="13"/>
      <c r="EB92" s="13"/>
      <c r="EC92" s="280"/>
      <c r="ED92" s="20"/>
      <c r="EE92" s="13"/>
      <c r="EF92" s="111"/>
      <c r="EG92" s="13"/>
      <c r="EH92" s="13"/>
      <c r="EI92" s="111"/>
      <c r="EJ92" s="111"/>
      <c r="EK92" s="111"/>
      <c r="EL92" s="111"/>
      <c r="EM92" s="111"/>
      <c r="EN92" s="111"/>
      <c r="EO92" s="111"/>
      <c r="EP92" s="111"/>
      <c r="EQ92" s="111"/>
      <c r="ER92" s="111"/>
      <c r="ES92" s="111"/>
      <c r="ET92" s="111"/>
      <c r="EU92" s="111"/>
      <c r="EV92" s="111"/>
      <c r="EW92" s="111"/>
      <c r="EX92" s="111"/>
      <c r="EY92" s="111"/>
      <c r="EZ92" s="111"/>
      <c r="FA92" s="111"/>
      <c r="FB92" s="111"/>
      <c r="FC92" s="111"/>
      <c r="FD92" s="111"/>
      <c r="FE92" s="111"/>
      <c r="FF92" s="111"/>
      <c r="FG92" s="111"/>
      <c r="FH92" s="111"/>
      <c r="FI92" s="111"/>
      <c r="FJ92" s="111"/>
      <c r="FK92" s="111"/>
      <c r="FL92" s="111"/>
      <c r="FM92" s="111"/>
      <c r="FN92" s="111"/>
      <c r="FO92" s="13"/>
      <c r="FP92" s="13"/>
      <c r="FQ92" s="13"/>
      <c r="FR92" s="13"/>
      <c r="FS92" s="13"/>
      <c r="FT92" s="13"/>
      <c r="FU92" s="13"/>
      <c r="FV92" s="13"/>
      <c r="FW92" s="360"/>
      <c r="FX92" s="13"/>
      <c r="FY92" s="280"/>
      <c r="FZ92" s="266"/>
      <c r="GA92" s="266"/>
      <c r="GB92" s="269"/>
      <c r="GC92" s="269"/>
    </row>
    <row r="93" spans="1:185" s="109" customFormat="1" x14ac:dyDescent="0.25">
      <c r="A93" s="18"/>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11"/>
      <c r="AB93" s="13"/>
      <c r="AC93" s="111"/>
      <c r="AD93" s="13"/>
      <c r="AE93" s="13"/>
      <c r="AF93" s="111"/>
      <c r="AG93" s="13"/>
      <c r="AH93" s="111"/>
      <c r="AI93" s="13"/>
      <c r="AJ93" s="111"/>
      <c r="AK93" s="13"/>
      <c r="AL93" s="111"/>
      <c r="AM93" s="98"/>
      <c r="AN93" s="98"/>
      <c r="AO93" s="13"/>
      <c r="AP93" s="280"/>
      <c r="AQ93" s="20"/>
      <c r="AR93" s="13"/>
      <c r="AS93" s="111"/>
      <c r="AT93" s="13"/>
      <c r="AU93" s="13"/>
      <c r="AV93" s="13"/>
      <c r="AW93" s="111"/>
      <c r="AX93" s="13"/>
      <c r="AY93" s="111"/>
      <c r="AZ93" s="13"/>
      <c r="BA93" s="111"/>
      <c r="BB93" s="111"/>
      <c r="BC93" s="111"/>
      <c r="BD93" s="13"/>
      <c r="BE93" s="111"/>
      <c r="BF93" s="13"/>
      <c r="BG93" s="13"/>
      <c r="BH93" s="13"/>
      <c r="BI93" s="111"/>
      <c r="BJ93" s="111"/>
      <c r="BK93" s="13"/>
      <c r="BL93" s="13"/>
      <c r="BM93" s="111"/>
      <c r="BN93" s="13"/>
      <c r="BO93" s="111"/>
      <c r="BP93" s="13"/>
      <c r="BQ93" s="13"/>
      <c r="BR93" s="111"/>
      <c r="BS93" s="13"/>
      <c r="BT93" s="111"/>
      <c r="BU93" s="111"/>
      <c r="BV93" s="111"/>
      <c r="BW93" s="111"/>
      <c r="BX93" s="111"/>
      <c r="BY93" s="13"/>
      <c r="BZ93" s="111"/>
      <c r="CA93" s="111"/>
      <c r="CB93" s="111"/>
      <c r="CC93" s="111"/>
      <c r="CD93" s="111"/>
      <c r="CE93" s="111"/>
      <c r="CF93" s="111"/>
      <c r="CG93" s="111"/>
      <c r="CH93" s="111"/>
      <c r="CI93" s="111"/>
      <c r="CJ93" s="111"/>
      <c r="CK93" s="111"/>
      <c r="CL93" s="111"/>
      <c r="CM93" s="111"/>
      <c r="CN93" s="111"/>
      <c r="CO93" s="111"/>
      <c r="CP93" s="111"/>
      <c r="CQ93" s="111"/>
      <c r="CR93" s="111"/>
      <c r="CS93" s="111"/>
      <c r="CT93" s="111"/>
      <c r="CU93" s="111"/>
      <c r="CV93" s="111"/>
      <c r="CW93" s="111"/>
      <c r="CX93" s="111"/>
      <c r="CY93" s="111"/>
      <c r="CZ93" s="111"/>
      <c r="DA93" s="111"/>
      <c r="DB93" s="111"/>
      <c r="DC93" s="111"/>
      <c r="DD93" s="111"/>
      <c r="DE93" s="111"/>
      <c r="DF93" s="111"/>
      <c r="DG93" s="111"/>
      <c r="DH93" s="111"/>
      <c r="DI93" s="111"/>
      <c r="DJ93" s="111"/>
      <c r="DK93" s="13"/>
      <c r="DL93" s="13"/>
      <c r="DM93" s="13"/>
      <c r="DN93" s="13"/>
      <c r="DO93" s="13"/>
      <c r="DP93" s="13"/>
      <c r="DQ93" s="13"/>
      <c r="DR93" s="13"/>
      <c r="DS93" s="13"/>
      <c r="DT93" s="13"/>
      <c r="DU93" s="13"/>
      <c r="DV93" s="13"/>
      <c r="DW93" s="13"/>
      <c r="DX93" s="13"/>
      <c r="DY93" s="13"/>
      <c r="DZ93" s="13"/>
      <c r="EA93" s="13"/>
      <c r="EB93" s="13"/>
      <c r="EC93" s="280"/>
      <c r="ED93" s="20"/>
      <c r="EE93" s="13"/>
      <c r="EF93" s="111"/>
      <c r="EG93" s="13"/>
      <c r="EH93" s="13"/>
      <c r="EI93" s="111"/>
      <c r="EJ93" s="111"/>
      <c r="EK93" s="111"/>
      <c r="EL93" s="111"/>
      <c r="EM93" s="111"/>
      <c r="EN93" s="111"/>
      <c r="EO93" s="111"/>
      <c r="EP93" s="111"/>
      <c r="EQ93" s="111"/>
      <c r="ER93" s="111"/>
      <c r="ES93" s="111"/>
      <c r="ET93" s="111"/>
      <c r="EU93" s="111"/>
      <c r="EV93" s="111"/>
      <c r="EW93" s="111"/>
      <c r="EX93" s="111"/>
      <c r="EY93" s="111"/>
      <c r="EZ93" s="111"/>
      <c r="FA93" s="111"/>
      <c r="FB93" s="111"/>
      <c r="FC93" s="111"/>
      <c r="FD93" s="111"/>
      <c r="FE93" s="111"/>
      <c r="FF93" s="111"/>
      <c r="FG93" s="111"/>
      <c r="FH93" s="111"/>
      <c r="FI93" s="111"/>
      <c r="FJ93" s="111"/>
      <c r="FK93" s="111"/>
      <c r="FL93" s="111"/>
      <c r="FM93" s="111"/>
      <c r="FN93" s="111"/>
      <c r="FO93" s="13"/>
      <c r="FP93" s="13"/>
      <c r="FQ93" s="13"/>
      <c r="FR93" s="13"/>
      <c r="FS93" s="13"/>
      <c r="FT93" s="13"/>
      <c r="FU93" s="13"/>
      <c r="FV93" s="13"/>
      <c r="FW93" s="360"/>
      <c r="FX93" s="13"/>
      <c r="FY93" s="280"/>
      <c r="FZ93" s="266"/>
      <c r="GA93" s="266"/>
      <c r="GB93" s="269"/>
      <c r="GC93" s="269"/>
    </row>
    <row r="94" spans="1:185" s="109" customFormat="1" x14ac:dyDescent="0.25">
      <c r="A94" s="18"/>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10"/>
      <c r="AB94" s="13"/>
      <c r="AC94" s="110"/>
      <c r="AD94" s="111"/>
      <c r="AE94" s="13"/>
      <c r="AF94" s="110"/>
      <c r="AG94" s="13"/>
      <c r="AH94" s="110"/>
      <c r="AI94" s="13"/>
      <c r="AJ94" s="110"/>
      <c r="AK94" s="13"/>
      <c r="AL94" s="110"/>
      <c r="AM94" s="98"/>
      <c r="AN94" s="98"/>
      <c r="AO94" s="13"/>
      <c r="AP94" s="280"/>
      <c r="AQ94" s="14"/>
      <c r="AR94" s="13"/>
      <c r="AS94" s="110"/>
      <c r="AT94" s="111"/>
      <c r="AU94" s="13"/>
      <c r="AV94" s="13"/>
      <c r="AW94" s="110"/>
      <c r="AX94" s="13"/>
      <c r="AY94" s="110"/>
      <c r="AZ94" s="13"/>
      <c r="BA94" s="110"/>
      <c r="BB94" s="110"/>
      <c r="BC94" s="110"/>
      <c r="BD94" s="13"/>
      <c r="BE94" s="110"/>
      <c r="BF94" s="13"/>
      <c r="BG94" s="13"/>
      <c r="BH94" s="13"/>
      <c r="BI94" s="110"/>
      <c r="BJ94" s="110"/>
      <c r="BK94" s="13"/>
      <c r="BL94" s="13"/>
      <c r="BM94" s="110"/>
      <c r="BN94" s="13"/>
      <c r="BO94" s="110"/>
      <c r="BP94" s="111"/>
      <c r="BQ94" s="13"/>
      <c r="BR94" s="110"/>
      <c r="BS94" s="13"/>
      <c r="BT94" s="110"/>
      <c r="BU94" s="110"/>
      <c r="BV94" s="110"/>
      <c r="BW94" s="110"/>
      <c r="BX94" s="110"/>
      <c r="BY94" s="13"/>
      <c r="BZ94" s="110"/>
      <c r="CA94" s="110"/>
      <c r="CB94" s="110"/>
      <c r="CC94" s="110"/>
      <c r="CD94" s="110"/>
      <c r="CE94" s="110"/>
      <c r="CF94" s="110"/>
      <c r="CG94" s="110"/>
      <c r="CH94" s="110"/>
      <c r="CI94" s="110"/>
      <c r="CJ94" s="110"/>
      <c r="CK94" s="110"/>
      <c r="CL94" s="110"/>
      <c r="CM94" s="110"/>
      <c r="CN94" s="110"/>
      <c r="CO94" s="110"/>
      <c r="CP94" s="110"/>
      <c r="CQ94" s="110"/>
      <c r="CR94" s="110"/>
      <c r="CS94" s="110"/>
      <c r="CT94" s="110"/>
      <c r="CU94" s="110"/>
      <c r="CV94" s="110"/>
      <c r="CW94" s="110"/>
      <c r="CX94" s="110"/>
      <c r="CY94" s="110"/>
      <c r="CZ94" s="110"/>
      <c r="DA94" s="110"/>
      <c r="DB94" s="110"/>
      <c r="DC94" s="110"/>
      <c r="DD94" s="110"/>
      <c r="DE94" s="110"/>
      <c r="DF94" s="110"/>
      <c r="DG94" s="110"/>
      <c r="DH94" s="110"/>
      <c r="DI94" s="110"/>
      <c r="DJ94" s="110"/>
      <c r="DK94" s="13"/>
      <c r="DL94" s="13"/>
      <c r="DM94" s="13"/>
      <c r="DN94" s="13"/>
      <c r="DO94" s="13"/>
      <c r="DP94" s="13"/>
      <c r="DQ94" s="13"/>
      <c r="DR94" s="13"/>
      <c r="DS94" s="13"/>
      <c r="DT94" s="13"/>
      <c r="DU94" s="13"/>
      <c r="DV94" s="13"/>
      <c r="DW94" s="13"/>
      <c r="DX94" s="13"/>
      <c r="DY94" s="13"/>
      <c r="DZ94" s="13"/>
      <c r="EA94" s="13"/>
      <c r="EB94" s="13"/>
      <c r="EC94" s="17"/>
      <c r="ED94" s="14"/>
      <c r="EE94" s="13"/>
      <c r="EF94" s="110"/>
      <c r="EG94" s="111"/>
      <c r="EH94" s="13"/>
      <c r="EI94" s="110"/>
      <c r="EJ94" s="110"/>
      <c r="EK94" s="110"/>
      <c r="EL94" s="110"/>
      <c r="EM94" s="110"/>
      <c r="EN94" s="110"/>
      <c r="EO94" s="110"/>
      <c r="EP94" s="110"/>
      <c r="EQ94" s="110"/>
      <c r="ER94" s="110"/>
      <c r="ES94" s="110"/>
      <c r="ET94" s="110"/>
      <c r="EU94" s="110"/>
      <c r="EV94" s="110"/>
      <c r="EW94" s="110"/>
      <c r="EX94" s="110"/>
      <c r="EY94" s="110"/>
      <c r="EZ94" s="110"/>
      <c r="FA94" s="110"/>
      <c r="FB94" s="110"/>
      <c r="FC94" s="110"/>
      <c r="FD94" s="110"/>
      <c r="FE94" s="110"/>
      <c r="FF94" s="110"/>
      <c r="FG94" s="110"/>
      <c r="FH94" s="110"/>
      <c r="FI94" s="110"/>
      <c r="FJ94" s="110"/>
      <c r="FK94" s="110"/>
      <c r="FL94" s="110"/>
      <c r="FM94" s="110"/>
      <c r="FN94" s="110"/>
      <c r="FO94" s="13"/>
      <c r="FP94" s="13"/>
      <c r="FQ94" s="13"/>
      <c r="FR94" s="13"/>
      <c r="FS94" s="13"/>
      <c r="FT94" s="13"/>
      <c r="FU94" s="13"/>
      <c r="FV94" s="13"/>
      <c r="FW94" s="360"/>
      <c r="FX94" s="13"/>
      <c r="FY94" s="280"/>
      <c r="FZ94" s="266"/>
      <c r="GA94" s="266"/>
      <c r="GB94" s="269"/>
      <c r="GC94" s="269"/>
    </row>
    <row r="95" spans="1:185" x14ac:dyDescent="0.25">
      <c r="A95" s="18"/>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11"/>
      <c r="AD95" s="111"/>
      <c r="AE95" s="111"/>
      <c r="AF95" s="13"/>
      <c r="AG95" s="13"/>
      <c r="AH95" s="13"/>
      <c r="AI95" s="13"/>
      <c r="AJ95" s="13"/>
      <c r="AK95" s="13"/>
      <c r="AL95" s="13"/>
      <c r="AM95" s="98"/>
      <c r="AN95" s="98"/>
      <c r="AO95" s="13"/>
      <c r="AP95" s="278"/>
      <c r="AQ95" s="18"/>
      <c r="AR95" s="13"/>
      <c r="AS95" s="111"/>
      <c r="AT95" s="111"/>
      <c r="AU95" s="111"/>
      <c r="AV95" s="111"/>
      <c r="AW95" s="13"/>
      <c r="AX95" s="13"/>
      <c r="AY95" s="13"/>
      <c r="AZ95" s="13"/>
      <c r="BA95" s="13"/>
      <c r="BB95" s="13"/>
      <c r="BC95" s="13"/>
      <c r="BD95" s="13"/>
      <c r="BE95" s="13"/>
      <c r="BF95" s="13"/>
      <c r="BG95" s="13"/>
      <c r="BH95" s="13"/>
      <c r="BI95" s="13"/>
      <c r="BJ95" s="13"/>
      <c r="BK95" s="13"/>
      <c r="BL95" s="13"/>
      <c r="BM95" s="13"/>
      <c r="BN95" s="13"/>
      <c r="BO95" s="111"/>
      <c r="BP95" s="111"/>
      <c r="BQ95" s="111"/>
      <c r="BR95" s="13"/>
      <c r="BS95" s="111"/>
      <c r="BT95" s="13"/>
      <c r="BU95" s="13"/>
      <c r="BV95" s="13"/>
      <c r="BW95" s="13"/>
      <c r="BX95" s="13"/>
      <c r="BY95" s="111"/>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278"/>
      <c r="ED95" s="18"/>
      <c r="EE95" s="13"/>
      <c r="EF95" s="111"/>
      <c r="EG95" s="111"/>
      <c r="EH95" s="111"/>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360"/>
      <c r="FX95" s="13"/>
      <c r="FY95" s="278"/>
      <c r="FZ95" s="266"/>
      <c r="GA95" s="266"/>
      <c r="GB95" s="269"/>
      <c r="GC95" s="269"/>
    </row>
    <row r="96" spans="1:185" x14ac:dyDescent="0.25">
      <c r="A96" s="18"/>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11"/>
      <c r="AD96" s="111"/>
      <c r="AE96" s="111"/>
      <c r="AF96" s="13"/>
      <c r="AG96" s="13"/>
      <c r="AH96" s="13"/>
      <c r="AI96" s="13"/>
      <c r="AJ96" s="13"/>
      <c r="AK96" s="13"/>
      <c r="AL96" s="13"/>
      <c r="AM96" s="98"/>
      <c r="AN96" s="98"/>
      <c r="AO96" s="13"/>
      <c r="AP96" s="278"/>
      <c r="AQ96" s="18"/>
      <c r="AR96" s="13"/>
      <c r="AS96" s="111"/>
      <c r="AT96" s="111"/>
      <c r="AU96" s="111"/>
      <c r="AV96" s="111"/>
      <c r="AW96" s="13"/>
      <c r="AX96" s="13"/>
      <c r="AY96" s="13"/>
      <c r="AZ96" s="13"/>
      <c r="BA96" s="13"/>
      <c r="BB96" s="13"/>
      <c r="BC96" s="13"/>
      <c r="BD96" s="13"/>
      <c r="BE96" s="13"/>
      <c r="BF96" s="13"/>
      <c r="BG96" s="13"/>
      <c r="BH96" s="13"/>
      <c r="BI96" s="13"/>
      <c r="BJ96" s="13"/>
      <c r="BK96" s="13"/>
      <c r="BL96" s="13"/>
      <c r="BM96" s="13"/>
      <c r="BN96" s="13"/>
      <c r="BO96" s="111"/>
      <c r="BP96" s="111"/>
      <c r="BQ96" s="111"/>
      <c r="BR96" s="13"/>
      <c r="BS96" s="111"/>
      <c r="BT96" s="13"/>
      <c r="BU96" s="13"/>
      <c r="BV96" s="13"/>
      <c r="BW96" s="13"/>
      <c r="BX96" s="13"/>
      <c r="BY96" s="111"/>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278"/>
      <c r="ED96" s="18"/>
      <c r="EE96" s="13"/>
      <c r="EF96" s="111"/>
      <c r="EG96" s="111"/>
      <c r="EH96" s="111"/>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360"/>
      <c r="FX96" s="13"/>
      <c r="FY96" s="278"/>
      <c r="FZ96" s="266"/>
      <c r="GA96" s="266"/>
      <c r="GB96" s="269"/>
      <c r="GC96" s="269"/>
    </row>
    <row r="97" spans="1:185" x14ac:dyDescent="0.25">
      <c r="A97" s="18"/>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11"/>
      <c r="AD97" s="13"/>
      <c r="AE97" s="103"/>
      <c r="AF97" s="13"/>
      <c r="AG97" s="13"/>
      <c r="AH97" s="13"/>
      <c r="AI97" s="13"/>
      <c r="AJ97" s="13"/>
      <c r="AK97" s="13"/>
      <c r="AL97" s="13"/>
      <c r="AM97" s="98"/>
      <c r="AN97" s="98"/>
      <c r="AO97" s="13"/>
      <c r="AP97" s="278"/>
      <c r="AQ97" s="18"/>
      <c r="AR97" s="13"/>
      <c r="AS97" s="111"/>
      <c r="AT97" s="13"/>
      <c r="AU97" s="103"/>
      <c r="AV97" s="103"/>
      <c r="AW97" s="13"/>
      <c r="AX97" s="13"/>
      <c r="AY97" s="13"/>
      <c r="AZ97" s="13"/>
      <c r="BA97" s="13"/>
      <c r="BB97" s="13"/>
      <c r="BC97" s="13"/>
      <c r="BD97" s="13"/>
      <c r="BE97" s="13"/>
      <c r="BF97" s="13"/>
      <c r="BG97" s="13"/>
      <c r="BH97" s="13"/>
      <c r="BI97" s="13"/>
      <c r="BJ97" s="13"/>
      <c r="BK97" s="13"/>
      <c r="BL97" s="13"/>
      <c r="BM97" s="13"/>
      <c r="BN97" s="13"/>
      <c r="BO97" s="111"/>
      <c r="BP97" s="13"/>
      <c r="BQ97" s="103"/>
      <c r="BR97" s="13"/>
      <c r="BS97" s="103"/>
      <c r="BT97" s="13"/>
      <c r="BU97" s="13"/>
      <c r="BV97" s="13"/>
      <c r="BW97" s="13"/>
      <c r="BX97" s="13"/>
      <c r="BY97" s="10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278"/>
      <c r="ED97" s="18"/>
      <c r="EE97" s="13"/>
      <c r="EF97" s="111"/>
      <c r="EG97" s="13"/>
      <c r="EH97" s="10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360"/>
      <c r="FX97" s="13"/>
      <c r="FY97" s="278"/>
      <c r="FZ97" s="266"/>
      <c r="GA97" s="266"/>
      <c r="GB97" s="269"/>
      <c r="GC97" s="269"/>
    </row>
    <row r="98" spans="1:185" x14ac:dyDescent="0.25">
      <c r="A98" s="18"/>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11"/>
      <c r="AD98" s="13"/>
      <c r="AE98" s="103"/>
      <c r="AF98" s="13"/>
      <c r="AG98" s="13"/>
      <c r="AH98" s="13"/>
      <c r="AI98" s="13"/>
      <c r="AJ98" s="13"/>
      <c r="AK98" s="13"/>
      <c r="AL98" s="13"/>
      <c r="AM98" s="98"/>
      <c r="AN98" s="98"/>
      <c r="AO98" s="13"/>
      <c r="AP98" s="278"/>
      <c r="AQ98" s="18"/>
      <c r="AR98" s="13"/>
      <c r="AS98" s="111"/>
      <c r="AT98" s="13"/>
      <c r="AU98" s="103"/>
      <c r="AV98" s="103"/>
      <c r="AW98" s="13"/>
      <c r="AX98" s="13"/>
      <c r="AY98" s="13"/>
      <c r="AZ98" s="13"/>
      <c r="BA98" s="13"/>
      <c r="BB98" s="13"/>
      <c r="BC98" s="13"/>
      <c r="BD98" s="13"/>
      <c r="BE98" s="13"/>
      <c r="BF98" s="13"/>
      <c r="BG98" s="13"/>
      <c r="BH98" s="13"/>
      <c r="BI98" s="13"/>
      <c r="BJ98" s="13"/>
      <c r="BK98" s="13"/>
      <c r="BL98" s="13"/>
      <c r="BM98" s="13"/>
      <c r="BN98" s="13"/>
      <c r="BO98" s="111"/>
      <c r="BP98" s="13"/>
      <c r="BQ98" s="103"/>
      <c r="BR98" s="13"/>
      <c r="BS98" s="103"/>
      <c r="BT98" s="13"/>
      <c r="BU98" s="13"/>
      <c r="BV98" s="13"/>
      <c r="BW98" s="13"/>
      <c r="BX98" s="13"/>
      <c r="BY98" s="10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278"/>
      <c r="ED98" s="18"/>
      <c r="EE98" s="13"/>
      <c r="EF98" s="111"/>
      <c r="EG98" s="13"/>
      <c r="EH98" s="10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360"/>
      <c r="FX98" s="13"/>
      <c r="FY98" s="278"/>
      <c r="FZ98" s="266"/>
      <c r="GA98" s="266"/>
      <c r="GB98" s="269"/>
      <c r="GC98" s="269"/>
    </row>
    <row r="99" spans="1:185" x14ac:dyDescent="0.25">
      <c r="A99" s="18"/>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11"/>
      <c r="AD99" s="13"/>
      <c r="AE99" s="103"/>
      <c r="AF99" s="13"/>
      <c r="AG99" s="13"/>
      <c r="AH99" s="13"/>
      <c r="AI99" s="13"/>
      <c r="AJ99" s="13"/>
      <c r="AK99" s="13"/>
      <c r="AL99" s="13"/>
      <c r="AM99" s="98"/>
      <c r="AN99" s="98"/>
      <c r="AO99" s="13"/>
      <c r="AP99" s="278"/>
      <c r="AQ99" s="18"/>
      <c r="AR99" s="13"/>
      <c r="AS99" s="111"/>
      <c r="AT99" s="13"/>
      <c r="AU99" s="103"/>
      <c r="AV99" s="103"/>
      <c r="AW99" s="13"/>
      <c r="AX99" s="13"/>
      <c r="AY99" s="13"/>
      <c r="AZ99" s="13"/>
      <c r="BA99" s="13"/>
      <c r="BB99" s="13"/>
      <c r="BC99" s="13"/>
      <c r="BD99" s="13"/>
      <c r="BE99" s="13"/>
      <c r="BF99" s="13"/>
      <c r="BG99" s="13"/>
      <c r="BH99" s="13"/>
      <c r="BI99" s="13"/>
      <c r="BJ99" s="13"/>
      <c r="BK99" s="13"/>
      <c r="BL99" s="13"/>
      <c r="BM99" s="13"/>
      <c r="BN99" s="13"/>
      <c r="BO99" s="111"/>
      <c r="BP99" s="13"/>
      <c r="BQ99" s="103"/>
      <c r="BR99" s="13"/>
      <c r="BS99" s="103"/>
      <c r="BT99" s="13"/>
      <c r="BU99" s="13"/>
      <c r="BV99" s="13"/>
      <c r="BW99" s="13"/>
      <c r="BX99" s="13"/>
      <c r="BY99" s="10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278"/>
      <c r="ED99" s="18"/>
      <c r="EE99" s="13"/>
      <c r="EF99" s="111"/>
      <c r="EG99" s="13"/>
      <c r="EH99" s="10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360"/>
      <c r="FX99" s="13"/>
      <c r="FY99" s="278"/>
      <c r="FZ99" s="266"/>
      <c r="GA99" s="266"/>
      <c r="GB99" s="269"/>
      <c r="GC99" s="269"/>
    </row>
    <row r="100" spans="1:185" x14ac:dyDescent="0.25">
      <c r="A100" s="18"/>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11"/>
      <c r="AD100" s="13"/>
      <c r="AE100" s="103"/>
      <c r="AF100" s="13"/>
      <c r="AG100" s="13"/>
      <c r="AH100" s="13"/>
      <c r="AI100" s="13"/>
      <c r="AJ100" s="13"/>
      <c r="AK100" s="13"/>
      <c r="AL100" s="13"/>
      <c r="AM100" s="98"/>
      <c r="AN100" s="98"/>
      <c r="AO100" s="13"/>
      <c r="AP100" s="278"/>
      <c r="AQ100" s="18"/>
      <c r="AR100" s="13"/>
      <c r="AS100" s="111"/>
      <c r="AT100" s="13"/>
      <c r="AU100" s="103"/>
      <c r="AV100" s="103"/>
      <c r="AW100" s="13"/>
      <c r="AX100" s="13"/>
      <c r="AY100" s="13"/>
      <c r="AZ100" s="13"/>
      <c r="BA100" s="13"/>
      <c r="BB100" s="13"/>
      <c r="BC100" s="13"/>
      <c r="BD100" s="13"/>
      <c r="BE100" s="13"/>
      <c r="BF100" s="13"/>
      <c r="BG100" s="13"/>
      <c r="BH100" s="13"/>
      <c r="BI100" s="13"/>
      <c r="BJ100" s="13"/>
      <c r="BK100" s="13"/>
      <c r="BL100" s="13"/>
      <c r="BM100" s="13"/>
      <c r="BN100" s="13"/>
      <c r="BO100" s="111"/>
      <c r="BP100" s="13"/>
      <c r="BQ100" s="103"/>
      <c r="BR100" s="13"/>
      <c r="BS100" s="103"/>
      <c r="BT100" s="13"/>
      <c r="BU100" s="13"/>
      <c r="BV100" s="13"/>
      <c r="BW100" s="13"/>
      <c r="BX100" s="13"/>
      <c r="BY100" s="10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278"/>
      <c r="ED100" s="18"/>
      <c r="EE100" s="13"/>
      <c r="EF100" s="111"/>
      <c r="EG100" s="13"/>
      <c r="EH100" s="10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360"/>
      <c r="FX100" s="13"/>
      <c r="FY100" s="278"/>
      <c r="FZ100" s="266"/>
      <c r="GA100" s="266"/>
      <c r="GB100" s="269"/>
      <c r="GC100" s="269"/>
    </row>
    <row r="101" spans="1:185" x14ac:dyDescent="0.25">
      <c r="A101" s="18"/>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11"/>
      <c r="AD101" s="13"/>
      <c r="AE101" s="13"/>
      <c r="AF101" s="13"/>
      <c r="AG101" s="13"/>
      <c r="AH101" s="13"/>
      <c r="AI101" s="13"/>
      <c r="AJ101" s="13"/>
      <c r="AK101" s="13"/>
      <c r="AL101" s="13"/>
      <c r="AM101" s="98"/>
      <c r="AN101" s="98"/>
      <c r="AO101" s="13"/>
      <c r="AP101" s="278"/>
      <c r="AQ101" s="18"/>
      <c r="AR101" s="13"/>
      <c r="AS101" s="111"/>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11"/>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278"/>
      <c r="ED101" s="18"/>
      <c r="EE101" s="13"/>
      <c r="EF101" s="111"/>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360"/>
      <c r="FX101" s="13"/>
      <c r="FY101" s="278"/>
      <c r="FZ101" s="266"/>
      <c r="GA101" s="266"/>
      <c r="GB101" s="269"/>
      <c r="GC101" s="269"/>
    </row>
    <row r="102" spans="1:185" x14ac:dyDescent="0.25">
      <c r="A102" s="18"/>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11"/>
      <c r="AD102" s="13"/>
      <c r="AE102" s="13"/>
      <c r="AF102" s="13"/>
      <c r="AG102" s="13"/>
      <c r="AH102" s="13"/>
      <c r="AI102" s="13"/>
      <c r="AJ102" s="13"/>
      <c r="AK102" s="13"/>
      <c r="AL102" s="13"/>
      <c r="AM102" s="98"/>
      <c r="AN102" s="98"/>
      <c r="AO102" s="13"/>
      <c r="AP102" s="278"/>
      <c r="AQ102" s="18"/>
      <c r="AR102" s="13"/>
      <c r="AS102" s="111"/>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11"/>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278"/>
      <c r="ED102" s="18"/>
      <c r="EE102" s="13"/>
      <c r="EF102" s="111"/>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360"/>
      <c r="FX102" s="13"/>
      <c r="FY102" s="278"/>
      <c r="FZ102" s="266"/>
      <c r="GA102" s="266"/>
      <c r="GB102" s="269"/>
      <c r="GC102" s="269"/>
    </row>
    <row r="103" spans="1:185" x14ac:dyDescent="0.25">
      <c r="A103" s="18"/>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11"/>
      <c r="AD103" s="13"/>
      <c r="AE103" s="13"/>
      <c r="AF103" s="13"/>
      <c r="AG103" s="13"/>
      <c r="AH103" s="13"/>
      <c r="AI103" s="13"/>
      <c r="AJ103" s="13"/>
      <c r="AK103" s="13"/>
      <c r="AL103" s="13"/>
      <c r="AM103" s="98"/>
      <c r="AN103" s="98"/>
      <c r="AO103" s="13"/>
      <c r="AP103" s="278"/>
      <c r="AQ103" s="18"/>
      <c r="AR103" s="13"/>
      <c r="AS103" s="111"/>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11"/>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278"/>
      <c r="ED103" s="18"/>
      <c r="EE103" s="13"/>
      <c r="EF103" s="111"/>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360"/>
      <c r="FX103" s="13"/>
      <c r="FY103" s="278"/>
      <c r="FZ103" s="266"/>
      <c r="GA103" s="266"/>
      <c r="GB103" s="269"/>
      <c r="GC103" s="269"/>
    </row>
    <row r="104" spans="1:185" x14ac:dyDescent="0.25">
      <c r="A104" s="18"/>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11"/>
      <c r="AD104" s="13"/>
      <c r="AE104" s="13"/>
      <c r="AF104" s="13"/>
      <c r="AG104" s="13"/>
      <c r="AH104" s="13"/>
      <c r="AI104" s="13"/>
      <c r="AJ104" s="13"/>
      <c r="AK104" s="13"/>
      <c r="AL104" s="13"/>
      <c r="AM104" s="98"/>
      <c r="AN104" s="98"/>
      <c r="AO104" s="13"/>
      <c r="AP104" s="278"/>
      <c r="AQ104" s="18"/>
      <c r="AR104" s="13"/>
      <c r="AS104" s="111"/>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11"/>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278"/>
      <c r="ED104" s="18"/>
      <c r="EE104" s="13"/>
      <c r="EF104" s="111"/>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360"/>
      <c r="FX104" s="13"/>
      <c r="FY104" s="278"/>
      <c r="FZ104" s="266"/>
      <c r="GA104" s="266"/>
      <c r="GB104" s="269"/>
      <c r="GC104" s="269"/>
    </row>
    <row r="105" spans="1:185" x14ac:dyDescent="0.25">
      <c r="A105" s="18"/>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11"/>
      <c r="AD105" s="13"/>
      <c r="AE105" s="13"/>
      <c r="AF105" s="13"/>
      <c r="AG105" s="13"/>
      <c r="AH105" s="13"/>
      <c r="AI105" s="13"/>
      <c r="AJ105" s="13"/>
      <c r="AK105" s="13"/>
      <c r="AL105" s="13"/>
      <c r="AM105" s="98"/>
      <c r="AN105" s="98"/>
      <c r="AO105" s="13"/>
      <c r="AP105" s="278"/>
      <c r="AQ105" s="18"/>
      <c r="AR105" s="13"/>
      <c r="AS105" s="111"/>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11"/>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278"/>
      <c r="ED105" s="18"/>
      <c r="EE105" s="13"/>
      <c r="EF105" s="111"/>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360"/>
      <c r="FX105" s="13"/>
      <c r="FY105" s="278"/>
      <c r="FZ105" s="266"/>
      <c r="GA105" s="266"/>
      <c r="GB105" s="269"/>
      <c r="GC105" s="269"/>
    </row>
    <row r="106" spans="1:185" x14ac:dyDescent="0.25">
      <c r="A106" s="18"/>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10"/>
      <c r="AD106" s="111"/>
      <c r="AE106" s="13"/>
      <c r="AF106" s="13"/>
      <c r="AG106" s="13"/>
      <c r="AH106" s="13"/>
      <c r="AI106" s="13"/>
      <c r="AJ106" s="13"/>
      <c r="AK106" s="13"/>
      <c r="AL106" s="13"/>
      <c r="AM106" s="98"/>
      <c r="AN106" s="98"/>
      <c r="AO106" s="13"/>
      <c r="AP106" s="278"/>
      <c r="AQ106" s="18"/>
      <c r="AR106" s="13"/>
      <c r="AS106" s="110"/>
      <c r="AT106" s="111"/>
      <c r="AU106" s="13"/>
      <c r="AV106" s="13"/>
      <c r="AW106" s="13"/>
      <c r="AX106" s="13"/>
      <c r="AY106" s="13"/>
      <c r="AZ106" s="13"/>
      <c r="BA106" s="13"/>
      <c r="BB106" s="13"/>
      <c r="BC106" s="13"/>
      <c r="BD106" s="13"/>
      <c r="BE106" s="13"/>
      <c r="BF106" s="13"/>
      <c r="BG106" s="13"/>
      <c r="BH106" s="13"/>
      <c r="BI106" s="13"/>
      <c r="BJ106" s="13"/>
      <c r="BK106" s="13"/>
      <c r="BL106" s="13"/>
      <c r="BM106" s="13"/>
      <c r="BN106" s="13"/>
      <c r="BO106" s="110"/>
      <c r="BP106" s="111"/>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278"/>
      <c r="ED106" s="18"/>
      <c r="EE106" s="13"/>
      <c r="EF106" s="110"/>
      <c r="EG106" s="111"/>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360"/>
      <c r="FX106" s="13"/>
      <c r="FY106" s="278"/>
      <c r="FZ106" s="266"/>
      <c r="GA106" s="266"/>
      <c r="GB106" s="269"/>
      <c r="GC106" s="269"/>
    </row>
    <row r="107" spans="1:185" s="109" customFormat="1" x14ac:dyDescent="0.25">
      <c r="A107" s="18"/>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11"/>
      <c r="AG107" s="111"/>
      <c r="AH107" s="111"/>
      <c r="AI107" s="111"/>
      <c r="AJ107" s="111"/>
      <c r="AK107" s="111"/>
      <c r="AL107" s="111"/>
      <c r="AM107" s="101"/>
      <c r="AN107" s="101"/>
      <c r="AO107" s="111"/>
      <c r="AP107" s="280"/>
      <c r="AQ107" s="18"/>
      <c r="AR107" s="13"/>
      <c r="AS107" s="13"/>
      <c r="AT107" s="13"/>
      <c r="AU107" s="13"/>
      <c r="AV107" s="13"/>
      <c r="AW107" s="111"/>
      <c r="AX107" s="111"/>
      <c r="AY107" s="111"/>
      <c r="AZ107" s="111"/>
      <c r="BA107" s="111"/>
      <c r="BB107" s="111"/>
      <c r="BC107" s="111"/>
      <c r="BD107" s="111"/>
      <c r="BE107" s="13"/>
      <c r="BF107" s="111"/>
      <c r="BG107" s="111"/>
      <c r="BH107" s="111"/>
      <c r="BI107" s="111"/>
      <c r="BJ107" s="111"/>
      <c r="BK107" s="111"/>
      <c r="BL107" s="111"/>
      <c r="BM107" s="111"/>
      <c r="BN107" s="13"/>
      <c r="BO107" s="13"/>
      <c r="BP107" s="13"/>
      <c r="BQ107" s="13"/>
      <c r="BR107" s="111"/>
      <c r="BS107" s="13"/>
      <c r="BT107" s="111"/>
      <c r="BU107" s="111"/>
      <c r="BV107" s="111"/>
      <c r="BW107" s="111"/>
      <c r="BX107" s="111"/>
      <c r="BY107" s="13"/>
      <c r="BZ107" s="111"/>
      <c r="CA107" s="111"/>
      <c r="CB107" s="111"/>
      <c r="CC107" s="111"/>
      <c r="CD107" s="111"/>
      <c r="CE107" s="111"/>
      <c r="CF107" s="111"/>
      <c r="CG107" s="111"/>
      <c r="CH107" s="111"/>
      <c r="CI107" s="111"/>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c r="DY107" s="111"/>
      <c r="DZ107" s="111"/>
      <c r="EA107" s="111"/>
      <c r="EB107" s="111"/>
      <c r="EC107" s="280"/>
      <c r="ED107" s="18"/>
      <c r="EE107" s="13"/>
      <c r="EF107" s="13"/>
      <c r="EG107" s="13"/>
      <c r="EH107" s="13"/>
      <c r="EI107" s="111"/>
      <c r="EJ107" s="111"/>
      <c r="EK107" s="111"/>
      <c r="EL107" s="111"/>
      <c r="EM107" s="111"/>
      <c r="EN107" s="111"/>
      <c r="EO107" s="111"/>
      <c r="EP107" s="111"/>
      <c r="EQ107" s="111"/>
      <c r="ER107" s="111"/>
      <c r="ES107" s="111"/>
      <c r="ET107" s="111"/>
      <c r="EU107" s="111"/>
      <c r="EV107" s="111"/>
      <c r="EW107" s="111"/>
      <c r="EX107" s="111"/>
      <c r="EY107" s="111"/>
      <c r="EZ107" s="111"/>
      <c r="FA107" s="111"/>
      <c r="FB107" s="111"/>
      <c r="FC107" s="111"/>
      <c r="FD107" s="111"/>
      <c r="FE107" s="111"/>
      <c r="FF107" s="111"/>
      <c r="FG107" s="111"/>
      <c r="FH107" s="111"/>
      <c r="FI107" s="111"/>
      <c r="FJ107" s="111"/>
      <c r="FK107" s="111"/>
      <c r="FL107" s="111"/>
      <c r="FM107" s="111"/>
      <c r="FN107" s="111"/>
      <c r="FO107" s="111"/>
      <c r="FP107" s="111"/>
      <c r="FQ107" s="111"/>
      <c r="FR107" s="111"/>
      <c r="FS107" s="111"/>
      <c r="FT107" s="111"/>
      <c r="FU107" s="111"/>
      <c r="FV107" s="111"/>
      <c r="FW107" s="305"/>
      <c r="FX107" s="111"/>
      <c r="FY107" s="280"/>
      <c r="FZ107" s="266"/>
      <c r="GA107" s="266"/>
      <c r="GB107" s="269"/>
      <c r="GC107" s="269"/>
    </row>
    <row r="108" spans="1:185" s="109" customFormat="1" x14ac:dyDescent="0.25">
      <c r="A108" s="18"/>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11"/>
      <c r="AG108" s="103"/>
      <c r="AH108" s="111"/>
      <c r="AI108" s="103"/>
      <c r="AJ108" s="111"/>
      <c r="AK108" s="103"/>
      <c r="AL108" s="111"/>
      <c r="AM108" s="353"/>
      <c r="AN108" s="353"/>
      <c r="AO108" s="103"/>
      <c r="AP108" s="280"/>
      <c r="AQ108" s="18"/>
      <c r="AR108" s="13"/>
      <c r="AS108" s="13"/>
      <c r="AT108" s="13"/>
      <c r="AU108" s="13"/>
      <c r="AV108" s="13"/>
      <c r="AW108" s="111"/>
      <c r="AX108" s="103"/>
      <c r="AY108" s="111"/>
      <c r="AZ108" s="103"/>
      <c r="BA108" s="111"/>
      <c r="BB108" s="111"/>
      <c r="BC108" s="111"/>
      <c r="BD108" s="103"/>
      <c r="BE108" s="13"/>
      <c r="BF108" s="103"/>
      <c r="BG108" s="103"/>
      <c r="BH108" s="103"/>
      <c r="BI108" s="111"/>
      <c r="BJ108" s="111"/>
      <c r="BK108" s="103"/>
      <c r="BL108" s="103"/>
      <c r="BM108" s="111"/>
      <c r="BN108" s="13"/>
      <c r="BO108" s="13"/>
      <c r="BP108" s="13"/>
      <c r="BQ108" s="13"/>
      <c r="BR108" s="111"/>
      <c r="BS108" s="13"/>
      <c r="BT108" s="111"/>
      <c r="BU108" s="111"/>
      <c r="BV108" s="111"/>
      <c r="BW108" s="111"/>
      <c r="BX108" s="111"/>
      <c r="BY108" s="13"/>
      <c r="BZ108" s="111"/>
      <c r="CA108" s="111"/>
      <c r="CB108" s="111"/>
      <c r="CC108" s="111"/>
      <c r="CD108" s="111"/>
      <c r="CE108" s="111"/>
      <c r="CF108" s="111"/>
      <c r="CG108" s="111"/>
      <c r="CH108" s="111"/>
      <c r="CI108" s="111"/>
      <c r="CJ108" s="111"/>
      <c r="CK108" s="111"/>
      <c r="CL108" s="111"/>
      <c r="CM108" s="111"/>
      <c r="CN108" s="111"/>
      <c r="CO108" s="111"/>
      <c r="CP108" s="111"/>
      <c r="CQ108" s="111"/>
      <c r="CR108" s="111"/>
      <c r="CS108" s="111"/>
      <c r="CT108" s="111"/>
      <c r="CU108" s="111"/>
      <c r="CV108" s="111"/>
      <c r="CW108" s="111"/>
      <c r="CX108" s="111"/>
      <c r="CY108" s="111"/>
      <c r="CZ108" s="111"/>
      <c r="DA108" s="111"/>
      <c r="DB108" s="111"/>
      <c r="DC108" s="111"/>
      <c r="DD108" s="111"/>
      <c r="DE108" s="111"/>
      <c r="DF108" s="111"/>
      <c r="DG108" s="111"/>
      <c r="DH108" s="111"/>
      <c r="DI108" s="111"/>
      <c r="DJ108" s="111"/>
      <c r="DK108" s="103"/>
      <c r="DL108" s="103"/>
      <c r="DM108" s="103"/>
      <c r="DN108" s="103"/>
      <c r="DO108" s="103"/>
      <c r="DP108" s="103"/>
      <c r="DQ108" s="103"/>
      <c r="DR108" s="103"/>
      <c r="DS108" s="103"/>
      <c r="DT108" s="103"/>
      <c r="DU108" s="103"/>
      <c r="DV108" s="103"/>
      <c r="DW108" s="103"/>
      <c r="DX108" s="103"/>
      <c r="DY108" s="103"/>
      <c r="DZ108" s="103"/>
      <c r="EA108" s="103"/>
      <c r="EB108" s="103"/>
      <c r="EC108" s="280"/>
      <c r="ED108" s="18"/>
      <c r="EE108" s="13"/>
      <c r="EF108" s="13"/>
      <c r="EG108" s="13"/>
      <c r="EH108" s="13"/>
      <c r="EI108" s="111"/>
      <c r="EJ108" s="111"/>
      <c r="EK108" s="111"/>
      <c r="EL108" s="111"/>
      <c r="EM108" s="111"/>
      <c r="EN108" s="111"/>
      <c r="EO108" s="111"/>
      <c r="EP108" s="111"/>
      <c r="EQ108" s="111"/>
      <c r="ER108" s="111"/>
      <c r="ES108" s="111"/>
      <c r="ET108" s="111"/>
      <c r="EU108" s="111"/>
      <c r="EV108" s="111"/>
      <c r="EW108" s="111"/>
      <c r="EX108" s="111"/>
      <c r="EY108" s="111"/>
      <c r="EZ108" s="111"/>
      <c r="FA108" s="111"/>
      <c r="FB108" s="111"/>
      <c r="FC108" s="111"/>
      <c r="FD108" s="111"/>
      <c r="FE108" s="111"/>
      <c r="FF108" s="111"/>
      <c r="FG108" s="111"/>
      <c r="FH108" s="111"/>
      <c r="FI108" s="111"/>
      <c r="FJ108" s="111"/>
      <c r="FK108" s="111"/>
      <c r="FL108" s="111"/>
      <c r="FM108" s="111"/>
      <c r="FN108" s="111"/>
      <c r="FO108" s="103"/>
      <c r="FP108" s="103"/>
      <c r="FQ108" s="103"/>
      <c r="FR108" s="103"/>
      <c r="FS108" s="103"/>
      <c r="FT108" s="103"/>
      <c r="FU108" s="103"/>
      <c r="FV108" s="103"/>
      <c r="FW108" s="386"/>
      <c r="FX108" s="103"/>
      <c r="FY108" s="280"/>
      <c r="FZ108" s="266"/>
      <c r="GA108" s="266"/>
      <c r="GB108" s="269"/>
      <c r="GC108" s="269"/>
    </row>
    <row r="109" spans="1:185" s="109" customFormat="1" x14ac:dyDescent="0.25">
      <c r="A109" s="14"/>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1"/>
      <c r="AG109" s="103"/>
      <c r="AH109" s="111"/>
      <c r="AI109" s="103"/>
      <c r="AJ109" s="111"/>
      <c r="AK109" s="103"/>
      <c r="AL109" s="111"/>
      <c r="AM109" s="353"/>
      <c r="AN109" s="353"/>
      <c r="AO109" s="103"/>
      <c r="AP109" s="280"/>
      <c r="AQ109" s="14"/>
      <c r="AR109" s="110"/>
      <c r="AS109" s="110"/>
      <c r="AT109" s="110"/>
      <c r="AU109" s="110"/>
      <c r="AV109" s="110"/>
      <c r="AW109" s="111"/>
      <c r="AX109" s="103"/>
      <c r="AY109" s="111"/>
      <c r="AZ109" s="103"/>
      <c r="BA109" s="111"/>
      <c r="BB109" s="111"/>
      <c r="BC109" s="111"/>
      <c r="BD109" s="103"/>
      <c r="BE109" s="110"/>
      <c r="BF109" s="103"/>
      <c r="BG109" s="103"/>
      <c r="BH109" s="103"/>
      <c r="BI109" s="111"/>
      <c r="BJ109" s="111"/>
      <c r="BK109" s="103"/>
      <c r="BL109" s="103"/>
      <c r="BM109" s="111"/>
      <c r="BN109" s="110"/>
      <c r="BO109" s="110"/>
      <c r="BP109" s="110"/>
      <c r="BQ109" s="110"/>
      <c r="BR109" s="111"/>
      <c r="BS109" s="110"/>
      <c r="BT109" s="111"/>
      <c r="BU109" s="111"/>
      <c r="BV109" s="111"/>
      <c r="BW109" s="111"/>
      <c r="BX109" s="111"/>
      <c r="BY109" s="110"/>
      <c r="BZ109" s="111"/>
      <c r="CA109" s="111"/>
      <c r="CB109" s="111"/>
      <c r="CC109" s="111"/>
      <c r="CD109" s="111"/>
      <c r="CE109" s="111"/>
      <c r="CF109" s="111"/>
      <c r="CG109" s="111"/>
      <c r="CH109" s="111"/>
      <c r="CI109" s="111"/>
      <c r="CJ109" s="111"/>
      <c r="CK109" s="111"/>
      <c r="CL109" s="111"/>
      <c r="CM109" s="111"/>
      <c r="CN109" s="111"/>
      <c r="CO109" s="111"/>
      <c r="CP109" s="111"/>
      <c r="CQ109" s="111"/>
      <c r="CR109" s="111"/>
      <c r="CS109" s="111"/>
      <c r="CT109" s="111"/>
      <c r="CU109" s="111"/>
      <c r="CV109" s="111"/>
      <c r="CW109" s="111"/>
      <c r="CX109" s="111"/>
      <c r="CY109" s="111"/>
      <c r="CZ109" s="111"/>
      <c r="DA109" s="111"/>
      <c r="DB109" s="111"/>
      <c r="DC109" s="111"/>
      <c r="DD109" s="111"/>
      <c r="DE109" s="111"/>
      <c r="DF109" s="111"/>
      <c r="DG109" s="111"/>
      <c r="DH109" s="111"/>
      <c r="DI109" s="111"/>
      <c r="DJ109" s="111"/>
      <c r="DK109" s="103"/>
      <c r="DL109" s="103"/>
      <c r="DM109" s="103"/>
      <c r="DN109" s="103"/>
      <c r="DO109" s="103"/>
      <c r="DP109" s="103"/>
      <c r="DQ109" s="103"/>
      <c r="DR109" s="103"/>
      <c r="DS109" s="103"/>
      <c r="DT109" s="103"/>
      <c r="DU109" s="103"/>
      <c r="DV109" s="103"/>
      <c r="DW109" s="103"/>
      <c r="DX109" s="103"/>
      <c r="DY109" s="103"/>
      <c r="DZ109" s="103"/>
      <c r="EA109" s="103"/>
      <c r="EB109" s="103"/>
      <c r="EC109" s="280"/>
      <c r="ED109" s="14"/>
      <c r="EE109" s="110"/>
      <c r="EF109" s="110"/>
      <c r="EG109" s="110"/>
      <c r="EH109" s="110"/>
      <c r="EI109" s="111"/>
      <c r="EJ109" s="111"/>
      <c r="EK109" s="111"/>
      <c r="EL109" s="111"/>
      <c r="EM109" s="111"/>
      <c r="EN109" s="111"/>
      <c r="EO109" s="111"/>
      <c r="EP109" s="111"/>
      <c r="EQ109" s="111"/>
      <c r="ER109" s="111"/>
      <c r="ES109" s="111"/>
      <c r="ET109" s="111"/>
      <c r="EU109" s="111"/>
      <c r="EV109" s="111"/>
      <c r="EW109" s="111"/>
      <c r="EX109" s="111"/>
      <c r="EY109" s="111"/>
      <c r="EZ109" s="111"/>
      <c r="FA109" s="111"/>
      <c r="FB109" s="111"/>
      <c r="FC109" s="111"/>
      <c r="FD109" s="111"/>
      <c r="FE109" s="111"/>
      <c r="FF109" s="111"/>
      <c r="FG109" s="111"/>
      <c r="FH109" s="111"/>
      <c r="FI109" s="111"/>
      <c r="FJ109" s="111"/>
      <c r="FK109" s="111"/>
      <c r="FL109" s="111"/>
      <c r="FM109" s="111"/>
      <c r="FN109" s="111"/>
      <c r="FO109" s="103"/>
      <c r="FP109" s="103"/>
      <c r="FQ109" s="103"/>
      <c r="FR109" s="103"/>
      <c r="FS109" s="103"/>
      <c r="FT109" s="103"/>
      <c r="FU109" s="103"/>
      <c r="FV109" s="103"/>
      <c r="FW109" s="386"/>
      <c r="FX109" s="103"/>
      <c r="FY109" s="280"/>
      <c r="FZ109" s="266"/>
      <c r="GA109" s="266"/>
      <c r="GB109" s="269"/>
      <c r="GC109" s="269"/>
    </row>
    <row r="110" spans="1:185" s="109" customFormat="1" x14ac:dyDescent="0.25">
      <c r="A110" s="14"/>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1"/>
      <c r="AG110" s="103"/>
      <c r="AH110" s="111"/>
      <c r="AI110" s="103"/>
      <c r="AJ110" s="111"/>
      <c r="AK110" s="103"/>
      <c r="AL110" s="111"/>
      <c r="AM110" s="353"/>
      <c r="AN110" s="353"/>
      <c r="AO110" s="103"/>
      <c r="AP110" s="280"/>
      <c r="AQ110" s="14"/>
      <c r="AR110" s="110"/>
      <c r="AS110" s="110"/>
      <c r="AT110" s="110"/>
      <c r="AU110" s="110"/>
      <c r="AV110" s="110"/>
      <c r="AW110" s="111"/>
      <c r="AX110" s="103"/>
      <c r="AY110" s="111"/>
      <c r="AZ110" s="103"/>
      <c r="BA110" s="111"/>
      <c r="BB110" s="111"/>
      <c r="BC110" s="111"/>
      <c r="BD110" s="103"/>
      <c r="BE110" s="110"/>
      <c r="BF110" s="103"/>
      <c r="BG110" s="103"/>
      <c r="BH110" s="103"/>
      <c r="BI110" s="111"/>
      <c r="BJ110" s="111"/>
      <c r="BK110" s="103"/>
      <c r="BL110" s="103"/>
      <c r="BM110" s="111"/>
      <c r="BN110" s="110"/>
      <c r="BO110" s="110"/>
      <c r="BP110" s="110"/>
      <c r="BQ110" s="110"/>
      <c r="BR110" s="111"/>
      <c r="BS110" s="110"/>
      <c r="BT110" s="111"/>
      <c r="BU110" s="111"/>
      <c r="BV110" s="111"/>
      <c r="BW110" s="111"/>
      <c r="BX110" s="111"/>
      <c r="BY110" s="110"/>
      <c r="BZ110" s="111"/>
      <c r="CA110" s="111"/>
      <c r="CB110" s="111"/>
      <c r="CC110" s="111"/>
      <c r="CD110" s="111"/>
      <c r="CE110" s="111"/>
      <c r="CF110" s="111"/>
      <c r="CG110" s="111"/>
      <c r="CH110" s="111"/>
      <c r="CI110" s="111"/>
      <c r="CJ110" s="111"/>
      <c r="CK110" s="111"/>
      <c r="CL110" s="111"/>
      <c r="CM110" s="111"/>
      <c r="CN110" s="111"/>
      <c r="CO110" s="111"/>
      <c r="CP110" s="111"/>
      <c r="CQ110" s="111"/>
      <c r="CR110" s="111"/>
      <c r="CS110" s="111"/>
      <c r="CT110" s="111"/>
      <c r="CU110" s="111"/>
      <c r="CV110" s="111"/>
      <c r="CW110" s="111"/>
      <c r="CX110" s="111"/>
      <c r="CY110" s="111"/>
      <c r="CZ110" s="111"/>
      <c r="DA110" s="111"/>
      <c r="DB110" s="111"/>
      <c r="DC110" s="111"/>
      <c r="DD110" s="111"/>
      <c r="DE110" s="111"/>
      <c r="DF110" s="111"/>
      <c r="DG110" s="111"/>
      <c r="DH110" s="111"/>
      <c r="DI110" s="111"/>
      <c r="DJ110" s="111"/>
      <c r="DK110" s="103"/>
      <c r="DL110" s="103"/>
      <c r="DM110" s="103"/>
      <c r="DN110" s="103"/>
      <c r="DO110" s="103"/>
      <c r="DP110" s="103"/>
      <c r="DQ110" s="103"/>
      <c r="DR110" s="103"/>
      <c r="DS110" s="103"/>
      <c r="DT110" s="103"/>
      <c r="DU110" s="103"/>
      <c r="DV110" s="103"/>
      <c r="DW110" s="103"/>
      <c r="DX110" s="103"/>
      <c r="DY110" s="103"/>
      <c r="DZ110" s="103"/>
      <c r="EA110" s="103"/>
      <c r="EB110" s="103"/>
      <c r="EC110" s="280"/>
      <c r="ED110" s="14"/>
      <c r="EE110" s="110"/>
      <c r="EF110" s="110"/>
      <c r="EG110" s="110"/>
      <c r="EH110" s="110"/>
      <c r="EI110" s="111"/>
      <c r="EJ110" s="111"/>
      <c r="EK110" s="111"/>
      <c r="EL110" s="111"/>
      <c r="EM110" s="111"/>
      <c r="EN110" s="111"/>
      <c r="EO110" s="111"/>
      <c r="EP110" s="111"/>
      <c r="EQ110" s="111"/>
      <c r="ER110" s="111"/>
      <c r="ES110" s="111"/>
      <c r="ET110" s="111"/>
      <c r="EU110" s="111"/>
      <c r="EV110" s="111"/>
      <c r="EW110" s="111"/>
      <c r="EX110" s="111"/>
      <c r="EY110" s="111"/>
      <c r="EZ110" s="111"/>
      <c r="FA110" s="111"/>
      <c r="FB110" s="111"/>
      <c r="FC110" s="111"/>
      <c r="FD110" s="111"/>
      <c r="FE110" s="111"/>
      <c r="FF110" s="111"/>
      <c r="FG110" s="111"/>
      <c r="FH110" s="111"/>
      <c r="FI110" s="111"/>
      <c r="FJ110" s="111"/>
      <c r="FK110" s="111"/>
      <c r="FL110" s="111"/>
      <c r="FM110" s="111"/>
      <c r="FN110" s="111"/>
      <c r="FO110" s="103"/>
      <c r="FP110" s="103"/>
      <c r="FQ110" s="103"/>
      <c r="FR110" s="103"/>
      <c r="FS110" s="103"/>
      <c r="FT110" s="103"/>
      <c r="FU110" s="103"/>
      <c r="FV110" s="103"/>
      <c r="FW110" s="386"/>
      <c r="FX110" s="103"/>
      <c r="FY110" s="280"/>
      <c r="FZ110" s="266"/>
      <c r="GA110" s="266"/>
      <c r="GB110" s="269"/>
      <c r="GC110" s="269"/>
    </row>
    <row r="111" spans="1:185" s="109" customFormat="1" x14ac:dyDescent="0.25">
      <c r="A111" s="14"/>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1"/>
      <c r="AG111" s="13"/>
      <c r="AH111" s="111"/>
      <c r="AI111" s="13"/>
      <c r="AJ111" s="111"/>
      <c r="AK111" s="13"/>
      <c r="AL111" s="111"/>
      <c r="AM111" s="98"/>
      <c r="AN111" s="98"/>
      <c r="AO111" s="13"/>
      <c r="AP111" s="280"/>
      <c r="AQ111" s="14"/>
      <c r="AR111" s="110"/>
      <c r="AS111" s="110"/>
      <c r="AT111" s="110"/>
      <c r="AU111" s="110"/>
      <c r="AV111" s="110"/>
      <c r="AW111" s="111"/>
      <c r="AX111" s="13"/>
      <c r="AY111" s="111"/>
      <c r="AZ111" s="13"/>
      <c r="BA111" s="111"/>
      <c r="BB111" s="111"/>
      <c r="BC111" s="111"/>
      <c r="BD111" s="13"/>
      <c r="BE111" s="110"/>
      <c r="BF111" s="13"/>
      <c r="BG111" s="13"/>
      <c r="BH111" s="13"/>
      <c r="BI111" s="111"/>
      <c r="BJ111" s="111"/>
      <c r="BK111" s="13"/>
      <c r="BL111" s="13"/>
      <c r="BM111" s="111"/>
      <c r="BN111" s="110"/>
      <c r="BO111" s="110"/>
      <c r="BP111" s="110"/>
      <c r="BQ111" s="110"/>
      <c r="BR111" s="111"/>
      <c r="BS111" s="110"/>
      <c r="BT111" s="111"/>
      <c r="BU111" s="111"/>
      <c r="BV111" s="111"/>
      <c r="BW111" s="111"/>
      <c r="BX111" s="111"/>
      <c r="BY111" s="110"/>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3"/>
      <c r="DL111" s="13"/>
      <c r="DM111" s="13"/>
      <c r="DN111" s="13"/>
      <c r="DO111" s="13"/>
      <c r="DP111" s="13"/>
      <c r="DQ111" s="13"/>
      <c r="DR111" s="13"/>
      <c r="DS111" s="13"/>
      <c r="DT111" s="13"/>
      <c r="DU111" s="13"/>
      <c r="DV111" s="13"/>
      <c r="DW111" s="13"/>
      <c r="DX111" s="13"/>
      <c r="DY111" s="13"/>
      <c r="DZ111" s="13"/>
      <c r="EA111" s="13"/>
      <c r="EB111" s="13"/>
      <c r="EC111" s="280"/>
      <c r="ED111" s="14"/>
      <c r="EE111" s="110"/>
      <c r="EF111" s="110"/>
      <c r="EG111" s="110"/>
      <c r="EH111" s="110"/>
      <c r="EI111" s="111"/>
      <c r="EJ111" s="111"/>
      <c r="EK111" s="111"/>
      <c r="EL111" s="111"/>
      <c r="EM111" s="111"/>
      <c r="EN111" s="111"/>
      <c r="EO111" s="111"/>
      <c r="EP111" s="111"/>
      <c r="EQ111" s="111"/>
      <c r="ER111" s="111"/>
      <c r="ES111" s="111"/>
      <c r="ET111" s="111"/>
      <c r="EU111" s="111"/>
      <c r="EV111" s="111"/>
      <c r="EW111" s="111"/>
      <c r="EX111" s="111"/>
      <c r="EY111" s="111"/>
      <c r="EZ111" s="111"/>
      <c r="FA111" s="111"/>
      <c r="FB111" s="111"/>
      <c r="FC111" s="111"/>
      <c r="FD111" s="111"/>
      <c r="FE111" s="111"/>
      <c r="FF111" s="111"/>
      <c r="FG111" s="111"/>
      <c r="FH111" s="111"/>
      <c r="FI111" s="111"/>
      <c r="FJ111" s="111"/>
      <c r="FK111" s="111"/>
      <c r="FL111" s="111"/>
      <c r="FM111" s="111"/>
      <c r="FN111" s="111"/>
      <c r="FO111" s="13"/>
      <c r="FP111" s="13"/>
      <c r="FQ111" s="13"/>
      <c r="FR111" s="13"/>
      <c r="FS111" s="13"/>
      <c r="FT111" s="13"/>
      <c r="FU111" s="13"/>
      <c r="FV111" s="13"/>
      <c r="FW111" s="360"/>
      <c r="FX111" s="13"/>
      <c r="FY111" s="280"/>
      <c r="FZ111" s="266"/>
      <c r="GA111" s="266"/>
      <c r="GB111" s="269"/>
      <c r="GC111" s="269"/>
    </row>
    <row r="112" spans="1:185" s="109" customFormat="1" x14ac:dyDescent="0.25">
      <c r="A112" s="14"/>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1"/>
      <c r="AG112" s="13"/>
      <c r="AH112" s="111"/>
      <c r="AI112" s="13"/>
      <c r="AJ112" s="111"/>
      <c r="AK112" s="13"/>
      <c r="AL112" s="111"/>
      <c r="AM112" s="98"/>
      <c r="AN112" s="98"/>
      <c r="AO112" s="13"/>
      <c r="AP112" s="280"/>
      <c r="AQ112" s="14"/>
      <c r="AR112" s="110"/>
      <c r="AS112" s="110"/>
      <c r="AT112" s="110"/>
      <c r="AU112" s="110"/>
      <c r="AV112" s="110"/>
      <c r="AW112" s="111"/>
      <c r="AX112" s="13"/>
      <c r="AY112" s="111"/>
      <c r="AZ112" s="13"/>
      <c r="BA112" s="111"/>
      <c r="BB112" s="111"/>
      <c r="BC112" s="111"/>
      <c r="BD112" s="13"/>
      <c r="BE112" s="110"/>
      <c r="BF112" s="13"/>
      <c r="BG112" s="13"/>
      <c r="BH112" s="13"/>
      <c r="BI112" s="111"/>
      <c r="BJ112" s="111"/>
      <c r="BK112" s="13"/>
      <c r="BL112" s="13"/>
      <c r="BM112" s="111"/>
      <c r="BN112" s="110"/>
      <c r="BO112" s="110"/>
      <c r="BP112" s="110"/>
      <c r="BQ112" s="110"/>
      <c r="BR112" s="111"/>
      <c r="BS112" s="110"/>
      <c r="BT112" s="111"/>
      <c r="BU112" s="111"/>
      <c r="BV112" s="111"/>
      <c r="BW112" s="111"/>
      <c r="BX112" s="111"/>
      <c r="BY112" s="110"/>
      <c r="BZ112" s="111"/>
      <c r="CA112" s="111"/>
      <c r="CB112" s="111"/>
      <c r="CC112" s="111"/>
      <c r="CD112" s="111"/>
      <c r="CE112" s="111"/>
      <c r="CF112" s="111"/>
      <c r="CG112" s="111"/>
      <c r="CH112" s="111"/>
      <c r="CI112" s="111"/>
      <c r="CJ112" s="111"/>
      <c r="CK112" s="111"/>
      <c r="CL112" s="111"/>
      <c r="CM112" s="111"/>
      <c r="CN112" s="111"/>
      <c r="CO112" s="111"/>
      <c r="CP112" s="111"/>
      <c r="CQ112" s="111"/>
      <c r="CR112" s="111"/>
      <c r="CS112" s="111"/>
      <c r="CT112" s="111"/>
      <c r="CU112" s="111"/>
      <c r="CV112" s="111"/>
      <c r="CW112" s="111"/>
      <c r="CX112" s="111"/>
      <c r="CY112" s="111"/>
      <c r="CZ112" s="111"/>
      <c r="DA112" s="111"/>
      <c r="DB112" s="111"/>
      <c r="DC112" s="111"/>
      <c r="DD112" s="111"/>
      <c r="DE112" s="111"/>
      <c r="DF112" s="111"/>
      <c r="DG112" s="111"/>
      <c r="DH112" s="111"/>
      <c r="DI112" s="111"/>
      <c r="DJ112" s="111"/>
      <c r="DK112" s="13"/>
      <c r="DL112" s="13"/>
      <c r="DM112" s="13"/>
      <c r="DN112" s="13"/>
      <c r="DO112" s="13"/>
      <c r="DP112" s="13"/>
      <c r="DQ112" s="13"/>
      <c r="DR112" s="13"/>
      <c r="DS112" s="13"/>
      <c r="DT112" s="13"/>
      <c r="DU112" s="13"/>
      <c r="DV112" s="13"/>
      <c r="DW112" s="13"/>
      <c r="DX112" s="13"/>
      <c r="DY112" s="13"/>
      <c r="DZ112" s="13"/>
      <c r="EA112" s="13"/>
      <c r="EB112" s="13"/>
      <c r="EC112" s="280"/>
      <c r="ED112" s="14"/>
      <c r="EE112" s="110"/>
      <c r="EF112" s="110"/>
      <c r="EG112" s="110"/>
      <c r="EH112" s="110"/>
      <c r="EI112" s="111"/>
      <c r="EJ112" s="111"/>
      <c r="EK112" s="111"/>
      <c r="EL112" s="111"/>
      <c r="EM112" s="111"/>
      <c r="EN112" s="111"/>
      <c r="EO112" s="111"/>
      <c r="EP112" s="111"/>
      <c r="EQ112" s="111"/>
      <c r="ER112" s="111"/>
      <c r="ES112" s="111"/>
      <c r="ET112" s="111"/>
      <c r="EU112" s="111"/>
      <c r="EV112" s="111"/>
      <c r="EW112" s="111"/>
      <c r="EX112" s="111"/>
      <c r="EY112" s="111"/>
      <c r="EZ112" s="111"/>
      <c r="FA112" s="111"/>
      <c r="FB112" s="111"/>
      <c r="FC112" s="111"/>
      <c r="FD112" s="111"/>
      <c r="FE112" s="111"/>
      <c r="FF112" s="111"/>
      <c r="FG112" s="111"/>
      <c r="FH112" s="111"/>
      <c r="FI112" s="111"/>
      <c r="FJ112" s="111"/>
      <c r="FK112" s="111"/>
      <c r="FL112" s="111"/>
      <c r="FM112" s="111"/>
      <c r="FN112" s="111"/>
      <c r="FO112" s="13"/>
      <c r="FP112" s="13"/>
      <c r="FQ112" s="13"/>
      <c r="FR112" s="13"/>
      <c r="FS112" s="13"/>
      <c r="FT112" s="13"/>
      <c r="FU112" s="13"/>
      <c r="FV112" s="13"/>
      <c r="FW112" s="360"/>
      <c r="FX112" s="13"/>
      <c r="FY112" s="280"/>
      <c r="FZ112" s="266"/>
      <c r="GA112" s="266"/>
      <c r="GB112" s="269"/>
      <c r="GC112" s="269"/>
    </row>
    <row r="113" spans="1:185" s="109" customFormat="1" x14ac:dyDescent="0.25">
      <c r="A113" s="14"/>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1"/>
      <c r="AG113" s="13"/>
      <c r="AH113" s="111"/>
      <c r="AI113" s="13"/>
      <c r="AJ113" s="111"/>
      <c r="AK113" s="13"/>
      <c r="AL113" s="111"/>
      <c r="AM113" s="98"/>
      <c r="AN113" s="98"/>
      <c r="AO113" s="13"/>
      <c r="AP113" s="280"/>
      <c r="AQ113" s="14"/>
      <c r="AR113" s="110"/>
      <c r="AS113" s="110"/>
      <c r="AT113" s="110"/>
      <c r="AU113" s="110"/>
      <c r="AV113" s="110"/>
      <c r="AW113" s="111"/>
      <c r="AX113" s="13"/>
      <c r="AY113" s="111"/>
      <c r="AZ113" s="13"/>
      <c r="BA113" s="111"/>
      <c r="BB113" s="111"/>
      <c r="BC113" s="111"/>
      <c r="BD113" s="13"/>
      <c r="BE113" s="110"/>
      <c r="BF113" s="13"/>
      <c r="BG113" s="13"/>
      <c r="BH113" s="13"/>
      <c r="BI113" s="111"/>
      <c r="BJ113" s="111"/>
      <c r="BK113" s="13"/>
      <c r="BL113" s="13"/>
      <c r="BM113" s="111"/>
      <c r="BN113" s="110"/>
      <c r="BO113" s="110"/>
      <c r="BP113" s="110"/>
      <c r="BQ113" s="110"/>
      <c r="BR113" s="111"/>
      <c r="BS113" s="110"/>
      <c r="BT113" s="111"/>
      <c r="BU113" s="111"/>
      <c r="BV113" s="111"/>
      <c r="BW113" s="111"/>
      <c r="BX113" s="111"/>
      <c r="BY113" s="110"/>
      <c r="BZ113" s="111"/>
      <c r="CA113" s="111"/>
      <c r="CB113" s="111"/>
      <c r="CC113" s="111"/>
      <c r="CD113" s="111"/>
      <c r="CE113" s="111"/>
      <c r="CF113" s="111"/>
      <c r="CG113" s="111"/>
      <c r="CH113" s="111"/>
      <c r="CI113" s="111"/>
      <c r="CJ113" s="111"/>
      <c r="CK113" s="111"/>
      <c r="CL113" s="111"/>
      <c r="CM113" s="111"/>
      <c r="CN113" s="111"/>
      <c r="CO113" s="111"/>
      <c r="CP113" s="111"/>
      <c r="CQ113" s="111"/>
      <c r="CR113" s="111"/>
      <c r="CS113" s="111"/>
      <c r="CT113" s="111"/>
      <c r="CU113" s="111"/>
      <c r="CV113" s="111"/>
      <c r="CW113" s="111"/>
      <c r="CX113" s="111"/>
      <c r="CY113" s="111"/>
      <c r="CZ113" s="111"/>
      <c r="DA113" s="111"/>
      <c r="DB113" s="111"/>
      <c r="DC113" s="111"/>
      <c r="DD113" s="111"/>
      <c r="DE113" s="111"/>
      <c r="DF113" s="111"/>
      <c r="DG113" s="111"/>
      <c r="DH113" s="111"/>
      <c r="DI113" s="111"/>
      <c r="DJ113" s="111"/>
      <c r="DK113" s="13"/>
      <c r="DL113" s="13"/>
      <c r="DM113" s="13"/>
      <c r="DN113" s="13"/>
      <c r="DO113" s="13"/>
      <c r="DP113" s="13"/>
      <c r="DQ113" s="13"/>
      <c r="DR113" s="13"/>
      <c r="DS113" s="13"/>
      <c r="DT113" s="13"/>
      <c r="DU113" s="13"/>
      <c r="DV113" s="13"/>
      <c r="DW113" s="13"/>
      <c r="DX113" s="13"/>
      <c r="DY113" s="13"/>
      <c r="DZ113" s="13"/>
      <c r="EA113" s="13"/>
      <c r="EB113" s="13"/>
      <c r="EC113" s="280"/>
      <c r="ED113" s="14"/>
      <c r="EE113" s="110"/>
      <c r="EF113" s="110"/>
      <c r="EG113" s="110"/>
      <c r="EH113" s="110"/>
      <c r="EI113" s="111"/>
      <c r="EJ113" s="111"/>
      <c r="EK113" s="111"/>
      <c r="EL113" s="111"/>
      <c r="EM113" s="111"/>
      <c r="EN113" s="111"/>
      <c r="EO113" s="111"/>
      <c r="EP113" s="111"/>
      <c r="EQ113" s="111"/>
      <c r="ER113" s="111"/>
      <c r="ES113" s="111"/>
      <c r="ET113" s="111"/>
      <c r="EU113" s="111"/>
      <c r="EV113" s="111"/>
      <c r="EW113" s="111"/>
      <c r="EX113" s="111"/>
      <c r="EY113" s="111"/>
      <c r="EZ113" s="111"/>
      <c r="FA113" s="111"/>
      <c r="FB113" s="111"/>
      <c r="FC113" s="111"/>
      <c r="FD113" s="111"/>
      <c r="FE113" s="111"/>
      <c r="FF113" s="111"/>
      <c r="FG113" s="111"/>
      <c r="FH113" s="111"/>
      <c r="FI113" s="111"/>
      <c r="FJ113" s="111"/>
      <c r="FK113" s="111"/>
      <c r="FL113" s="111"/>
      <c r="FM113" s="111"/>
      <c r="FN113" s="111"/>
      <c r="FO113" s="13"/>
      <c r="FP113" s="13"/>
      <c r="FQ113" s="13"/>
      <c r="FR113" s="13"/>
      <c r="FS113" s="13"/>
      <c r="FT113" s="13"/>
      <c r="FU113" s="13"/>
      <c r="FV113" s="13"/>
      <c r="FW113" s="360"/>
      <c r="FX113" s="13"/>
      <c r="FY113" s="280"/>
      <c r="FZ113" s="266"/>
      <c r="GA113" s="266"/>
      <c r="GB113" s="269"/>
      <c r="GC113" s="269"/>
    </row>
    <row r="114" spans="1:185" s="109" customFormat="1" x14ac:dyDescent="0.25">
      <c r="A114" s="14"/>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1"/>
      <c r="AG114" s="13"/>
      <c r="AH114" s="111"/>
      <c r="AI114" s="13"/>
      <c r="AJ114" s="111"/>
      <c r="AK114" s="13"/>
      <c r="AL114" s="111"/>
      <c r="AM114" s="98"/>
      <c r="AN114" s="98"/>
      <c r="AO114" s="13"/>
      <c r="AP114" s="280"/>
      <c r="AQ114" s="14"/>
      <c r="AR114" s="110"/>
      <c r="AS114" s="110"/>
      <c r="AT114" s="110"/>
      <c r="AU114" s="110"/>
      <c r="AV114" s="110"/>
      <c r="AW114" s="111"/>
      <c r="AX114" s="13"/>
      <c r="AY114" s="111"/>
      <c r="AZ114" s="13"/>
      <c r="BA114" s="111"/>
      <c r="BB114" s="111"/>
      <c r="BC114" s="111"/>
      <c r="BD114" s="13"/>
      <c r="BE114" s="110"/>
      <c r="BF114" s="13"/>
      <c r="BG114" s="13"/>
      <c r="BH114" s="13"/>
      <c r="BI114" s="111"/>
      <c r="BJ114" s="111"/>
      <c r="BK114" s="13"/>
      <c r="BL114" s="13"/>
      <c r="BM114" s="111"/>
      <c r="BN114" s="110"/>
      <c r="BO114" s="110"/>
      <c r="BP114" s="110"/>
      <c r="BQ114" s="110"/>
      <c r="BR114" s="111"/>
      <c r="BS114" s="110"/>
      <c r="BT114" s="111"/>
      <c r="BU114" s="111"/>
      <c r="BV114" s="111"/>
      <c r="BW114" s="111"/>
      <c r="BX114" s="111"/>
      <c r="BY114" s="110"/>
      <c r="BZ114" s="111"/>
      <c r="CA114" s="111"/>
      <c r="CB114" s="111"/>
      <c r="CC114" s="111"/>
      <c r="CD114" s="111"/>
      <c r="CE114" s="111"/>
      <c r="CF114" s="111"/>
      <c r="CG114" s="111"/>
      <c r="CH114" s="111"/>
      <c r="CI114" s="111"/>
      <c r="CJ114" s="111"/>
      <c r="CK114" s="111"/>
      <c r="CL114" s="111"/>
      <c r="CM114" s="111"/>
      <c r="CN114" s="111"/>
      <c r="CO114" s="111"/>
      <c r="CP114" s="111"/>
      <c r="CQ114" s="111"/>
      <c r="CR114" s="111"/>
      <c r="CS114" s="111"/>
      <c r="CT114" s="111"/>
      <c r="CU114" s="111"/>
      <c r="CV114" s="111"/>
      <c r="CW114" s="111"/>
      <c r="CX114" s="111"/>
      <c r="CY114" s="111"/>
      <c r="CZ114" s="111"/>
      <c r="DA114" s="111"/>
      <c r="DB114" s="111"/>
      <c r="DC114" s="111"/>
      <c r="DD114" s="111"/>
      <c r="DE114" s="111"/>
      <c r="DF114" s="111"/>
      <c r="DG114" s="111"/>
      <c r="DH114" s="111"/>
      <c r="DI114" s="111"/>
      <c r="DJ114" s="111"/>
      <c r="DK114" s="13"/>
      <c r="DL114" s="13"/>
      <c r="DM114" s="13"/>
      <c r="DN114" s="13"/>
      <c r="DO114" s="13"/>
      <c r="DP114" s="13"/>
      <c r="DQ114" s="13"/>
      <c r="DR114" s="13"/>
      <c r="DS114" s="13"/>
      <c r="DT114" s="13"/>
      <c r="DU114" s="13"/>
      <c r="DV114" s="13"/>
      <c r="DW114" s="13"/>
      <c r="DX114" s="13"/>
      <c r="DY114" s="13"/>
      <c r="DZ114" s="13"/>
      <c r="EA114" s="13"/>
      <c r="EB114" s="13"/>
      <c r="EC114" s="280"/>
      <c r="ED114" s="14"/>
      <c r="EE114" s="110"/>
      <c r="EF114" s="110"/>
      <c r="EG114" s="110"/>
      <c r="EH114" s="110"/>
      <c r="EI114" s="111"/>
      <c r="EJ114" s="111"/>
      <c r="EK114" s="111"/>
      <c r="EL114" s="111"/>
      <c r="EM114" s="111"/>
      <c r="EN114" s="111"/>
      <c r="EO114" s="111"/>
      <c r="EP114" s="111"/>
      <c r="EQ114" s="111"/>
      <c r="ER114" s="111"/>
      <c r="ES114" s="111"/>
      <c r="ET114" s="111"/>
      <c r="EU114" s="111"/>
      <c r="EV114" s="111"/>
      <c r="EW114" s="111"/>
      <c r="EX114" s="111"/>
      <c r="EY114" s="111"/>
      <c r="EZ114" s="111"/>
      <c r="FA114" s="111"/>
      <c r="FB114" s="111"/>
      <c r="FC114" s="111"/>
      <c r="FD114" s="111"/>
      <c r="FE114" s="111"/>
      <c r="FF114" s="111"/>
      <c r="FG114" s="111"/>
      <c r="FH114" s="111"/>
      <c r="FI114" s="111"/>
      <c r="FJ114" s="111"/>
      <c r="FK114" s="111"/>
      <c r="FL114" s="111"/>
      <c r="FM114" s="111"/>
      <c r="FN114" s="111"/>
      <c r="FO114" s="13"/>
      <c r="FP114" s="13"/>
      <c r="FQ114" s="13"/>
      <c r="FR114" s="13"/>
      <c r="FS114" s="13"/>
      <c r="FT114" s="13"/>
      <c r="FU114" s="13"/>
      <c r="FV114" s="13"/>
      <c r="FW114" s="360"/>
      <c r="FX114" s="13"/>
      <c r="FY114" s="280"/>
      <c r="FZ114" s="266"/>
      <c r="GA114" s="266"/>
    </row>
    <row r="115" spans="1:185" s="109" customFormat="1" x14ac:dyDescent="0.25">
      <c r="A115" s="14"/>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1"/>
      <c r="AG115" s="13"/>
      <c r="AH115" s="111"/>
      <c r="AI115" s="13"/>
      <c r="AJ115" s="111"/>
      <c r="AK115" s="13"/>
      <c r="AL115" s="111"/>
      <c r="AM115" s="98"/>
      <c r="AN115" s="98"/>
      <c r="AO115" s="13"/>
      <c r="AP115" s="280"/>
      <c r="AQ115" s="14"/>
      <c r="AR115" s="110"/>
      <c r="AS115" s="110"/>
      <c r="AT115" s="110"/>
      <c r="AU115" s="110"/>
      <c r="AV115" s="110"/>
      <c r="AW115" s="111"/>
      <c r="AX115" s="13"/>
      <c r="AY115" s="111"/>
      <c r="AZ115" s="13"/>
      <c r="BA115" s="111"/>
      <c r="BB115" s="111"/>
      <c r="BC115" s="111"/>
      <c r="BD115" s="13"/>
      <c r="BE115" s="110"/>
      <c r="BF115" s="13"/>
      <c r="BG115" s="13"/>
      <c r="BH115" s="13"/>
      <c r="BI115" s="111"/>
      <c r="BJ115" s="111"/>
      <c r="BK115" s="13"/>
      <c r="BL115" s="13"/>
      <c r="BM115" s="111"/>
      <c r="BN115" s="110"/>
      <c r="BO115" s="110"/>
      <c r="BP115" s="110"/>
      <c r="BQ115" s="110"/>
      <c r="BR115" s="111"/>
      <c r="BS115" s="110"/>
      <c r="BT115" s="111"/>
      <c r="BU115" s="111"/>
      <c r="BV115" s="111"/>
      <c r="BW115" s="111"/>
      <c r="BX115" s="111"/>
      <c r="BY115" s="110"/>
      <c r="BZ115" s="111"/>
      <c r="CA115" s="111"/>
      <c r="CB115" s="111"/>
      <c r="CC115" s="111"/>
      <c r="CD115" s="111"/>
      <c r="CE115" s="111"/>
      <c r="CF115" s="111"/>
      <c r="CG115" s="111"/>
      <c r="CH115" s="111"/>
      <c r="CI115" s="111"/>
      <c r="CJ115" s="111"/>
      <c r="CK115" s="111"/>
      <c r="CL115" s="111"/>
      <c r="CM115" s="111"/>
      <c r="CN115" s="111"/>
      <c r="CO115" s="111"/>
      <c r="CP115" s="111"/>
      <c r="CQ115" s="111"/>
      <c r="CR115" s="111"/>
      <c r="CS115" s="111"/>
      <c r="CT115" s="111"/>
      <c r="CU115" s="111"/>
      <c r="CV115" s="111"/>
      <c r="CW115" s="111"/>
      <c r="CX115" s="111"/>
      <c r="CY115" s="111"/>
      <c r="CZ115" s="111"/>
      <c r="DA115" s="111"/>
      <c r="DB115" s="111"/>
      <c r="DC115" s="111"/>
      <c r="DD115" s="111"/>
      <c r="DE115" s="111"/>
      <c r="DF115" s="111"/>
      <c r="DG115" s="111"/>
      <c r="DH115" s="111"/>
      <c r="DI115" s="111"/>
      <c r="DJ115" s="111"/>
      <c r="DK115" s="13"/>
      <c r="DL115" s="13"/>
      <c r="DM115" s="13"/>
      <c r="DN115" s="13"/>
      <c r="DO115" s="13"/>
      <c r="DP115" s="13"/>
      <c r="DQ115" s="13"/>
      <c r="DR115" s="13"/>
      <c r="DS115" s="13"/>
      <c r="DT115" s="13"/>
      <c r="DU115" s="13"/>
      <c r="DV115" s="13"/>
      <c r="DW115" s="13"/>
      <c r="DX115" s="13"/>
      <c r="DY115" s="13"/>
      <c r="DZ115" s="13"/>
      <c r="EA115" s="13"/>
      <c r="EB115" s="13"/>
      <c r="EC115" s="280"/>
      <c r="ED115" s="14"/>
      <c r="EE115" s="110"/>
      <c r="EF115" s="110"/>
      <c r="EG115" s="110"/>
      <c r="EH115" s="110"/>
      <c r="EI115" s="111"/>
      <c r="EJ115" s="111"/>
      <c r="EK115" s="111"/>
      <c r="EL115" s="111"/>
      <c r="EM115" s="111"/>
      <c r="EN115" s="111"/>
      <c r="EO115" s="111"/>
      <c r="EP115" s="111"/>
      <c r="EQ115" s="111"/>
      <c r="ER115" s="111"/>
      <c r="ES115" s="111"/>
      <c r="ET115" s="111"/>
      <c r="EU115" s="111"/>
      <c r="EV115" s="111"/>
      <c r="EW115" s="111"/>
      <c r="EX115" s="111"/>
      <c r="EY115" s="111"/>
      <c r="EZ115" s="111"/>
      <c r="FA115" s="111"/>
      <c r="FB115" s="111"/>
      <c r="FC115" s="111"/>
      <c r="FD115" s="111"/>
      <c r="FE115" s="111"/>
      <c r="FF115" s="111"/>
      <c r="FG115" s="111"/>
      <c r="FH115" s="111"/>
      <c r="FI115" s="111"/>
      <c r="FJ115" s="111"/>
      <c r="FK115" s="111"/>
      <c r="FL115" s="111"/>
      <c r="FM115" s="111"/>
      <c r="FN115" s="111"/>
      <c r="FO115" s="13"/>
      <c r="FP115" s="13"/>
      <c r="FQ115" s="13"/>
      <c r="FR115" s="13"/>
      <c r="FS115" s="13"/>
      <c r="FT115" s="13"/>
      <c r="FU115" s="13"/>
      <c r="FV115" s="13"/>
      <c r="FW115" s="360"/>
      <c r="FX115" s="13"/>
      <c r="FY115" s="280"/>
      <c r="FZ115" s="266"/>
      <c r="GA115" s="266"/>
    </row>
    <row r="116" spans="1:185" s="109" customFormat="1" x14ac:dyDescent="0.25">
      <c r="A116" s="14"/>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1"/>
      <c r="AG116" s="13"/>
      <c r="AH116" s="111"/>
      <c r="AI116" s="13"/>
      <c r="AJ116" s="111"/>
      <c r="AK116" s="13"/>
      <c r="AL116" s="111"/>
      <c r="AM116" s="98"/>
      <c r="AN116" s="98"/>
      <c r="AO116" s="13"/>
      <c r="AP116" s="280"/>
      <c r="AQ116" s="14"/>
      <c r="AR116" s="110"/>
      <c r="AS116" s="110"/>
      <c r="AT116" s="110"/>
      <c r="AU116" s="110"/>
      <c r="AV116" s="110"/>
      <c r="AW116" s="111"/>
      <c r="AX116" s="13"/>
      <c r="AY116" s="111"/>
      <c r="AZ116" s="13"/>
      <c r="BA116" s="111"/>
      <c r="BB116" s="111"/>
      <c r="BC116" s="111"/>
      <c r="BD116" s="13"/>
      <c r="BE116" s="110"/>
      <c r="BF116" s="13"/>
      <c r="BG116" s="13"/>
      <c r="BH116" s="13"/>
      <c r="BI116" s="111"/>
      <c r="BJ116" s="111"/>
      <c r="BK116" s="13"/>
      <c r="BL116" s="13"/>
      <c r="BM116" s="111"/>
      <c r="BN116" s="110"/>
      <c r="BO116" s="110"/>
      <c r="BP116" s="110"/>
      <c r="BQ116" s="110"/>
      <c r="BR116" s="111"/>
      <c r="BS116" s="110"/>
      <c r="BT116" s="111"/>
      <c r="BU116" s="111"/>
      <c r="BV116" s="111"/>
      <c r="BW116" s="111"/>
      <c r="BX116" s="111"/>
      <c r="BY116" s="110"/>
      <c r="BZ116" s="111"/>
      <c r="CA116" s="111"/>
      <c r="CB116" s="111"/>
      <c r="CC116" s="111"/>
      <c r="CD116" s="111"/>
      <c r="CE116" s="111"/>
      <c r="CF116" s="111"/>
      <c r="CG116" s="111"/>
      <c r="CH116" s="111"/>
      <c r="CI116" s="111"/>
      <c r="CJ116" s="111"/>
      <c r="CK116" s="111"/>
      <c r="CL116" s="111"/>
      <c r="CM116" s="111"/>
      <c r="CN116" s="111"/>
      <c r="CO116" s="111"/>
      <c r="CP116" s="111"/>
      <c r="CQ116" s="111"/>
      <c r="CR116" s="111"/>
      <c r="CS116" s="111"/>
      <c r="CT116" s="111"/>
      <c r="CU116" s="111"/>
      <c r="CV116" s="111"/>
      <c r="CW116" s="111"/>
      <c r="CX116" s="111"/>
      <c r="CY116" s="111"/>
      <c r="CZ116" s="111"/>
      <c r="DA116" s="111"/>
      <c r="DB116" s="111"/>
      <c r="DC116" s="111"/>
      <c r="DD116" s="111"/>
      <c r="DE116" s="111"/>
      <c r="DF116" s="111"/>
      <c r="DG116" s="111"/>
      <c r="DH116" s="111"/>
      <c r="DI116" s="111"/>
      <c r="DJ116" s="111"/>
      <c r="DK116" s="13"/>
      <c r="DL116" s="13"/>
      <c r="DM116" s="13"/>
      <c r="DN116" s="13"/>
      <c r="DO116" s="13"/>
      <c r="DP116" s="13"/>
      <c r="DQ116" s="13"/>
      <c r="DR116" s="13"/>
      <c r="DS116" s="13"/>
      <c r="DT116" s="13"/>
      <c r="DU116" s="13"/>
      <c r="DV116" s="13"/>
      <c r="DW116" s="13"/>
      <c r="DX116" s="13"/>
      <c r="DY116" s="13"/>
      <c r="DZ116" s="13"/>
      <c r="EA116" s="13"/>
      <c r="EB116" s="13"/>
      <c r="EC116" s="280"/>
      <c r="ED116" s="14"/>
      <c r="EE116" s="110"/>
      <c r="EF116" s="110"/>
      <c r="EG116" s="110"/>
      <c r="EH116" s="110"/>
      <c r="EI116" s="111"/>
      <c r="EJ116" s="111"/>
      <c r="EK116" s="111"/>
      <c r="EL116" s="111"/>
      <c r="EM116" s="111"/>
      <c r="EN116" s="111"/>
      <c r="EO116" s="111"/>
      <c r="EP116" s="111"/>
      <c r="EQ116" s="111"/>
      <c r="ER116" s="111"/>
      <c r="ES116" s="111"/>
      <c r="ET116" s="111"/>
      <c r="EU116" s="111"/>
      <c r="EV116" s="111"/>
      <c r="EW116" s="111"/>
      <c r="EX116" s="111"/>
      <c r="EY116" s="111"/>
      <c r="EZ116" s="111"/>
      <c r="FA116" s="111"/>
      <c r="FB116" s="111"/>
      <c r="FC116" s="111"/>
      <c r="FD116" s="111"/>
      <c r="FE116" s="111"/>
      <c r="FF116" s="111"/>
      <c r="FG116" s="111"/>
      <c r="FH116" s="111"/>
      <c r="FI116" s="111"/>
      <c r="FJ116" s="111"/>
      <c r="FK116" s="111"/>
      <c r="FL116" s="111"/>
      <c r="FM116" s="111"/>
      <c r="FN116" s="111"/>
      <c r="FO116" s="13"/>
      <c r="FP116" s="13"/>
      <c r="FQ116" s="13"/>
      <c r="FR116" s="13"/>
      <c r="FS116" s="13"/>
      <c r="FT116" s="13"/>
      <c r="FU116" s="13"/>
      <c r="FV116" s="13"/>
      <c r="FW116" s="360"/>
      <c r="FX116" s="13"/>
      <c r="FY116" s="280"/>
      <c r="FZ116" s="266"/>
      <c r="GA116" s="266"/>
      <c r="GB116" s="269"/>
      <c r="GC116" s="269"/>
    </row>
    <row r="117" spans="1:185" s="109" customFormat="1" x14ac:dyDescent="0.25">
      <c r="A117" s="14"/>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1"/>
      <c r="AG117" s="13"/>
      <c r="AH117" s="111"/>
      <c r="AI117" s="13"/>
      <c r="AJ117" s="111"/>
      <c r="AK117" s="13"/>
      <c r="AL117" s="111"/>
      <c r="AM117" s="98"/>
      <c r="AN117" s="98"/>
      <c r="AO117" s="13"/>
      <c r="AP117" s="280"/>
      <c r="AQ117" s="14"/>
      <c r="AR117" s="110"/>
      <c r="AS117" s="110"/>
      <c r="AT117" s="110"/>
      <c r="AU117" s="110"/>
      <c r="AV117" s="110"/>
      <c r="AW117" s="111"/>
      <c r="AX117" s="13"/>
      <c r="AY117" s="111"/>
      <c r="AZ117" s="13"/>
      <c r="BA117" s="111"/>
      <c r="BB117" s="111"/>
      <c r="BC117" s="111"/>
      <c r="BD117" s="13"/>
      <c r="BE117" s="110"/>
      <c r="BF117" s="13"/>
      <c r="BG117" s="13"/>
      <c r="BH117" s="13"/>
      <c r="BI117" s="111"/>
      <c r="BJ117" s="111"/>
      <c r="BK117" s="13"/>
      <c r="BL117" s="13"/>
      <c r="BM117" s="111"/>
      <c r="BN117" s="110"/>
      <c r="BO117" s="110"/>
      <c r="BP117" s="110"/>
      <c r="BQ117" s="110"/>
      <c r="BR117" s="111"/>
      <c r="BS117" s="110"/>
      <c r="BT117" s="111"/>
      <c r="BU117" s="111"/>
      <c r="BV117" s="111"/>
      <c r="BW117" s="111"/>
      <c r="BX117" s="111"/>
      <c r="BY117" s="110"/>
      <c r="BZ117" s="111"/>
      <c r="CA117" s="111"/>
      <c r="CB117" s="111"/>
      <c r="CC117" s="111"/>
      <c r="CD117" s="111"/>
      <c r="CE117" s="111"/>
      <c r="CF117" s="111"/>
      <c r="CG117" s="111"/>
      <c r="CH117" s="111"/>
      <c r="CI117" s="111"/>
      <c r="CJ117" s="111"/>
      <c r="CK117" s="111"/>
      <c r="CL117" s="111"/>
      <c r="CM117" s="111"/>
      <c r="CN117" s="111"/>
      <c r="CO117" s="111"/>
      <c r="CP117" s="111"/>
      <c r="CQ117" s="111"/>
      <c r="CR117" s="111"/>
      <c r="CS117" s="111"/>
      <c r="CT117" s="111"/>
      <c r="CU117" s="111"/>
      <c r="CV117" s="111"/>
      <c r="CW117" s="111"/>
      <c r="CX117" s="111"/>
      <c r="CY117" s="111"/>
      <c r="CZ117" s="111"/>
      <c r="DA117" s="111"/>
      <c r="DB117" s="111"/>
      <c r="DC117" s="111"/>
      <c r="DD117" s="111"/>
      <c r="DE117" s="111"/>
      <c r="DF117" s="111"/>
      <c r="DG117" s="111"/>
      <c r="DH117" s="111"/>
      <c r="DI117" s="111"/>
      <c r="DJ117" s="111"/>
      <c r="DK117" s="13"/>
      <c r="DL117" s="13"/>
      <c r="DM117" s="13"/>
      <c r="DN117" s="13"/>
      <c r="DO117" s="13"/>
      <c r="DP117" s="13"/>
      <c r="DQ117" s="13"/>
      <c r="DR117" s="13"/>
      <c r="DS117" s="13"/>
      <c r="DT117" s="13"/>
      <c r="DU117" s="13"/>
      <c r="DV117" s="13"/>
      <c r="DW117" s="13"/>
      <c r="DX117" s="13"/>
      <c r="DY117" s="13"/>
      <c r="DZ117" s="13"/>
      <c r="EA117" s="13"/>
      <c r="EB117" s="13"/>
      <c r="EC117" s="280"/>
      <c r="ED117" s="14"/>
      <c r="EE117" s="110"/>
      <c r="EF117" s="110"/>
      <c r="EG117" s="110"/>
      <c r="EH117" s="110"/>
      <c r="EI117" s="111"/>
      <c r="EJ117" s="111"/>
      <c r="EK117" s="111"/>
      <c r="EL117" s="111"/>
      <c r="EM117" s="111"/>
      <c r="EN117" s="111"/>
      <c r="EO117" s="111"/>
      <c r="EP117" s="111"/>
      <c r="EQ117" s="111"/>
      <c r="ER117" s="111"/>
      <c r="ES117" s="111"/>
      <c r="ET117" s="111"/>
      <c r="EU117" s="111"/>
      <c r="EV117" s="111"/>
      <c r="EW117" s="111"/>
      <c r="EX117" s="111"/>
      <c r="EY117" s="111"/>
      <c r="EZ117" s="111"/>
      <c r="FA117" s="111"/>
      <c r="FB117" s="111"/>
      <c r="FC117" s="111"/>
      <c r="FD117" s="111"/>
      <c r="FE117" s="111"/>
      <c r="FF117" s="111"/>
      <c r="FG117" s="111"/>
      <c r="FH117" s="111"/>
      <c r="FI117" s="111"/>
      <c r="FJ117" s="111"/>
      <c r="FK117" s="111"/>
      <c r="FL117" s="111"/>
      <c r="FM117" s="111"/>
      <c r="FN117" s="111"/>
      <c r="FO117" s="13"/>
      <c r="FP117" s="13"/>
      <c r="FQ117" s="13"/>
      <c r="FR117" s="13"/>
      <c r="FS117" s="13"/>
      <c r="FT117" s="13"/>
      <c r="FU117" s="13"/>
      <c r="FV117" s="13"/>
      <c r="FW117" s="360"/>
      <c r="FX117" s="13"/>
      <c r="FY117" s="280"/>
      <c r="FZ117" s="266"/>
      <c r="GA117" s="266"/>
      <c r="GB117" s="269"/>
      <c r="GC117" s="269"/>
    </row>
    <row r="118" spans="1:185" s="109" customFormat="1" x14ac:dyDescent="0.25">
      <c r="A118" s="14"/>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3"/>
      <c r="AH118" s="110"/>
      <c r="AI118" s="13"/>
      <c r="AJ118" s="110"/>
      <c r="AK118" s="13"/>
      <c r="AL118" s="110"/>
      <c r="AM118" s="98"/>
      <c r="AN118" s="98"/>
      <c r="AO118" s="13"/>
      <c r="AP118" s="280"/>
      <c r="AQ118" s="14"/>
      <c r="AR118" s="110"/>
      <c r="AS118" s="110"/>
      <c r="AT118" s="110"/>
      <c r="AU118" s="110"/>
      <c r="AV118" s="110"/>
      <c r="AW118" s="110"/>
      <c r="AX118" s="13"/>
      <c r="AY118" s="110"/>
      <c r="AZ118" s="13"/>
      <c r="BA118" s="110"/>
      <c r="BB118" s="110"/>
      <c r="BC118" s="110"/>
      <c r="BD118" s="13"/>
      <c r="BE118" s="110"/>
      <c r="BF118" s="13"/>
      <c r="BG118" s="13"/>
      <c r="BH118" s="13"/>
      <c r="BI118" s="110"/>
      <c r="BJ118" s="110"/>
      <c r="BK118" s="13"/>
      <c r="BL118" s="13"/>
      <c r="BM118" s="110"/>
      <c r="BN118" s="110"/>
      <c r="BO118" s="110"/>
      <c r="BP118" s="110"/>
      <c r="BQ118" s="110"/>
      <c r="BR118" s="110"/>
      <c r="BS118" s="110"/>
      <c r="BT118" s="110"/>
      <c r="BU118" s="110"/>
      <c r="BV118" s="110"/>
      <c r="BW118" s="110"/>
      <c r="BX118" s="110"/>
      <c r="BY118" s="110"/>
      <c r="BZ118" s="110"/>
      <c r="CA118" s="110"/>
      <c r="CB118" s="110"/>
      <c r="CC118" s="110"/>
      <c r="CD118" s="110"/>
      <c r="CE118" s="110"/>
      <c r="CF118" s="110"/>
      <c r="CG118" s="110"/>
      <c r="CH118" s="110"/>
      <c r="CI118" s="110"/>
      <c r="CJ118" s="110"/>
      <c r="CK118" s="110"/>
      <c r="CL118" s="110"/>
      <c r="CM118" s="110"/>
      <c r="CN118" s="110"/>
      <c r="CO118" s="110"/>
      <c r="CP118" s="110"/>
      <c r="CQ118" s="110"/>
      <c r="CR118" s="110"/>
      <c r="CS118" s="110"/>
      <c r="CT118" s="110"/>
      <c r="CU118" s="110"/>
      <c r="CV118" s="110"/>
      <c r="CW118" s="110"/>
      <c r="CX118" s="110"/>
      <c r="CY118" s="110"/>
      <c r="CZ118" s="110"/>
      <c r="DA118" s="110"/>
      <c r="DB118" s="110"/>
      <c r="DC118" s="110"/>
      <c r="DD118" s="110"/>
      <c r="DE118" s="110"/>
      <c r="DF118" s="110"/>
      <c r="DG118" s="110"/>
      <c r="DH118" s="110"/>
      <c r="DI118" s="110"/>
      <c r="DJ118" s="110"/>
      <c r="DK118" s="13"/>
      <c r="DL118" s="13"/>
      <c r="DM118" s="13"/>
      <c r="DN118" s="13"/>
      <c r="DO118" s="13"/>
      <c r="DP118" s="13"/>
      <c r="DQ118" s="13"/>
      <c r="DR118" s="13"/>
      <c r="DS118" s="13"/>
      <c r="DT118" s="13"/>
      <c r="DU118" s="13"/>
      <c r="DV118" s="13"/>
      <c r="DW118" s="13"/>
      <c r="DX118" s="13"/>
      <c r="DY118" s="13"/>
      <c r="DZ118" s="13"/>
      <c r="EA118" s="13"/>
      <c r="EB118" s="13"/>
      <c r="EC118" s="17"/>
      <c r="ED118" s="14"/>
      <c r="EE118" s="110"/>
      <c r="EF118" s="110"/>
      <c r="EG118" s="110"/>
      <c r="EH118" s="110"/>
      <c r="EI118" s="110"/>
      <c r="EJ118" s="110"/>
      <c r="EK118" s="110"/>
      <c r="EL118" s="110"/>
      <c r="EM118" s="110"/>
      <c r="EN118" s="110"/>
      <c r="EO118" s="110"/>
      <c r="EP118" s="110"/>
      <c r="EQ118" s="110"/>
      <c r="ER118" s="110"/>
      <c r="ES118" s="110"/>
      <c r="ET118" s="110"/>
      <c r="EU118" s="110"/>
      <c r="EV118" s="110"/>
      <c r="EW118" s="110"/>
      <c r="EX118" s="110"/>
      <c r="EY118" s="110"/>
      <c r="EZ118" s="110"/>
      <c r="FA118" s="110"/>
      <c r="FB118" s="110"/>
      <c r="FC118" s="110"/>
      <c r="FD118" s="110"/>
      <c r="FE118" s="110"/>
      <c r="FF118" s="110"/>
      <c r="FG118" s="110"/>
      <c r="FH118" s="110"/>
      <c r="FI118" s="110"/>
      <c r="FJ118" s="110"/>
      <c r="FK118" s="110"/>
      <c r="FL118" s="110"/>
      <c r="FM118" s="110"/>
      <c r="FN118" s="110"/>
      <c r="FO118" s="13"/>
      <c r="FP118" s="13"/>
      <c r="FQ118" s="13"/>
      <c r="FR118" s="13"/>
      <c r="FS118" s="13"/>
      <c r="FT118" s="13"/>
      <c r="FU118" s="13"/>
      <c r="FV118" s="13"/>
      <c r="FW118" s="360"/>
      <c r="FX118" s="13"/>
      <c r="FY118" s="280"/>
      <c r="FZ118" s="266"/>
      <c r="GA118" s="266"/>
      <c r="GB118" s="269"/>
      <c r="GC118" s="269"/>
    </row>
    <row r="119" spans="1:185" s="109" customFormat="1" x14ac:dyDescent="0.25">
      <c r="A119" s="14"/>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1"/>
      <c r="AI119" s="111"/>
      <c r="AJ119" s="111"/>
      <c r="AK119" s="111"/>
      <c r="AL119" s="111"/>
      <c r="AM119" s="101"/>
      <c r="AN119" s="101"/>
      <c r="AO119" s="111"/>
      <c r="AP119" s="280"/>
      <c r="AQ119" s="14"/>
      <c r="AR119" s="110"/>
      <c r="AS119" s="110"/>
      <c r="AT119" s="110"/>
      <c r="AU119" s="110"/>
      <c r="AV119" s="110"/>
      <c r="AW119" s="110"/>
      <c r="AX119" s="110"/>
      <c r="AY119" s="111"/>
      <c r="AZ119" s="111"/>
      <c r="BA119" s="111"/>
      <c r="BB119" s="111"/>
      <c r="BC119" s="111"/>
      <c r="BD119" s="111"/>
      <c r="BE119" s="110"/>
      <c r="BF119" s="111"/>
      <c r="BG119" s="111"/>
      <c r="BH119" s="111"/>
      <c r="BI119" s="111"/>
      <c r="BJ119" s="111"/>
      <c r="BK119" s="111"/>
      <c r="BL119" s="111"/>
      <c r="BM119" s="111"/>
      <c r="BN119" s="110"/>
      <c r="BO119" s="110"/>
      <c r="BP119" s="110"/>
      <c r="BQ119" s="110"/>
      <c r="BR119" s="110"/>
      <c r="BS119" s="110"/>
      <c r="BT119" s="110"/>
      <c r="BU119" s="110"/>
      <c r="BV119" s="110"/>
      <c r="BW119" s="110"/>
      <c r="BX119" s="110"/>
      <c r="BY119" s="110"/>
      <c r="BZ119" s="110"/>
      <c r="CA119" s="110"/>
      <c r="CB119" s="110"/>
      <c r="CC119" s="110"/>
      <c r="CD119" s="110"/>
      <c r="CE119" s="110"/>
      <c r="CF119" s="110"/>
      <c r="CG119" s="110"/>
      <c r="CH119" s="110"/>
      <c r="CI119" s="110"/>
      <c r="CJ119" s="110"/>
      <c r="CK119" s="110"/>
      <c r="CL119" s="110"/>
      <c r="CM119" s="110"/>
      <c r="CN119" s="110"/>
      <c r="CO119" s="110"/>
      <c r="CP119" s="110"/>
      <c r="CQ119" s="110"/>
      <c r="CR119" s="110"/>
      <c r="CS119" s="110"/>
      <c r="CT119" s="110"/>
      <c r="CU119" s="110"/>
      <c r="CV119" s="110"/>
      <c r="CW119" s="110"/>
      <c r="CX119" s="110"/>
      <c r="CY119" s="110"/>
      <c r="CZ119" s="110"/>
      <c r="DA119" s="110"/>
      <c r="DB119" s="110"/>
      <c r="DC119" s="110"/>
      <c r="DD119" s="110"/>
      <c r="DE119" s="110"/>
      <c r="DF119" s="110"/>
      <c r="DG119" s="110"/>
      <c r="DH119" s="110"/>
      <c r="DI119" s="110"/>
      <c r="DJ119" s="110"/>
      <c r="DK119" s="110"/>
      <c r="DL119" s="110"/>
      <c r="DM119" s="110"/>
      <c r="DN119" s="110"/>
      <c r="DO119" s="110"/>
      <c r="DP119" s="110"/>
      <c r="DQ119" s="110"/>
      <c r="DR119" s="110"/>
      <c r="DS119" s="110"/>
      <c r="DT119" s="110"/>
      <c r="DU119" s="110"/>
      <c r="DV119" s="110"/>
      <c r="DW119" s="110"/>
      <c r="DX119" s="110"/>
      <c r="DY119" s="110"/>
      <c r="DZ119" s="110"/>
      <c r="EA119" s="110"/>
      <c r="EB119" s="110"/>
      <c r="EC119" s="280"/>
      <c r="ED119" s="14"/>
      <c r="EE119" s="110"/>
      <c r="EF119" s="110"/>
      <c r="EG119" s="110"/>
      <c r="EH119" s="110"/>
      <c r="EI119" s="110"/>
      <c r="EJ119" s="110"/>
      <c r="EK119" s="110"/>
      <c r="EL119" s="110"/>
      <c r="EM119" s="110"/>
      <c r="EN119" s="110"/>
      <c r="EO119" s="110"/>
      <c r="EP119" s="110"/>
      <c r="EQ119" s="110"/>
      <c r="ER119" s="110"/>
      <c r="ES119" s="110"/>
      <c r="ET119" s="110"/>
      <c r="EU119" s="110"/>
      <c r="EV119" s="110"/>
      <c r="EW119" s="110"/>
      <c r="EX119" s="110"/>
      <c r="EY119" s="110"/>
      <c r="EZ119" s="110"/>
      <c r="FA119" s="110"/>
      <c r="FB119" s="110"/>
      <c r="FC119" s="110"/>
      <c r="FD119" s="110"/>
      <c r="FE119" s="110"/>
      <c r="FF119" s="110"/>
      <c r="FG119" s="110"/>
      <c r="FH119" s="110"/>
      <c r="FI119" s="110"/>
      <c r="FJ119" s="110"/>
      <c r="FK119" s="110"/>
      <c r="FL119" s="110"/>
      <c r="FM119" s="110"/>
      <c r="FN119" s="110"/>
      <c r="FO119" s="110"/>
      <c r="FP119" s="110"/>
      <c r="FQ119" s="110"/>
      <c r="FR119" s="110"/>
      <c r="FS119" s="110"/>
      <c r="FT119" s="110"/>
      <c r="FU119" s="110"/>
      <c r="FV119" s="110"/>
      <c r="FW119" s="305"/>
      <c r="FX119" s="111"/>
      <c r="FY119" s="280"/>
      <c r="FZ119" s="266"/>
      <c r="GA119" s="266"/>
      <c r="GB119" s="267"/>
      <c r="GC119" s="267"/>
    </row>
    <row r="120" spans="1:185" s="109" customFormat="1" x14ac:dyDescent="0.25">
      <c r="A120" s="14"/>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1"/>
      <c r="AI120" s="103"/>
      <c r="AJ120" s="111"/>
      <c r="AK120" s="103"/>
      <c r="AL120" s="111"/>
      <c r="AM120" s="353"/>
      <c r="AN120" s="353"/>
      <c r="AO120" s="103"/>
      <c r="AP120" s="280"/>
      <c r="AQ120" s="14"/>
      <c r="AR120" s="110"/>
      <c r="AS120" s="110"/>
      <c r="AT120" s="110"/>
      <c r="AU120" s="110"/>
      <c r="AV120" s="110"/>
      <c r="AW120" s="110"/>
      <c r="AX120" s="110"/>
      <c r="AY120" s="111"/>
      <c r="AZ120" s="103"/>
      <c r="BA120" s="111"/>
      <c r="BB120" s="111"/>
      <c r="BC120" s="111"/>
      <c r="BD120" s="103"/>
      <c r="BE120" s="110"/>
      <c r="BF120" s="103"/>
      <c r="BG120" s="103"/>
      <c r="BH120" s="103"/>
      <c r="BI120" s="111"/>
      <c r="BJ120" s="111"/>
      <c r="BK120" s="103"/>
      <c r="BL120" s="103"/>
      <c r="BM120" s="111"/>
      <c r="BN120" s="110"/>
      <c r="BO120" s="110"/>
      <c r="BP120" s="110"/>
      <c r="BQ120" s="110"/>
      <c r="BR120" s="110"/>
      <c r="BS120" s="110"/>
      <c r="BT120" s="110"/>
      <c r="BU120" s="110"/>
      <c r="BV120" s="110"/>
      <c r="BW120" s="110"/>
      <c r="BX120" s="110"/>
      <c r="BY120" s="110"/>
      <c r="BZ120" s="110"/>
      <c r="CA120" s="110"/>
      <c r="CB120" s="110"/>
      <c r="CC120" s="110"/>
      <c r="CD120" s="110"/>
      <c r="CE120" s="110"/>
      <c r="CF120" s="110"/>
      <c r="CG120" s="110"/>
      <c r="CH120" s="110"/>
      <c r="CI120" s="110"/>
      <c r="CJ120" s="110"/>
      <c r="CK120" s="110"/>
      <c r="CL120" s="110"/>
      <c r="CM120" s="110"/>
      <c r="CN120" s="110"/>
      <c r="CO120" s="110"/>
      <c r="CP120" s="110"/>
      <c r="CQ120" s="110"/>
      <c r="CR120" s="110"/>
      <c r="CS120" s="110"/>
      <c r="CT120" s="110"/>
      <c r="CU120" s="110"/>
      <c r="CV120" s="110"/>
      <c r="CW120" s="110"/>
      <c r="CX120" s="110"/>
      <c r="CY120" s="110"/>
      <c r="CZ120" s="110"/>
      <c r="DA120" s="110"/>
      <c r="DB120" s="110"/>
      <c r="DC120" s="110"/>
      <c r="DD120" s="110"/>
      <c r="DE120" s="110"/>
      <c r="DF120" s="110"/>
      <c r="DG120" s="110"/>
      <c r="DH120" s="110"/>
      <c r="DI120" s="110"/>
      <c r="DJ120" s="110"/>
      <c r="DK120" s="110"/>
      <c r="DL120" s="110"/>
      <c r="DM120" s="110"/>
      <c r="DN120" s="110"/>
      <c r="DO120" s="110"/>
      <c r="DP120" s="110"/>
      <c r="DQ120" s="110"/>
      <c r="DR120" s="110"/>
      <c r="DS120" s="110"/>
      <c r="DT120" s="110"/>
      <c r="DU120" s="110"/>
      <c r="DV120" s="110"/>
      <c r="DW120" s="110"/>
      <c r="DX120" s="110"/>
      <c r="DY120" s="110"/>
      <c r="DZ120" s="110"/>
      <c r="EA120" s="110"/>
      <c r="EB120" s="110"/>
      <c r="EC120" s="280"/>
      <c r="ED120" s="14"/>
      <c r="EE120" s="110"/>
      <c r="EF120" s="110"/>
      <c r="EG120" s="110"/>
      <c r="EH120" s="110"/>
      <c r="EI120" s="110"/>
      <c r="EJ120" s="110"/>
      <c r="EK120" s="110"/>
      <c r="EL120" s="110"/>
      <c r="EM120" s="110"/>
      <c r="EN120" s="110"/>
      <c r="EO120" s="110"/>
      <c r="EP120" s="110"/>
      <c r="EQ120" s="110"/>
      <c r="ER120" s="110"/>
      <c r="ES120" s="110"/>
      <c r="ET120" s="110"/>
      <c r="EU120" s="110"/>
      <c r="EV120" s="110"/>
      <c r="EW120" s="110"/>
      <c r="EX120" s="110"/>
      <c r="EY120" s="110"/>
      <c r="EZ120" s="110"/>
      <c r="FA120" s="110"/>
      <c r="FB120" s="110"/>
      <c r="FC120" s="110"/>
      <c r="FD120" s="110"/>
      <c r="FE120" s="110"/>
      <c r="FF120" s="110"/>
      <c r="FG120" s="110"/>
      <c r="FH120" s="110"/>
      <c r="FI120" s="110"/>
      <c r="FJ120" s="110"/>
      <c r="FK120" s="110"/>
      <c r="FL120" s="110"/>
      <c r="FM120" s="110"/>
      <c r="FN120" s="110"/>
      <c r="FO120" s="110"/>
      <c r="FP120" s="110"/>
      <c r="FQ120" s="110"/>
      <c r="FR120" s="110"/>
      <c r="FS120" s="110"/>
      <c r="FT120" s="110"/>
      <c r="FU120" s="110"/>
      <c r="FV120" s="110"/>
      <c r="FW120" s="386"/>
      <c r="FX120" s="103"/>
      <c r="FY120" s="280"/>
      <c r="FZ120" s="266"/>
      <c r="GA120" s="266"/>
      <c r="GB120" s="267"/>
      <c r="GC120" s="267"/>
    </row>
    <row r="121" spans="1:185" s="109" customFormat="1" x14ac:dyDescent="0.25">
      <c r="A121" s="14"/>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1"/>
      <c r="AI121" s="103"/>
      <c r="AJ121" s="111"/>
      <c r="AK121" s="103"/>
      <c r="AL121" s="111"/>
      <c r="AM121" s="353"/>
      <c r="AN121" s="353"/>
      <c r="AO121" s="103"/>
      <c r="AP121" s="280"/>
      <c r="AQ121" s="14"/>
      <c r="AR121" s="110"/>
      <c r="AS121" s="110"/>
      <c r="AT121" s="110"/>
      <c r="AU121" s="110"/>
      <c r="AV121" s="110"/>
      <c r="AW121" s="110"/>
      <c r="AX121" s="110"/>
      <c r="AY121" s="111"/>
      <c r="AZ121" s="103"/>
      <c r="BA121" s="111"/>
      <c r="BB121" s="111"/>
      <c r="BC121" s="111"/>
      <c r="BD121" s="103"/>
      <c r="BE121" s="110"/>
      <c r="BF121" s="103"/>
      <c r="BG121" s="103"/>
      <c r="BH121" s="103"/>
      <c r="BI121" s="111"/>
      <c r="BJ121" s="111"/>
      <c r="BK121" s="103"/>
      <c r="BL121" s="103"/>
      <c r="BM121" s="111"/>
      <c r="BN121" s="110"/>
      <c r="BO121" s="110"/>
      <c r="BP121" s="110"/>
      <c r="BQ121" s="110"/>
      <c r="BR121" s="110"/>
      <c r="BS121" s="110"/>
      <c r="BT121" s="110"/>
      <c r="BU121" s="110"/>
      <c r="BV121" s="110"/>
      <c r="BW121" s="110"/>
      <c r="BX121" s="110"/>
      <c r="BY121" s="110"/>
      <c r="BZ121" s="110"/>
      <c r="CA121" s="110"/>
      <c r="CB121" s="110"/>
      <c r="CC121" s="110"/>
      <c r="CD121" s="110"/>
      <c r="CE121" s="110"/>
      <c r="CF121" s="110"/>
      <c r="CG121" s="110"/>
      <c r="CH121" s="110"/>
      <c r="CI121" s="110"/>
      <c r="CJ121" s="110"/>
      <c r="CK121" s="110"/>
      <c r="CL121" s="110"/>
      <c r="CM121" s="110"/>
      <c r="CN121" s="110"/>
      <c r="CO121" s="110"/>
      <c r="CP121" s="110"/>
      <c r="CQ121" s="110"/>
      <c r="CR121" s="110"/>
      <c r="CS121" s="110"/>
      <c r="CT121" s="110"/>
      <c r="CU121" s="110"/>
      <c r="CV121" s="110"/>
      <c r="CW121" s="110"/>
      <c r="CX121" s="110"/>
      <c r="CY121" s="110"/>
      <c r="CZ121" s="110"/>
      <c r="DA121" s="110"/>
      <c r="DB121" s="110"/>
      <c r="DC121" s="110"/>
      <c r="DD121" s="110"/>
      <c r="DE121" s="110"/>
      <c r="DF121" s="110"/>
      <c r="DG121" s="110"/>
      <c r="DH121" s="110"/>
      <c r="DI121" s="110"/>
      <c r="DJ121" s="110"/>
      <c r="DK121" s="110"/>
      <c r="DL121" s="110"/>
      <c r="DM121" s="110"/>
      <c r="DN121" s="110"/>
      <c r="DO121" s="110"/>
      <c r="DP121" s="110"/>
      <c r="DQ121" s="110"/>
      <c r="DR121" s="110"/>
      <c r="DS121" s="110"/>
      <c r="DT121" s="110"/>
      <c r="DU121" s="110"/>
      <c r="DV121" s="110"/>
      <c r="DW121" s="110"/>
      <c r="DX121" s="110"/>
      <c r="DY121" s="110"/>
      <c r="DZ121" s="110"/>
      <c r="EA121" s="110"/>
      <c r="EB121" s="110"/>
      <c r="EC121" s="280"/>
      <c r="ED121" s="14"/>
      <c r="EE121" s="110"/>
      <c r="EF121" s="110"/>
      <c r="EG121" s="110"/>
      <c r="EH121" s="110"/>
      <c r="EI121" s="110"/>
      <c r="EJ121" s="110"/>
      <c r="EK121" s="110"/>
      <c r="EL121" s="110"/>
      <c r="EM121" s="110"/>
      <c r="EN121" s="110"/>
      <c r="EO121" s="110"/>
      <c r="EP121" s="110"/>
      <c r="EQ121" s="110"/>
      <c r="ER121" s="110"/>
      <c r="ES121" s="110"/>
      <c r="ET121" s="110"/>
      <c r="EU121" s="110"/>
      <c r="EV121" s="110"/>
      <c r="EW121" s="110"/>
      <c r="EX121" s="110"/>
      <c r="EY121" s="110"/>
      <c r="EZ121" s="110"/>
      <c r="FA121" s="110"/>
      <c r="FB121" s="110"/>
      <c r="FC121" s="110"/>
      <c r="FD121" s="110"/>
      <c r="FE121" s="110"/>
      <c r="FF121" s="110"/>
      <c r="FG121" s="110"/>
      <c r="FH121" s="110"/>
      <c r="FI121" s="110"/>
      <c r="FJ121" s="110"/>
      <c r="FK121" s="110"/>
      <c r="FL121" s="110"/>
      <c r="FM121" s="110"/>
      <c r="FN121" s="110"/>
      <c r="FO121" s="110"/>
      <c r="FP121" s="110"/>
      <c r="FQ121" s="110"/>
      <c r="FR121" s="110"/>
      <c r="FS121" s="110"/>
      <c r="FT121" s="110"/>
      <c r="FU121" s="110"/>
      <c r="FV121" s="110"/>
      <c r="FW121" s="386"/>
      <c r="FX121" s="103"/>
      <c r="FY121" s="280"/>
      <c r="FZ121" s="266"/>
      <c r="GA121" s="266"/>
      <c r="GB121" s="267"/>
      <c r="GC121" s="267"/>
    </row>
    <row r="122" spans="1:185" s="109" customFormat="1" x14ac:dyDescent="0.25">
      <c r="A122" s="14"/>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1"/>
      <c r="AI122" s="103"/>
      <c r="AJ122" s="111"/>
      <c r="AK122" s="103"/>
      <c r="AL122" s="111"/>
      <c r="AM122" s="353"/>
      <c r="AN122" s="353"/>
      <c r="AO122" s="103"/>
      <c r="AP122" s="280"/>
      <c r="AQ122" s="14"/>
      <c r="AR122" s="110"/>
      <c r="AS122" s="110"/>
      <c r="AT122" s="110"/>
      <c r="AU122" s="110"/>
      <c r="AV122" s="110"/>
      <c r="AW122" s="110"/>
      <c r="AX122" s="110"/>
      <c r="AY122" s="111"/>
      <c r="AZ122" s="103"/>
      <c r="BA122" s="111"/>
      <c r="BB122" s="111"/>
      <c r="BC122" s="111"/>
      <c r="BD122" s="103"/>
      <c r="BE122" s="110"/>
      <c r="BF122" s="103"/>
      <c r="BG122" s="103"/>
      <c r="BH122" s="103"/>
      <c r="BI122" s="111"/>
      <c r="BJ122" s="111"/>
      <c r="BK122" s="103"/>
      <c r="BL122" s="103"/>
      <c r="BM122" s="111"/>
      <c r="BN122" s="110"/>
      <c r="BO122" s="110"/>
      <c r="BP122" s="110"/>
      <c r="BQ122" s="110"/>
      <c r="BR122" s="110"/>
      <c r="BS122" s="110"/>
      <c r="BT122" s="110"/>
      <c r="BU122" s="110"/>
      <c r="BV122" s="110"/>
      <c r="BW122" s="110"/>
      <c r="BX122" s="110"/>
      <c r="BY122" s="110"/>
      <c r="BZ122" s="110"/>
      <c r="CA122" s="110"/>
      <c r="CB122" s="110"/>
      <c r="CC122" s="110"/>
      <c r="CD122" s="110"/>
      <c r="CE122" s="110"/>
      <c r="CF122" s="110"/>
      <c r="CG122" s="110"/>
      <c r="CH122" s="110"/>
      <c r="CI122" s="110"/>
      <c r="CJ122" s="110"/>
      <c r="CK122" s="110"/>
      <c r="CL122" s="110"/>
      <c r="CM122" s="110"/>
      <c r="CN122" s="110"/>
      <c r="CO122" s="110"/>
      <c r="CP122" s="110"/>
      <c r="CQ122" s="110"/>
      <c r="CR122" s="110"/>
      <c r="CS122" s="110"/>
      <c r="CT122" s="110"/>
      <c r="CU122" s="110"/>
      <c r="CV122" s="110"/>
      <c r="CW122" s="110"/>
      <c r="CX122" s="110"/>
      <c r="CY122" s="110"/>
      <c r="CZ122" s="110"/>
      <c r="DA122" s="110"/>
      <c r="DB122" s="110"/>
      <c r="DC122" s="110"/>
      <c r="DD122" s="110"/>
      <c r="DE122" s="110"/>
      <c r="DF122" s="110"/>
      <c r="DG122" s="110"/>
      <c r="DH122" s="110"/>
      <c r="DI122" s="110"/>
      <c r="DJ122" s="110"/>
      <c r="DK122" s="110"/>
      <c r="DL122" s="110"/>
      <c r="DM122" s="110"/>
      <c r="DN122" s="110"/>
      <c r="DO122" s="110"/>
      <c r="DP122" s="110"/>
      <c r="DQ122" s="110"/>
      <c r="DR122" s="110"/>
      <c r="DS122" s="110"/>
      <c r="DT122" s="110"/>
      <c r="DU122" s="110"/>
      <c r="DV122" s="110"/>
      <c r="DW122" s="110"/>
      <c r="DX122" s="110"/>
      <c r="DY122" s="110"/>
      <c r="DZ122" s="110"/>
      <c r="EA122" s="110"/>
      <c r="EB122" s="110"/>
      <c r="EC122" s="280"/>
      <c r="ED122" s="14"/>
      <c r="EE122" s="110"/>
      <c r="EF122" s="110"/>
      <c r="EG122" s="110"/>
      <c r="EH122" s="110"/>
      <c r="EI122" s="110"/>
      <c r="EJ122" s="110"/>
      <c r="EK122" s="110"/>
      <c r="EL122" s="110"/>
      <c r="EM122" s="110"/>
      <c r="EN122" s="110"/>
      <c r="EO122" s="110"/>
      <c r="EP122" s="110"/>
      <c r="EQ122" s="110"/>
      <c r="ER122" s="110"/>
      <c r="ES122" s="110"/>
      <c r="ET122" s="110"/>
      <c r="EU122" s="110"/>
      <c r="EV122" s="110"/>
      <c r="EW122" s="110"/>
      <c r="EX122" s="110"/>
      <c r="EY122" s="110"/>
      <c r="EZ122" s="110"/>
      <c r="FA122" s="110"/>
      <c r="FB122" s="110"/>
      <c r="FC122" s="110"/>
      <c r="FD122" s="110"/>
      <c r="FE122" s="110"/>
      <c r="FF122" s="110"/>
      <c r="FG122" s="110"/>
      <c r="FH122" s="110"/>
      <c r="FI122" s="110"/>
      <c r="FJ122" s="110"/>
      <c r="FK122" s="110"/>
      <c r="FL122" s="110"/>
      <c r="FM122" s="110"/>
      <c r="FN122" s="110"/>
      <c r="FO122" s="110"/>
      <c r="FP122" s="110"/>
      <c r="FQ122" s="110"/>
      <c r="FR122" s="110"/>
      <c r="FS122" s="110"/>
      <c r="FT122" s="110"/>
      <c r="FU122" s="110"/>
      <c r="FV122" s="110"/>
      <c r="FW122" s="386"/>
      <c r="FX122" s="103"/>
      <c r="FY122" s="280"/>
      <c r="FZ122" s="266"/>
      <c r="GA122" s="266"/>
      <c r="GB122" s="267"/>
      <c r="GC122" s="267"/>
    </row>
    <row r="123" spans="1:185" s="109" customFormat="1" x14ac:dyDescent="0.25">
      <c r="A123" s="14"/>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1"/>
      <c r="AI123" s="13"/>
      <c r="AJ123" s="111"/>
      <c r="AK123" s="13"/>
      <c r="AL123" s="111"/>
      <c r="AM123" s="98"/>
      <c r="AN123" s="98"/>
      <c r="AO123" s="13"/>
      <c r="AP123" s="280"/>
      <c r="AQ123" s="14"/>
      <c r="AR123" s="110"/>
      <c r="AS123" s="110"/>
      <c r="AT123" s="110"/>
      <c r="AU123" s="110"/>
      <c r="AV123" s="110"/>
      <c r="AW123" s="110"/>
      <c r="AX123" s="110"/>
      <c r="AY123" s="111"/>
      <c r="AZ123" s="13"/>
      <c r="BA123" s="111"/>
      <c r="BB123" s="111"/>
      <c r="BC123" s="111"/>
      <c r="BD123" s="13"/>
      <c r="BE123" s="110"/>
      <c r="BF123" s="13"/>
      <c r="BG123" s="13"/>
      <c r="BH123" s="13"/>
      <c r="BI123" s="111"/>
      <c r="BJ123" s="111"/>
      <c r="BK123" s="13"/>
      <c r="BL123" s="13"/>
      <c r="BM123" s="111"/>
      <c r="BN123" s="110"/>
      <c r="BO123" s="110"/>
      <c r="BP123" s="110"/>
      <c r="BQ123" s="110"/>
      <c r="BR123" s="110"/>
      <c r="BS123" s="110"/>
      <c r="BT123" s="110"/>
      <c r="BU123" s="110"/>
      <c r="BV123" s="110"/>
      <c r="BW123" s="110"/>
      <c r="BX123" s="110"/>
      <c r="BY123" s="110"/>
      <c r="BZ123" s="110"/>
      <c r="CA123" s="110"/>
      <c r="CB123" s="110"/>
      <c r="CC123" s="110"/>
      <c r="CD123" s="110"/>
      <c r="CE123" s="110"/>
      <c r="CF123" s="110"/>
      <c r="CG123" s="110"/>
      <c r="CH123" s="110"/>
      <c r="CI123" s="110"/>
      <c r="CJ123" s="110"/>
      <c r="CK123" s="110"/>
      <c r="CL123" s="110"/>
      <c r="CM123" s="110"/>
      <c r="CN123" s="110"/>
      <c r="CO123" s="110"/>
      <c r="CP123" s="110"/>
      <c r="CQ123" s="110"/>
      <c r="CR123" s="110"/>
      <c r="CS123" s="110"/>
      <c r="CT123" s="110"/>
      <c r="CU123" s="110"/>
      <c r="CV123" s="110"/>
      <c r="CW123" s="110"/>
      <c r="CX123" s="110"/>
      <c r="CY123" s="110"/>
      <c r="CZ123" s="110"/>
      <c r="DA123" s="110"/>
      <c r="DB123" s="110"/>
      <c r="DC123" s="110"/>
      <c r="DD123" s="110"/>
      <c r="DE123" s="110"/>
      <c r="DF123" s="110"/>
      <c r="DG123" s="110"/>
      <c r="DH123" s="110"/>
      <c r="DI123" s="110"/>
      <c r="DJ123" s="110"/>
      <c r="DK123" s="110"/>
      <c r="DL123" s="110"/>
      <c r="DM123" s="110"/>
      <c r="DN123" s="110"/>
      <c r="DO123" s="110"/>
      <c r="DP123" s="110"/>
      <c r="DQ123" s="110"/>
      <c r="DR123" s="110"/>
      <c r="DS123" s="110"/>
      <c r="DT123" s="110"/>
      <c r="DU123" s="110"/>
      <c r="DV123" s="110"/>
      <c r="DW123" s="110"/>
      <c r="DX123" s="110"/>
      <c r="DY123" s="110"/>
      <c r="DZ123" s="110"/>
      <c r="EA123" s="110"/>
      <c r="EB123" s="110"/>
      <c r="EC123" s="280"/>
      <c r="ED123" s="14"/>
      <c r="EE123" s="110"/>
      <c r="EF123" s="110"/>
      <c r="EG123" s="110"/>
      <c r="EH123" s="110"/>
      <c r="EI123" s="110"/>
      <c r="EJ123" s="110"/>
      <c r="EK123" s="110"/>
      <c r="EL123" s="110"/>
      <c r="EM123" s="110"/>
      <c r="EN123" s="110"/>
      <c r="EO123" s="110"/>
      <c r="EP123" s="110"/>
      <c r="EQ123" s="110"/>
      <c r="ER123" s="110"/>
      <c r="ES123" s="110"/>
      <c r="ET123" s="110"/>
      <c r="EU123" s="110"/>
      <c r="EV123" s="110"/>
      <c r="EW123" s="110"/>
      <c r="EX123" s="110"/>
      <c r="EY123" s="110"/>
      <c r="EZ123" s="110"/>
      <c r="FA123" s="110"/>
      <c r="FB123" s="110"/>
      <c r="FC123" s="110"/>
      <c r="FD123" s="110"/>
      <c r="FE123" s="110"/>
      <c r="FF123" s="110"/>
      <c r="FG123" s="110"/>
      <c r="FH123" s="110"/>
      <c r="FI123" s="110"/>
      <c r="FJ123" s="110"/>
      <c r="FK123" s="110"/>
      <c r="FL123" s="110"/>
      <c r="FM123" s="110"/>
      <c r="FN123" s="110"/>
      <c r="FO123" s="110"/>
      <c r="FP123" s="110"/>
      <c r="FQ123" s="110"/>
      <c r="FR123" s="110"/>
      <c r="FS123" s="110"/>
      <c r="FT123" s="110"/>
      <c r="FU123" s="110"/>
      <c r="FV123" s="110"/>
      <c r="FW123" s="360"/>
      <c r="FX123" s="13"/>
      <c r="FY123" s="280"/>
      <c r="FZ123" s="266"/>
      <c r="GA123" s="266"/>
      <c r="GB123" s="267"/>
      <c r="GC123" s="267"/>
    </row>
    <row r="124" spans="1:185" s="109" customFormat="1" x14ac:dyDescent="0.25">
      <c r="A124" s="18"/>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11"/>
      <c r="AI124" s="13"/>
      <c r="AJ124" s="111"/>
      <c r="AK124" s="13"/>
      <c r="AL124" s="111"/>
      <c r="AM124" s="98"/>
      <c r="AN124" s="98"/>
      <c r="AO124" s="13"/>
      <c r="AP124" s="280"/>
      <c r="AQ124" s="18"/>
      <c r="AR124" s="13"/>
      <c r="AS124" s="13"/>
      <c r="AT124" s="13"/>
      <c r="AU124" s="13"/>
      <c r="AV124" s="13"/>
      <c r="AW124" s="13"/>
      <c r="AX124" s="13"/>
      <c r="AY124" s="111"/>
      <c r="AZ124" s="13"/>
      <c r="BA124" s="111"/>
      <c r="BB124" s="111"/>
      <c r="BC124" s="111"/>
      <c r="BD124" s="13"/>
      <c r="BE124" s="13"/>
      <c r="BF124" s="13"/>
      <c r="BG124" s="13"/>
      <c r="BH124" s="13"/>
      <c r="BI124" s="111"/>
      <c r="BJ124" s="111"/>
      <c r="BK124" s="13"/>
      <c r="BL124" s="13"/>
      <c r="BM124" s="111"/>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280"/>
      <c r="ED124" s="18"/>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360"/>
      <c r="FX124" s="13"/>
      <c r="FY124" s="280"/>
      <c r="FZ124" s="266"/>
      <c r="GA124" s="266"/>
      <c r="GB124" s="267"/>
      <c r="GC124" s="267"/>
    </row>
    <row r="125" spans="1:185" s="109" customFormat="1" x14ac:dyDescent="0.25">
      <c r="A125" s="18"/>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11"/>
      <c r="AI125" s="13"/>
      <c r="AJ125" s="111"/>
      <c r="AK125" s="13"/>
      <c r="AL125" s="111"/>
      <c r="AM125" s="98"/>
      <c r="AN125" s="98"/>
      <c r="AO125" s="13"/>
      <c r="AP125" s="280"/>
      <c r="AQ125" s="18"/>
      <c r="AR125" s="13"/>
      <c r="AS125" s="13"/>
      <c r="AT125" s="13"/>
      <c r="AU125" s="13"/>
      <c r="AV125" s="13"/>
      <c r="AW125" s="13"/>
      <c r="AX125" s="13"/>
      <c r="AY125" s="111"/>
      <c r="AZ125" s="13"/>
      <c r="BA125" s="111"/>
      <c r="BB125" s="111"/>
      <c r="BC125" s="111"/>
      <c r="BD125" s="13"/>
      <c r="BE125" s="13"/>
      <c r="BF125" s="13"/>
      <c r="BG125" s="13"/>
      <c r="BH125" s="13"/>
      <c r="BI125" s="111"/>
      <c r="BJ125" s="111"/>
      <c r="BK125" s="13"/>
      <c r="BL125" s="13"/>
      <c r="BM125" s="111"/>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280"/>
      <c r="ED125" s="18"/>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360"/>
      <c r="FX125" s="13"/>
      <c r="FY125" s="280"/>
      <c r="FZ125" s="266"/>
      <c r="GA125" s="266"/>
      <c r="GB125" s="267"/>
      <c r="GC125" s="267"/>
    </row>
    <row r="126" spans="1:185" s="109" customFormat="1" x14ac:dyDescent="0.25">
      <c r="A126" s="18"/>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11"/>
      <c r="AI126" s="13"/>
      <c r="AJ126" s="111"/>
      <c r="AK126" s="13"/>
      <c r="AL126" s="111"/>
      <c r="AM126" s="98"/>
      <c r="AN126" s="98"/>
      <c r="AO126" s="13"/>
      <c r="AP126" s="280"/>
      <c r="AQ126" s="18"/>
      <c r="AR126" s="13"/>
      <c r="AS126" s="13"/>
      <c r="AT126" s="13"/>
      <c r="AU126" s="13"/>
      <c r="AV126" s="13"/>
      <c r="AW126" s="13"/>
      <c r="AX126" s="13"/>
      <c r="AY126" s="111"/>
      <c r="AZ126" s="13"/>
      <c r="BA126" s="111"/>
      <c r="BB126" s="111"/>
      <c r="BC126" s="111"/>
      <c r="BD126" s="13"/>
      <c r="BE126" s="13"/>
      <c r="BF126" s="13"/>
      <c r="BG126" s="13"/>
      <c r="BH126" s="13"/>
      <c r="BI126" s="111"/>
      <c r="BJ126" s="111"/>
      <c r="BK126" s="13"/>
      <c r="BL126" s="13"/>
      <c r="BM126" s="111"/>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280"/>
      <c r="ED126" s="18"/>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360"/>
      <c r="FX126" s="13"/>
      <c r="FY126" s="280"/>
      <c r="FZ126" s="266"/>
      <c r="GA126" s="266"/>
      <c r="GB126" s="267"/>
      <c r="GC126" s="267"/>
    </row>
    <row r="127" spans="1:185" s="109" customFormat="1" x14ac:dyDescent="0.25">
      <c r="A127" s="18"/>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11"/>
      <c r="AI127" s="13"/>
      <c r="AJ127" s="111"/>
      <c r="AK127" s="13"/>
      <c r="AL127" s="111"/>
      <c r="AM127" s="98"/>
      <c r="AN127" s="98"/>
      <c r="AO127" s="13"/>
      <c r="AP127" s="280"/>
      <c r="AQ127" s="18"/>
      <c r="AR127" s="13"/>
      <c r="AS127" s="13"/>
      <c r="AT127" s="13"/>
      <c r="AU127" s="13"/>
      <c r="AV127" s="13"/>
      <c r="AW127" s="13"/>
      <c r="AX127" s="13"/>
      <c r="AY127" s="111"/>
      <c r="AZ127" s="13"/>
      <c r="BA127" s="111"/>
      <c r="BB127" s="111"/>
      <c r="BC127" s="111"/>
      <c r="BD127" s="13"/>
      <c r="BE127" s="13"/>
      <c r="BF127" s="13"/>
      <c r="BG127" s="13"/>
      <c r="BH127" s="13"/>
      <c r="BI127" s="111"/>
      <c r="BJ127" s="111"/>
      <c r="BK127" s="13"/>
      <c r="BL127" s="13"/>
      <c r="BM127" s="111"/>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280"/>
      <c r="ED127" s="18"/>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360"/>
      <c r="FX127" s="13"/>
      <c r="FY127" s="280"/>
      <c r="FZ127" s="266"/>
      <c r="GA127" s="266"/>
      <c r="GB127" s="267"/>
      <c r="GC127" s="267"/>
    </row>
    <row r="128" spans="1:185" s="109" customFormat="1" x14ac:dyDescent="0.25">
      <c r="A128" s="18"/>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11"/>
      <c r="AI128" s="13"/>
      <c r="AJ128" s="111"/>
      <c r="AK128" s="13"/>
      <c r="AL128" s="111"/>
      <c r="AM128" s="98"/>
      <c r="AN128" s="98"/>
      <c r="AO128" s="13"/>
      <c r="AP128" s="280"/>
      <c r="AQ128" s="18"/>
      <c r="AR128" s="13"/>
      <c r="AS128" s="13"/>
      <c r="AT128" s="13"/>
      <c r="AU128" s="13"/>
      <c r="AV128" s="13"/>
      <c r="AW128" s="13"/>
      <c r="AX128" s="13"/>
      <c r="AY128" s="111"/>
      <c r="AZ128" s="13"/>
      <c r="BA128" s="111"/>
      <c r="BB128" s="111"/>
      <c r="BC128" s="111"/>
      <c r="BD128" s="13"/>
      <c r="BE128" s="13"/>
      <c r="BF128" s="13"/>
      <c r="BG128" s="13"/>
      <c r="BH128" s="13"/>
      <c r="BI128" s="111"/>
      <c r="BJ128" s="111"/>
      <c r="BK128" s="13"/>
      <c r="BL128" s="13"/>
      <c r="BM128" s="111"/>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280"/>
      <c r="ED128" s="18"/>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360"/>
      <c r="FX128" s="13"/>
      <c r="FY128" s="280"/>
      <c r="FZ128" s="266"/>
      <c r="GA128" s="266"/>
      <c r="GB128" s="267"/>
      <c r="GC128" s="267"/>
    </row>
    <row r="129" spans="1:185" s="109" customFormat="1" x14ac:dyDescent="0.25">
      <c r="A129" s="18"/>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11"/>
      <c r="AI129" s="13"/>
      <c r="AJ129" s="111"/>
      <c r="AK129" s="13"/>
      <c r="AL129" s="111"/>
      <c r="AM129" s="98"/>
      <c r="AN129" s="98"/>
      <c r="AO129" s="13"/>
      <c r="AP129" s="280"/>
      <c r="AQ129" s="18"/>
      <c r="AR129" s="13"/>
      <c r="AS129" s="13"/>
      <c r="AT129" s="13"/>
      <c r="AU129" s="13"/>
      <c r="AV129" s="13"/>
      <c r="AW129" s="13"/>
      <c r="AX129" s="13"/>
      <c r="AY129" s="111"/>
      <c r="AZ129" s="13"/>
      <c r="BA129" s="111"/>
      <c r="BB129" s="111"/>
      <c r="BC129" s="111"/>
      <c r="BD129" s="13"/>
      <c r="BE129" s="13"/>
      <c r="BF129" s="13"/>
      <c r="BG129" s="13"/>
      <c r="BH129" s="13"/>
      <c r="BI129" s="111"/>
      <c r="BJ129" s="111"/>
      <c r="BK129" s="13"/>
      <c r="BL129" s="13"/>
      <c r="BM129" s="111"/>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280"/>
      <c r="ED129" s="18"/>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360"/>
      <c r="FX129" s="13"/>
      <c r="FY129" s="280"/>
      <c r="FZ129" s="266"/>
      <c r="GA129" s="266"/>
      <c r="GB129" s="267"/>
      <c r="GC129" s="267"/>
    </row>
    <row r="130" spans="1:185" s="109" customFormat="1" x14ac:dyDescent="0.25">
      <c r="A130" s="18"/>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10"/>
      <c r="AI130" s="13"/>
      <c r="AJ130" s="110"/>
      <c r="AK130" s="13"/>
      <c r="AL130" s="110"/>
      <c r="AM130" s="98"/>
      <c r="AN130" s="98"/>
      <c r="AO130" s="13"/>
      <c r="AP130" s="280"/>
      <c r="AQ130" s="18"/>
      <c r="AR130" s="13"/>
      <c r="AS130" s="13"/>
      <c r="AT130" s="13"/>
      <c r="AU130" s="13"/>
      <c r="AV130" s="13"/>
      <c r="AW130" s="13"/>
      <c r="AX130" s="13"/>
      <c r="AY130" s="110"/>
      <c r="AZ130" s="13"/>
      <c r="BA130" s="110"/>
      <c r="BB130" s="110"/>
      <c r="BC130" s="110"/>
      <c r="BD130" s="13"/>
      <c r="BE130" s="13"/>
      <c r="BF130" s="13"/>
      <c r="BG130" s="13"/>
      <c r="BH130" s="13"/>
      <c r="BI130" s="110"/>
      <c r="BJ130" s="110"/>
      <c r="BK130" s="13"/>
      <c r="BL130" s="13"/>
      <c r="BM130" s="110"/>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7"/>
      <c r="ED130" s="18"/>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360"/>
      <c r="FX130" s="13"/>
      <c r="FY130" s="280"/>
      <c r="FZ130" s="266"/>
      <c r="GA130" s="266"/>
      <c r="GB130" s="267"/>
      <c r="GC130" s="267"/>
    </row>
    <row r="131" spans="1:185" s="109" customFormat="1" x14ac:dyDescent="0.25">
      <c r="A131" s="18"/>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98"/>
      <c r="AN131" s="98"/>
      <c r="AO131" s="13"/>
      <c r="AP131" s="278"/>
      <c r="AQ131" s="18"/>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278"/>
      <c r="ED131" s="18"/>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360"/>
      <c r="FX131" s="13"/>
      <c r="FY131" s="278"/>
      <c r="FZ131" s="266"/>
      <c r="GA131" s="266"/>
      <c r="GB131" s="267"/>
      <c r="GC131" s="267"/>
    </row>
    <row r="132" spans="1:185" s="109" customFormat="1" x14ac:dyDescent="0.25">
      <c r="A132" s="18"/>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98"/>
      <c r="AN132" s="98"/>
      <c r="AO132" s="13"/>
      <c r="AP132" s="278"/>
      <c r="AQ132" s="18"/>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278"/>
      <c r="ED132" s="18"/>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360"/>
      <c r="FX132" s="13"/>
      <c r="FY132" s="278"/>
      <c r="FZ132" s="266"/>
      <c r="GA132" s="266"/>
      <c r="GB132" s="267"/>
      <c r="GC132" s="267"/>
    </row>
    <row r="133" spans="1:185" s="109" customFormat="1" x14ac:dyDescent="0.25">
      <c r="A133" s="18"/>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98"/>
      <c r="AN133" s="98"/>
      <c r="AO133" s="13"/>
      <c r="AP133" s="278"/>
      <c r="AQ133" s="18"/>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278"/>
      <c r="ED133" s="18"/>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360"/>
      <c r="FX133" s="13"/>
      <c r="FY133" s="278"/>
      <c r="FZ133" s="266"/>
      <c r="GA133" s="266"/>
      <c r="GB133" s="267"/>
      <c r="GC133" s="267"/>
    </row>
    <row r="134" spans="1:185" s="109" customFormat="1" x14ac:dyDescent="0.25">
      <c r="A134" s="18"/>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98"/>
      <c r="AN134" s="98"/>
      <c r="AO134" s="13"/>
      <c r="AP134" s="278"/>
      <c r="AQ134" s="18"/>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278"/>
      <c r="ED134" s="18"/>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360"/>
      <c r="FX134" s="13"/>
      <c r="FY134" s="278"/>
      <c r="FZ134" s="266"/>
      <c r="GA134" s="266"/>
      <c r="GB134" s="267"/>
      <c r="GC134" s="267"/>
    </row>
    <row r="135" spans="1:185" s="109" customFormat="1" x14ac:dyDescent="0.25">
      <c r="A135" s="18"/>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98"/>
      <c r="AN135" s="98"/>
      <c r="AO135" s="13"/>
      <c r="AP135" s="278"/>
      <c r="AQ135" s="18"/>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278"/>
      <c r="ED135" s="18"/>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360"/>
      <c r="FX135" s="13"/>
      <c r="FY135" s="278"/>
      <c r="FZ135" s="266"/>
      <c r="GA135" s="266"/>
      <c r="GB135" s="267"/>
      <c r="GC135" s="267"/>
    </row>
    <row r="136" spans="1:185" s="109" customFormat="1" x14ac:dyDescent="0.25">
      <c r="A136" s="18"/>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98"/>
      <c r="AN136" s="98"/>
      <c r="AO136" s="13"/>
      <c r="AP136" s="278"/>
      <c r="AQ136" s="18"/>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278"/>
      <c r="ED136" s="18"/>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360"/>
      <c r="FX136" s="13"/>
      <c r="FY136" s="278"/>
      <c r="FZ136" s="266"/>
      <c r="GA136" s="266"/>
      <c r="GB136" s="267"/>
      <c r="GC136" s="267"/>
    </row>
    <row r="137" spans="1:185" s="109" customFormat="1" x14ac:dyDescent="0.25">
      <c r="A137" s="18"/>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98"/>
      <c r="AN137" s="98"/>
      <c r="AO137" s="13"/>
      <c r="AP137" s="278"/>
      <c r="AQ137" s="18"/>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278"/>
      <c r="ED137" s="18"/>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c r="FM137" s="13"/>
      <c r="FN137" s="13"/>
      <c r="FO137" s="13"/>
      <c r="FP137" s="13"/>
      <c r="FQ137" s="13"/>
      <c r="FR137" s="13"/>
      <c r="FS137" s="13"/>
      <c r="FT137" s="13"/>
      <c r="FU137" s="13"/>
      <c r="FV137" s="13"/>
      <c r="FW137" s="360"/>
      <c r="FX137" s="13"/>
      <c r="FY137" s="278"/>
      <c r="FZ137" s="266"/>
      <c r="GA137" s="266"/>
      <c r="GB137" s="267"/>
      <c r="GC137" s="267"/>
    </row>
    <row r="138" spans="1:185" s="109" customFormat="1" x14ac:dyDescent="0.25">
      <c r="A138" s="18"/>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98"/>
      <c r="AN138" s="98"/>
      <c r="AO138" s="13"/>
      <c r="AP138" s="278"/>
      <c r="AQ138" s="18"/>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278"/>
      <c r="ED138" s="18"/>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360"/>
      <c r="FX138" s="13"/>
      <c r="FY138" s="278"/>
      <c r="FZ138" s="266"/>
      <c r="GA138" s="266"/>
      <c r="GB138" s="267"/>
      <c r="GC138" s="267"/>
    </row>
    <row r="139" spans="1:185" s="109" customFormat="1" x14ac:dyDescent="0.25">
      <c r="A139" s="18"/>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98"/>
      <c r="AN139" s="98"/>
      <c r="AO139" s="13"/>
      <c r="AP139" s="278"/>
      <c r="AQ139" s="18"/>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278"/>
      <c r="ED139" s="18"/>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360"/>
      <c r="FX139" s="13"/>
      <c r="FY139" s="278"/>
      <c r="FZ139" s="266"/>
      <c r="GA139" s="266"/>
      <c r="GB139" s="267"/>
      <c r="GC139" s="267"/>
    </row>
    <row r="140" spans="1:185" s="109" customFormat="1" x14ac:dyDescent="0.25">
      <c r="A140" s="18"/>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98"/>
      <c r="AN140" s="98"/>
      <c r="AO140" s="13"/>
      <c r="AP140" s="278"/>
      <c r="AQ140" s="18"/>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278"/>
      <c r="ED140" s="18"/>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360"/>
      <c r="FX140" s="13"/>
      <c r="FY140" s="278"/>
      <c r="FZ140" s="266"/>
      <c r="GA140" s="266"/>
      <c r="GB140" s="267"/>
      <c r="GC140" s="267"/>
    </row>
    <row r="141" spans="1:185" s="109" customFormat="1" x14ac:dyDescent="0.25">
      <c r="A141" s="18"/>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98"/>
      <c r="AN141" s="98"/>
      <c r="AO141" s="13"/>
      <c r="AP141" s="278"/>
      <c r="AQ141" s="18"/>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278"/>
      <c r="ED141" s="18"/>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360"/>
      <c r="FX141" s="13"/>
      <c r="FY141" s="278"/>
      <c r="FZ141" s="266"/>
      <c r="GA141" s="266"/>
      <c r="GB141" s="267"/>
      <c r="GC141" s="267"/>
    </row>
    <row r="142" spans="1:185" s="109" customFormat="1" x14ac:dyDescent="0.25">
      <c r="A142" s="18"/>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98"/>
      <c r="AN142" s="98"/>
      <c r="AO142" s="13"/>
      <c r="AP142" s="278"/>
      <c r="AQ142" s="18"/>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278"/>
      <c r="ED142" s="18"/>
      <c r="EE142" s="13"/>
      <c r="EF142" s="13"/>
      <c r="EG142" s="13"/>
      <c r="EH142" s="13"/>
      <c r="EI142" s="13"/>
      <c r="EJ142" s="13"/>
      <c r="EK142" s="13"/>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360"/>
      <c r="FX142" s="13"/>
      <c r="FY142" s="278"/>
      <c r="FZ142" s="266"/>
      <c r="GA142" s="266"/>
      <c r="GB142" s="267"/>
      <c r="GC142" s="267"/>
    </row>
    <row r="143" spans="1:185" s="109" customFormat="1" x14ac:dyDescent="0.25">
      <c r="A143" s="18"/>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98"/>
      <c r="AN143" s="98"/>
      <c r="AO143" s="13"/>
      <c r="AP143" s="278"/>
      <c r="AQ143" s="18"/>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278"/>
      <c r="ED143" s="18"/>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360"/>
      <c r="FX143" s="13"/>
      <c r="FY143" s="278"/>
      <c r="FZ143" s="266"/>
      <c r="GA143" s="266"/>
      <c r="GB143" s="267"/>
      <c r="GC143" s="267"/>
    </row>
    <row r="144" spans="1:185" s="109" customFormat="1" x14ac:dyDescent="0.25">
      <c r="A144" s="18"/>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98"/>
      <c r="AN144" s="98"/>
      <c r="AO144" s="13"/>
      <c r="AP144" s="278"/>
      <c r="AQ144" s="18"/>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278"/>
      <c r="ED144" s="18"/>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360"/>
      <c r="FX144" s="13"/>
      <c r="FY144" s="278"/>
      <c r="FZ144" s="266"/>
      <c r="GA144" s="266"/>
      <c r="GB144" s="267"/>
      <c r="GC144" s="267"/>
    </row>
    <row r="145" spans="1:185" s="109" customFormat="1" ht="15.75" thickBot="1" x14ac:dyDescent="0.3">
      <c r="A145" s="323"/>
      <c r="B145" s="281"/>
      <c r="C145" s="281"/>
      <c r="D145" s="281"/>
      <c r="E145" s="281"/>
      <c r="F145" s="281"/>
      <c r="G145" s="281"/>
      <c r="H145" s="281"/>
      <c r="I145" s="281"/>
      <c r="J145" s="281"/>
      <c r="K145" s="281"/>
      <c r="L145" s="281"/>
      <c r="M145" s="281"/>
      <c r="N145" s="281"/>
      <c r="O145" s="281"/>
      <c r="P145" s="281"/>
      <c r="Q145" s="281"/>
      <c r="R145" s="281"/>
      <c r="S145" s="281"/>
      <c r="T145" s="281"/>
      <c r="U145" s="281"/>
      <c r="V145" s="281"/>
      <c r="W145" s="281"/>
      <c r="X145" s="281"/>
      <c r="Y145" s="281"/>
      <c r="Z145" s="281"/>
      <c r="AA145" s="281"/>
      <c r="AB145" s="281"/>
      <c r="AC145" s="281"/>
      <c r="AD145" s="281"/>
      <c r="AE145" s="281"/>
      <c r="AF145" s="281"/>
      <c r="AG145" s="281"/>
      <c r="AH145" s="281"/>
      <c r="AI145" s="281"/>
      <c r="AJ145" s="281"/>
      <c r="AK145" s="281"/>
      <c r="AL145" s="281"/>
      <c r="AM145" s="324"/>
      <c r="AN145" s="324"/>
      <c r="AO145" s="281"/>
      <c r="AP145" s="343"/>
      <c r="AQ145" s="323"/>
      <c r="AR145" s="281"/>
      <c r="AS145" s="281"/>
      <c r="AT145" s="281"/>
      <c r="AU145" s="281"/>
      <c r="AV145" s="281"/>
      <c r="AW145" s="281"/>
      <c r="AX145" s="281"/>
      <c r="AY145" s="281"/>
      <c r="AZ145" s="281"/>
      <c r="BA145" s="281"/>
      <c r="BB145" s="281"/>
      <c r="BC145" s="281"/>
      <c r="BD145" s="281"/>
      <c r="BE145" s="281"/>
      <c r="BF145" s="281"/>
      <c r="BG145" s="281"/>
      <c r="BH145" s="281"/>
      <c r="BI145" s="281"/>
      <c r="BJ145" s="281"/>
      <c r="BK145" s="281"/>
      <c r="BL145" s="281"/>
      <c r="BM145" s="281"/>
      <c r="BN145" s="281"/>
      <c r="BO145" s="281"/>
      <c r="BP145" s="281"/>
      <c r="BQ145" s="281"/>
      <c r="BR145" s="281"/>
      <c r="BS145" s="281"/>
      <c r="BT145" s="281"/>
      <c r="BU145" s="281"/>
      <c r="BV145" s="281"/>
      <c r="BW145" s="281"/>
      <c r="BX145" s="281"/>
      <c r="BY145" s="281"/>
      <c r="BZ145" s="281"/>
      <c r="CA145" s="281"/>
      <c r="CB145" s="281"/>
      <c r="CC145" s="281"/>
      <c r="CD145" s="281"/>
      <c r="CE145" s="281"/>
      <c r="CF145" s="281"/>
      <c r="CG145" s="281"/>
      <c r="CH145" s="281"/>
      <c r="CI145" s="281"/>
      <c r="CJ145" s="281"/>
      <c r="CK145" s="281"/>
      <c r="CL145" s="281"/>
      <c r="CM145" s="281"/>
      <c r="CN145" s="281"/>
      <c r="CO145" s="281"/>
      <c r="CP145" s="281"/>
      <c r="CQ145" s="281"/>
      <c r="CR145" s="281"/>
      <c r="CS145" s="281"/>
      <c r="CT145" s="281"/>
      <c r="CU145" s="281"/>
      <c r="CV145" s="281"/>
      <c r="CW145" s="281"/>
      <c r="CX145" s="281"/>
      <c r="CY145" s="281"/>
      <c r="CZ145" s="281"/>
      <c r="DA145" s="281"/>
      <c r="DB145" s="281"/>
      <c r="DC145" s="281"/>
      <c r="DD145" s="281"/>
      <c r="DE145" s="281"/>
      <c r="DF145" s="281"/>
      <c r="DG145" s="281"/>
      <c r="DH145" s="281"/>
      <c r="DI145" s="281"/>
      <c r="DJ145" s="281"/>
      <c r="DK145" s="281"/>
      <c r="DL145" s="281"/>
      <c r="DM145" s="281"/>
      <c r="DN145" s="281"/>
      <c r="DO145" s="281"/>
      <c r="DP145" s="281"/>
      <c r="DQ145" s="281"/>
      <c r="DR145" s="281"/>
      <c r="DS145" s="281"/>
      <c r="DT145" s="281"/>
      <c r="DU145" s="281"/>
      <c r="DV145" s="281"/>
      <c r="DW145" s="281"/>
      <c r="DX145" s="281"/>
      <c r="DY145" s="281"/>
      <c r="DZ145" s="281"/>
      <c r="EA145" s="281"/>
      <c r="EB145" s="281"/>
      <c r="EC145" s="343"/>
      <c r="ED145" s="323"/>
      <c r="EE145" s="281"/>
      <c r="EF145" s="281"/>
      <c r="EG145" s="281"/>
      <c r="EH145" s="281"/>
      <c r="EI145" s="281"/>
      <c r="EJ145" s="281"/>
      <c r="EK145" s="281"/>
      <c r="EL145" s="281"/>
      <c r="EM145" s="281"/>
      <c r="EN145" s="281"/>
      <c r="EO145" s="281"/>
      <c r="EP145" s="281"/>
      <c r="EQ145" s="281"/>
      <c r="ER145" s="281"/>
      <c r="ES145" s="281"/>
      <c r="ET145" s="281"/>
      <c r="EU145" s="281"/>
      <c r="EV145" s="281"/>
      <c r="EW145" s="281"/>
      <c r="EX145" s="281"/>
      <c r="EY145" s="281"/>
      <c r="EZ145" s="281"/>
      <c r="FA145" s="281"/>
      <c r="FB145" s="281"/>
      <c r="FC145" s="281"/>
      <c r="FD145" s="281"/>
      <c r="FE145" s="281"/>
      <c r="FF145" s="281"/>
      <c r="FG145" s="281"/>
      <c r="FH145" s="281"/>
      <c r="FI145" s="281"/>
      <c r="FJ145" s="281"/>
      <c r="FK145" s="281"/>
      <c r="FL145" s="281"/>
      <c r="FM145" s="281"/>
      <c r="FN145" s="281"/>
      <c r="FO145" s="281"/>
      <c r="FP145" s="281"/>
      <c r="FQ145" s="281"/>
      <c r="FR145" s="281"/>
      <c r="FS145" s="281"/>
      <c r="FT145" s="281"/>
      <c r="FU145" s="281"/>
      <c r="FV145" s="281"/>
      <c r="FW145" s="361"/>
      <c r="FX145" s="281"/>
      <c r="FY145" s="343"/>
      <c r="FZ145" s="266"/>
      <c r="GA145" s="266"/>
      <c r="GB145" s="267"/>
      <c r="GC145" s="267"/>
    </row>
    <row r="146" spans="1:185" s="109" customFormat="1" ht="15.75" thickTop="1" x14ac:dyDescent="0.25">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c r="AB146" s="108"/>
      <c r="AC146" s="108"/>
      <c r="AD146" s="108"/>
      <c r="AE146" s="108"/>
      <c r="AF146" s="108"/>
      <c r="AG146" s="108"/>
      <c r="AH146" s="108"/>
      <c r="AI146" s="108"/>
      <c r="AJ146" s="108"/>
      <c r="AK146" s="108"/>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c r="CG146" s="108"/>
      <c r="CH146" s="108"/>
      <c r="CI146" s="108"/>
      <c r="CJ146" s="108"/>
      <c r="CK146" s="108"/>
      <c r="CL146" s="108"/>
      <c r="CM146" s="108"/>
      <c r="CN146" s="108"/>
      <c r="CO146" s="108"/>
      <c r="CP146" s="108"/>
      <c r="CQ146" s="108"/>
      <c r="CR146" s="108"/>
      <c r="CS146" s="108"/>
      <c r="CT146" s="108"/>
      <c r="CU146" s="108"/>
      <c r="CV146" s="108"/>
      <c r="CW146" s="108"/>
      <c r="CX146" s="108"/>
      <c r="CY146" s="108"/>
      <c r="CZ146" s="108"/>
      <c r="DA146" s="108"/>
      <c r="DB146" s="108"/>
      <c r="DC146" s="108"/>
      <c r="DD146" s="108"/>
      <c r="DE146" s="108"/>
      <c r="DF146" s="108"/>
      <c r="DG146" s="108"/>
      <c r="DH146" s="108"/>
      <c r="DI146" s="108"/>
      <c r="DJ146" s="108"/>
      <c r="DK146" s="108"/>
      <c r="DL146" s="108"/>
      <c r="DM146" s="108"/>
      <c r="DN146" s="108"/>
      <c r="DO146" s="108"/>
      <c r="DP146" s="108"/>
      <c r="DQ146" s="108"/>
      <c r="DR146" s="108"/>
      <c r="DS146" s="108"/>
      <c r="DT146" s="108"/>
      <c r="DU146" s="108"/>
      <c r="DV146" s="108"/>
      <c r="DW146" s="108"/>
      <c r="DX146" s="108"/>
      <c r="DY146" s="108"/>
      <c r="DZ146" s="108"/>
      <c r="EA146" s="108"/>
      <c r="EB146" s="108"/>
      <c r="EC146" s="108"/>
      <c r="ED146" s="108"/>
      <c r="EE146" s="108"/>
      <c r="EF146" s="108"/>
      <c r="EG146" s="108"/>
      <c r="EH146" s="108"/>
      <c r="EI146" s="108"/>
      <c r="EJ146" s="108"/>
      <c r="EK146" s="108"/>
      <c r="EL146" s="108"/>
      <c r="EM146" s="108"/>
      <c r="EN146" s="108"/>
      <c r="EO146" s="108"/>
      <c r="EP146" s="108"/>
      <c r="EQ146" s="108"/>
      <c r="ER146" s="108"/>
      <c r="ES146" s="108"/>
      <c r="ET146" s="108"/>
      <c r="EU146" s="108"/>
      <c r="EV146" s="108"/>
      <c r="EW146" s="108"/>
      <c r="EX146" s="108"/>
      <c r="EY146" s="108"/>
      <c r="EZ146" s="108"/>
      <c r="FA146" s="108"/>
      <c r="FB146" s="108"/>
      <c r="FC146" s="108"/>
      <c r="FD146" s="108"/>
      <c r="FE146" s="108"/>
      <c r="FF146" s="108"/>
      <c r="FG146" s="108"/>
      <c r="FH146" s="108"/>
      <c r="FI146" s="108"/>
      <c r="FJ146" s="108"/>
      <c r="FK146" s="108"/>
      <c r="FL146" s="108"/>
      <c r="FM146" s="108"/>
      <c r="FN146" s="108"/>
      <c r="FO146" s="108"/>
      <c r="FP146" s="108"/>
      <c r="FQ146" s="108"/>
      <c r="FR146" s="108"/>
      <c r="FS146" s="108"/>
      <c r="FT146" s="108"/>
      <c r="FU146" s="108"/>
      <c r="FV146" s="108"/>
      <c r="FW146" s="108"/>
      <c r="FX146" s="108"/>
      <c r="FY146" s="108"/>
      <c r="FZ146" s="270"/>
      <c r="GA146" s="270"/>
      <c r="GB146" s="267"/>
      <c r="GC146" s="267"/>
    </row>
    <row r="147" spans="1:185" s="109" customFormat="1" x14ac:dyDescent="0.25">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c r="AB147" s="108"/>
      <c r="AC147" s="108"/>
      <c r="AD147" s="108"/>
      <c r="AE147" s="108"/>
      <c r="AF147" s="108"/>
      <c r="AG147" s="108"/>
      <c r="AH147" s="108"/>
      <c r="AI147" s="108"/>
      <c r="AJ147" s="108"/>
      <c r="AK147" s="108"/>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c r="CH147" s="108"/>
      <c r="CI147" s="108"/>
      <c r="CJ147" s="108"/>
      <c r="CK147" s="108"/>
      <c r="CL147" s="108"/>
      <c r="CM147" s="108"/>
      <c r="CN147" s="108"/>
      <c r="CO147" s="108"/>
      <c r="CP147" s="108"/>
      <c r="CQ147" s="108"/>
      <c r="CR147" s="108"/>
      <c r="CS147" s="108"/>
      <c r="CT147" s="108"/>
      <c r="CU147" s="108"/>
      <c r="CV147" s="108"/>
      <c r="CW147" s="108"/>
      <c r="CX147" s="108"/>
      <c r="CY147" s="108"/>
      <c r="CZ147" s="108"/>
      <c r="DA147" s="108"/>
      <c r="DB147" s="108"/>
      <c r="DC147" s="108"/>
      <c r="DD147" s="108"/>
      <c r="DE147" s="108"/>
      <c r="DF147" s="108"/>
      <c r="DG147" s="108"/>
      <c r="DH147" s="108"/>
      <c r="DI147" s="108"/>
      <c r="DJ147" s="108"/>
      <c r="DK147" s="108"/>
      <c r="DL147" s="108"/>
      <c r="DM147" s="108"/>
      <c r="DN147" s="108"/>
      <c r="DO147" s="108"/>
      <c r="DP147" s="108"/>
      <c r="DQ147" s="108"/>
      <c r="DR147" s="108"/>
      <c r="DS147" s="108"/>
      <c r="DT147" s="108"/>
      <c r="DU147" s="108"/>
      <c r="DV147" s="108"/>
      <c r="DW147" s="108"/>
      <c r="DX147" s="108"/>
      <c r="DY147" s="108"/>
      <c r="DZ147" s="108"/>
      <c r="EA147" s="108"/>
      <c r="EB147" s="108"/>
      <c r="EC147" s="108"/>
      <c r="ED147" s="108"/>
      <c r="EE147" s="108"/>
      <c r="EF147" s="108"/>
      <c r="EG147" s="108"/>
      <c r="EH147" s="108"/>
      <c r="EI147" s="108"/>
      <c r="EJ147" s="108"/>
      <c r="EK147" s="108"/>
      <c r="EL147" s="108"/>
      <c r="EM147" s="108"/>
      <c r="EN147" s="108"/>
      <c r="EO147" s="108"/>
      <c r="EP147" s="108"/>
      <c r="EQ147" s="108"/>
      <c r="ER147" s="108"/>
      <c r="ES147" s="108"/>
      <c r="ET147" s="108"/>
      <c r="EU147" s="108"/>
      <c r="EV147" s="108"/>
      <c r="EW147" s="108"/>
      <c r="EX147" s="108"/>
      <c r="EY147" s="108"/>
      <c r="EZ147" s="108"/>
      <c r="FA147" s="108"/>
      <c r="FB147" s="108"/>
      <c r="FC147" s="108"/>
      <c r="FD147" s="108"/>
      <c r="FE147" s="108"/>
      <c r="FF147" s="108"/>
      <c r="FG147" s="108"/>
      <c r="FH147" s="108"/>
      <c r="FI147" s="108"/>
      <c r="FJ147" s="108"/>
      <c r="FK147" s="108"/>
      <c r="FL147" s="108"/>
      <c r="FM147" s="108"/>
      <c r="FN147" s="108"/>
      <c r="FO147" s="108"/>
      <c r="FP147" s="108"/>
      <c r="FQ147" s="108"/>
      <c r="FR147" s="108"/>
      <c r="FS147" s="108"/>
      <c r="FT147" s="108"/>
      <c r="FU147" s="108"/>
      <c r="FV147" s="108"/>
      <c r="FW147" s="108"/>
      <c r="FX147" s="108"/>
      <c r="FY147" s="108"/>
      <c r="FZ147" s="270"/>
      <c r="GA147" s="270"/>
      <c r="GB147" s="267"/>
      <c r="GC147" s="267"/>
    </row>
    <row r="148" spans="1:185" s="109" customFormat="1" x14ac:dyDescent="0.25">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c r="AB148" s="108"/>
      <c r="AC148" s="108"/>
      <c r="AD148" s="108"/>
      <c r="AE148" s="108"/>
      <c r="AF148" s="108"/>
      <c r="AG148" s="108"/>
      <c r="AH148" s="108"/>
      <c r="AI148" s="108"/>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c r="CG148" s="108"/>
      <c r="CH148" s="108"/>
      <c r="CI148" s="108"/>
      <c r="CJ148" s="108"/>
      <c r="CK148" s="108"/>
      <c r="CL148" s="108"/>
      <c r="CM148" s="108"/>
      <c r="CN148" s="108"/>
      <c r="CO148" s="108"/>
      <c r="CP148" s="108"/>
      <c r="CQ148" s="108"/>
      <c r="CR148" s="108"/>
      <c r="CS148" s="108"/>
      <c r="CT148" s="108"/>
      <c r="CU148" s="108"/>
      <c r="CV148" s="108"/>
      <c r="CW148" s="108"/>
      <c r="CX148" s="108"/>
      <c r="CY148" s="108"/>
      <c r="CZ148" s="108"/>
      <c r="DA148" s="108"/>
      <c r="DB148" s="108"/>
      <c r="DC148" s="108"/>
      <c r="DD148" s="108"/>
      <c r="DE148" s="108"/>
      <c r="DF148" s="108"/>
      <c r="DG148" s="108"/>
      <c r="DH148" s="108"/>
      <c r="DI148" s="108"/>
      <c r="DJ148" s="108"/>
      <c r="DK148" s="108"/>
      <c r="DL148" s="108"/>
      <c r="DM148" s="108"/>
      <c r="DN148" s="108"/>
      <c r="DO148" s="108"/>
      <c r="DP148" s="108"/>
      <c r="DQ148" s="108"/>
      <c r="DR148" s="108"/>
      <c r="DS148" s="108"/>
      <c r="DT148" s="108"/>
      <c r="DU148" s="108"/>
      <c r="DV148" s="108"/>
      <c r="DW148" s="108"/>
      <c r="DX148" s="108"/>
      <c r="DY148" s="108"/>
      <c r="DZ148" s="108"/>
      <c r="EA148" s="108"/>
      <c r="EB148" s="108"/>
      <c r="EC148" s="108"/>
      <c r="ED148" s="108"/>
      <c r="EE148" s="108"/>
      <c r="EF148" s="108"/>
      <c r="EG148" s="108"/>
      <c r="EH148" s="108"/>
      <c r="EI148" s="108"/>
      <c r="EJ148" s="108"/>
      <c r="EK148" s="108"/>
      <c r="EL148" s="108"/>
      <c r="EM148" s="108"/>
      <c r="EN148" s="108"/>
      <c r="EO148" s="108"/>
      <c r="EP148" s="108"/>
      <c r="EQ148" s="108"/>
      <c r="ER148" s="108"/>
      <c r="ES148" s="108"/>
      <c r="ET148" s="108"/>
      <c r="EU148" s="108"/>
      <c r="EV148" s="108"/>
      <c r="EW148" s="108"/>
      <c r="EX148" s="108"/>
      <c r="EY148" s="108"/>
      <c r="EZ148" s="108"/>
      <c r="FA148" s="108"/>
      <c r="FB148" s="108"/>
      <c r="FC148" s="108"/>
      <c r="FD148" s="108"/>
      <c r="FE148" s="108"/>
      <c r="FF148" s="108"/>
      <c r="FG148" s="108"/>
      <c r="FH148" s="108"/>
      <c r="FI148" s="108"/>
      <c r="FJ148" s="108"/>
      <c r="FK148" s="108"/>
      <c r="FL148" s="108"/>
      <c r="FM148" s="108"/>
      <c r="FN148" s="108"/>
      <c r="FO148" s="108"/>
      <c r="FP148" s="108"/>
      <c r="FQ148" s="108"/>
      <c r="FR148" s="108"/>
      <c r="FS148" s="108"/>
      <c r="FT148" s="108"/>
      <c r="FU148" s="108"/>
      <c r="FV148" s="108"/>
      <c r="FW148" s="108"/>
      <c r="FX148" s="108"/>
      <c r="FY148" s="108"/>
      <c r="FZ148" s="270"/>
      <c r="GA148" s="270"/>
      <c r="GB148" s="267"/>
      <c r="GC148" s="267"/>
    </row>
    <row r="149" spans="1:185" s="109" customFormat="1" x14ac:dyDescent="0.25">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c r="AB149" s="108"/>
      <c r="AC149" s="108"/>
      <c r="AD149" s="108"/>
      <c r="AE149" s="108"/>
      <c r="AF149" s="108"/>
      <c r="AG149" s="108"/>
      <c r="AH149" s="108"/>
      <c r="AI149" s="108"/>
      <c r="AJ149" s="108"/>
      <c r="AK149" s="108"/>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c r="CG149" s="108"/>
      <c r="CH149" s="108"/>
      <c r="CI149" s="108"/>
      <c r="CJ149" s="108"/>
      <c r="CK149" s="108"/>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8"/>
      <c r="DM149" s="108"/>
      <c r="DN149" s="108"/>
      <c r="DO149" s="108"/>
      <c r="DP149" s="108"/>
      <c r="DQ149" s="108"/>
      <c r="DR149" s="108"/>
      <c r="DS149" s="108"/>
      <c r="DT149" s="108"/>
      <c r="DU149" s="108"/>
      <c r="DV149" s="108"/>
      <c r="DW149" s="108"/>
      <c r="DX149" s="108"/>
      <c r="DY149" s="108"/>
      <c r="DZ149" s="108"/>
      <c r="EA149" s="108"/>
      <c r="EB149" s="108"/>
      <c r="EC149" s="108"/>
      <c r="ED149" s="108"/>
      <c r="EE149" s="108"/>
      <c r="EF149" s="108"/>
      <c r="EG149" s="108"/>
      <c r="EH149" s="108"/>
      <c r="EI149" s="108"/>
      <c r="EJ149" s="108"/>
      <c r="EK149" s="108"/>
      <c r="EL149" s="108"/>
      <c r="EM149" s="108"/>
      <c r="EN149" s="108"/>
      <c r="EO149" s="108"/>
      <c r="EP149" s="108"/>
      <c r="EQ149" s="108"/>
      <c r="ER149" s="108"/>
      <c r="ES149" s="108"/>
      <c r="ET149" s="108"/>
      <c r="EU149" s="108"/>
      <c r="EV149" s="108"/>
      <c r="EW149" s="108"/>
      <c r="EX149" s="108"/>
      <c r="EY149" s="108"/>
      <c r="EZ149" s="108"/>
      <c r="FA149" s="108"/>
      <c r="FB149" s="108"/>
      <c r="FC149" s="108"/>
      <c r="FD149" s="108"/>
      <c r="FE149" s="108"/>
      <c r="FF149" s="108"/>
      <c r="FG149" s="108"/>
      <c r="FH149" s="108"/>
      <c r="FI149" s="108"/>
      <c r="FJ149" s="108"/>
      <c r="FK149" s="108"/>
      <c r="FL149" s="108"/>
      <c r="FM149" s="108"/>
      <c r="FN149" s="108"/>
      <c r="FO149" s="108"/>
      <c r="FP149" s="108"/>
      <c r="FQ149" s="108"/>
      <c r="FR149" s="108"/>
      <c r="FS149" s="108"/>
      <c r="FT149" s="108"/>
      <c r="FU149" s="108"/>
      <c r="FV149" s="108"/>
      <c r="FW149" s="108"/>
      <c r="FX149" s="108"/>
      <c r="FY149" s="108"/>
      <c r="FZ149" s="270"/>
      <c r="GA149" s="270"/>
      <c r="GB149" s="267"/>
      <c r="GC149" s="267"/>
    </row>
    <row r="150" spans="1:185" s="109" customFormat="1" x14ac:dyDescent="0.25">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c r="AB150" s="108"/>
      <c r="AC150" s="108"/>
      <c r="AD150" s="108"/>
      <c r="AE150" s="108"/>
      <c r="AF150" s="108"/>
      <c r="AG150" s="108"/>
      <c r="AH150" s="108"/>
      <c r="AI150" s="108"/>
      <c r="AJ150" s="108"/>
      <c r="AK150" s="108"/>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c r="CK150" s="108"/>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8"/>
      <c r="DM150" s="108"/>
      <c r="DN150" s="108"/>
      <c r="DO150" s="108"/>
      <c r="DP150" s="108"/>
      <c r="DQ150" s="108"/>
      <c r="DR150" s="108"/>
      <c r="DS150" s="108"/>
      <c r="DT150" s="108"/>
      <c r="DU150" s="108"/>
      <c r="DV150" s="108"/>
      <c r="DW150" s="108"/>
      <c r="DX150" s="108"/>
      <c r="DY150" s="108"/>
      <c r="DZ150" s="108"/>
      <c r="EA150" s="108"/>
      <c r="EB150" s="108"/>
      <c r="EC150" s="108"/>
      <c r="ED150" s="108"/>
      <c r="EE150" s="108"/>
      <c r="EF150" s="108"/>
      <c r="EG150" s="108"/>
      <c r="EH150" s="108"/>
      <c r="EI150" s="108"/>
      <c r="EJ150" s="108"/>
      <c r="EK150" s="108"/>
      <c r="EL150" s="108"/>
      <c r="EM150" s="108"/>
      <c r="EN150" s="108"/>
      <c r="EO150" s="108"/>
      <c r="EP150" s="108"/>
      <c r="EQ150" s="108"/>
      <c r="ER150" s="108"/>
      <c r="ES150" s="108"/>
      <c r="ET150" s="108"/>
      <c r="EU150" s="108"/>
      <c r="EV150" s="108"/>
      <c r="EW150" s="108"/>
      <c r="EX150" s="108"/>
      <c r="EY150" s="108"/>
      <c r="EZ150" s="108"/>
      <c r="FA150" s="108"/>
      <c r="FB150" s="108"/>
      <c r="FC150" s="108"/>
      <c r="FD150" s="108"/>
      <c r="FE150" s="108"/>
      <c r="FF150" s="108"/>
      <c r="FG150" s="108"/>
      <c r="FH150" s="108"/>
      <c r="FI150" s="108"/>
      <c r="FJ150" s="108"/>
      <c r="FK150" s="108"/>
      <c r="FL150" s="108"/>
      <c r="FM150" s="108"/>
      <c r="FN150" s="108"/>
      <c r="FO150" s="108"/>
      <c r="FP150" s="108"/>
      <c r="FQ150" s="108"/>
      <c r="FR150" s="108"/>
      <c r="FS150" s="108"/>
      <c r="FT150" s="108"/>
      <c r="FU150" s="108"/>
      <c r="FV150" s="108"/>
      <c r="FW150" s="108"/>
      <c r="FX150" s="108"/>
      <c r="FY150" s="108"/>
      <c r="FZ150" s="270"/>
      <c r="GA150" s="270"/>
      <c r="GB150" s="267"/>
      <c r="GC150" s="267"/>
    </row>
    <row r="151" spans="1:185" s="109" customFormat="1" x14ac:dyDescent="0.25">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8"/>
      <c r="DM151" s="108"/>
      <c r="DN151" s="108"/>
      <c r="DO151" s="108"/>
      <c r="DP151" s="108"/>
      <c r="DQ151" s="108"/>
      <c r="DR151" s="108"/>
      <c r="DS151" s="108"/>
      <c r="DT151" s="108"/>
      <c r="DU151" s="108"/>
      <c r="DV151" s="108"/>
      <c r="DW151" s="108"/>
      <c r="DX151" s="108"/>
      <c r="DY151" s="108"/>
      <c r="DZ151" s="108"/>
      <c r="EA151" s="108"/>
      <c r="EB151" s="108"/>
      <c r="EC151" s="108"/>
      <c r="ED151" s="108"/>
      <c r="EE151" s="108"/>
      <c r="EF151" s="108"/>
      <c r="EG151" s="108"/>
      <c r="EH151" s="108"/>
      <c r="EI151" s="108"/>
      <c r="EJ151" s="108"/>
      <c r="EK151" s="108"/>
      <c r="EL151" s="108"/>
      <c r="EM151" s="108"/>
      <c r="EN151" s="108"/>
      <c r="EO151" s="108"/>
      <c r="EP151" s="108"/>
      <c r="EQ151" s="108"/>
      <c r="ER151" s="108"/>
      <c r="ES151" s="108"/>
      <c r="ET151" s="108"/>
      <c r="EU151" s="108"/>
      <c r="EV151" s="108"/>
      <c r="EW151" s="108"/>
      <c r="EX151" s="108"/>
      <c r="EY151" s="108"/>
      <c r="EZ151" s="108"/>
      <c r="FA151" s="108"/>
      <c r="FB151" s="108"/>
      <c r="FC151" s="108"/>
      <c r="FD151" s="108"/>
      <c r="FE151" s="108"/>
      <c r="FF151" s="108"/>
      <c r="FG151" s="108"/>
      <c r="FH151" s="108"/>
      <c r="FI151" s="108"/>
      <c r="FJ151" s="108"/>
      <c r="FK151" s="108"/>
      <c r="FL151" s="108"/>
      <c r="FM151" s="108"/>
      <c r="FN151" s="108"/>
      <c r="FO151" s="108"/>
      <c r="FP151" s="108"/>
      <c r="FQ151" s="108"/>
      <c r="FR151" s="108"/>
      <c r="FS151" s="108"/>
      <c r="FT151" s="108"/>
      <c r="FU151" s="108"/>
      <c r="FV151" s="108"/>
      <c r="FW151" s="108"/>
      <c r="FX151" s="108"/>
      <c r="FY151" s="108"/>
      <c r="FZ151" s="270"/>
      <c r="GA151" s="270"/>
      <c r="GB151" s="267"/>
      <c r="GC151" s="267"/>
    </row>
    <row r="152" spans="1:185" s="109" customFormat="1" x14ac:dyDescent="0.25">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c r="AD152" s="108"/>
      <c r="AE152" s="108"/>
      <c r="AF152" s="108"/>
      <c r="AG152" s="108"/>
      <c r="AH152" s="108"/>
      <c r="AI152" s="108"/>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8"/>
      <c r="DM152" s="108"/>
      <c r="DN152" s="108"/>
      <c r="DO152" s="108"/>
      <c r="DP152" s="108"/>
      <c r="DQ152" s="108"/>
      <c r="DR152" s="108"/>
      <c r="DS152" s="108"/>
      <c r="DT152" s="108"/>
      <c r="DU152" s="108"/>
      <c r="DV152" s="108"/>
      <c r="DW152" s="108"/>
      <c r="DX152" s="108"/>
      <c r="DY152" s="108"/>
      <c r="DZ152" s="108"/>
      <c r="EA152" s="108"/>
      <c r="EB152" s="108"/>
      <c r="EC152" s="108"/>
      <c r="ED152" s="108"/>
      <c r="EE152" s="108"/>
      <c r="EF152" s="108"/>
      <c r="EG152" s="108"/>
      <c r="EH152" s="108"/>
      <c r="EI152" s="108"/>
      <c r="EJ152" s="108"/>
      <c r="EK152" s="108"/>
      <c r="EL152" s="108"/>
      <c r="EM152" s="108"/>
      <c r="EN152" s="108"/>
      <c r="EO152" s="108"/>
      <c r="EP152" s="108"/>
      <c r="EQ152" s="108"/>
      <c r="ER152" s="108"/>
      <c r="ES152" s="108"/>
      <c r="ET152" s="108"/>
      <c r="EU152" s="108"/>
      <c r="EV152" s="108"/>
      <c r="EW152" s="108"/>
      <c r="EX152" s="108"/>
      <c r="EY152" s="108"/>
      <c r="EZ152" s="108"/>
      <c r="FA152" s="108"/>
      <c r="FB152" s="108"/>
      <c r="FC152" s="108"/>
      <c r="FD152" s="108"/>
      <c r="FE152" s="108"/>
      <c r="FF152" s="108"/>
      <c r="FG152" s="108"/>
      <c r="FH152" s="108"/>
      <c r="FI152" s="108"/>
      <c r="FJ152" s="108"/>
      <c r="FK152" s="108"/>
      <c r="FL152" s="108"/>
      <c r="FM152" s="108"/>
      <c r="FN152" s="108"/>
      <c r="FO152" s="108"/>
      <c r="FP152" s="108"/>
      <c r="FQ152" s="108"/>
      <c r="FR152" s="108"/>
      <c r="FS152" s="108"/>
      <c r="FT152" s="108"/>
      <c r="FU152" s="108"/>
      <c r="FV152" s="108"/>
      <c r="FW152" s="108"/>
      <c r="FX152" s="108"/>
      <c r="FY152" s="108"/>
      <c r="FZ152" s="270"/>
      <c r="GA152" s="270"/>
      <c r="GB152" s="267"/>
      <c r="GC152" s="267"/>
    </row>
    <row r="153" spans="1:185" s="109" customFormat="1" x14ac:dyDescent="0.25">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8"/>
      <c r="DM153" s="108"/>
      <c r="DN153" s="108"/>
      <c r="DO153" s="108"/>
      <c r="DP153" s="108"/>
      <c r="DQ153" s="108"/>
      <c r="DR153" s="108"/>
      <c r="DS153" s="108"/>
      <c r="DT153" s="108"/>
      <c r="DU153" s="108"/>
      <c r="DV153" s="108"/>
      <c r="DW153" s="108"/>
      <c r="DX153" s="108"/>
      <c r="DY153" s="108"/>
      <c r="DZ153" s="108"/>
      <c r="EA153" s="108"/>
      <c r="EB153" s="108"/>
      <c r="EC153" s="108"/>
      <c r="ED153" s="108"/>
      <c r="EE153" s="108"/>
      <c r="EF153" s="108"/>
      <c r="EG153" s="108"/>
      <c r="EH153" s="108"/>
      <c r="EI153" s="108"/>
      <c r="EJ153" s="108"/>
      <c r="EK153" s="108"/>
      <c r="EL153" s="108"/>
      <c r="EM153" s="108"/>
      <c r="EN153" s="108"/>
      <c r="EO153" s="108"/>
      <c r="EP153" s="108"/>
      <c r="EQ153" s="108"/>
      <c r="ER153" s="108"/>
      <c r="ES153" s="108"/>
      <c r="ET153" s="108"/>
      <c r="EU153" s="108"/>
      <c r="EV153" s="108"/>
      <c r="EW153" s="108"/>
      <c r="EX153" s="108"/>
      <c r="EY153" s="108"/>
      <c r="EZ153" s="108"/>
      <c r="FA153" s="108"/>
      <c r="FB153" s="108"/>
      <c r="FC153" s="108"/>
      <c r="FD153" s="108"/>
      <c r="FE153" s="108"/>
      <c r="FF153" s="108"/>
      <c r="FG153" s="108"/>
      <c r="FH153" s="108"/>
      <c r="FI153" s="108"/>
      <c r="FJ153" s="108"/>
      <c r="FK153" s="108"/>
      <c r="FL153" s="108"/>
      <c r="FM153" s="108"/>
      <c r="FN153" s="108"/>
      <c r="FO153" s="108"/>
      <c r="FP153" s="108"/>
      <c r="FQ153" s="108"/>
      <c r="FR153" s="108"/>
      <c r="FS153" s="108"/>
      <c r="FT153" s="108"/>
      <c r="FU153" s="108"/>
      <c r="FV153" s="108"/>
      <c r="FW153" s="108"/>
      <c r="FX153" s="108"/>
      <c r="FY153" s="108"/>
      <c r="FZ153" s="270"/>
      <c r="GA153" s="270"/>
      <c r="GB153" s="267"/>
      <c r="GC153" s="267"/>
    </row>
    <row r="154" spans="1:185" s="109" customFormat="1" x14ac:dyDescent="0.25">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8"/>
      <c r="DM154" s="108"/>
      <c r="DN154" s="108"/>
      <c r="DO154" s="108"/>
      <c r="DP154" s="108"/>
      <c r="DQ154" s="108"/>
      <c r="DR154" s="108"/>
      <c r="DS154" s="108"/>
      <c r="DT154" s="108"/>
      <c r="DU154" s="108"/>
      <c r="DV154" s="108"/>
      <c r="DW154" s="108"/>
      <c r="DX154" s="108"/>
      <c r="DY154" s="108"/>
      <c r="DZ154" s="108"/>
      <c r="EA154" s="108"/>
      <c r="EB154" s="108"/>
      <c r="EC154" s="108"/>
      <c r="ED154" s="108"/>
      <c r="EE154" s="108"/>
      <c r="EF154" s="108"/>
      <c r="EG154" s="108"/>
      <c r="EH154" s="108"/>
      <c r="EI154" s="108"/>
      <c r="EJ154" s="108"/>
      <c r="EK154" s="108"/>
      <c r="EL154" s="108"/>
      <c r="EM154" s="108"/>
      <c r="EN154" s="108"/>
      <c r="EO154" s="108"/>
      <c r="EP154" s="108"/>
      <c r="EQ154" s="108"/>
      <c r="ER154" s="108"/>
      <c r="ES154" s="108"/>
      <c r="ET154" s="108"/>
      <c r="EU154" s="108"/>
      <c r="EV154" s="108"/>
      <c r="EW154" s="108"/>
      <c r="EX154" s="108"/>
      <c r="EY154" s="108"/>
      <c r="EZ154" s="108"/>
      <c r="FA154" s="108"/>
      <c r="FB154" s="108"/>
      <c r="FC154" s="108"/>
      <c r="FD154" s="108"/>
      <c r="FE154" s="108"/>
      <c r="FF154" s="108"/>
      <c r="FG154" s="108"/>
      <c r="FH154" s="108"/>
      <c r="FI154" s="108"/>
      <c r="FJ154" s="108"/>
      <c r="FK154" s="108"/>
      <c r="FL154" s="108"/>
      <c r="FM154" s="108"/>
      <c r="FN154" s="108"/>
      <c r="FO154" s="108"/>
      <c r="FP154" s="108"/>
      <c r="FQ154" s="108"/>
      <c r="FR154" s="108"/>
      <c r="FS154" s="108"/>
      <c r="FT154" s="108"/>
      <c r="FU154" s="108"/>
      <c r="FV154" s="108"/>
      <c r="FW154" s="108"/>
      <c r="FX154" s="108"/>
      <c r="FY154" s="108"/>
      <c r="FZ154" s="270"/>
      <c r="GA154" s="270"/>
      <c r="GB154" s="267"/>
      <c r="GC154" s="267"/>
    </row>
    <row r="155" spans="1:185" s="109" customFormat="1" x14ac:dyDescent="0.25">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c r="CK155" s="108"/>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8"/>
      <c r="DM155" s="108"/>
      <c r="DN155" s="108"/>
      <c r="DO155" s="108"/>
      <c r="DP155" s="108"/>
      <c r="DQ155" s="108"/>
      <c r="DR155" s="108"/>
      <c r="DS155" s="108"/>
      <c r="DT155" s="108"/>
      <c r="DU155" s="108"/>
      <c r="DV155" s="108"/>
      <c r="DW155" s="108"/>
      <c r="DX155" s="108"/>
      <c r="DY155" s="108"/>
      <c r="DZ155" s="108"/>
      <c r="EA155" s="108"/>
      <c r="EB155" s="108"/>
      <c r="EC155" s="108"/>
      <c r="ED155" s="108"/>
      <c r="EE155" s="108"/>
      <c r="EF155" s="108"/>
      <c r="EG155" s="108"/>
      <c r="EH155" s="108"/>
      <c r="EI155" s="108"/>
      <c r="EJ155" s="108"/>
      <c r="EK155" s="108"/>
      <c r="EL155" s="108"/>
      <c r="EM155" s="108"/>
      <c r="EN155" s="108"/>
      <c r="EO155" s="108"/>
      <c r="EP155" s="108"/>
      <c r="EQ155" s="108"/>
      <c r="ER155" s="108"/>
      <c r="ES155" s="108"/>
      <c r="ET155" s="108"/>
      <c r="EU155" s="108"/>
      <c r="EV155" s="108"/>
      <c r="EW155" s="108"/>
      <c r="EX155" s="108"/>
      <c r="EY155" s="108"/>
      <c r="EZ155" s="108"/>
      <c r="FA155" s="108"/>
      <c r="FB155" s="108"/>
      <c r="FC155" s="108"/>
      <c r="FD155" s="108"/>
      <c r="FE155" s="108"/>
      <c r="FF155" s="108"/>
      <c r="FG155" s="108"/>
      <c r="FH155" s="108"/>
      <c r="FI155" s="108"/>
      <c r="FJ155" s="108"/>
      <c r="FK155" s="108"/>
      <c r="FL155" s="108"/>
      <c r="FM155" s="108"/>
      <c r="FN155" s="108"/>
      <c r="FO155" s="108"/>
      <c r="FP155" s="108"/>
      <c r="FQ155" s="108"/>
      <c r="FR155" s="108"/>
      <c r="FS155" s="108"/>
      <c r="FT155" s="108"/>
      <c r="FU155" s="108"/>
      <c r="FV155" s="108"/>
      <c r="FW155" s="108"/>
      <c r="FX155" s="108"/>
      <c r="FY155" s="108"/>
      <c r="FZ155" s="270"/>
      <c r="GA155" s="270"/>
      <c r="GB155" s="267"/>
      <c r="GC155" s="267"/>
    </row>
    <row r="156" spans="1:185" s="109" customFormat="1" x14ac:dyDescent="0.25">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c r="CK156" s="108"/>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8"/>
      <c r="DM156" s="108"/>
      <c r="DN156" s="108"/>
      <c r="DO156" s="108"/>
      <c r="DP156" s="108"/>
      <c r="DQ156" s="108"/>
      <c r="DR156" s="108"/>
      <c r="DS156" s="108"/>
      <c r="DT156" s="108"/>
      <c r="DU156" s="108"/>
      <c r="DV156" s="108"/>
      <c r="DW156" s="108"/>
      <c r="DX156" s="108"/>
      <c r="DY156" s="108"/>
      <c r="DZ156" s="108"/>
      <c r="EA156" s="108"/>
      <c r="EB156" s="108"/>
      <c r="EC156" s="108"/>
      <c r="ED156" s="108"/>
      <c r="EE156" s="108"/>
      <c r="EF156" s="108"/>
      <c r="EG156" s="108"/>
      <c r="EH156" s="108"/>
      <c r="EI156" s="108"/>
      <c r="EJ156" s="108"/>
      <c r="EK156" s="108"/>
      <c r="EL156" s="108"/>
      <c r="EM156" s="108"/>
      <c r="EN156" s="108"/>
      <c r="EO156" s="108"/>
      <c r="EP156" s="108"/>
      <c r="EQ156" s="108"/>
      <c r="ER156" s="108"/>
      <c r="ES156" s="108"/>
      <c r="ET156" s="108"/>
      <c r="EU156" s="108"/>
      <c r="EV156" s="108"/>
      <c r="EW156" s="108"/>
      <c r="EX156" s="108"/>
      <c r="EY156" s="108"/>
      <c r="EZ156" s="108"/>
      <c r="FA156" s="108"/>
      <c r="FB156" s="108"/>
      <c r="FC156" s="108"/>
      <c r="FD156" s="108"/>
      <c r="FE156" s="108"/>
      <c r="FF156" s="108"/>
      <c r="FG156" s="108"/>
      <c r="FH156" s="108"/>
      <c r="FI156" s="108"/>
      <c r="FJ156" s="108"/>
      <c r="FK156" s="108"/>
      <c r="FL156" s="108"/>
      <c r="FM156" s="108"/>
      <c r="FN156" s="108"/>
      <c r="FO156" s="108"/>
      <c r="FP156" s="108"/>
      <c r="FQ156" s="108"/>
      <c r="FR156" s="108"/>
      <c r="FS156" s="108"/>
      <c r="FT156" s="108"/>
      <c r="FU156" s="108"/>
      <c r="FV156" s="108"/>
      <c r="FW156" s="108"/>
      <c r="FX156" s="108"/>
      <c r="FY156" s="108"/>
      <c r="FZ156" s="270"/>
      <c r="GA156" s="270"/>
      <c r="GB156" s="267"/>
      <c r="GC156" s="267"/>
    </row>
    <row r="157" spans="1:185" s="109" customFormat="1" x14ac:dyDescent="0.25">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c r="CK157" s="108"/>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8"/>
      <c r="DM157" s="108"/>
      <c r="DN157" s="108"/>
      <c r="DO157" s="108"/>
      <c r="DP157" s="108"/>
      <c r="DQ157" s="108"/>
      <c r="DR157" s="108"/>
      <c r="DS157" s="108"/>
      <c r="DT157" s="108"/>
      <c r="DU157" s="108"/>
      <c r="DV157" s="108"/>
      <c r="DW157" s="108"/>
      <c r="DX157" s="108"/>
      <c r="DY157" s="108"/>
      <c r="DZ157" s="108"/>
      <c r="EA157" s="108"/>
      <c r="EB157" s="108"/>
      <c r="EC157" s="108"/>
      <c r="ED157" s="108"/>
      <c r="EE157" s="108"/>
      <c r="EF157" s="108"/>
      <c r="EG157" s="108"/>
      <c r="EH157" s="108"/>
      <c r="EI157" s="108"/>
      <c r="EJ157" s="108"/>
      <c r="EK157" s="108"/>
      <c r="EL157" s="108"/>
      <c r="EM157" s="108"/>
      <c r="EN157" s="108"/>
      <c r="EO157" s="108"/>
      <c r="EP157" s="108"/>
      <c r="EQ157" s="108"/>
      <c r="ER157" s="108"/>
      <c r="ES157" s="108"/>
      <c r="ET157" s="108"/>
      <c r="EU157" s="108"/>
      <c r="EV157" s="108"/>
      <c r="EW157" s="108"/>
      <c r="EX157" s="108"/>
      <c r="EY157" s="108"/>
      <c r="EZ157" s="108"/>
      <c r="FA157" s="108"/>
      <c r="FB157" s="108"/>
      <c r="FC157" s="108"/>
      <c r="FD157" s="108"/>
      <c r="FE157" s="108"/>
      <c r="FF157" s="108"/>
      <c r="FG157" s="108"/>
      <c r="FH157" s="108"/>
      <c r="FI157" s="108"/>
      <c r="FJ157" s="108"/>
      <c r="FK157" s="108"/>
      <c r="FL157" s="108"/>
      <c r="FM157" s="108"/>
      <c r="FN157" s="108"/>
      <c r="FO157" s="108"/>
      <c r="FP157" s="108"/>
      <c r="FQ157" s="108"/>
      <c r="FR157" s="108"/>
      <c r="FS157" s="108"/>
      <c r="FT157" s="108"/>
      <c r="FU157" s="108"/>
      <c r="FV157" s="108"/>
      <c r="FW157" s="108"/>
      <c r="FX157" s="108"/>
      <c r="FY157" s="108"/>
      <c r="FZ157" s="270"/>
      <c r="GA157" s="270"/>
      <c r="GB157" s="267"/>
      <c r="GC157" s="267"/>
    </row>
    <row r="158" spans="1:185" s="109" customFormat="1" x14ac:dyDescent="0.25">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8"/>
      <c r="DM158" s="108"/>
      <c r="DN158" s="108"/>
      <c r="DO158" s="108"/>
      <c r="DP158" s="108"/>
      <c r="DQ158" s="108"/>
      <c r="DR158" s="108"/>
      <c r="DS158" s="108"/>
      <c r="DT158" s="108"/>
      <c r="DU158" s="108"/>
      <c r="DV158" s="108"/>
      <c r="DW158" s="108"/>
      <c r="DX158" s="108"/>
      <c r="DY158" s="108"/>
      <c r="DZ158" s="108"/>
      <c r="EA158" s="108"/>
      <c r="EB158" s="108"/>
      <c r="EC158" s="108"/>
      <c r="ED158" s="108"/>
      <c r="EE158" s="108"/>
      <c r="EF158" s="108"/>
      <c r="EG158" s="108"/>
      <c r="EH158" s="108"/>
      <c r="EI158" s="108"/>
      <c r="EJ158" s="108"/>
      <c r="EK158" s="108"/>
      <c r="EL158" s="108"/>
      <c r="EM158" s="108"/>
      <c r="EN158" s="108"/>
      <c r="EO158" s="108"/>
      <c r="EP158" s="108"/>
      <c r="EQ158" s="108"/>
      <c r="ER158" s="108"/>
      <c r="ES158" s="108"/>
      <c r="ET158" s="108"/>
      <c r="EU158" s="108"/>
      <c r="EV158" s="108"/>
      <c r="EW158" s="108"/>
      <c r="EX158" s="108"/>
      <c r="EY158" s="108"/>
      <c r="EZ158" s="108"/>
      <c r="FA158" s="108"/>
      <c r="FB158" s="108"/>
      <c r="FC158" s="108"/>
      <c r="FD158" s="108"/>
      <c r="FE158" s="108"/>
      <c r="FF158" s="108"/>
      <c r="FG158" s="108"/>
      <c r="FH158" s="108"/>
      <c r="FI158" s="108"/>
      <c r="FJ158" s="108"/>
      <c r="FK158" s="108"/>
      <c r="FL158" s="108"/>
      <c r="FM158" s="108"/>
      <c r="FN158" s="108"/>
      <c r="FO158" s="108"/>
      <c r="FP158" s="108"/>
      <c r="FQ158" s="108"/>
      <c r="FR158" s="108"/>
      <c r="FS158" s="108"/>
      <c r="FT158" s="108"/>
      <c r="FU158" s="108"/>
      <c r="FV158" s="108"/>
      <c r="FW158" s="108"/>
      <c r="FX158" s="108"/>
      <c r="FY158" s="108"/>
      <c r="FZ158" s="270"/>
      <c r="GA158" s="270"/>
      <c r="GB158" s="267"/>
      <c r="GC158" s="267"/>
    </row>
    <row r="159" spans="1:185" s="109" customFormat="1" x14ac:dyDescent="0.25">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8"/>
      <c r="DM159" s="108"/>
      <c r="DN159" s="108"/>
      <c r="DO159" s="108"/>
      <c r="DP159" s="108"/>
      <c r="DQ159" s="108"/>
      <c r="DR159" s="108"/>
      <c r="DS159" s="108"/>
      <c r="DT159" s="108"/>
      <c r="DU159" s="108"/>
      <c r="DV159" s="108"/>
      <c r="DW159" s="108"/>
      <c r="DX159" s="108"/>
      <c r="DY159" s="108"/>
      <c r="DZ159" s="108"/>
      <c r="EA159" s="108"/>
      <c r="EB159" s="108"/>
      <c r="EC159" s="108"/>
      <c r="ED159" s="108"/>
      <c r="EE159" s="108"/>
      <c r="EF159" s="108"/>
      <c r="EG159" s="108"/>
      <c r="EH159" s="108"/>
      <c r="EI159" s="108"/>
      <c r="EJ159" s="108"/>
      <c r="EK159" s="108"/>
      <c r="EL159" s="108"/>
      <c r="EM159" s="108"/>
      <c r="EN159" s="108"/>
      <c r="EO159" s="108"/>
      <c r="EP159" s="108"/>
      <c r="EQ159" s="108"/>
      <c r="ER159" s="108"/>
      <c r="ES159" s="108"/>
      <c r="ET159" s="108"/>
      <c r="EU159" s="108"/>
      <c r="EV159" s="108"/>
      <c r="EW159" s="108"/>
      <c r="EX159" s="108"/>
      <c r="EY159" s="108"/>
      <c r="EZ159" s="108"/>
      <c r="FA159" s="108"/>
      <c r="FB159" s="108"/>
      <c r="FC159" s="108"/>
      <c r="FD159" s="108"/>
      <c r="FE159" s="108"/>
      <c r="FF159" s="108"/>
      <c r="FG159" s="108"/>
      <c r="FH159" s="108"/>
      <c r="FI159" s="108"/>
      <c r="FJ159" s="108"/>
      <c r="FK159" s="108"/>
      <c r="FL159" s="108"/>
      <c r="FM159" s="108"/>
      <c r="FN159" s="108"/>
      <c r="FO159" s="108"/>
      <c r="FP159" s="108"/>
      <c r="FQ159" s="108"/>
      <c r="FR159" s="108"/>
      <c r="FS159" s="108"/>
      <c r="FT159" s="108"/>
      <c r="FU159" s="108"/>
      <c r="FV159" s="108"/>
      <c r="FW159" s="108"/>
      <c r="FX159" s="108"/>
      <c r="FY159" s="108"/>
      <c r="FZ159" s="270"/>
      <c r="GA159" s="270"/>
      <c r="GB159" s="267"/>
      <c r="GC159" s="267"/>
    </row>
    <row r="160" spans="1:185" s="109" customFormat="1" x14ac:dyDescent="0.25">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c r="AD160" s="108"/>
      <c r="AE160" s="108"/>
      <c r="AF160" s="108"/>
      <c r="AG160" s="108"/>
      <c r="AH160" s="108"/>
      <c r="AI160" s="108"/>
      <c r="AJ160" s="108"/>
      <c r="AK160" s="108"/>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c r="CK160" s="108"/>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8"/>
      <c r="DM160" s="108"/>
      <c r="DN160" s="108"/>
      <c r="DO160" s="108"/>
      <c r="DP160" s="108"/>
      <c r="DQ160" s="108"/>
      <c r="DR160" s="108"/>
      <c r="DS160" s="108"/>
      <c r="DT160" s="108"/>
      <c r="DU160" s="108"/>
      <c r="DV160" s="108"/>
      <c r="DW160" s="108"/>
      <c r="DX160" s="108"/>
      <c r="DY160" s="108"/>
      <c r="DZ160" s="108"/>
      <c r="EA160" s="108"/>
      <c r="EB160" s="108"/>
      <c r="EC160" s="108"/>
      <c r="ED160" s="108"/>
      <c r="EE160" s="108"/>
      <c r="EF160" s="108"/>
      <c r="EG160" s="108"/>
      <c r="EH160" s="108"/>
      <c r="EI160" s="108"/>
      <c r="EJ160" s="108"/>
      <c r="EK160" s="108"/>
      <c r="EL160" s="108"/>
      <c r="EM160" s="108"/>
      <c r="EN160" s="108"/>
      <c r="EO160" s="108"/>
      <c r="EP160" s="108"/>
      <c r="EQ160" s="108"/>
      <c r="ER160" s="108"/>
      <c r="ES160" s="108"/>
      <c r="ET160" s="108"/>
      <c r="EU160" s="108"/>
      <c r="EV160" s="108"/>
      <c r="EW160" s="108"/>
      <c r="EX160" s="108"/>
      <c r="EY160" s="108"/>
      <c r="EZ160" s="108"/>
      <c r="FA160" s="108"/>
      <c r="FB160" s="108"/>
      <c r="FC160" s="108"/>
      <c r="FD160" s="108"/>
      <c r="FE160" s="108"/>
      <c r="FF160" s="108"/>
      <c r="FG160" s="108"/>
      <c r="FH160" s="108"/>
      <c r="FI160" s="108"/>
      <c r="FJ160" s="108"/>
      <c r="FK160" s="108"/>
      <c r="FL160" s="108"/>
      <c r="FM160" s="108"/>
      <c r="FN160" s="108"/>
      <c r="FO160" s="108"/>
      <c r="FP160" s="108"/>
      <c r="FQ160" s="108"/>
      <c r="FR160" s="108"/>
      <c r="FS160" s="108"/>
      <c r="FT160" s="108"/>
      <c r="FU160" s="108"/>
      <c r="FV160" s="108"/>
      <c r="FW160" s="108"/>
      <c r="FX160" s="108"/>
      <c r="FY160" s="108"/>
      <c r="FZ160" s="270"/>
      <c r="GA160" s="270"/>
      <c r="GB160" s="267"/>
      <c r="GC160" s="267"/>
    </row>
    <row r="161" spans="1:185" s="109" customFormat="1" x14ac:dyDescent="0.25">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c r="AD161" s="108"/>
      <c r="AE161" s="108"/>
      <c r="AF161" s="108"/>
      <c r="AG161" s="108"/>
      <c r="AH161" s="108"/>
      <c r="AI161" s="108"/>
      <c r="AJ161" s="108"/>
      <c r="AK161" s="108"/>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c r="CK161" s="108"/>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8"/>
      <c r="DM161" s="108"/>
      <c r="DN161" s="108"/>
      <c r="DO161" s="108"/>
      <c r="DP161" s="108"/>
      <c r="DQ161" s="108"/>
      <c r="DR161" s="108"/>
      <c r="DS161" s="108"/>
      <c r="DT161" s="108"/>
      <c r="DU161" s="108"/>
      <c r="DV161" s="108"/>
      <c r="DW161" s="108"/>
      <c r="DX161" s="108"/>
      <c r="DY161" s="108"/>
      <c r="DZ161" s="108"/>
      <c r="EA161" s="108"/>
      <c r="EB161" s="108"/>
      <c r="EC161" s="108"/>
      <c r="ED161" s="108"/>
      <c r="EE161" s="108"/>
      <c r="EF161" s="108"/>
      <c r="EG161" s="108"/>
      <c r="EH161" s="108"/>
      <c r="EI161" s="108"/>
      <c r="EJ161" s="108"/>
      <c r="EK161" s="108"/>
      <c r="EL161" s="108"/>
      <c r="EM161" s="108"/>
      <c r="EN161" s="108"/>
      <c r="EO161" s="108"/>
      <c r="EP161" s="108"/>
      <c r="EQ161" s="108"/>
      <c r="ER161" s="108"/>
      <c r="ES161" s="108"/>
      <c r="ET161" s="108"/>
      <c r="EU161" s="108"/>
      <c r="EV161" s="108"/>
      <c r="EW161" s="108"/>
      <c r="EX161" s="108"/>
      <c r="EY161" s="108"/>
      <c r="EZ161" s="108"/>
      <c r="FA161" s="108"/>
      <c r="FB161" s="108"/>
      <c r="FC161" s="108"/>
      <c r="FD161" s="108"/>
      <c r="FE161" s="108"/>
      <c r="FF161" s="108"/>
      <c r="FG161" s="108"/>
      <c r="FH161" s="108"/>
      <c r="FI161" s="108"/>
      <c r="FJ161" s="108"/>
      <c r="FK161" s="108"/>
      <c r="FL161" s="108"/>
      <c r="FM161" s="108"/>
      <c r="FN161" s="108"/>
      <c r="FO161" s="108"/>
      <c r="FP161" s="108"/>
      <c r="FQ161" s="108"/>
      <c r="FR161" s="108"/>
      <c r="FS161" s="108"/>
      <c r="FT161" s="108"/>
      <c r="FU161" s="108"/>
      <c r="FV161" s="108"/>
      <c r="FW161" s="108"/>
      <c r="FX161" s="108"/>
      <c r="FY161" s="108"/>
      <c r="FZ161" s="270"/>
      <c r="GA161" s="270"/>
      <c r="GB161" s="267"/>
      <c r="GC161" s="267"/>
    </row>
    <row r="162" spans="1:185" s="109" customFormat="1" x14ac:dyDescent="0.25">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c r="AB162" s="108"/>
      <c r="AC162" s="108"/>
      <c r="AD162" s="108"/>
      <c r="AE162" s="108"/>
      <c r="AF162" s="108"/>
      <c r="AG162" s="108"/>
      <c r="AH162" s="108"/>
      <c r="AI162" s="108"/>
      <c r="AJ162" s="108"/>
      <c r="AK162" s="108"/>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c r="CK162" s="108"/>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8"/>
      <c r="DM162" s="108"/>
      <c r="DN162" s="108"/>
      <c r="DO162" s="108"/>
      <c r="DP162" s="108"/>
      <c r="DQ162" s="108"/>
      <c r="DR162" s="108"/>
      <c r="DS162" s="108"/>
      <c r="DT162" s="108"/>
      <c r="DU162" s="108"/>
      <c r="DV162" s="108"/>
      <c r="DW162" s="108"/>
      <c r="DX162" s="108"/>
      <c r="DY162" s="108"/>
      <c r="DZ162" s="108"/>
      <c r="EA162" s="108"/>
      <c r="EB162" s="108"/>
      <c r="EC162" s="108"/>
      <c r="ED162" s="108"/>
      <c r="EE162" s="108"/>
      <c r="EF162" s="108"/>
      <c r="EG162" s="108"/>
      <c r="EH162" s="108"/>
      <c r="EI162" s="108"/>
      <c r="EJ162" s="108"/>
      <c r="EK162" s="108"/>
      <c r="EL162" s="108"/>
      <c r="EM162" s="108"/>
      <c r="EN162" s="108"/>
      <c r="EO162" s="108"/>
      <c r="EP162" s="108"/>
      <c r="EQ162" s="108"/>
      <c r="ER162" s="108"/>
      <c r="ES162" s="108"/>
      <c r="ET162" s="108"/>
      <c r="EU162" s="108"/>
      <c r="EV162" s="108"/>
      <c r="EW162" s="108"/>
      <c r="EX162" s="108"/>
      <c r="EY162" s="108"/>
      <c r="EZ162" s="108"/>
      <c r="FA162" s="108"/>
      <c r="FB162" s="108"/>
      <c r="FC162" s="108"/>
      <c r="FD162" s="108"/>
      <c r="FE162" s="108"/>
      <c r="FF162" s="108"/>
      <c r="FG162" s="108"/>
      <c r="FH162" s="108"/>
      <c r="FI162" s="108"/>
      <c r="FJ162" s="108"/>
      <c r="FK162" s="108"/>
      <c r="FL162" s="108"/>
      <c r="FM162" s="108"/>
      <c r="FN162" s="108"/>
      <c r="FO162" s="108"/>
      <c r="FP162" s="108"/>
      <c r="FQ162" s="108"/>
      <c r="FR162" s="108"/>
      <c r="FS162" s="108"/>
      <c r="FT162" s="108"/>
      <c r="FU162" s="108"/>
      <c r="FV162" s="108"/>
      <c r="FW162" s="108"/>
      <c r="FX162" s="108"/>
      <c r="FY162" s="108"/>
      <c r="FZ162" s="270"/>
      <c r="GA162" s="270"/>
      <c r="GB162" s="267"/>
      <c r="GC162" s="267"/>
    </row>
    <row r="163" spans="1:185" s="109" customFormat="1" x14ac:dyDescent="0.25">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c r="AB163" s="108"/>
      <c r="AC163" s="108"/>
      <c r="AD163" s="108"/>
      <c r="AE163" s="108"/>
      <c r="AF163" s="108"/>
      <c r="AG163" s="108"/>
      <c r="AH163" s="108"/>
      <c r="AI163" s="108"/>
      <c r="AJ163" s="108"/>
      <c r="AK163" s="108"/>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c r="CK163" s="108"/>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8"/>
      <c r="DM163" s="108"/>
      <c r="DN163" s="108"/>
      <c r="DO163" s="108"/>
      <c r="DP163" s="108"/>
      <c r="DQ163" s="108"/>
      <c r="DR163" s="108"/>
      <c r="DS163" s="108"/>
      <c r="DT163" s="108"/>
      <c r="DU163" s="108"/>
      <c r="DV163" s="108"/>
      <c r="DW163" s="108"/>
      <c r="DX163" s="108"/>
      <c r="DY163" s="108"/>
      <c r="DZ163" s="108"/>
      <c r="EA163" s="108"/>
      <c r="EB163" s="108"/>
      <c r="EC163" s="108"/>
      <c r="ED163" s="108"/>
      <c r="EE163" s="108"/>
      <c r="EF163" s="108"/>
      <c r="EG163" s="108"/>
      <c r="EH163" s="108"/>
      <c r="EI163" s="108"/>
      <c r="EJ163" s="108"/>
      <c r="EK163" s="108"/>
      <c r="EL163" s="108"/>
      <c r="EM163" s="108"/>
      <c r="EN163" s="108"/>
      <c r="EO163" s="108"/>
      <c r="EP163" s="108"/>
      <c r="EQ163" s="108"/>
      <c r="ER163" s="108"/>
      <c r="ES163" s="108"/>
      <c r="ET163" s="108"/>
      <c r="EU163" s="108"/>
      <c r="EV163" s="108"/>
      <c r="EW163" s="108"/>
      <c r="EX163" s="108"/>
      <c r="EY163" s="108"/>
      <c r="EZ163" s="108"/>
      <c r="FA163" s="108"/>
      <c r="FB163" s="108"/>
      <c r="FC163" s="108"/>
      <c r="FD163" s="108"/>
      <c r="FE163" s="108"/>
      <c r="FF163" s="108"/>
      <c r="FG163" s="108"/>
      <c r="FH163" s="108"/>
      <c r="FI163" s="108"/>
      <c r="FJ163" s="108"/>
      <c r="FK163" s="108"/>
      <c r="FL163" s="108"/>
      <c r="FM163" s="108"/>
      <c r="FN163" s="108"/>
      <c r="FO163" s="108"/>
      <c r="FP163" s="108"/>
      <c r="FQ163" s="108"/>
      <c r="FR163" s="108"/>
      <c r="FS163" s="108"/>
      <c r="FT163" s="108"/>
      <c r="FU163" s="108"/>
      <c r="FV163" s="108"/>
      <c r="FW163" s="108"/>
      <c r="FX163" s="108"/>
      <c r="FY163" s="108"/>
      <c r="FZ163" s="270"/>
      <c r="GA163" s="270"/>
      <c r="GB163" s="267"/>
      <c r="GC163" s="267"/>
    </row>
    <row r="164" spans="1:185" s="109" customFormat="1" x14ac:dyDescent="0.25">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8"/>
      <c r="DM164" s="108"/>
      <c r="DN164" s="108"/>
      <c r="DO164" s="108"/>
      <c r="DP164" s="108"/>
      <c r="DQ164" s="108"/>
      <c r="DR164" s="108"/>
      <c r="DS164" s="108"/>
      <c r="DT164" s="108"/>
      <c r="DU164" s="108"/>
      <c r="DV164" s="108"/>
      <c r="DW164" s="108"/>
      <c r="DX164" s="108"/>
      <c r="DY164" s="108"/>
      <c r="DZ164" s="108"/>
      <c r="EA164" s="108"/>
      <c r="EB164" s="108"/>
      <c r="EC164" s="108"/>
      <c r="ED164" s="108"/>
      <c r="EE164" s="108"/>
      <c r="EF164" s="108"/>
      <c r="EG164" s="108"/>
      <c r="EH164" s="108"/>
      <c r="EI164" s="108"/>
      <c r="EJ164" s="108"/>
      <c r="EK164" s="108"/>
      <c r="EL164" s="108"/>
      <c r="EM164" s="108"/>
      <c r="EN164" s="108"/>
      <c r="EO164" s="108"/>
      <c r="EP164" s="108"/>
      <c r="EQ164" s="108"/>
      <c r="ER164" s="108"/>
      <c r="ES164" s="108"/>
      <c r="ET164" s="108"/>
      <c r="EU164" s="108"/>
      <c r="EV164" s="108"/>
      <c r="EW164" s="108"/>
      <c r="EX164" s="108"/>
      <c r="EY164" s="108"/>
      <c r="EZ164" s="108"/>
      <c r="FA164" s="108"/>
      <c r="FB164" s="108"/>
      <c r="FC164" s="108"/>
      <c r="FD164" s="108"/>
      <c r="FE164" s="108"/>
      <c r="FF164" s="108"/>
      <c r="FG164" s="108"/>
      <c r="FH164" s="108"/>
      <c r="FI164" s="108"/>
      <c r="FJ164" s="108"/>
      <c r="FK164" s="108"/>
      <c r="FL164" s="108"/>
      <c r="FM164" s="108"/>
      <c r="FN164" s="108"/>
      <c r="FO164" s="108"/>
      <c r="FP164" s="108"/>
      <c r="FQ164" s="108"/>
      <c r="FR164" s="108"/>
      <c r="FS164" s="108"/>
      <c r="FT164" s="108"/>
      <c r="FU164" s="108"/>
      <c r="FV164" s="108"/>
      <c r="FW164" s="108"/>
      <c r="FX164" s="108"/>
      <c r="FY164" s="108"/>
      <c r="FZ164" s="270"/>
      <c r="GA164" s="270"/>
      <c r="GB164" s="267"/>
      <c r="GC164" s="267"/>
    </row>
    <row r="165" spans="1:185" s="109" customFormat="1" x14ac:dyDescent="0.25">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c r="AB165" s="108"/>
      <c r="AC165" s="108"/>
      <c r="AD165" s="108"/>
      <c r="AE165" s="108"/>
      <c r="AF165" s="108"/>
      <c r="AG165" s="108"/>
      <c r="AH165" s="108"/>
      <c r="AI165" s="108"/>
      <c r="AJ165" s="108"/>
      <c r="AK165" s="108"/>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c r="CK165" s="108"/>
      <c r="CL165" s="108"/>
      <c r="CM165" s="108"/>
      <c r="CN165" s="108"/>
      <c r="CO165" s="108"/>
      <c r="CP165" s="108"/>
      <c r="CQ165" s="108"/>
      <c r="CR165" s="108"/>
      <c r="CS165" s="108"/>
      <c r="CT165" s="108"/>
      <c r="CU165" s="108"/>
      <c r="CV165" s="108"/>
      <c r="CW165" s="108"/>
      <c r="CX165" s="108"/>
      <c r="CY165" s="108"/>
      <c r="CZ165" s="108"/>
      <c r="DA165" s="108"/>
      <c r="DB165" s="108"/>
      <c r="DC165" s="108"/>
      <c r="DD165" s="108"/>
      <c r="DE165" s="108"/>
      <c r="DF165" s="108"/>
      <c r="DG165" s="108"/>
      <c r="DH165" s="108"/>
      <c r="DI165" s="108"/>
      <c r="DJ165" s="108"/>
      <c r="DK165" s="108"/>
      <c r="DL165" s="108"/>
      <c r="DM165" s="108"/>
      <c r="DN165" s="108"/>
      <c r="DO165" s="108"/>
      <c r="DP165" s="108"/>
      <c r="DQ165" s="108"/>
      <c r="DR165" s="108"/>
      <c r="DS165" s="108"/>
      <c r="DT165" s="108"/>
      <c r="DU165" s="108"/>
      <c r="DV165" s="108"/>
      <c r="DW165" s="108"/>
      <c r="DX165" s="108"/>
      <c r="DY165" s="108"/>
      <c r="DZ165" s="108"/>
      <c r="EA165" s="108"/>
      <c r="EB165" s="108"/>
      <c r="EC165" s="108"/>
      <c r="ED165" s="108"/>
      <c r="EE165" s="108"/>
      <c r="EF165" s="108"/>
      <c r="EG165" s="108"/>
      <c r="EH165" s="108"/>
      <c r="EI165" s="108"/>
      <c r="EJ165" s="108"/>
      <c r="EK165" s="108"/>
      <c r="EL165" s="108"/>
      <c r="EM165" s="108"/>
      <c r="EN165" s="108"/>
      <c r="EO165" s="108"/>
      <c r="EP165" s="108"/>
      <c r="EQ165" s="108"/>
      <c r="ER165" s="108"/>
      <c r="ES165" s="108"/>
      <c r="ET165" s="108"/>
      <c r="EU165" s="108"/>
      <c r="EV165" s="108"/>
      <c r="EW165" s="108"/>
      <c r="EX165" s="108"/>
      <c r="EY165" s="108"/>
      <c r="EZ165" s="108"/>
      <c r="FA165" s="108"/>
      <c r="FB165" s="108"/>
      <c r="FC165" s="108"/>
      <c r="FD165" s="108"/>
      <c r="FE165" s="108"/>
      <c r="FF165" s="108"/>
      <c r="FG165" s="108"/>
      <c r="FH165" s="108"/>
      <c r="FI165" s="108"/>
      <c r="FJ165" s="108"/>
      <c r="FK165" s="108"/>
      <c r="FL165" s="108"/>
      <c r="FM165" s="108"/>
      <c r="FN165" s="108"/>
      <c r="FO165" s="108"/>
      <c r="FP165" s="108"/>
      <c r="FQ165" s="108"/>
      <c r="FR165" s="108"/>
      <c r="FS165" s="108"/>
      <c r="FT165" s="108"/>
      <c r="FU165" s="108"/>
      <c r="FV165" s="108"/>
      <c r="FW165" s="108"/>
      <c r="FX165" s="108"/>
      <c r="FY165" s="108"/>
      <c r="FZ165" s="270"/>
      <c r="GA165" s="270"/>
      <c r="GB165" s="267"/>
      <c r="GC165" s="267"/>
    </row>
    <row r="166" spans="1:185" s="109" customFormat="1" x14ac:dyDescent="0.25">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c r="AB166" s="108"/>
      <c r="AC166" s="108"/>
      <c r="AD166" s="108"/>
      <c r="AE166" s="108"/>
      <c r="AF166" s="108"/>
      <c r="AG166" s="108"/>
      <c r="AH166" s="108"/>
      <c r="AI166" s="108"/>
      <c r="AJ166" s="108"/>
      <c r="AK166" s="108"/>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c r="CK166" s="108"/>
      <c r="CL166" s="108"/>
      <c r="CM166" s="108"/>
      <c r="CN166" s="108"/>
      <c r="CO166" s="108"/>
      <c r="CP166" s="108"/>
      <c r="CQ166" s="108"/>
      <c r="CR166" s="108"/>
      <c r="CS166" s="108"/>
      <c r="CT166" s="108"/>
      <c r="CU166" s="108"/>
      <c r="CV166" s="108"/>
      <c r="CW166" s="108"/>
      <c r="CX166" s="108"/>
      <c r="CY166" s="108"/>
      <c r="CZ166" s="108"/>
      <c r="DA166" s="108"/>
      <c r="DB166" s="108"/>
      <c r="DC166" s="108"/>
      <c r="DD166" s="108"/>
      <c r="DE166" s="108"/>
      <c r="DF166" s="108"/>
      <c r="DG166" s="108"/>
      <c r="DH166" s="108"/>
      <c r="DI166" s="108"/>
      <c r="DJ166" s="108"/>
      <c r="DK166" s="108"/>
      <c r="DL166" s="108"/>
      <c r="DM166" s="108"/>
      <c r="DN166" s="108"/>
      <c r="DO166" s="108"/>
      <c r="DP166" s="108"/>
      <c r="DQ166" s="108"/>
      <c r="DR166" s="108"/>
      <c r="DS166" s="108"/>
      <c r="DT166" s="108"/>
      <c r="DU166" s="108"/>
      <c r="DV166" s="108"/>
      <c r="DW166" s="108"/>
      <c r="DX166" s="108"/>
      <c r="DY166" s="108"/>
      <c r="DZ166" s="108"/>
      <c r="EA166" s="108"/>
      <c r="EB166" s="108"/>
      <c r="EC166" s="108"/>
      <c r="ED166" s="108"/>
      <c r="EE166" s="108"/>
      <c r="EF166" s="108"/>
      <c r="EG166" s="108"/>
      <c r="EH166" s="108"/>
      <c r="EI166" s="108"/>
      <c r="EJ166" s="108"/>
      <c r="EK166" s="108"/>
      <c r="EL166" s="108"/>
      <c r="EM166" s="108"/>
      <c r="EN166" s="108"/>
      <c r="EO166" s="108"/>
      <c r="EP166" s="108"/>
      <c r="EQ166" s="108"/>
      <c r="ER166" s="108"/>
      <c r="ES166" s="108"/>
      <c r="ET166" s="108"/>
      <c r="EU166" s="108"/>
      <c r="EV166" s="108"/>
      <c r="EW166" s="108"/>
      <c r="EX166" s="108"/>
      <c r="EY166" s="108"/>
      <c r="EZ166" s="108"/>
      <c r="FA166" s="108"/>
      <c r="FB166" s="108"/>
      <c r="FC166" s="108"/>
      <c r="FD166" s="108"/>
      <c r="FE166" s="108"/>
      <c r="FF166" s="108"/>
      <c r="FG166" s="108"/>
      <c r="FH166" s="108"/>
      <c r="FI166" s="108"/>
      <c r="FJ166" s="108"/>
      <c r="FK166" s="108"/>
      <c r="FL166" s="108"/>
      <c r="FM166" s="108"/>
      <c r="FN166" s="108"/>
      <c r="FO166" s="108"/>
      <c r="FP166" s="108"/>
      <c r="FQ166" s="108"/>
      <c r="FR166" s="108"/>
      <c r="FS166" s="108"/>
      <c r="FT166" s="108"/>
      <c r="FU166" s="108"/>
      <c r="FV166" s="108"/>
      <c r="FW166" s="108"/>
      <c r="FX166" s="108"/>
      <c r="FY166" s="108"/>
      <c r="FZ166" s="270"/>
      <c r="GA166" s="270"/>
      <c r="GB166" s="267"/>
      <c r="GC166" s="267"/>
    </row>
    <row r="167" spans="1:185" s="109" customFormat="1" x14ac:dyDescent="0.25">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c r="DA167" s="108"/>
      <c r="DB167" s="108"/>
      <c r="DC167" s="108"/>
      <c r="DD167" s="108"/>
      <c r="DE167" s="108"/>
      <c r="DF167" s="108"/>
      <c r="DG167" s="108"/>
      <c r="DH167" s="108"/>
      <c r="DI167" s="108"/>
      <c r="DJ167" s="108"/>
      <c r="DK167" s="108"/>
      <c r="DL167" s="108"/>
      <c r="DM167" s="108"/>
      <c r="DN167" s="108"/>
      <c r="DO167" s="108"/>
      <c r="DP167" s="108"/>
      <c r="DQ167" s="108"/>
      <c r="DR167" s="108"/>
      <c r="DS167" s="108"/>
      <c r="DT167" s="108"/>
      <c r="DU167" s="108"/>
      <c r="DV167" s="108"/>
      <c r="DW167" s="108"/>
      <c r="DX167" s="108"/>
      <c r="DY167" s="108"/>
      <c r="DZ167" s="108"/>
      <c r="EA167" s="108"/>
      <c r="EB167" s="108"/>
      <c r="EC167" s="108"/>
      <c r="ED167" s="108"/>
      <c r="EE167" s="108"/>
      <c r="EF167" s="108"/>
      <c r="EG167" s="108"/>
      <c r="EH167" s="108"/>
      <c r="EI167" s="108"/>
      <c r="EJ167" s="108"/>
      <c r="EK167" s="108"/>
      <c r="EL167" s="108"/>
      <c r="EM167" s="108"/>
      <c r="EN167" s="108"/>
      <c r="EO167" s="108"/>
      <c r="EP167" s="108"/>
      <c r="EQ167" s="108"/>
      <c r="ER167" s="108"/>
      <c r="ES167" s="108"/>
      <c r="ET167" s="108"/>
      <c r="EU167" s="108"/>
      <c r="EV167" s="108"/>
      <c r="EW167" s="108"/>
      <c r="EX167" s="108"/>
      <c r="EY167" s="108"/>
      <c r="EZ167" s="108"/>
      <c r="FA167" s="108"/>
      <c r="FB167" s="108"/>
      <c r="FC167" s="108"/>
      <c r="FD167" s="108"/>
      <c r="FE167" s="108"/>
      <c r="FF167" s="108"/>
      <c r="FG167" s="108"/>
      <c r="FH167" s="108"/>
      <c r="FI167" s="108"/>
      <c r="FJ167" s="108"/>
      <c r="FK167" s="108"/>
      <c r="FL167" s="108"/>
      <c r="FM167" s="108"/>
      <c r="FN167" s="108"/>
      <c r="FO167" s="108"/>
      <c r="FP167" s="108"/>
      <c r="FQ167" s="108"/>
      <c r="FR167" s="108"/>
      <c r="FS167" s="108"/>
      <c r="FT167" s="108"/>
      <c r="FU167" s="108"/>
      <c r="FV167" s="108"/>
      <c r="FW167" s="108"/>
      <c r="FX167" s="108"/>
      <c r="FY167" s="108"/>
      <c r="FZ167" s="270"/>
      <c r="GA167" s="270"/>
      <c r="GB167" s="267"/>
      <c r="GC167" s="267"/>
    </row>
    <row r="168" spans="1:185" s="109" customFormat="1" x14ac:dyDescent="0.25">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c r="DA168" s="108"/>
      <c r="DB168" s="108"/>
      <c r="DC168" s="108"/>
      <c r="DD168" s="108"/>
      <c r="DE168" s="108"/>
      <c r="DF168" s="108"/>
      <c r="DG168" s="108"/>
      <c r="DH168" s="108"/>
      <c r="DI168" s="108"/>
      <c r="DJ168" s="108"/>
      <c r="DK168" s="108"/>
      <c r="DL168" s="108"/>
      <c r="DM168" s="108"/>
      <c r="DN168" s="108"/>
      <c r="DO168" s="108"/>
      <c r="DP168" s="108"/>
      <c r="DQ168" s="108"/>
      <c r="DR168" s="108"/>
      <c r="DS168" s="108"/>
      <c r="DT168" s="108"/>
      <c r="DU168" s="108"/>
      <c r="DV168" s="108"/>
      <c r="DW168" s="108"/>
      <c r="DX168" s="108"/>
      <c r="DY168" s="108"/>
      <c r="DZ168" s="108"/>
      <c r="EA168" s="108"/>
      <c r="EB168" s="108"/>
      <c r="EC168" s="108"/>
      <c r="ED168" s="108"/>
      <c r="EE168" s="108"/>
      <c r="EF168" s="108"/>
      <c r="EG168" s="108"/>
      <c r="EH168" s="108"/>
      <c r="EI168" s="108"/>
      <c r="EJ168" s="108"/>
      <c r="EK168" s="108"/>
      <c r="EL168" s="108"/>
      <c r="EM168" s="108"/>
      <c r="EN168" s="108"/>
      <c r="EO168" s="108"/>
      <c r="EP168" s="108"/>
      <c r="EQ168" s="108"/>
      <c r="ER168" s="108"/>
      <c r="ES168" s="108"/>
      <c r="ET168" s="108"/>
      <c r="EU168" s="108"/>
      <c r="EV168" s="108"/>
      <c r="EW168" s="108"/>
      <c r="EX168" s="108"/>
      <c r="EY168" s="108"/>
      <c r="EZ168" s="108"/>
      <c r="FA168" s="108"/>
      <c r="FB168" s="108"/>
      <c r="FC168" s="108"/>
      <c r="FD168" s="108"/>
      <c r="FE168" s="108"/>
      <c r="FF168" s="108"/>
      <c r="FG168" s="108"/>
      <c r="FH168" s="108"/>
      <c r="FI168" s="108"/>
      <c r="FJ168" s="108"/>
      <c r="FK168" s="108"/>
      <c r="FL168" s="108"/>
      <c r="FM168" s="108"/>
      <c r="FN168" s="108"/>
      <c r="FO168" s="108"/>
      <c r="FP168" s="108"/>
      <c r="FQ168" s="108"/>
      <c r="FR168" s="108"/>
      <c r="FS168" s="108"/>
      <c r="FT168" s="108"/>
      <c r="FU168" s="108"/>
      <c r="FV168" s="108"/>
      <c r="FW168" s="108"/>
      <c r="FX168" s="108"/>
      <c r="FY168" s="108"/>
      <c r="FZ168" s="270"/>
      <c r="GA168" s="270"/>
      <c r="GB168" s="267"/>
      <c r="GC168" s="267"/>
    </row>
    <row r="169" spans="1:185" s="109" customFormat="1" x14ac:dyDescent="0.25">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8"/>
      <c r="DD169" s="108"/>
      <c r="DE169" s="108"/>
      <c r="DF169" s="108"/>
      <c r="DG169" s="108"/>
      <c r="DH169" s="108"/>
      <c r="DI169" s="108"/>
      <c r="DJ169" s="108"/>
      <c r="DK169" s="108"/>
      <c r="DL169" s="108"/>
      <c r="DM169" s="108"/>
      <c r="DN169" s="108"/>
      <c r="DO169" s="108"/>
      <c r="DP169" s="108"/>
      <c r="DQ169" s="108"/>
      <c r="DR169" s="108"/>
      <c r="DS169" s="108"/>
      <c r="DT169" s="108"/>
      <c r="DU169" s="108"/>
      <c r="DV169" s="108"/>
      <c r="DW169" s="108"/>
      <c r="DX169" s="108"/>
      <c r="DY169" s="108"/>
      <c r="DZ169" s="108"/>
      <c r="EA169" s="108"/>
      <c r="EB169" s="108"/>
      <c r="EC169" s="108"/>
      <c r="ED169" s="108"/>
      <c r="EE169" s="108"/>
      <c r="EF169" s="108"/>
      <c r="EG169" s="108"/>
      <c r="EH169" s="108"/>
      <c r="EI169" s="108"/>
      <c r="EJ169" s="108"/>
      <c r="EK169" s="108"/>
      <c r="EL169" s="108"/>
      <c r="EM169" s="108"/>
      <c r="EN169" s="108"/>
      <c r="EO169" s="108"/>
      <c r="EP169" s="108"/>
      <c r="EQ169" s="108"/>
      <c r="ER169" s="108"/>
      <c r="ES169" s="108"/>
      <c r="ET169" s="108"/>
      <c r="EU169" s="108"/>
      <c r="EV169" s="108"/>
      <c r="EW169" s="108"/>
      <c r="EX169" s="108"/>
      <c r="EY169" s="108"/>
      <c r="EZ169" s="108"/>
      <c r="FA169" s="108"/>
      <c r="FB169" s="108"/>
      <c r="FC169" s="108"/>
      <c r="FD169" s="108"/>
      <c r="FE169" s="108"/>
      <c r="FF169" s="108"/>
      <c r="FG169" s="108"/>
      <c r="FH169" s="108"/>
      <c r="FI169" s="108"/>
      <c r="FJ169" s="108"/>
      <c r="FK169" s="108"/>
      <c r="FL169" s="108"/>
      <c r="FM169" s="108"/>
      <c r="FN169" s="108"/>
      <c r="FO169" s="108"/>
      <c r="FP169" s="108"/>
      <c r="FQ169" s="108"/>
      <c r="FR169" s="108"/>
      <c r="FS169" s="108"/>
      <c r="FT169" s="108"/>
      <c r="FU169" s="108"/>
      <c r="FV169" s="108"/>
      <c r="FW169" s="108"/>
      <c r="FX169" s="108"/>
      <c r="FY169" s="108"/>
      <c r="FZ169" s="270"/>
      <c r="GA169" s="270"/>
      <c r="GB169" s="267"/>
      <c r="GC169" s="267"/>
    </row>
    <row r="170" spans="1:185" s="109" customFormat="1" x14ac:dyDescent="0.25">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8"/>
      <c r="DD170" s="108"/>
      <c r="DE170" s="108"/>
      <c r="DF170" s="108"/>
      <c r="DG170" s="108"/>
      <c r="DH170" s="108"/>
      <c r="DI170" s="108"/>
      <c r="DJ170" s="108"/>
      <c r="DK170" s="108"/>
      <c r="DL170" s="108"/>
      <c r="DM170" s="108"/>
      <c r="DN170" s="108"/>
      <c r="DO170" s="108"/>
      <c r="DP170" s="108"/>
      <c r="DQ170" s="108"/>
      <c r="DR170" s="108"/>
      <c r="DS170" s="108"/>
      <c r="DT170" s="108"/>
      <c r="DU170" s="108"/>
      <c r="DV170" s="108"/>
      <c r="DW170" s="108"/>
      <c r="DX170" s="108"/>
      <c r="DY170" s="108"/>
      <c r="DZ170" s="108"/>
      <c r="EA170" s="108"/>
      <c r="EB170" s="108"/>
      <c r="EC170" s="108"/>
      <c r="ED170" s="108"/>
      <c r="EE170" s="108"/>
      <c r="EF170" s="108"/>
      <c r="EG170" s="108"/>
      <c r="EH170" s="108"/>
      <c r="EI170" s="108"/>
      <c r="EJ170" s="108"/>
      <c r="EK170" s="108"/>
      <c r="EL170" s="108"/>
      <c r="EM170" s="108"/>
      <c r="EN170" s="108"/>
      <c r="EO170" s="108"/>
      <c r="EP170" s="108"/>
      <c r="EQ170" s="108"/>
      <c r="ER170" s="108"/>
      <c r="ES170" s="108"/>
      <c r="ET170" s="108"/>
      <c r="EU170" s="108"/>
      <c r="EV170" s="108"/>
      <c r="EW170" s="108"/>
      <c r="EX170" s="108"/>
      <c r="EY170" s="108"/>
      <c r="EZ170" s="108"/>
      <c r="FA170" s="108"/>
      <c r="FB170" s="108"/>
      <c r="FC170" s="108"/>
      <c r="FD170" s="108"/>
      <c r="FE170" s="108"/>
      <c r="FF170" s="108"/>
      <c r="FG170" s="108"/>
      <c r="FH170" s="108"/>
      <c r="FI170" s="108"/>
      <c r="FJ170" s="108"/>
      <c r="FK170" s="108"/>
      <c r="FL170" s="108"/>
      <c r="FM170" s="108"/>
      <c r="FN170" s="108"/>
      <c r="FO170" s="108"/>
      <c r="FP170" s="108"/>
      <c r="FQ170" s="108"/>
      <c r="FR170" s="108"/>
      <c r="FS170" s="108"/>
      <c r="FT170" s="108"/>
      <c r="FU170" s="108"/>
      <c r="FV170" s="108"/>
      <c r="FW170" s="108"/>
      <c r="FX170" s="108"/>
      <c r="FY170" s="108"/>
      <c r="FZ170" s="270"/>
      <c r="GA170" s="270"/>
      <c r="GB170" s="267"/>
      <c r="GC170" s="267"/>
    </row>
    <row r="171" spans="1:185" s="109" customFormat="1" x14ac:dyDescent="0.25">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8"/>
      <c r="DM171" s="108"/>
      <c r="DN171" s="108"/>
      <c r="DO171" s="108"/>
      <c r="DP171" s="108"/>
      <c r="DQ171" s="108"/>
      <c r="DR171" s="108"/>
      <c r="DS171" s="108"/>
      <c r="DT171" s="108"/>
      <c r="DU171" s="108"/>
      <c r="DV171" s="108"/>
      <c r="DW171" s="108"/>
      <c r="DX171" s="108"/>
      <c r="DY171" s="108"/>
      <c r="DZ171" s="108"/>
      <c r="EA171" s="108"/>
      <c r="EB171" s="108"/>
      <c r="EC171" s="108"/>
      <c r="ED171" s="108"/>
      <c r="EE171" s="108"/>
      <c r="EF171" s="108"/>
      <c r="EG171" s="108"/>
      <c r="EH171" s="108"/>
      <c r="EI171" s="108"/>
      <c r="EJ171" s="108"/>
      <c r="EK171" s="108"/>
      <c r="EL171" s="108"/>
      <c r="EM171" s="108"/>
      <c r="EN171" s="108"/>
      <c r="EO171" s="108"/>
      <c r="EP171" s="108"/>
      <c r="EQ171" s="108"/>
      <c r="ER171" s="108"/>
      <c r="ES171" s="108"/>
      <c r="ET171" s="108"/>
      <c r="EU171" s="108"/>
      <c r="EV171" s="108"/>
      <c r="EW171" s="108"/>
      <c r="EX171" s="108"/>
      <c r="EY171" s="108"/>
      <c r="EZ171" s="108"/>
      <c r="FA171" s="108"/>
      <c r="FB171" s="108"/>
      <c r="FC171" s="108"/>
      <c r="FD171" s="108"/>
      <c r="FE171" s="108"/>
      <c r="FF171" s="108"/>
      <c r="FG171" s="108"/>
      <c r="FH171" s="108"/>
      <c r="FI171" s="108"/>
      <c r="FJ171" s="108"/>
      <c r="FK171" s="108"/>
      <c r="FL171" s="108"/>
      <c r="FM171" s="108"/>
      <c r="FN171" s="108"/>
      <c r="FO171" s="108"/>
      <c r="FP171" s="108"/>
      <c r="FQ171" s="108"/>
      <c r="FR171" s="108"/>
      <c r="FS171" s="108"/>
      <c r="FT171" s="108"/>
      <c r="FU171" s="108"/>
      <c r="FV171" s="108"/>
      <c r="FW171" s="108"/>
      <c r="FX171" s="108"/>
      <c r="FY171" s="108"/>
      <c r="FZ171" s="270"/>
      <c r="GA171" s="270"/>
      <c r="GB171" s="267"/>
      <c r="GC171" s="267"/>
    </row>
    <row r="172" spans="1:185" s="109" customFormat="1" x14ac:dyDescent="0.25">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c r="AE172" s="108"/>
      <c r="AF172" s="108"/>
      <c r="AG172" s="108"/>
      <c r="AH172" s="108"/>
      <c r="AI172" s="108"/>
      <c r="AJ172" s="108"/>
      <c r="AK172" s="108"/>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c r="CK172" s="108"/>
      <c r="CL172" s="108"/>
      <c r="CM172" s="108"/>
      <c r="CN172" s="108"/>
      <c r="CO172" s="108"/>
      <c r="CP172" s="108"/>
      <c r="CQ172" s="108"/>
      <c r="CR172" s="108"/>
      <c r="CS172" s="108"/>
      <c r="CT172" s="108"/>
      <c r="CU172" s="108"/>
      <c r="CV172" s="108"/>
      <c r="CW172" s="108"/>
      <c r="CX172" s="108"/>
      <c r="CY172" s="108"/>
      <c r="CZ172" s="108"/>
      <c r="DA172" s="108"/>
      <c r="DB172" s="108"/>
      <c r="DC172" s="108"/>
      <c r="DD172" s="108"/>
      <c r="DE172" s="108"/>
      <c r="DF172" s="108"/>
      <c r="DG172" s="108"/>
      <c r="DH172" s="108"/>
      <c r="DI172" s="108"/>
      <c r="DJ172" s="108"/>
      <c r="DK172" s="108"/>
      <c r="DL172" s="108"/>
      <c r="DM172" s="108"/>
      <c r="DN172" s="108"/>
      <c r="DO172" s="108"/>
      <c r="DP172" s="108"/>
      <c r="DQ172" s="108"/>
      <c r="DR172" s="108"/>
      <c r="DS172" s="108"/>
      <c r="DT172" s="108"/>
      <c r="DU172" s="108"/>
      <c r="DV172" s="108"/>
      <c r="DW172" s="108"/>
      <c r="DX172" s="108"/>
      <c r="DY172" s="108"/>
      <c r="DZ172" s="108"/>
      <c r="EA172" s="108"/>
      <c r="EB172" s="108"/>
      <c r="EC172" s="108"/>
      <c r="ED172" s="108"/>
      <c r="EE172" s="108"/>
      <c r="EF172" s="108"/>
      <c r="EG172" s="108"/>
      <c r="EH172" s="108"/>
      <c r="EI172" s="108"/>
      <c r="EJ172" s="108"/>
      <c r="EK172" s="108"/>
      <c r="EL172" s="108"/>
      <c r="EM172" s="108"/>
      <c r="EN172" s="108"/>
      <c r="EO172" s="108"/>
      <c r="EP172" s="108"/>
      <c r="EQ172" s="108"/>
      <c r="ER172" s="108"/>
      <c r="ES172" s="108"/>
      <c r="ET172" s="108"/>
      <c r="EU172" s="108"/>
      <c r="EV172" s="108"/>
      <c r="EW172" s="108"/>
      <c r="EX172" s="108"/>
      <c r="EY172" s="108"/>
      <c r="EZ172" s="108"/>
      <c r="FA172" s="108"/>
      <c r="FB172" s="108"/>
      <c r="FC172" s="108"/>
      <c r="FD172" s="108"/>
      <c r="FE172" s="108"/>
      <c r="FF172" s="108"/>
      <c r="FG172" s="108"/>
      <c r="FH172" s="108"/>
      <c r="FI172" s="108"/>
      <c r="FJ172" s="108"/>
      <c r="FK172" s="108"/>
      <c r="FL172" s="108"/>
      <c r="FM172" s="108"/>
      <c r="FN172" s="108"/>
      <c r="FO172" s="108"/>
      <c r="FP172" s="108"/>
      <c r="FQ172" s="108"/>
      <c r="FR172" s="108"/>
      <c r="FS172" s="108"/>
      <c r="FT172" s="108"/>
      <c r="FU172" s="108"/>
      <c r="FV172" s="108"/>
      <c r="FW172" s="108"/>
      <c r="FX172" s="108"/>
      <c r="FY172" s="108"/>
      <c r="FZ172" s="270"/>
      <c r="GA172" s="270"/>
      <c r="GB172" s="267"/>
      <c r="GC172" s="267"/>
    </row>
    <row r="173" spans="1:185" s="109" customFormat="1" x14ac:dyDescent="0.25">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c r="AB173" s="108"/>
      <c r="AC173" s="108"/>
      <c r="AD173" s="108"/>
      <c r="AE173" s="108"/>
      <c r="AF173" s="108"/>
      <c r="AG173" s="108"/>
      <c r="AH173" s="108"/>
      <c r="AI173" s="108"/>
      <c r="AJ173" s="108"/>
      <c r="AK173" s="108"/>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8"/>
      <c r="DD173" s="108"/>
      <c r="DE173" s="108"/>
      <c r="DF173" s="108"/>
      <c r="DG173" s="108"/>
      <c r="DH173" s="108"/>
      <c r="DI173" s="108"/>
      <c r="DJ173" s="108"/>
      <c r="DK173" s="108"/>
      <c r="DL173" s="108"/>
      <c r="DM173" s="108"/>
      <c r="DN173" s="108"/>
      <c r="DO173" s="108"/>
      <c r="DP173" s="108"/>
      <c r="DQ173" s="108"/>
      <c r="DR173" s="108"/>
      <c r="DS173" s="108"/>
      <c r="DT173" s="108"/>
      <c r="DU173" s="108"/>
      <c r="DV173" s="108"/>
      <c r="DW173" s="108"/>
      <c r="DX173" s="108"/>
      <c r="DY173" s="108"/>
      <c r="DZ173" s="108"/>
      <c r="EA173" s="108"/>
      <c r="EB173" s="108"/>
      <c r="EC173" s="108"/>
      <c r="ED173" s="108"/>
      <c r="EE173" s="108"/>
      <c r="EF173" s="108"/>
      <c r="EG173" s="108"/>
      <c r="EH173" s="108"/>
      <c r="EI173" s="108"/>
      <c r="EJ173" s="108"/>
      <c r="EK173" s="108"/>
      <c r="EL173" s="108"/>
      <c r="EM173" s="108"/>
      <c r="EN173" s="108"/>
      <c r="EO173" s="108"/>
      <c r="EP173" s="108"/>
      <c r="EQ173" s="108"/>
      <c r="ER173" s="108"/>
      <c r="ES173" s="108"/>
      <c r="ET173" s="108"/>
      <c r="EU173" s="108"/>
      <c r="EV173" s="108"/>
      <c r="EW173" s="108"/>
      <c r="EX173" s="108"/>
      <c r="EY173" s="108"/>
      <c r="EZ173" s="108"/>
      <c r="FA173" s="108"/>
      <c r="FB173" s="108"/>
      <c r="FC173" s="108"/>
      <c r="FD173" s="108"/>
      <c r="FE173" s="108"/>
      <c r="FF173" s="108"/>
      <c r="FG173" s="108"/>
      <c r="FH173" s="108"/>
      <c r="FI173" s="108"/>
      <c r="FJ173" s="108"/>
      <c r="FK173" s="108"/>
      <c r="FL173" s="108"/>
      <c r="FM173" s="108"/>
      <c r="FN173" s="108"/>
      <c r="FO173" s="108"/>
      <c r="FP173" s="108"/>
      <c r="FQ173" s="108"/>
      <c r="FR173" s="108"/>
      <c r="FS173" s="108"/>
      <c r="FT173" s="108"/>
      <c r="FU173" s="108"/>
      <c r="FV173" s="108"/>
      <c r="FW173" s="108"/>
      <c r="FX173" s="108"/>
      <c r="FY173" s="108"/>
      <c r="FZ173" s="270"/>
      <c r="GA173" s="270"/>
      <c r="GB173" s="267"/>
      <c r="GC173" s="267"/>
    </row>
    <row r="174" spans="1:185" s="109" customFormat="1" x14ac:dyDescent="0.25">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8"/>
      <c r="DD174" s="108"/>
      <c r="DE174" s="108"/>
      <c r="DF174" s="108"/>
      <c r="DG174" s="108"/>
      <c r="DH174" s="108"/>
      <c r="DI174" s="108"/>
      <c r="DJ174" s="108"/>
      <c r="DK174" s="108"/>
      <c r="DL174" s="108"/>
      <c r="DM174" s="108"/>
      <c r="DN174" s="108"/>
      <c r="DO174" s="108"/>
      <c r="DP174" s="108"/>
      <c r="DQ174" s="108"/>
      <c r="DR174" s="108"/>
      <c r="DS174" s="108"/>
      <c r="DT174" s="108"/>
      <c r="DU174" s="108"/>
      <c r="DV174" s="108"/>
      <c r="DW174" s="108"/>
      <c r="DX174" s="108"/>
      <c r="DY174" s="108"/>
      <c r="DZ174" s="108"/>
      <c r="EA174" s="108"/>
      <c r="EB174" s="108"/>
      <c r="EC174" s="108"/>
      <c r="ED174" s="108"/>
      <c r="EE174" s="108"/>
      <c r="EF174" s="108"/>
      <c r="EG174" s="108"/>
      <c r="EH174" s="108"/>
      <c r="EI174" s="108"/>
      <c r="EJ174" s="108"/>
      <c r="EK174" s="108"/>
      <c r="EL174" s="108"/>
      <c r="EM174" s="108"/>
      <c r="EN174" s="108"/>
      <c r="EO174" s="108"/>
      <c r="EP174" s="108"/>
      <c r="EQ174" s="108"/>
      <c r="ER174" s="108"/>
      <c r="ES174" s="108"/>
      <c r="ET174" s="108"/>
      <c r="EU174" s="108"/>
      <c r="EV174" s="108"/>
      <c r="EW174" s="108"/>
      <c r="EX174" s="108"/>
      <c r="EY174" s="108"/>
      <c r="EZ174" s="108"/>
      <c r="FA174" s="108"/>
      <c r="FB174" s="108"/>
      <c r="FC174" s="108"/>
      <c r="FD174" s="108"/>
      <c r="FE174" s="108"/>
      <c r="FF174" s="108"/>
      <c r="FG174" s="108"/>
      <c r="FH174" s="108"/>
      <c r="FI174" s="108"/>
      <c r="FJ174" s="108"/>
      <c r="FK174" s="108"/>
      <c r="FL174" s="108"/>
      <c r="FM174" s="108"/>
      <c r="FN174" s="108"/>
      <c r="FO174" s="108"/>
      <c r="FP174" s="108"/>
      <c r="FQ174" s="108"/>
      <c r="FR174" s="108"/>
      <c r="FS174" s="108"/>
      <c r="FT174" s="108"/>
      <c r="FU174" s="108"/>
      <c r="FV174" s="108"/>
      <c r="FW174" s="108"/>
      <c r="FX174" s="108"/>
      <c r="FY174" s="108"/>
      <c r="FZ174" s="270"/>
      <c r="GA174" s="270"/>
      <c r="GB174" s="267"/>
      <c r="GC174" s="267"/>
    </row>
    <row r="175" spans="1:185" s="109" customFormat="1" x14ac:dyDescent="0.25">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c r="EY175" s="108"/>
      <c r="EZ175" s="108"/>
      <c r="FA175" s="108"/>
      <c r="FB175" s="108"/>
      <c r="FC175" s="108"/>
      <c r="FD175" s="108"/>
      <c r="FE175" s="108"/>
      <c r="FF175" s="108"/>
      <c r="FG175" s="108"/>
      <c r="FH175" s="108"/>
      <c r="FI175" s="108"/>
      <c r="FJ175" s="108"/>
      <c r="FK175" s="108"/>
      <c r="FL175" s="108"/>
      <c r="FM175" s="108"/>
      <c r="FN175" s="108"/>
      <c r="FO175" s="108"/>
      <c r="FP175" s="108"/>
      <c r="FQ175" s="108"/>
      <c r="FR175" s="108"/>
      <c r="FS175" s="108"/>
      <c r="FT175" s="108"/>
      <c r="FU175" s="108"/>
      <c r="FV175" s="108"/>
      <c r="FW175" s="108"/>
      <c r="FX175" s="108"/>
      <c r="FY175" s="108"/>
      <c r="FZ175" s="270"/>
      <c r="GA175" s="270"/>
      <c r="GB175" s="267"/>
      <c r="GC175" s="267"/>
    </row>
    <row r="176" spans="1:185" s="109" customFormat="1" x14ac:dyDescent="0.25">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F176" s="108"/>
      <c r="AG176" s="108"/>
      <c r="AH176" s="108"/>
      <c r="AI176" s="108"/>
      <c r="AJ176" s="108"/>
      <c r="AK176" s="108"/>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8"/>
      <c r="DD176" s="108"/>
      <c r="DE176" s="108"/>
      <c r="DF176" s="108"/>
      <c r="DG176" s="108"/>
      <c r="DH176" s="108"/>
      <c r="DI176" s="108"/>
      <c r="DJ176" s="108"/>
      <c r="DK176" s="108"/>
      <c r="DL176" s="108"/>
      <c r="DM176" s="108"/>
      <c r="DN176" s="108"/>
      <c r="DO176" s="108"/>
      <c r="DP176" s="108"/>
      <c r="DQ176" s="108"/>
      <c r="DR176" s="108"/>
      <c r="DS176" s="108"/>
      <c r="DT176" s="108"/>
      <c r="DU176" s="108"/>
      <c r="DV176" s="108"/>
      <c r="DW176" s="108"/>
      <c r="DX176" s="108"/>
      <c r="DY176" s="108"/>
      <c r="DZ176" s="108"/>
      <c r="EA176" s="108"/>
      <c r="EB176" s="108"/>
      <c r="EC176" s="108"/>
      <c r="ED176" s="108"/>
      <c r="EE176" s="108"/>
      <c r="EF176" s="108"/>
      <c r="EG176" s="108"/>
      <c r="EH176" s="108"/>
      <c r="EI176" s="108"/>
      <c r="EJ176" s="108"/>
      <c r="EK176" s="108"/>
      <c r="EL176" s="108"/>
      <c r="EM176" s="108"/>
      <c r="EN176" s="108"/>
      <c r="EO176" s="108"/>
      <c r="EP176" s="108"/>
      <c r="EQ176" s="108"/>
      <c r="ER176" s="108"/>
      <c r="ES176" s="108"/>
      <c r="ET176" s="108"/>
      <c r="EU176" s="108"/>
      <c r="EV176" s="108"/>
      <c r="EW176" s="108"/>
      <c r="EX176" s="108"/>
      <c r="EY176" s="108"/>
      <c r="EZ176" s="108"/>
      <c r="FA176" s="108"/>
      <c r="FB176" s="108"/>
      <c r="FC176" s="108"/>
      <c r="FD176" s="108"/>
      <c r="FE176" s="108"/>
      <c r="FF176" s="108"/>
      <c r="FG176" s="108"/>
      <c r="FH176" s="108"/>
      <c r="FI176" s="108"/>
      <c r="FJ176" s="108"/>
      <c r="FK176" s="108"/>
      <c r="FL176" s="108"/>
      <c r="FM176" s="108"/>
      <c r="FN176" s="108"/>
      <c r="FO176" s="108"/>
      <c r="FP176" s="108"/>
      <c r="FQ176" s="108"/>
      <c r="FR176" s="108"/>
      <c r="FS176" s="108"/>
      <c r="FT176" s="108"/>
      <c r="FU176" s="108"/>
      <c r="FV176" s="108"/>
      <c r="FW176" s="108"/>
      <c r="FX176" s="108"/>
      <c r="FY176" s="108"/>
      <c r="FZ176" s="270"/>
      <c r="GA176" s="270"/>
      <c r="GB176" s="267"/>
      <c r="GC176" s="267"/>
    </row>
    <row r="177" spans="1:185" s="109" customFormat="1" x14ac:dyDescent="0.25">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c r="AB177" s="108"/>
      <c r="AC177" s="108"/>
      <c r="AD177" s="108"/>
      <c r="AE177" s="108"/>
      <c r="AF177" s="108"/>
      <c r="AG177" s="108"/>
      <c r="AH177" s="108"/>
      <c r="AI177" s="108"/>
      <c r="AJ177" s="108"/>
      <c r="AK177" s="108"/>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8"/>
      <c r="DD177" s="108"/>
      <c r="DE177" s="108"/>
      <c r="DF177" s="108"/>
      <c r="DG177" s="108"/>
      <c r="DH177" s="108"/>
      <c r="DI177" s="108"/>
      <c r="DJ177" s="108"/>
      <c r="DK177" s="108"/>
      <c r="DL177" s="108"/>
      <c r="DM177" s="108"/>
      <c r="DN177" s="108"/>
      <c r="DO177" s="108"/>
      <c r="DP177" s="108"/>
      <c r="DQ177" s="108"/>
      <c r="DR177" s="108"/>
      <c r="DS177" s="108"/>
      <c r="DT177" s="108"/>
      <c r="DU177" s="108"/>
      <c r="DV177" s="108"/>
      <c r="DW177" s="108"/>
      <c r="DX177" s="108"/>
      <c r="DY177" s="108"/>
      <c r="DZ177" s="108"/>
      <c r="EA177" s="108"/>
      <c r="EB177" s="108"/>
      <c r="EC177" s="108"/>
      <c r="ED177" s="108"/>
      <c r="EE177" s="108"/>
      <c r="EF177" s="108"/>
      <c r="EG177" s="108"/>
      <c r="EH177" s="108"/>
      <c r="EI177" s="108"/>
      <c r="EJ177" s="108"/>
      <c r="EK177" s="108"/>
      <c r="EL177" s="108"/>
      <c r="EM177" s="108"/>
      <c r="EN177" s="108"/>
      <c r="EO177" s="108"/>
      <c r="EP177" s="108"/>
      <c r="EQ177" s="108"/>
      <c r="ER177" s="108"/>
      <c r="ES177" s="108"/>
      <c r="ET177" s="108"/>
      <c r="EU177" s="108"/>
      <c r="EV177" s="108"/>
      <c r="EW177" s="108"/>
      <c r="EX177" s="108"/>
      <c r="EY177" s="108"/>
      <c r="EZ177" s="108"/>
      <c r="FA177" s="108"/>
      <c r="FB177" s="108"/>
      <c r="FC177" s="108"/>
      <c r="FD177" s="108"/>
      <c r="FE177" s="108"/>
      <c r="FF177" s="108"/>
      <c r="FG177" s="108"/>
      <c r="FH177" s="108"/>
      <c r="FI177" s="108"/>
      <c r="FJ177" s="108"/>
      <c r="FK177" s="108"/>
      <c r="FL177" s="108"/>
      <c r="FM177" s="108"/>
      <c r="FN177" s="108"/>
      <c r="FO177" s="108"/>
      <c r="FP177" s="108"/>
      <c r="FQ177" s="108"/>
      <c r="FR177" s="108"/>
      <c r="FS177" s="108"/>
      <c r="FT177" s="108"/>
      <c r="FU177" s="108"/>
      <c r="FV177" s="108"/>
      <c r="FW177" s="108"/>
      <c r="FX177" s="108"/>
      <c r="FY177" s="108"/>
      <c r="FZ177" s="270"/>
      <c r="GA177" s="270"/>
      <c r="GB177" s="267"/>
      <c r="GC177" s="267"/>
    </row>
    <row r="178" spans="1:185" s="109" customFormat="1" x14ac:dyDescent="0.25">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c r="AB178" s="108"/>
      <c r="AC178" s="108"/>
      <c r="AD178" s="108"/>
      <c r="AE178" s="108"/>
      <c r="AF178" s="108"/>
      <c r="AG178" s="108"/>
      <c r="AH178" s="108"/>
      <c r="AI178" s="108"/>
      <c r="AJ178" s="108"/>
      <c r="AK178" s="108"/>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c r="DA178" s="108"/>
      <c r="DB178" s="108"/>
      <c r="DC178" s="108"/>
      <c r="DD178" s="108"/>
      <c r="DE178" s="108"/>
      <c r="DF178" s="108"/>
      <c r="DG178" s="108"/>
      <c r="DH178" s="108"/>
      <c r="DI178" s="108"/>
      <c r="DJ178" s="108"/>
      <c r="DK178" s="108"/>
      <c r="DL178" s="108"/>
      <c r="DM178" s="108"/>
      <c r="DN178" s="108"/>
      <c r="DO178" s="108"/>
      <c r="DP178" s="108"/>
      <c r="DQ178" s="108"/>
      <c r="DR178" s="108"/>
      <c r="DS178" s="108"/>
      <c r="DT178" s="108"/>
      <c r="DU178" s="108"/>
      <c r="DV178" s="108"/>
      <c r="DW178" s="108"/>
      <c r="DX178" s="108"/>
      <c r="DY178" s="108"/>
      <c r="DZ178" s="108"/>
      <c r="EA178" s="108"/>
      <c r="EB178" s="108"/>
      <c r="EC178" s="108"/>
      <c r="ED178" s="108"/>
      <c r="EE178" s="108"/>
      <c r="EF178" s="108"/>
      <c r="EG178" s="108"/>
      <c r="EH178" s="108"/>
      <c r="EI178" s="108"/>
      <c r="EJ178" s="108"/>
      <c r="EK178" s="108"/>
      <c r="EL178" s="108"/>
      <c r="EM178" s="108"/>
      <c r="EN178" s="108"/>
      <c r="EO178" s="108"/>
      <c r="EP178" s="108"/>
      <c r="EQ178" s="108"/>
      <c r="ER178" s="108"/>
      <c r="ES178" s="108"/>
      <c r="ET178" s="108"/>
      <c r="EU178" s="108"/>
      <c r="EV178" s="108"/>
      <c r="EW178" s="108"/>
      <c r="EX178" s="108"/>
      <c r="EY178" s="108"/>
      <c r="EZ178" s="108"/>
      <c r="FA178" s="108"/>
      <c r="FB178" s="108"/>
      <c r="FC178" s="108"/>
      <c r="FD178" s="108"/>
      <c r="FE178" s="108"/>
      <c r="FF178" s="108"/>
      <c r="FG178" s="108"/>
      <c r="FH178" s="108"/>
      <c r="FI178" s="108"/>
      <c r="FJ178" s="108"/>
      <c r="FK178" s="108"/>
      <c r="FL178" s="108"/>
      <c r="FM178" s="108"/>
      <c r="FN178" s="108"/>
      <c r="FO178" s="108"/>
      <c r="FP178" s="108"/>
      <c r="FQ178" s="108"/>
      <c r="FR178" s="108"/>
      <c r="FS178" s="108"/>
      <c r="FT178" s="108"/>
      <c r="FU178" s="108"/>
      <c r="FV178" s="108"/>
      <c r="FW178" s="108"/>
      <c r="FX178" s="108"/>
      <c r="FY178" s="108"/>
      <c r="FZ178" s="270"/>
      <c r="GA178" s="270"/>
      <c r="GB178" s="267"/>
      <c r="GC178" s="267"/>
    </row>
    <row r="179" spans="1:185" s="109" customFormat="1" x14ac:dyDescent="0.25">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c r="AE179" s="108"/>
      <c r="AF179" s="108"/>
      <c r="AG179" s="108"/>
      <c r="AH179" s="108"/>
      <c r="AI179" s="108"/>
      <c r="AJ179" s="108"/>
      <c r="AK179" s="108"/>
      <c r="AL179" s="108"/>
      <c r="AM179" s="108"/>
      <c r="AN179" s="108"/>
      <c r="AO179" s="108"/>
      <c r="AP179" s="108"/>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8"/>
      <c r="DD179" s="108"/>
      <c r="DE179" s="108"/>
      <c r="DF179" s="108"/>
      <c r="DG179" s="108"/>
      <c r="DH179" s="108"/>
      <c r="DI179" s="108"/>
      <c r="DJ179" s="108"/>
      <c r="DK179" s="108"/>
      <c r="DL179" s="108"/>
      <c r="DM179" s="108"/>
      <c r="DN179" s="108"/>
      <c r="DO179" s="108"/>
      <c r="DP179" s="108"/>
      <c r="DQ179" s="108"/>
      <c r="DR179" s="108"/>
      <c r="DS179" s="108"/>
      <c r="DT179" s="108"/>
      <c r="DU179" s="108"/>
      <c r="DV179" s="108"/>
      <c r="DW179" s="108"/>
      <c r="DX179" s="108"/>
      <c r="DY179" s="108"/>
      <c r="DZ179" s="108"/>
      <c r="EA179" s="108"/>
      <c r="EB179" s="108"/>
      <c r="EC179" s="108"/>
      <c r="ED179" s="108"/>
      <c r="EE179" s="108"/>
      <c r="EF179" s="108"/>
      <c r="EG179" s="108"/>
      <c r="EH179" s="108"/>
      <c r="EI179" s="108"/>
      <c r="EJ179" s="108"/>
      <c r="EK179" s="108"/>
      <c r="EL179" s="108"/>
      <c r="EM179" s="108"/>
      <c r="EN179" s="108"/>
      <c r="EO179" s="108"/>
      <c r="EP179" s="108"/>
      <c r="EQ179" s="108"/>
      <c r="ER179" s="108"/>
      <c r="ES179" s="108"/>
      <c r="ET179" s="108"/>
      <c r="EU179" s="108"/>
      <c r="EV179" s="108"/>
      <c r="EW179" s="108"/>
      <c r="EX179" s="108"/>
      <c r="EY179" s="108"/>
      <c r="EZ179" s="108"/>
      <c r="FA179" s="108"/>
      <c r="FB179" s="108"/>
      <c r="FC179" s="108"/>
      <c r="FD179" s="108"/>
      <c r="FE179" s="108"/>
      <c r="FF179" s="108"/>
      <c r="FG179" s="108"/>
      <c r="FH179" s="108"/>
      <c r="FI179" s="108"/>
      <c r="FJ179" s="108"/>
      <c r="FK179" s="108"/>
      <c r="FL179" s="108"/>
      <c r="FM179" s="108"/>
      <c r="FN179" s="108"/>
      <c r="FO179" s="108"/>
      <c r="FP179" s="108"/>
      <c r="FQ179" s="108"/>
      <c r="FR179" s="108"/>
      <c r="FS179" s="108"/>
      <c r="FT179" s="108"/>
      <c r="FU179" s="108"/>
      <c r="FV179" s="108"/>
      <c r="FW179" s="108"/>
      <c r="FX179" s="108"/>
      <c r="FY179" s="108"/>
      <c r="FZ179" s="270"/>
      <c r="GA179" s="270"/>
      <c r="GB179" s="267"/>
      <c r="GC179" s="267"/>
    </row>
    <row r="180" spans="1:185" s="109" customFormat="1" x14ac:dyDescent="0.25">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8"/>
      <c r="DD180" s="108"/>
      <c r="DE180" s="108"/>
      <c r="DF180" s="108"/>
      <c r="DG180" s="108"/>
      <c r="DH180" s="108"/>
      <c r="DI180" s="108"/>
      <c r="DJ180" s="108"/>
      <c r="DK180" s="108"/>
      <c r="DL180" s="108"/>
      <c r="DM180" s="108"/>
      <c r="DN180" s="108"/>
      <c r="DO180" s="108"/>
      <c r="DP180" s="108"/>
      <c r="DQ180" s="108"/>
      <c r="DR180" s="108"/>
      <c r="DS180" s="108"/>
      <c r="DT180" s="108"/>
      <c r="DU180" s="108"/>
      <c r="DV180" s="108"/>
      <c r="DW180" s="108"/>
      <c r="DX180" s="108"/>
      <c r="DY180" s="108"/>
      <c r="DZ180" s="108"/>
      <c r="EA180" s="108"/>
      <c r="EB180" s="108"/>
      <c r="EC180" s="108"/>
      <c r="ED180" s="108"/>
      <c r="EE180" s="108"/>
      <c r="EF180" s="108"/>
      <c r="EG180" s="108"/>
      <c r="EH180" s="108"/>
      <c r="EI180" s="108"/>
      <c r="EJ180" s="108"/>
      <c r="EK180" s="108"/>
      <c r="EL180" s="108"/>
      <c r="EM180" s="108"/>
      <c r="EN180" s="108"/>
      <c r="EO180" s="108"/>
      <c r="EP180" s="108"/>
      <c r="EQ180" s="108"/>
      <c r="ER180" s="108"/>
      <c r="ES180" s="108"/>
      <c r="ET180" s="108"/>
      <c r="EU180" s="108"/>
      <c r="EV180" s="108"/>
      <c r="EW180" s="108"/>
      <c r="EX180" s="108"/>
      <c r="EY180" s="108"/>
      <c r="EZ180" s="108"/>
      <c r="FA180" s="108"/>
      <c r="FB180" s="108"/>
      <c r="FC180" s="108"/>
      <c r="FD180" s="108"/>
      <c r="FE180" s="108"/>
      <c r="FF180" s="108"/>
      <c r="FG180" s="108"/>
      <c r="FH180" s="108"/>
      <c r="FI180" s="108"/>
      <c r="FJ180" s="108"/>
      <c r="FK180" s="108"/>
      <c r="FL180" s="108"/>
      <c r="FM180" s="108"/>
      <c r="FN180" s="108"/>
      <c r="FO180" s="108"/>
      <c r="FP180" s="108"/>
      <c r="FQ180" s="108"/>
      <c r="FR180" s="108"/>
      <c r="FS180" s="108"/>
      <c r="FT180" s="108"/>
      <c r="FU180" s="108"/>
      <c r="FV180" s="108"/>
      <c r="FW180" s="108"/>
      <c r="FX180" s="108"/>
      <c r="FY180" s="108"/>
      <c r="FZ180" s="270"/>
      <c r="GA180" s="270"/>
      <c r="GB180" s="267"/>
      <c r="GC180" s="267"/>
    </row>
    <row r="181" spans="1:185" s="109" customFormat="1" x14ac:dyDescent="0.25">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c r="AD181" s="108"/>
      <c r="AE181" s="108"/>
      <c r="AF181" s="108"/>
      <c r="AG181" s="108"/>
      <c r="AH181" s="108"/>
      <c r="AI181" s="108"/>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8"/>
      <c r="DD181" s="108"/>
      <c r="DE181" s="108"/>
      <c r="DF181" s="108"/>
      <c r="DG181" s="108"/>
      <c r="DH181" s="108"/>
      <c r="DI181" s="108"/>
      <c r="DJ181" s="108"/>
      <c r="DK181" s="108"/>
      <c r="DL181" s="108"/>
      <c r="DM181" s="108"/>
      <c r="DN181" s="108"/>
      <c r="DO181" s="108"/>
      <c r="DP181" s="108"/>
      <c r="DQ181" s="108"/>
      <c r="DR181" s="108"/>
      <c r="DS181" s="108"/>
      <c r="DT181" s="108"/>
      <c r="DU181" s="108"/>
      <c r="DV181" s="108"/>
      <c r="DW181" s="108"/>
      <c r="DX181" s="108"/>
      <c r="DY181" s="108"/>
      <c r="DZ181" s="108"/>
      <c r="EA181" s="108"/>
      <c r="EB181" s="108"/>
      <c r="EC181" s="108"/>
      <c r="ED181" s="108"/>
      <c r="EE181" s="108"/>
      <c r="EF181" s="108"/>
      <c r="EG181" s="108"/>
      <c r="EH181" s="108"/>
      <c r="EI181" s="108"/>
      <c r="EJ181" s="108"/>
      <c r="EK181" s="108"/>
      <c r="EL181" s="108"/>
      <c r="EM181" s="108"/>
      <c r="EN181" s="108"/>
      <c r="EO181" s="108"/>
      <c r="EP181" s="108"/>
      <c r="EQ181" s="108"/>
      <c r="ER181" s="108"/>
      <c r="ES181" s="108"/>
      <c r="ET181" s="108"/>
      <c r="EU181" s="108"/>
      <c r="EV181" s="108"/>
      <c r="EW181" s="108"/>
      <c r="EX181" s="108"/>
      <c r="EY181" s="108"/>
      <c r="EZ181" s="108"/>
      <c r="FA181" s="108"/>
      <c r="FB181" s="108"/>
      <c r="FC181" s="108"/>
      <c r="FD181" s="108"/>
      <c r="FE181" s="108"/>
      <c r="FF181" s="108"/>
      <c r="FG181" s="108"/>
      <c r="FH181" s="108"/>
      <c r="FI181" s="108"/>
      <c r="FJ181" s="108"/>
      <c r="FK181" s="108"/>
      <c r="FL181" s="108"/>
      <c r="FM181" s="108"/>
      <c r="FN181" s="108"/>
      <c r="FO181" s="108"/>
      <c r="FP181" s="108"/>
      <c r="FQ181" s="108"/>
      <c r="FR181" s="108"/>
      <c r="FS181" s="108"/>
      <c r="FT181" s="108"/>
      <c r="FU181" s="108"/>
      <c r="FV181" s="108"/>
      <c r="FW181" s="108"/>
      <c r="FX181" s="108"/>
      <c r="FY181" s="108"/>
      <c r="FZ181" s="270"/>
      <c r="GA181" s="270"/>
      <c r="GB181" s="267"/>
      <c r="GC181" s="267"/>
    </row>
    <row r="182" spans="1:185" s="109" customFormat="1" x14ac:dyDescent="0.25">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c r="AH182" s="108"/>
      <c r="AI182" s="108"/>
      <c r="AJ182" s="108"/>
      <c r="AK182" s="108"/>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c r="CP182" s="108"/>
      <c r="CQ182" s="108"/>
      <c r="CR182" s="108"/>
      <c r="CS182" s="108"/>
      <c r="CT182" s="108"/>
      <c r="CU182" s="108"/>
      <c r="CV182" s="108"/>
      <c r="CW182" s="108"/>
      <c r="CX182" s="108"/>
      <c r="CY182" s="108"/>
      <c r="CZ182" s="108"/>
      <c r="DA182" s="108"/>
      <c r="DB182" s="108"/>
      <c r="DC182" s="108"/>
      <c r="DD182" s="108"/>
      <c r="DE182" s="108"/>
      <c r="DF182" s="108"/>
      <c r="DG182" s="108"/>
      <c r="DH182" s="108"/>
      <c r="DI182" s="108"/>
      <c r="DJ182" s="108"/>
      <c r="DK182" s="108"/>
      <c r="DL182" s="108"/>
      <c r="DM182" s="108"/>
      <c r="DN182" s="108"/>
      <c r="DO182" s="108"/>
      <c r="DP182" s="108"/>
      <c r="DQ182" s="108"/>
      <c r="DR182" s="108"/>
      <c r="DS182" s="108"/>
      <c r="DT182" s="108"/>
      <c r="DU182" s="108"/>
      <c r="DV182" s="108"/>
      <c r="DW182" s="108"/>
      <c r="DX182" s="108"/>
      <c r="DY182" s="108"/>
      <c r="DZ182" s="108"/>
      <c r="EA182" s="108"/>
      <c r="EB182" s="108"/>
      <c r="EC182" s="108"/>
      <c r="ED182" s="108"/>
      <c r="EE182" s="108"/>
      <c r="EF182" s="108"/>
      <c r="EG182" s="108"/>
      <c r="EH182" s="108"/>
      <c r="EI182" s="108"/>
      <c r="EJ182" s="108"/>
      <c r="EK182" s="108"/>
      <c r="EL182" s="108"/>
      <c r="EM182" s="108"/>
      <c r="EN182" s="108"/>
      <c r="EO182" s="108"/>
      <c r="EP182" s="108"/>
      <c r="EQ182" s="108"/>
      <c r="ER182" s="108"/>
      <c r="ES182" s="108"/>
      <c r="ET182" s="108"/>
      <c r="EU182" s="108"/>
      <c r="EV182" s="108"/>
      <c r="EW182" s="108"/>
      <c r="EX182" s="108"/>
      <c r="EY182" s="108"/>
      <c r="EZ182" s="108"/>
      <c r="FA182" s="108"/>
      <c r="FB182" s="108"/>
      <c r="FC182" s="108"/>
      <c r="FD182" s="108"/>
      <c r="FE182" s="108"/>
      <c r="FF182" s="108"/>
      <c r="FG182" s="108"/>
      <c r="FH182" s="108"/>
      <c r="FI182" s="108"/>
      <c r="FJ182" s="108"/>
      <c r="FK182" s="108"/>
      <c r="FL182" s="108"/>
      <c r="FM182" s="108"/>
      <c r="FN182" s="108"/>
      <c r="FO182" s="108"/>
      <c r="FP182" s="108"/>
      <c r="FQ182" s="108"/>
      <c r="FR182" s="108"/>
      <c r="FS182" s="108"/>
      <c r="FT182" s="108"/>
      <c r="FU182" s="108"/>
      <c r="FV182" s="108"/>
      <c r="FW182" s="108"/>
      <c r="FX182" s="108"/>
      <c r="FY182" s="108"/>
      <c r="FZ182" s="270"/>
      <c r="GA182" s="270"/>
      <c r="GB182" s="267"/>
      <c r="GC182" s="267"/>
    </row>
    <row r="183" spans="1:185" s="109" customFormat="1" x14ac:dyDescent="0.25">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c r="AD183" s="108"/>
      <c r="AE183" s="108"/>
      <c r="AF183" s="108"/>
      <c r="AG183" s="108"/>
      <c r="AH183" s="108"/>
      <c r="AI183" s="108"/>
      <c r="AJ183" s="108"/>
      <c r="AK183" s="108"/>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8"/>
      <c r="DD183" s="108"/>
      <c r="DE183" s="108"/>
      <c r="DF183" s="108"/>
      <c r="DG183" s="108"/>
      <c r="DH183" s="108"/>
      <c r="DI183" s="108"/>
      <c r="DJ183" s="108"/>
      <c r="DK183" s="108"/>
      <c r="DL183" s="108"/>
      <c r="DM183" s="108"/>
      <c r="DN183" s="108"/>
      <c r="DO183" s="108"/>
      <c r="DP183" s="108"/>
      <c r="DQ183" s="108"/>
      <c r="DR183" s="108"/>
      <c r="DS183" s="108"/>
      <c r="DT183" s="108"/>
      <c r="DU183" s="108"/>
      <c r="DV183" s="108"/>
      <c r="DW183" s="108"/>
      <c r="DX183" s="108"/>
      <c r="DY183" s="108"/>
      <c r="DZ183" s="108"/>
      <c r="EA183" s="108"/>
      <c r="EB183" s="108"/>
      <c r="EC183" s="108"/>
      <c r="ED183" s="108"/>
      <c r="EE183" s="108"/>
      <c r="EF183" s="108"/>
      <c r="EG183" s="108"/>
      <c r="EH183" s="108"/>
      <c r="EI183" s="108"/>
      <c r="EJ183" s="108"/>
      <c r="EK183" s="108"/>
      <c r="EL183" s="108"/>
      <c r="EM183" s="108"/>
      <c r="EN183" s="108"/>
      <c r="EO183" s="108"/>
      <c r="EP183" s="108"/>
      <c r="EQ183" s="108"/>
      <c r="ER183" s="108"/>
      <c r="ES183" s="108"/>
      <c r="ET183" s="108"/>
      <c r="EU183" s="108"/>
      <c r="EV183" s="108"/>
      <c r="EW183" s="108"/>
      <c r="EX183" s="108"/>
      <c r="EY183" s="108"/>
      <c r="EZ183" s="108"/>
      <c r="FA183" s="108"/>
      <c r="FB183" s="108"/>
      <c r="FC183" s="108"/>
      <c r="FD183" s="108"/>
      <c r="FE183" s="108"/>
      <c r="FF183" s="108"/>
      <c r="FG183" s="108"/>
      <c r="FH183" s="108"/>
      <c r="FI183" s="108"/>
      <c r="FJ183" s="108"/>
      <c r="FK183" s="108"/>
      <c r="FL183" s="108"/>
      <c r="FM183" s="108"/>
      <c r="FN183" s="108"/>
      <c r="FO183" s="108"/>
      <c r="FP183" s="108"/>
      <c r="FQ183" s="108"/>
      <c r="FR183" s="108"/>
      <c r="FS183" s="108"/>
      <c r="FT183" s="108"/>
      <c r="FU183" s="108"/>
      <c r="FV183" s="108"/>
      <c r="FW183" s="108"/>
      <c r="FX183" s="108"/>
      <c r="FY183" s="108"/>
      <c r="FZ183" s="270"/>
      <c r="GA183" s="270"/>
      <c r="GB183" s="267"/>
      <c r="GC183" s="267"/>
    </row>
    <row r="184" spans="1:185" s="109" customFormat="1" x14ac:dyDescent="0.25">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08"/>
      <c r="DV184" s="108"/>
      <c r="DW184" s="108"/>
      <c r="DX184" s="108"/>
      <c r="DY184" s="108"/>
      <c r="DZ184" s="108"/>
      <c r="EA184" s="108"/>
      <c r="EB184" s="108"/>
      <c r="EC184" s="108"/>
      <c r="ED184" s="108"/>
      <c r="EE184" s="108"/>
      <c r="EF184" s="108"/>
      <c r="EG184" s="108"/>
      <c r="EH184" s="108"/>
      <c r="EI184" s="108"/>
      <c r="EJ184" s="108"/>
      <c r="EK184" s="108"/>
      <c r="EL184" s="108"/>
      <c r="EM184" s="108"/>
      <c r="EN184" s="108"/>
      <c r="EO184" s="108"/>
      <c r="EP184" s="108"/>
      <c r="EQ184" s="108"/>
      <c r="ER184" s="108"/>
      <c r="ES184" s="108"/>
      <c r="ET184" s="108"/>
      <c r="EU184" s="108"/>
      <c r="EV184" s="108"/>
      <c r="EW184" s="108"/>
      <c r="EX184" s="108"/>
      <c r="EY184" s="108"/>
      <c r="EZ184" s="108"/>
      <c r="FA184" s="108"/>
      <c r="FB184" s="108"/>
      <c r="FC184" s="108"/>
      <c r="FD184" s="108"/>
      <c r="FE184" s="108"/>
      <c r="FF184" s="108"/>
      <c r="FG184" s="108"/>
      <c r="FH184" s="108"/>
      <c r="FI184" s="108"/>
      <c r="FJ184" s="108"/>
      <c r="FK184" s="108"/>
      <c r="FL184" s="108"/>
      <c r="FM184" s="108"/>
      <c r="FN184" s="108"/>
      <c r="FO184" s="108"/>
      <c r="FP184" s="108"/>
      <c r="FQ184" s="108"/>
      <c r="FR184" s="108"/>
      <c r="FS184" s="108"/>
      <c r="FT184" s="108"/>
      <c r="FU184" s="108"/>
      <c r="FV184" s="108"/>
      <c r="FW184" s="108"/>
      <c r="FX184" s="108"/>
      <c r="FY184" s="108"/>
      <c r="FZ184" s="270"/>
      <c r="GA184" s="270"/>
      <c r="GB184" s="267"/>
      <c r="GC184" s="267"/>
    </row>
    <row r="185" spans="1:185" s="109" customFormat="1" x14ac:dyDescent="0.25">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c r="AD185" s="108"/>
      <c r="AE185" s="108"/>
      <c r="AF185" s="108"/>
      <c r="AG185" s="108"/>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8"/>
      <c r="DD185" s="108"/>
      <c r="DE185" s="108"/>
      <c r="DF185" s="108"/>
      <c r="DG185" s="108"/>
      <c r="DH185" s="108"/>
      <c r="DI185" s="108"/>
      <c r="DJ185" s="108"/>
      <c r="DK185" s="108"/>
      <c r="DL185" s="108"/>
      <c r="DM185" s="108"/>
      <c r="DN185" s="108"/>
      <c r="DO185" s="108"/>
      <c r="DP185" s="108"/>
      <c r="DQ185" s="108"/>
      <c r="DR185" s="108"/>
      <c r="DS185" s="108"/>
      <c r="DT185" s="108"/>
      <c r="DU185" s="108"/>
      <c r="DV185" s="108"/>
      <c r="DW185" s="108"/>
      <c r="DX185" s="108"/>
      <c r="DY185" s="108"/>
      <c r="DZ185" s="108"/>
      <c r="EA185" s="108"/>
      <c r="EB185" s="108"/>
      <c r="EC185" s="108"/>
      <c r="ED185" s="108"/>
      <c r="EE185" s="108"/>
      <c r="EF185" s="108"/>
      <c r="EG185" s="108"/>
      <c r="EH185" s="108"/>
      <c r="EI185" s="108"/>
      <c r="EJ185" s="108"/>
      <c r="EK185" s="108"/>
      <c r="EL185" s="108"/>
      <c r="EM185" s="108"/>
      <c r="EN185" s="108"/>
      <c r="EO185" s="108"/>
      <c r="EP185" s="108"/>
      <c r="EQ185" s="108"/>
      <c r="ER185" s="108"/>
      <c r="ES185" s="108"/>
      <c r="ET185" s="108"/>
      <c r="EU185" s="108"/>
      <c r="EV185" s="108"/>
      <c r="EW185" s="108"/>
      <c r="EX185" s="108"/>
      <c r="EY185" s="108"/>
      <c r="EZ185" s="108"/>
      <c r="FA185" s="108"/>
      <c r="FB185" s="108"/>
      <c r="FC185" s="108"/>
      <c r="FD185" s="108"/>
      <c r="FE185" s="108"/>
      <c r="FF185" s="108"/>
      <c r="FG185" s="108"/>
      <c r="FH185" s="108"/>
      <c r="FI185" s="108"/>
      <c r="FJ185" s="108"/>
      <c r="FK185" s="108"/>
      <c r="FL185" s="108"/>
      <c r="FM185" s="108"/>
      <c r="FN185" s="108"/>
      <c r="FO185" s="108"/>
      <c r="FP185" s="108"/>
      <c r="FQ185" s="108"/>
      <c r="FR185" s="108"/>
      <c r="FS185" s="108"/>
      <c r="FT185" s="108"/>
      <c r="FU185" s="108"/>
      <c r="FV185" s="108"/>
      <c r="FW185" s="108"/>
      <c r="FX185" s="108"/>
      <c r="FY185" s="108"/>
      <c r="FZ185" s="270"/>
      <c r="GA185" s="270"/>
      <c r="GB185" s="267"/>
      <c r="GC185" s="267"/>
    </row>
    <row r="186" spans="1:185" s="109" customFormat="1" x14ac:dyDescent="0.25">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8"/>
      <c r="DD186" s="108"/>
      <c r="DE186" s="108"/>
      <c r="DF186" s="108"/>
      <c r="DG186" s="108"/>
      <c r="DH186" s="108"/>
      <c r="DI186" s="108"/>
      <c r="DJ186" s="108"/>
      <c r="DK186" s="108"/>
      <c r="DL186" s="108"/>
      <c r="DM186" s="108"/>
      <c r="DN186" s="108"/>
      <c r="DO186" s="108"/>
      <c r="DP186" s="108"/>
      <c r="DQ186" s="108"/>
      <c r="DR186" s="108"/>
      <c r="DS186" s="108"/>
      <c r="DT186" s="108"/>
      <c r="DU186" s="108"/>
      <c r="DV186" s="108"/>
      <c r="DW186" s="108"/>
      <c r="DX186" s="108"/>
      <c r="DY186" s="108"/>
      <c r="DZ186" s="108"/>
      <c r="EA186" s="108"/>
      <c r="EB186" s="108"/>
      <c r="EC186" s="108"/>
      <c r="ED186" s="108"/>
      <c r="EE186" s="108"/>
      <c r="EF186" s="108"/>
      <c r="EG186" s="108"/>
      <c r="EH186" s="108"/>
      <c r="EI186" s="108"/>
      <c r="EJ186" s="108"/>
      <c r="EK186" s="108"/>
      <c r="EL186" s="108"/>
      <c r="EM186" s="108"/>
      <c r="EN186" s="108"/>
      <c r="EO186" s="108"/>
      <c r="EP186" s="108"/>
      <c r="EQ186" s="108"/>
      <c r="ER186" s="108"/>
      <c r="ES186" s="108"/>
      <c r="ET186" s="108"/>
      <c r="EU186" s="108"/>
      <c r="EV186" s="108"/>
      <c r="EW186" s="108"/>
      <c r="EX186" s="108"/>
      <c r="EY186" s="108"/>
      <c r="EZ186" s="108"/>
      <c r="FA186" s="108"/>
      <c r="FB186" s="108"/>
      <c r="FC186" s="108"/>
      <c r="FD186" s="108"/>
      <c r="FE186" s="108"/>
      <c r="FF186" s="108"/>
      <c r="FG186" s="108"/>
      <c r="FH186" s="108"/>
      <c r="FI186" s="108"/>
      <c r="FJ186" s="108"/>
      <c r="FK186" s="108"/>
      <c r="FL186" s="108"/>
      <c r="FM186" s="108"/>
      <c r="FN186" s="108"/>
      <c r="FO186" s="108"/>
      <c r="FP186" s="108"/>
      <c r="FQ186" s="108"/>
      <c r="FR186" s="108"/>
      <c r="FS186" s="108"/>
      <c r="FT186" s="108"/>
      <c r="FU186" s="108"/>
      <c r="FV186" s="108"/>
      <c r="FW186" s="108"/>
      <c r="FX186" s="108"/>
      <c r="FY186" s="108"/>
      <c r="FZ186" s="270"/>
      <c r="GA186" s="270"/>
      <c r="GB186" s="267"/>
      <c r="GC186" s="267"/>
    </row>
    <row r="187" spans="1:185" s="109" customFormat="1" x14ac:dyDescent="0.25">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c r="AI187" s="108"/>
      <c r="AJ187" s="108"/>
      <c r="AK187" s="108"/>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c r="CK187" s="108"/>
      <c r="CL187" s="108"/>
      <c r="CM187" s="108"/>
      <c r="CN187" s="108"/>
      <c r="CO187" s="108"/>
      <c r="CP187" s="108"/>
      <c r="CQ187" s="108"/>
      <c r="CR187" s="108"/>
      <c r="CS187" s="108"/>
      <c r="CT187" s="108"/>
      <c r="CU187" s="108"/>
      <c r="CV187" s="108"/>
      <c r="CW187" s="108"/>
      <c r="CX187" s="108"/>
      <c r="CY187" s="108"/>
      <c r="CZ187" s="108"/>
      <c r="DA187" s="108"/>
      <c r="DB187" s="108"/>
      <c r="DC187" s="108"/>
      <c r="DD187" s="108"/>
      <c r="DE187" s="108"/>
      <c r="DF187" s="108"/>
      <c r="DG187" s="108"/>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c r="EE187" s="108"/>
      <c r="EF187" s="108"/>
      <c r="EG187" s="108"/>
      <c r="EH187" s="108"/>
      <c r="EI187" s="108"/>
      <c r="EJ187" s="108"/>
      <c r="EK187" s="108"/>
      <c r="EL187" s="108"/>
      <c r="EM187" s="108"/>
      <c r="EN187" s="108"/>
      <c r="EO187" s="108"/>
      <c r="EP187" s="108"/>
      <c r="EQ187" s="108"/>
      <c r="ER187" s="108"/>
      <c r="ES187" s="108"/>
      <c r="ET187" s="108"/>
      <c r="EU187" s="108"/>
      <c r="EV187" s="108"/>
      <c r="EW187" s="108"/>
      <c r="EX187" s="108"/>
      <c r="EY187" s="108"/>
      <c r="EZ187" s="108"/>
      <c r="FA187" s="108"/>
      <c r="FB187" s="108"/>
      <c r="FC187" s="108"/>
      <c r="FD187" s="108"/>
      <c r="FE187" s="108"/>
      <c r="FF187" s="108"/>
      <c r="FG187" s="108"/>
      <c r="FH187" s="108"/>
      <c r="FI187" s="108"/>
      <c r="FJ187" s="108"/>
      <c r="FK187" s="108"/>
      <c r="FL187" s="108"/>
      <c r="FM187" s="108"/>
      <c r="FN187" s="108"/>
      <c r="FO187" s="108"/>
      <c r="FP187" s="108"/>
      <c r="FQ187" s="108"/>
      <c r="FR187" s="108"/>
      <c r="FS187" s="108"/>
      <c r="FT187" s="108"/>
      <c r="FU187" s="108"/>
      <c r="FV187" s="108"/>
      <c r="FW187" s="108"/>
      <c r="FX187" s="108"/>
      <c r="FY187" s="108"/>
      <c r="FZ187" s="270"/>
      <c r="GA187" s="270"/>
      <c r="GB187" s="267"/>
      <c r="GC187" s="267"/>
    </row>
    <row r="188" spans="1:185" s="109" customFormat="1" x14ac:dyDescent="0.25">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8"/>
      <c r="DD188" s="108"/>
      <c r="DE188" s="108"/>
      <c r="DF188" s="108"/>
      <c r="DG188" s="108"/>
      <c r="DH188" s="108"/>
      <c r="DI188" s="108"/>
      <c r="DJ188" s="108"/>
      <c r="DK188" s="108"/>
      <c r="DL188" s="108"/>
      <c r="DM188" s="108"/>
      <c r="DN188" s="108"/>
      <c r="DO188" s="108"/>
      <c r="DP188" s="108"/>
      <c r="DQ188" s="108"/>
      <c r="DR188" s="108"/>
      <c r="DS188" s="108"/>
      <c r="DT188" s="108"/>
      <c r="DU188" s="108"/>
      <c r="DV188" s="108"/>
      <c r="DW188" s="108"/>
      <c r="DX188" s="108"/>
      <c r="DY188" s="108"/>
      <c r="DZ188" s="108"/>
      <c r="EA188" s="108"/>
      <c r="EB188" s="108"/>
      <c r="EC188" s="108"/>
      <c r="ED188" s="108"/>
      <c r="EE188" s="108"/>
      <c r="EF188" s="108"/>
      <c r="EG188" s="108"/>
      <c r="EH188" s="108"/>
      <c r="EI188" s="108"/>
      <c r="EJ188" s="108"/>
      <c r="EK188" s="108"/>
      <c r="EL188" s="108"/>
      <c r="EM188" s="108"/>
      <c r="EN188" s="108"/>
      <c r="EO188" s="108"/>
      <c r="EP188" s="108"/>
      <c r="EQ188" s="108"/>
      <c r="ER188" s="108"/>
      <c r="ES188" s="108"/>
      <c r="ET188" s="108"/>
      <c r="EU188" s="108"/>
      <c r="EV188" s="108"/>
      <c r="EW188" s="108"/>
      <c r="EX188" s="108"/>
      <c r="EY188" s="108"/>
      <c r="EZ188" s="108"/>
      <c r="FA188" s="108"/>
      <c r="FB188" s="108"/>
      <c r="FC188" s="108"/>
      <c r="FD188" s="108"/>
      <c r="FE188" s="108"/>
      <c r="FF188" s="108"/>
      <c r="FG188" s="108"/>
      <c r="FH188" s="108"/>
      <c r="FI188" s="108"/>
      <c r="FJ188" s="108"/>
      <c r="FK188" s="108"/>
      <c r="FL188" s="108"/>
      <c r="FM188" s="108"/>
      <c r="FN188" s="108"/>
      <c r="FO188" s="108"/>
      <c r="FP188" s="108"/>
      <c r="FQ188" s="108"/>
      <c r="FR188" s="108"/>
      <c r="FS188" s="108"/>
      <c r="FT188" s="108"/>
      <c r="FU188" s="108"/>
      <c r="FV188" s="108"/>
      <c r="FW188" s="108"/>
      <c r="FX188" s="108"/>
      <c r="FY188" s="108"/>
      <c r="FZ188" s="270"/>
      <c r="GA188" s="270"/>
      <c r="GB188" s="267"/>
      <c r="GC188" s="267"/>
    </row>
    <row r="189" spans="1:185" s="109" customFormat="1" x14ac:dyDescent="0.25">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c r="AE189" s="108"/>
      <c r="AF189" s="108"/>
      <c r="AG189" s="108"/>
      <c r="AH189" s="108"/>
      <c r="AI189" s="108"/>
      <c r="AJ189" s="108"/>
      <c r="AK189" s="108"/>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108"/>
      <c r="CN189" s="108"/>
      <c r="CO189" s="108"/>
      <c r="CP189" s="108"/>
      <c r="CQ189" s="108"/>
      <c r="CR189" s="108"/>
      <c r="CS189" s="108"/>
      <c r="CT189" s="108"/>
      <c r="CU189" s="108"/>
      <c r="CV189" s="108"/>
      <c r="CW189" s="108"/>
      <c r="CX189" s="108"/>
      <c r="CY189" s="108"/>
      <c r="CZ189" s="108"/>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c r="EW189" s="108"/>
      <c r="EX189" s="108"/>
      <c r="EY189" s="108"/>
      <c r="EZ189" s="108"/>
      <c r="FA189" s="108"/>
      <c r="FB189" s="108"/>
      <c r="FC189" s="108"/>
      <c r="FD189" s="108"/>
      <c r="FE189" s="108"/>
      <c r="FF189" s="108"/>
      <c r="FG189" s="108"/>
      <c r="FH189" s="108"/>
      <c r="FI189" s="108"/>
      <c r="FJ189" s="108"/>
      <c r="FK189" s="108"/>
      <c r="FL189" s="108"/>
      <c r="FM189" s="108"/>
      <c r="FN189" s="108"/>
      <c r="FO189" s="108"/>
      <c r="FP189" s="108"/>
      <c r="FQ189" s="108"/>
      <c r="FR189" s="108"/>
      <c r="FS189" s="108"/>
      <c r="FT189" s="108"/>
      <c r="FU189" s="108"/>
      <c r="FV189" s="108"/>
      <c r="FW189" s="108"/>
      <c r="FX189" s="108"/>
      <c r="FY189" s="108"/>
      <c r="FZ189" s="270"/>
      <c r="GA189" s="270"/>
      <c r="GB189" s="267"/>
      <c r="GC189" s="267"/>
    </row>
    <row r="190" spans="1:185" s="109" customFormat="1" x14ac:dyDescent="0.25">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8"/>
      <c r="DD190" s="108"/>
      <c r="DE190" s="108"/>
      <c r="DF190" s="108"/>
      <c r="DG190" s="108"/>
      <c r="DH190" s="108"/>
      <c r="DI190" s="108"/>
      <c r="DJ190" s="108"/>
      <c r="DK190" s="108"/>
      <c r="DL190" s="108"/>
      <c r="DM190" s="108"/>
      <c r="DN190" s="108"/>
      <c r="DO190" s="108"/>
      <c r="DP190" s="108"/>
      <c r="DQ190" s="108"/>
      <c r="DR190" s="108"/>
      <c r="DS190" s="108"/>
      <c r="DT190" s="108"/>
      <c r="DU190" s="108"/>
      <c r="DV190" s="108"/>
      <c r="DW190" s="108"/>
      <c r="DX190" s="108"/>
      <c r="DY190" s="108"/>
      <c r="DZ190" s="108"/>
      <c r="EA190" s="108"/>
      <c r="EB190" s="108"/>
      <c r="EC190" s="108"/>
      <c r="ED190" s="108"/>
      <c r="EE190" s="108"/>
      <c r="EF190" s="108"/>
      <c r="EG190" s="108"/>
      <c r="EH190" s="108"/>
      <c r="EI190" s="108"/>
      <c r="EJ190" s="108"/>
      <c r="EK190" s="108"/>
      <c r="EL190" s="108"/>
      <c r="EM190" s="108"/>
      <c r="EN190" s="108"/>
      <c r="EO190" s="108"/>
      <c r="EP190" s="108"/>
      <c r="EQ190" s="108"/>
      <c r="ER190" s="108"/>
      <c r="ES190" s="108"/>
      <c r="ET190" s="108"/>
      <c r="EU190" s="108"/>
      <c r="EV190" s="108"/>
      <c r="EW190" s="108"/>
      <c r="EX190" s="108"/>
      <c r="EY190" s="108"/>
      <c r="EZ190" s="108"/>
      <c r="FA190" s="108"/>
      <c r="FB190" s="108"/>
      <c r="FC190" s="108"/>
      <c r="FD190" s="108"/>
      <c r="FE190" s="108"/>
      <c r="FF190" s="108"/>
      <c r="FG190" s="108"/>
      <c r="FH190" s="108"/>
      <c r="FI190" s="108"/>
      <c r="FJ190" s="108"/>
      <c r="FK190" s="108"/>
      <c r="FL190" s="108"/>
      <c r="FM190" s="108"/>
      <c r="FN190" s="108"/>
      <c r="FO190" s="108"/>
      <c r="FP190" s="108"/>
      <c r="FQ190" s="108"/>
      <c r="FR190" s="108"/>
      <c r="FS190" s="108"/>
      <c r="FT190" s="108"/>
      <c r="FU190" s="108"/>
      <c r="FV190" s="108"/>
      <c r="FW190" s="108"/>
      <c r="FX190" s="108"/>
      <c r="FY190" s="108"/>
      <c r="FZ190" s="270"/>
      <c r="GA190" s="270"/>
      <c r="GB190" s="267"/>
      <c r="GC190" s="267"/>
    </row>
    <row r="191" spans="1:185" s="109" customFormat="1" x14ac:dyDescent="0.25">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8"/>
      <c r="DD191" s="108"/>
      <c r="DE191" s="108"/>
      <c r="DF191" s="108"/>
      <c r="DG191" s="108"/>
      <c r="DH191" s="108"/>
      <c r="DI191" s="108"/>
      <c r="DJ191" s="108"/>
      <c r="DK191" s="108"/>
      <c r="DL191" s="108"/>
      <c r="DM191" s="108"/>
      <c r="DN191" s="108"/>
      <c r="DO191" s="108"/>
      <c r="DP191" s="108"/>
      <c r="DQ191" s="108"/>
      <c r="DR191" s="108"/>
      <c r="DS191" s="108"/>
      <c r="DT191" s="108"/>
      <c r="DU191" s="108"/>
      <c r="DV191" s="108"/>
      <c r="DW191" s="108"/>
      <c r="DX191" s="108"/>
      <c r="DY191" s="108"/>
      <c r="DZ191" s="108"/>
      <c r="EA191" s="108"/>
      <c r="EB191" s="108"/>
      <c r="EC191" s="108"/>
      <c r="ED191" s="108"/>
      <c r="EE191" s="108"/>
      <c r="EF191" s="108"/>
      <c r="EG191" s="108"/>
      <c r="EH191" s="108"/>
      <c r="EI191" s="108"/>
      <c r="EJ191" s="108"/>
      <c r="EK191" s="108"/>
      <c r="EL191" s="108"/>
      <c r="EM191" s="108"/>
      <c r="EN191" s="108"/>
      <c r="EO191" s="108"/>
      <c r="EP191" s="108"/>
      <c r="EQ191" s="108"/>
      <c r="ER191" s="108"/>
      <c r="ES191" s="108"/>
      <c r="ET191" s="108"/>
      <c r="EU191" s="108"/>
      <c r="EV191" s="108"/>
      <c r="EW191" s="108"/>
      <c r="EX191" s="108"/>
      <c r="EY191" s="108"/>
      <c r="EZ191" s="108"/>
      <c r="FA191" s="108"/>
      <c r="FB191" s="108"/>
      <c r="FC191" s="108"/>
      <c r="FD191" s="108"/>
      <c r="FE191" s="108"/>
      <c r="FF191" s="108"/>
      <c r="FG191" s="108"/>
      <c r="FH191" s="108"/>
      <c r="FI191" s="108"/>
      <c r="FJ191" s="108"/>
      <c r="FK191" s="108"/>
      <c r="FL191" s="108"/>
      <c r="FM191" s="108"/>
      <c r="FN191" s="108"/>
      <c r="FO191" s="108"/>
      <c r="FP191" s="108"/>
      <c r="FQ191" s="108"/>
      <c r="FR191" s="108"/>
      <c r="FS191" s="108"/>
      <c r="FT191" s="108"/>
      <c r="FU191" s="108"/>
      <c r="FV191" s="108"/>
      <c r="FW191" s="108"/>
      <c r="FX191" s="108"/>
      <c r="FY191" s="108"/>
      <c r="FZ191" s="270"/>
      <c r="GA191" s="270"/>
      <c r="GB191" s="267"/>
      <c r="GC191" s="267"/>
    </row>
    <row r="192" spans="1:185" s="109" customFormat="1" x14ac:dyDescent="0.25">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c r="AE192" s="108"/>
      <c r="AF192" s="108"/>
      <c r="AG192" s="108"/>
      <c r="AH192" s="108"/>
      <c r="AI192" s="108"/>
      <c r="AJ192" s="108"/>
      <c r="AK192" s="108"/>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8"/>
      <c r="DD192" s="108"/>
      <c r="DE192" s="108"/>
      <c r="DF192" s="108"/>
      <c r="DG192" s="108"/>
      <c r="DH192" s="108"/>
      <c r="DI192" s="108"/>
      <c r="DJ192" s="108"/>
      <c r="DK192" s="108"/>
      <c r="DL192" s="108"/>
      <c r="DM192" s="108"/>
      <c r="DN192" s="108"/>
      <c r="DO192" s="108"/>
      <c r="DP192" s="108"/>
      <c r="DQ192" s="108"/>
      <c r="DR192" s="108"/>
      <c r="DS192" s="108"/>
      <c r="DT192" s="108"/>
      <c r="DU192" s="108"/>
      <c r="DV192" s="108"/>
      <c r="DW192" s="108"/>
      <c r="DX192" s="108"/>
      <c r="DY192" s="108"/>
      <c r="DZ192" s="108"/>
      <c r="EA192" s="108"/>
      <c r="EB192" s="108"/>
      <c r="EC192" s="108"/>
      <c r="ED192" s="108"/>
      <c r="EE192" s="108"/>
      <c r="EF192" s="108"/>
      <c r="EG192" s="108"/>
      <c r="EH192" s="108"/>
      <c r="EI192" s="108"/>
      <c r="EJ192" s="108"/>
      <c r="EK192" s="108"/>
      <c r="EL192" s="108"/>
      <c r="EM192" s="108"/>
      <c r="EN192" s="108"/>
      <c r="EO192" s="108"/>
      <c r="EP192" s="108"/>
      <c r="EQ192" s="108"/>
      <c r="ER192" s="108"/>
      <c r="ES192" s="108"/>
      <c r="ET192" s="108"/>
      <c r="EU192" s="108"/>
      <c r="EV192" s="108"/>
      <c r="EW192" s="108"/>
      <c r="EX192" s="108"/>
      <c r="EY192" s="108"/>
      <c r="EZ192" s="108"/>
      <c r="FA192" s="108"/>
      <c r="FB192" s="108"/>
      <c r="FC192" s="108"/>
      <c r="FD192" s="108"/>
      <c r="FE192" s="108"/>
      <c r="FF192" s="108"/>
      <c r="FG192" s="108"/>
      <c r="FH192" s="108"/>
      <c r="FI192" s="108"/>
      <c r="FJ192" s="108"/>
      <c r="FK192" s="108"/>
      <c r="FL192" s="108"/>
      <c r="FM192" s="108"/>
      <c r="FN192" s="108"/>
      <c r="FO192" s="108"/>
      <c r="FP192" s="108"/>
      <c r="FQ192" s="108"/>
      <c r="FR192" s="108"/>
      <c r="FS192" s="108"/>
      <c r="FT192" s="108"/>
      <c r="FU192" s="108"/>
      <c r="FV192" s="108"/>
      <c r="FW192" s="108"/>
      <c r="FX192" s="108"/>
      <c r="FY192" s="108"/>
      <c r="FZ192" s="270"/>
      <c r="GA192" s="270"/>
      <c r="GB192" s="267"/>
      <c r="GC192" s="267"/>
    </row>
    <row r="193" spans="1:185" s="109" customFormat="1" x14ac:dyDescent="0.25">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8"/>
      <c r="DD193" s="108"/>
      <c r="DE193" s="108"/>
      <c r="DF193" s="108"/>
      <c r="DG193" s="108"/>
      <c r="DH193" s="108"/>
      <c r="DI193" s="108"/>
      <c r="DJ193" s="108"/>
      <c r="DK193" s="108"/>
      <c r="DL193" s="108"/>
      <c r="DM193" s="108"/>
      <c r="DN193" s="108"/>
      <c r="DO193" s="108"/>
      <c r="DP193" s="108"/>
      <c r="DQ193" s="108"/>
      <c r="DR193" s="108"/>
      <c r="DS193" s="108"/>
      <c r="DT193" s="108"/>
      <c r="DU193" s="108"/>
      <c r="DV193" s="108"/>
      <c r="DW193" s="108"/>
      <c r="DX193" s="108"/>
      <c r="DY193" s="108"/>
      <c r="DZ193" s="108"/>
      <c r="EA193" s="108"/>
      <c r="EB193" s="108"/>
      <c r="EC193" s="108"/>
      <c r="ED193" s="108"/>
      <c r="EE193" s="108"/>
      <c r="EF193" s="108"/>
      <c r="EG193" s="108"/>
      <c r="EH193" s="108"/>
      <c r="EI193" s="108"/>
      <c r="EJ193" s="108"/>
      <c r="EK193" s="108"/>
      <c r="EL193" s="108"/>
      <c r="EM193" s="108"/>
      <c r="EN193" s="108"/>
      <c r="EO193" s="108"/>
      <c r="EP193" s="108"/>
      <c r="EQ193" s="108"/>
      <c r="ER193" s="108"/>
      <c r="ES193" s="108"/>
      <c r="ET193" s="108"/>
      <c r="EU193" s="108"/>
      <c r="EV193" s="108"/>
      <c r="EW193" s="108"/>
      <c r="EX193" s="108"/>
      <c r="EY193" s="108"/>
      <c r="EZ193" s="108"/>
      <c r="FA193" s="108"/>
      <c r="FB193" s="108"/>
      <c r="FC193" s="108"/>
      <c r="FD193" s="108"/>
      <c r="FE193" s="108"/>
      <c r="FF193" s="108"/>
      <c r="FG193" s="108"/>
      <c r="FH193" s="108"/>
      <c r="FI193" s="108"/>
      <c r="FJ193" s="108"/>
      <c r="FK193" s="108"/>
      <c r="FL193" s="108"/>
      <c r="FM193" s="108"/>
      <c r="FN193" s="108"/>
      <c r="FO193" s="108"/>
      <c r="FP193" s="108"/>
      <c r="FQ193" s="108"/>
      <c r="FR193" s="108"/>
      <c r="FS193" s="108"/>
      <c r="FT193" s="108"/>
      <c r="FU193" s="108"/>
      <c r="FV193" s="108"/>
      <c r="FW193" s="108"/>
      <c r="FX193" s="108"/>
      <c r="FY193" s="108"/>
      <c r="FZ193" s="270"/>
      <c r="GA193" s="270"/>
      <c r="GB193" s="267"/>
      <c r="GC193" s="267"/>
    </row>
    <row r="194" spans="1:185" s="109" customFormat="1" x14ac:dyDescent="0.25">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c r="AE194" s="108"/>
      <c r="AF194" s="108"/>
      <c r="AG194" s="108"/>
      <c r="AH194" s="108"/>
      <c r="AI194" s="108"/>
      <c r="AJ194" s="108"/>
      <c r="AK194" s="108"/>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8"/>
      <c r="DD194" s="108"/>
      <c r="DE194" s="108"/>
      <c r="DF194" s="108"/>
      <c r="DG194" s="108"/>
      <c r="DH194" s="108"/>
      <c r="DI194" s="108"/>
      <c r="DJ194" s="108"/>
      <c r="DK194" s="108"/>
      <c r="DL194" s="108"/>
      <c r="DM194" s="108"/>
      <c r="DN194" s="108"/>
      <c r="DO194" s="108"/>
      <c r="DP194" s="108"/>
      <c r="DQ194" s="108"/>
      <c r="DR194" s="108"/>
      <c r="DS194" s="108"/>
      <c r="DT194" s="108"/>
      <c r="DU194" s="108"/>
      <c r="DV194" s="108"/>
      <c r="DW194" s="108"/>
      <c r="DX194" s="108"/>
      <c r="DY194" s="108"/>
      <c r="DZ194" s="108"/>
      <c r="EA194" s="108"/>
      <c r="EB194" s="108"/>
      <c r="EC194" s="108"/>
      <c r="ED194" s="108"/>
      <c r="EE194" s="108"/>
      <c r="EF194" s="108"/>
      <c r="EG194" s="108"/>
      <c r="EH194" s="108"/>
      <c r="EI194" s="108"/>
      <c r="EJ194" s="108"/>
      <c r="EK194" s="108"/>
      <c r="EL194" s="108"/>
      <c r="EM194" s="108"/>
      <c r="EN194" s="108"/>
      <c r="EO194" s="108"/>
      <c r="EP194" s="108"/>
      <c r="EQ194" s="108"/>
      <c r="ER194" s="108"/>
      <c r="ES194" s="108"/>
      <c r="ET194" s="108"/>
      <c r="EU194" s="108"/>
      <c r="EV194" s="108"/>
      <c r="EW194" s="108"/>
      <c r="EX194" s="108"/>
      <c r="EY194" s="108"/>
      <c r="EZ194" s="108"/>
      <c r="FA194" s="108"/>
      <c r="FB194" s="108"/>
      <c r="FC194" s="108"/>
      <c r="FD194" s="108"/>
      <c r="FE194" s="108"/>
      <c r="FF194" s="108"/>
      <c r="FG194" s="108"/>
      <c r="FH194" s="108"/>
      <c r="FI194" s="108"/>
      <c r="FJ194" s="108"/>
      <c r="FK194" s="108"/>
      <c r="FL194" s="108"/>
      <c r="FM194" s="108"/>
      <c r="FN194" s="108"/>
      <c r="FO194" s="108"/>
      <c r="FP194" s="108"/>
      <c r="FQ194" s="108"/>
      <c r="FR194" s="108"/>
      <c r="FS194" s="108"/>
      <c r="FT194" s="108"/>
      <c r="FU194" s="108"/>
      <c r="FV194" s="108"/>
      <c r="FW194" s="108"/>
      <c r="FX194" s="108"/>
      <c r="FY194" s="108"/>
      <c r="FZ194" s="270"/>
      <c r="GA194" s="270"/>
      <c r="GB194" s="267"/>
      <c r="GC194" s="267"/>
    </row>
    <row r="195" spans="1:185" s="109" customFormat="1" x14ac:dyDescent="0.25">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8"/>
      <c r="AK195" s="108"/>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8"/>
      <c r="DD195" s="108"/>
      <c r="DE195" s="108"/>
      <c r="DF195" s="108"/>
      <c r="DG195" s="108"/>
      <c r="DH195" s="108"/>
      <c r="DI195" s="108"/>
      <c r="DJ195" s="108"/>
      <c r="DK195" s="108"/>
      <c r="DL195" s="108"/>
      <c r="DM195" s="108"/>
      <c r="DN195" s="108"/>
      <c r="DO195" s="108"/>
      <c r="DP195" s="108"/>
      <c r="DQ195" s="108"/>
      <c r="DR195" s="108"/>
      <c r="DS195" s="108"/>
      <c r="DT195" s="108"/>
      <c r="DU195" s="108"/>
      <c r="DV195" s="108"/>
      <c r="DW195" s="108"/>
      <c r="DX195" s="108"/>
      <c r="DY195" s="108"/>
      <c r="DZ195" s="108"/>
      <c r="EA195" s="108"/>
      <c r="EB195" s="108"/>
      <c r="EC195" s="108"/>
      <c r="ED195" s="108"/>
      <c r="EE195" s="108"/>
      <c r="EF195" s="108"/>
      <c r="EG195" s="108"/>
      <c r="EH195" s="108"/>
      <c r="EI195" s="108"/>
      <c r="EJ195" s="108"/>
      <c r="EK195" s="108"/>
      <c r="EL195" s="108"/>
      <c r="EM195" s="108"/>
      <c r="EN195" s="108"/>
      <c r="EO195" s="108"/>
      <c r="EP195" s="108"/>
      <c r="EQ195" s="108"/>
      <c r="ER195" s="108"/>
      <c r="ES195" s="108"/>
      <c r="ET195" s="108"/>
      <c r="EU195" s="108"/>
      <c r="EV195" s="108"/>
      <c r="EW195" s="108"/>
      <c r="EX195" s="108"/>
      <c r="EY195" s="108"/>
      <c r="EZ195" s="108"/>
      <c r="FA195" s="108"/>
      <c r="FB195" s="108"/>
      <c r="FC195" s="108"/>
      <c r="FD195" s="108"/>
      <c r="FE195" s="108"/>
      <c r="FF195" s="108"/>
      <c r="FG195" s="108"/>
      <c r="FH195" s="108"/>
      <c r="FI195" s="108"/>
      <c r="FJ195" s="108"/>
      <c r="FK195" s="108"/>
      <c r="FL195" s="108"/>
      <c r="FM195" s="108"/>
      <c r="FN195" s="108"/>
      <c r="FO195" s="108"/>
      <c r="FP195" s="108"/>
      <c r="FQ195" s="108"/>
      <c r="FR195" s="108"/>
      <c r="FS195" s="108"/>
      <c r="FT195" s="108"/>
      <c r="FU195" s="108"/>
      <c r="FV195" s="108"/>
      <c r="FW195" s="108"/>
      <c r="FX195" s="108"/>
      <c r="FY195" s="108"/>
      <c r="FZ195" s="270"/>
      <c r="GA195" s="270"/>
      <c r="GB195" s="267"/>
      <c r="GC195" s="267"/>
    </row>
    <row r="196" spans="1:185" s="109" customFormat="1" x14ac:dyDescent="0.25">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c r="AD196" s="108"/>
      <c r="AE196" s="108"/>
      <c r="AF196" s="108"/>
      <c r="AG196" s="108"/>
      <c r="AH196" s="108"/>
      <c r="AI196" s="108"/>
      <c r="AJ196" s="108"/>
      <c r="AK196" s="108"/>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c r="CK196" s="108"/>
      <c r="CL196" s="108"/>
      <c r="CM196" s="108"/>
      <c r="CN196" s="108"/>
      <c r="CO196" s="108"/>
      <c r="CP196" s="108"/>
      <c r="CQ196" s="108"/>
      <c r="CR196" s="108"/>
      <c r="CS196" s="108"/>
      <c r="CT196" s="108"/>
      <c r="CU196" s="108"/>
      <c r="CV196" s="108"/>
      <c r="CW196" s="108"/>
      <c r="CX196" s="108"/>
      <c r="CY196" s="108"/>
      <c r="CZ196" s="108"/>
      <c r="DA196" s="108"/>
      <c r="DB196" s="108"/>
      <c r="DC196" s="108"/>
      <c r="DD196" s="108"/>
      <c r="DE196" s="108"/>
      <c r="DF196" s="108"/>
      <c r="DG196" s="108"/>
      <c r="DH196" s="108"/>
      <c r="DI196" s="108"/>
      <c r="DJ196" s="108"/>
      <c r="DK196" s="108"/>
      <c r="DL196" s="108"/>
      <c r="DM196" s="108"/>
      <c r="DN196" s="108"/>
      <c r="DO196" s="108"/>
      <c r="DP196" s="108"/>
      <c r="DQ196" s="108"/>
      <c r="DR196" s="108"/>
      <c r="DS196" s="108"/>
      <c r="DT196" s="108"/>
      <c r="DU196" s="108"/>
      <c r="DV196" s="108"/>
      <c r="DW196" s="108"/>
      <c r="DX196" s="108"/>
      <c r="DY196" s="108"/>
      <c r="DZ196" s="108"/>
      <c r="EA196" s="108"/>
      <c r="EB196" s="108"/>
      <c r="EC196" s="108"/>
      <c r="ED196" s="108"/>
      <c r="EE196" s="108"/>
      <c r="EF196" s="108"/>
      <c r="EG196" s="108"/>
      <c r="EH196" s="108"/>
      <c r="EI196" s="108"/>
      <c r="EJ196" s="108"/>
      <c r="EK196" s="108"/>
      <c r="EL196" s="108"/>
      <c r="EM196" s="108"/>
      <c r="EN196" s="108"/>
      <c r="EO196" s="108"/>
      <c r="EP196" s="108"/>
      <c r="EQ196" s="108"/>
      <c r="ER196" s="108"/>
      <c r="ES196" s="108"/>
      <c r="ET196" s="108"/>
      <c r="EU196" s="108"/>
      <c r="EV196" s="108"/>
      <c r="EW196" s="108"/>
      <c r="EX196" s="108"/>
      <c r="EY196" s="108"/>
      <c r="EZ196" s="108"/>
      <c r="FA196" s="108"/>
      <c r="FB196" s="108"/>
      <c r="FC196" s="108"/>
      <c r="FD196" s="108"/>
      <c r="FE196" s="108"/>
      <c r="FF196" s="108"/>
      <c r="FG196" s="108"/>
      <c r="FH196" s="108"/>
      <c r="FI196" s="108"/>
      <c r="FJ196" s="108"/>
      <c r="FK196" s="108"/>
      <c r="FL196" s="108"/>
      <c r="FM196" s="108"/>
      <c r="FN196" s="108"/>
      <c r="FO196" s="108"/>
      <c r="FP196" s="108"/>
      <c r="FQ196" s="108"/>
      <c r="FR196" s="108"/>
      <c r="FS196" s="108"/>
      <c r="FT196" s="108"/>
      <c r="FU196" s="108"/>
      <c r="FV196" s="108"/>
      <c r="FW196" s="108"/>
      <c r="FX196" s="108"/>
      <c r="FY196" s="108"/>
      <c r="FZ196" s="270"/>
      <c r="GA196" s="270"/>
      <c r="GB196" s="267"/>
      <c r="GC196" s="267"/>
    </row>
    <row r="197" spans="1:185" s="109" customFormat="1" x14ac:dyDescent="0.25">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8"/>
      <c r="DD197" s="108"/>
      <c r="DE197" s="108"/>
      <c r="DF197" s="108"/>
      <c r="DG197" s="108"/>
      <c r="DH197" s="108"/>
      <c r="DI197" s="108"/>
      <c r="DJ197" s="108"/>
      <c r="DK197" s="108"/>
      <c r="DL197" s="108"/>
      <c r="DM197" s="108"/>
      <c r="DN197" s="108"/>
      <c r="DO197" s="108"/>
      <c r="DP197" s="108"/>
      <c r="DQ197" s="108"/>
      <c r="DR197" s="108"/>
      <c r="DS197" s="108"/>
      <c r="DT197" s="108"/>
      <c r="DU197" s="108"/>
      <c r="DV197" s="108"/>
      <c r="DW197" s="108"/>
      <c r="DX197" s="108"/>
      <c r="DY197" s="108"/>
      <c r="DZ197" s="108"/>
      <c r="EA197" s="108"/>
      <c r="EB197" s="108"/>
      <c r="EC197" s="108"/>
      <c r="ED197" s="108"/>
      <c r="EE197" s="108"/>
      <c r="EF197" s="108"/>
      <c r="EG197" s="108"/>
      <c r="EH197" s="108"/>
      <c r="EI197" s="108"/>
      <c r="EJ197" s="108"/>
      <c r="EK197" s="108"/>
      <c r="EL197" s="108"/>
      <c r="EM197" s="108"/>
      <c r="EN197" s="108"/>
      <c r="EO197" s="108"/>
      <c r="EP197" s="108"/>
      <c r="EQ197" s="108"/>
      <c r="ER197" s="108"/>
      <c r="ES197" s="108"/>
      <c r="ET197" s="108"/>
      <c r="EU197" s="108"/>
      <c r="EV197" s="108"/>
      <c r="EW197" s="108"/>
      <c r="EX197" s="108"/>
      <c r="EY197" s="108"/>
      <c r="EZ197" s="108"/>
      <c r="FA197" s="108"/>
      <c r="FB197" s="108"/>
      <c r="FC197" s="108"/>
      <c r="FD197" s="108"/>
      <c r="FE197" s="108"/>
      <c r="FF197" s="108"/>
      <c r="FG197" s="108"/>
      <c r="FH197" s="108"/>
      <c r="FI197" s="108"/>
      <c r="FJ197" s="108"/>
      <c r="FK197" s="108"/>
      <c r="FL197" s="108"/>
      <c r="FM197" s="108"/>
      <c r="FN197" s="108"/>
      <c r="FO197" s="108"/>
      <c r="FP197" s="108"/>
      <c r="FQ197" s="108"/>
      <c r="FR197" s="108"/>
      <c r="FS197" s="108"/>
      <c r="FT197" s="108"/>
      <c r="FU197" s="108"/>
      <c r="FV197" s="108"/>
      <c r="FW197" s="108"/>
      <c r="FX197" s="108"/>
      <c r="FY197" s="108"/>
      <c r="FZ197" s="270"/>
      <c r="GA197" s="270"/>
      <c r="GB197" s="267"/>
      <c r="GC197" s="267"/>
    </row>
    <row r="198" spans="1:185" s="109" customFormat="1" x14ac:dyDescent="0.25">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8"/>
      <c r="DD198" s="108"/>
      <c r="DE198" s="108"/>
      <c r="DF198" s="108"/>
      <c r="DG198" s="108"/>
      <c r="DH198" s="108"/>
      <c r="DI198" s="108"/>
      <c r="DJ198" s="108"/>
      <c r="DK198" s="108"/>
      <c r="DL198" s="108"/>
      <c r="DM198" s="108"/>
      <c r="DN198" s="108"/>
      <c r="DO198" s="108"/>
      <c r="DP198" s="108"/>
      <c r="DQ198" s="108"/>
      <c r="DR198" s="108"/>
      <c r="DS198" s="108"/>
      <c r="DT198" s="108"/>
      <c r="DU198" s="108"/>
      <c r="DV198" s="108"/>
      <c r="DW198" s="108"/>
      <c r="DX198" s="108"/>
      <c r="DY198" s="108"/>
      <c r="DZ198" s="108"/>
      <c r="EA198" s="108"/>
      <c r="EB198" s="108"/>
      <c r="EC198" s="108"/>
      <c r="ED198" s="108"/>
      <c r="EE198" s="108"/>
      <c r="EF198" s="108"/>
      <c r="EG198" s="108"/>
      <c r="EH198" s="108"/>
      <c r="EI198" s="108"/>
      <c r="EJ198" s="108"/>
      <c r="EK198" s="108"/>
      <c r="EL198" s="108"/>
      <c r="EM198" s="108"/>
      <c r="EN198" s="108"/>
      <c r="EO198" s="108"/>
      <c r="EP198" s="108"/>
      <c r="EQ198" s="108"/>
      <c r="ER198" s="108"/>
      <c r="ES198" s="108"/>
      <c r="ET198" s="108"/>
      <c r="EU198" s="108"/>
      <c r="EV198" s="108"/>
      <c r="EW198" s="108"/>
      <c r="EX198" s="108"/>
      <c r="EY198" s="108"/>
      <c r="EZ198" s="108"/>
      <c r="FA198" s="108"/>
      <c r="FB198" s="108"/>
      <c r="FC198" s="108"/>
      <c r="FD198" s="108"/>
      <c r="FE198" s="108"/>
      <c r="FF198" s="108"/>
      <c r="FG198" s="108"/>
      <c r="FH198" s="108"/>
      <c r="FI198" s="108"/>
      <c r="FJ198" s="108"/>
      <c r="FK198" s="108"/>
      <c r="FL198" s="108"/>
      <c r="FM198" s="108"/>
      <c r="FN198" s="108"/>
      <c r="FO198" s="108"/>
      <c r="FP198" s="108"/>
      <c r="FQ198" s="108"/>
      <c r="FR198" s="108"/>
      <c r="FS198" s="108"/>
      <c r="FT198" s="108"/>
      <c r="FU198" s="108"/>
      <c r="FV198" s="108"/>
      <c r="FW198" s="108"/>
      <c r="FX198" s="108"/>
      <c r="FY198" s="108"/>
      <c r="FZ198" s="270"/>
      <c r="GA198" s="270"/>
      <c r="GB198" s="267"/>
      <c r="GC198" s="267"/>
    </row>
    <row r="199" spans="1:185" s="109" customFormat="1" x14ac:dyDescent="0.25">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8"/>
      <c r="DD199" s="108"/>
      <c r="DE199" s="108"/>
      <c r="DF199" s="108"/>
      <c r="DG199" s="108"/>
      <c r="DH199" s="108"/>
      <c r="DI199" s="108"/>
      <c r="DJ199" s="108"/>
      <c r="DK199" s="108"/>
      <c r="DL199" s="108"/>
      <c r="DM199" s="108"/>
      <c r="DN199" s="108"/>
      <c r="DO199" s="108"/>
      <c r="DP199" s="108"/>
      <c r="DQ199" s="108"/>
      <c r="DR199" s="108"/>
      <c r="DS199" s="108"/>
      <c r="DT199" s="108"/>
      <c r="DU199" s="108"/>
      <c r="DV199" s="108"/>
      <c r="DW199" s="108"/>
      <c r="DX199" s="108"/>
      <c r="DY199" s="108"/>
      <c r="DZ199" s="108"/>
      <c r="EA199" s="108"/>
      <c r="EB199" s="108"/>
      <c r="EC199" s="108"/>
      <c r="ED199" s="108"/>
      <c r="EE199" s="108"/>
      <c r="EF199" s="108"/>
      <c r="EG199" s="108"/>
      <c r="EH199" s="108"/>
      <c r="EI199" s="108"/>
      <c r="EJ199" s="108"/>
      <c r="EK199" s="108"/>
      <c r="EL199" s="108"/>
      <c r="EM199" s="108"/>
      <c r="EN199" s="108"/>
      <c r="EO199" s="108"/>
      <c r="EP199" s="108"/>
      <c r="EQ199" s="108"/>
      <c r="ER199" s="108"/>
      <c r="ES199" s="108"/>
      <c r="ET199" s="108"/>
      <c r="EU199" s="108"/>
      <c r="EV199" s="108"/>
      <c r="EW199" s="108"/>
      <c r="EX199" s="108"/>
      <c r="EY199" s="108"/>
      <c r="EZ199" s="108"/>
      <c r="FA199" s="108"/>
      <c r="FB199" s="108"/>
      <c r="FC199" s="108"/>
      <c r="FD199" s="108"/>
      <c r="FE199" s="108"/>
      <c r="FF199" s="108"/>
      <c r="FG199" s="108"/>
      <c r="FH199" s="108"/>
      <c r="FI199" s="108"/>
      <c r="FJ199" s="108"/>
      <c r="FK199" s="108"/>
      <c r="FL199" s="108"/>
      <c r="FM199" s="108"/>
      <c r="FN199" s="108"/>
      <c r="FO199" s="108"/>
      <c r="FP199" s="108"/>
      <c r="FQ199" s="108"/>
      <c r="FR199" s="108"/>
      <c r="FS199" s="108"/>
      <c r="FT199" s="108"/>
      <c r="FU199" s="108"/>
      <c r="FV199" s="108"/>
      <c r="FW199" s="108"/>
      <c r="FX199" s="108"/>
      <c r="FY199" s="108"/>
      <c r="FZ199" s="270"/>
      <c r="GA199" s="270"/>
      <c r="GB199" s="267"/>
      <c r="GC199" s="267"/>
    </row>
    <row r="200" spans="1:185" s="109" customFormat="1" x14ac:dyDescent="0.25">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8"/>
      <c r="DD200" s="108"/>
      <c r="DE200" s="108"/>
      <c r="DF200" s="108"/>
      <c r="DG200" s="108"/>
      <c r="DH200" s="108"/>
      <c r="DI200" s="108"/>
      <c r="DJ200" s="108"/>
      <c r="DK200" s="108"/>
      <c r="DL200" s="108"/>
      <c r="DM200" s="108"/>
      <c r="DN200" s="108"/>
      <c r="DO200" s="108"/>
      <c r="DP200" s="108"/>
      <c r="DQ200" s="108"/>
      <c r="DR200" s="108"/>
      <c r="DS200" s="108"/>
      <c r="DT200" s="108"/>
      <c r="DU200" s="108"/>
      <c r="DV200" s="108"/>
      <c r="DW200" s="108"/>
      <c r="DX200" s="108"/>
      <c r="DY200" s="108"/>
      <c r="DZ200" s="108"/>
      <c r="EA200" s="108"/>
      <c r="EB200" s="108"/>
      <c r="EC200" s="108"/>
      <c r="ED200" s="108"/>
      <c r="EE200" s="108"/>
      <c r="EF200" s="108"/>
      <c r="EG200" s="108"/>
      <c r="EH200" s="108"/>
      <c r="EI200" s="108"/>
      <c r="EJ200" s="108"/>
      <c r="EK200" s="108"/>
      <c r="EL200" s="108"/>
      <c r="EM200" s="108"/>
      <c r="EN200" s="108"/>
      <c r="EO200" s="108"/>
      <c r="EP200" s="108"/>
      <c r="EQ200" s="108"/>
      <c r="ER200" s="108"/>
      <c r="ES200" s="108"/>
      <c r="ET200" s="108"/>
      <c r="EU200" s="108"/>
      <c r="EV200" s="108"/>
      <c r="EW200" s="108"/>
      <c r="EX200" s="108"/>
      <c r="EY200" s="108"/>
      <c r="EZ200" s="108"/>
      <c r="FA200" s="108"/>
      <c r="FB200" s="108"/>
      <c r="FC200" s="108"/>
      <c r="FD200" s="108"/>
      <c r="FE200" s="108"/>
      <c r="FF200" s="108"/>
      <c r="FG200" s="108"/>
      <c r="FH200" s="108"/>
      <c r="FI200" s="108"/>
      <c r="FJ200" s="108"/>
      <c r="FK200" s="108"/>
      <c r="FL200" s="108"/>
      <c r="FM200" s="108"/>
      <c r="FN200" s="108"/>
      <c r="FO200" s="108"/>
      <c r="FP200" s="108"/>
      <c r="FQ200" s="108"/>
      <c r="FR200" s="108"/>
      <c r="FS200" s="108"/>
      <c r="FT200" s="108"/>
      <c r="FU200" s="108"/>
      <c r="FV200" s="108"/>
      <c r="FW200" s="108"/>
      <c r="FX200" s="108"/>
      <c r="FY200" s="108"/>
      <c r="FZ200" s="270"/>
      <c r="GA200" s="270"/>
      <c r="GB200" s="267"/>
      <c r="GC200" s="267"/>
    </row>
    <row r="201" spans="1:185" s="109" customFormat="1" x14ac:dyDescent="0.25">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8"/>
      <c r="DD201" s="108"/>
      <c r="DE201" s="108"/>
      <c r="DF201" s="108"/>
      <c r="DG201" s="108"/>
      <c r="DH201" s="108"/>
      <c r="DI201" s="108"/>
      <c r="DJ201" s="108"/>
      <c r="DK201" s="108"/>
      <c r="DL201" s="108"/>
      <c r="DM201" s="108"/>
      <c r="DN201" s="108"/>
      <c r="DO201" s="108"/>
      <c r="DP201" s="108"/>
      <c r="DQ201" s="108"/>
      <c r="DR201" s="108"/>
      <c r="DS201" s="108"/>
      <c r="DT201" s="108"/>
      <c r="DU201" s="108"/>
      <c r="DV201" s="108"/>
      <c r="DW201" s="108"/>
      <c r="DX201" s="108"/>
      <c r="DY201" s="108"/>
      <c r="DZ201" s="108"/>
      <c r="EA201" s="108"/>
      <c r="EB201" s="108"/>
      <c r="EC201" s="108"/>
      <c r="ED201" s="108"/>
      <c r="EE201" s="108"/>
      <c r="EF201" s="108"/>
      <c r="EG201" s="108"/>
      <c r="EH201" s="108"/>
      <c r="EI201" s="108"/>
      <c r="EJ201" s="108"/>
      <c r="EK201" s="108"/>
      <c r="EL201" s="108"/>
      <c r="EM201" s="108"/>
      <c r="EN201" s="108"/>
      <c r="EO201" s="108"/>
      <c r="EP201" s="108"/>
      <c r="EQ201" s="108"/>
      <c r="ER201" s="108"/>
      <c r="ES201" s="108"/>
      <c r="ET201" s="108"/>
      <c r="EU201" s="108"/>
      <c r="EV201" s="108"/>
      <c r="EW201" s="108"/>
      <c r="EX201" s="108"/>
      <c r="EY201" s="108"/>
      <c r="EZ201" s="108"/>
      <c r="FA201" s="108"/>
      <c r="FB201" s="108"/>
      <c r="FC201" s="108"/>
      <c r="FD201" s="108"/>
      <c r="FE201" s="108"/>
      <c r="FF201" s="108"/>
      <c r="FG201" s="108"/>
      <c r="FH201" s="108"/>
      <c r="FI201" s="108"/>
      <c r="FJ201" s="108"/>
      <c r="FK201" s="108"/>
      <c r="FL201" s="108"/>
      <c r="FM201" s="108"/>
      <c r="FN201" s="108"/>
      <c r="FO201" s="108"/>
      <c r="FP201" s="108"/>
      <c r="FQ201" s="108"/>
      <c r="FR201" s="108"/>
      <c r="FS201" s="108"/>
      <c r="FT201" s="108"/>
      <c r="FU201" s="108"/>
      <c r="FV201" s="108"/>
      <c r="FW201" s="108"/>
      <c r="FX201" s="108"/>
      <c r="FY201" s="108"/>
      <c r="FZ201" s="270"/>
      <c r="GA201" s="270"/>
      <c r="GB201" s="267"/>
      <c r="GC201" s="267"/>
    </row>
    <row r="202" spans="1:185" s="109" customFormat="1" x14ac:dyDescent="0.25">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8"/>
      <c r="DD202" s="108"/>
      <c r="DE202" s="108"/>
      <c r="DF202" s="108"/>
      <c r="DG202" s="108"/>
      <c r="DH202" s="108"/>
      <c r="DI202" s="108"/>
      <c r="DJ202" s="108"/>
      <c r="DK202" s="108"/>
      <c r="DL202" s="108"/>
      <c r="DM202" s="108"/>
      <c r="DN202" s="108"/>
      <c r="DO202" s="108"/>
      <c r="DP202" s="108"/>
      <c r="DQ202" s="108"/>
      <c r="DR202" s="108"/>
      <c r="DS202" s="108"/>
      <c r="DT202" s="108"/>
      <c r="DU202" s="108"/>
      <c r="DV202" s="108"/>
      <c r="DW202" s="108"/>
      <c r="DX202" s="108"/>
      <c r="DY202" s="108"/>
      <c r="DZ202" s="108"/>
      <c r="EA202" s="108"/>
      <c r="EB202" s="108"/>
      <c r="EC202" s="108"/>
      <c r="ED202" s="108"/>
      <c r="EE202" s="108"/>
      <c r="EF202" s="108"/>
      <c r="EG202" s="108"/>
      <c r="EH202" s="108"/>
      <c r="EI202" s="108"/>
      <c r="EJ202" s="108"/>
      <c r="EK202" s="108"/>
      <c r="EL202" s="108"/>
      <c r="EM202" s="108"/>
      <c r="EN202" s="108"/>
      <c r="EO202" s="108"/>
      <c r="EP202" s="108"/>
      <c r="EQ202" s="108"/>
      <c r="ER202" s="108"/>
      <c r="ES202" s="108"/>
      <c r="ET202" s="108"/>
      <c r="EU202" s="108"/>
      <c r="EV202" s="108"/>
      <c r="EW202" s="108"/>
      <c r="EX202" s="108"/>
      <c r="EY202" s="108"/>
      <c r="EZ202" s="108"/>
      <c r="FA202" s="108"/>
      <c r="FB202" s="108"/>
      <c r="FC202" s="108"/>
      <c r="FD202" s="108"/>
      <c r="FE202" s="108"/>
      <c r="FF202" s="108"/>
      <c r="FG202" s="108"/>
      <c r="FH202" s="108"/>
      <c r="FI202" s="108"/>
      <c r="FJ202" s="108"/>
      <c r="FK202" s="108"/>
      <c r="FL202" s="108"/>
      <c r="FM202" s="108"/>
      <c r="FN202" s="108"/>
      <c r="FO202" s="108"/>
      <c r="FP202" s="108"/>
      <c r="FQ202" s="108"/>
      <c r="FR202" s="108"/>
      <c r="FS202" s="108"/>
      <c r="FT202" s="108"/>
      <c r="FU202" s="108"/>
      <c r="FV202" s="108"/>
      <c r="FW202" s="108"/>
      <c r="FX202" s="108"/>
      <c r="FY202" s="108"/>
      <c r="FZ202" s="270"/>
      <c r="GA202" s="270"/>
      <c r="GB202" s="267"/>
      <c r="GC202" s="267"/>
    </row>
    <row r="203" spans="1:185" s="109" customFormat="1" x14ac:dyDescent="0.25">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8"/>
      <c r="DD203" s="108"/>
      <c r="DE203" s="108"/>
      <c r="DF203" s="108"/>
      <c r="DG203" s="108"/>
      <c r="DH203" s="108"/>
      <c r="DI203" s="108"/>
      <c r="DJ203" s="108"/>
      <c r="DK203" s="108"/>
      <c r="DL203" s="108"/>
      <c r="DM203" s="108"/>
      <c r="DN203" s="108"/>
      <c r="DO203" s="108"/>
      <c r="DP203" s="108"/>
      <c r="DQ203" s="108"/>
      <c r="DR203" s="108"/>
      <c r="DS203" s="108"/>
      <c r="DT203" s="108"/>
      <c r="DU203" s="108"/>
      <c r="DV203" s="108"/>
      <c r="DW203" s="108"/>
      <c r="DX203" s="108"/>
      <c r="DY203" s="108"/>
      <c r="DZ203" s="108"/>
      <c r="EA203" s="108"/>
      <c r="EB203" s="108"/>
      <c r="EC203" s="108"/>
      <c r="ED203" s="108"/>
      <c r="EE203" s="108"/>
      <c r="EF203" s="108"/>
      <c r="EG203" s="108"/>
      <c r="EH203" s="108"/>
      <c r="EI203" s="108"/>
      <c r="EJ203" s="108"/>
      <c r="EK203" s="108"/>
      <c r="EL203" s="108"/>
      <c r="EM203" s="108"/>
      <c r="EN203" s="108"/>
      <c r="EO203" s="108"/>
      <c r="EP203" s="108"/>
      <c r="EQ203" s="108"/>
      <c r="ER203" s="108"/>
      <c r="ES203" s="108"/>
      <c r="ET203" s="108"/>
      <c r="EU203" s="108"/>
      <c r="EV203" s="108"/>
      <c r="EW203" s="108"/>
      <c r="EX203" s="108"/>
      <c r="EY203" s="108"/>
      <c r="EZ203" s="108"/>
      <c r="FA203" s="108"/>
      <c r="FB203" s="108"/>
      <c r="FC203" s="108"/>
      <c r="FD203" s="108"/>
      <c r="FE203" s="108"/>
      <c r="FF203" s="108"/>
      <c r="FG203" s="108"/>
      <c r="FH203" s="108"/>
      <c r="FI203" s="108"/>
      <c r="FJ203" s="108"/>
      <c r="FK203" s="108"/>
      <c r="FL203" s="108"/>
      <c r="FM203" s="108"/>
      <c r="FN203" s="108"/>
      <c r="FO203" s="108"/>
      <c r="FP203" s="108"/>
      <c r="FQ203" s="108"/>
      <c r="FR203" s="108"/>
      <c r="FS203" s="108"/>
      <c r="FT203" s="108"/>
      <c r="FU203" s="108"/>
      <c r="FV203" s="108"/>
      <c r="FW203" s="108"/>
      <c r="FX203" s="108"/>
      <c r="FY203" s="108"/>
      <c r="FZ203" s="270"/>
      <c r="GA203" s="270"/>
      <c r="GB203" s="267"/>
      <c r="GC203" s="267"/>
    </row>
    <row r="204" spans="1:185" s="109" customFormat="1" x14ac:dyDescent="0.25">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8"/>
      <c r="DD204" s="108"/>
      <c r="DE204" s="108"/>
      <c r="DF204" s="108"/>
      <c r="DG204" s="108"/>
      <c r="DH204" s="108"/>
      <c r="DI204" s="108"/>
      <c r="DJ204" s="108"/>
      <c r="DK204" s="108"/>
      <c r="DL204" s="108"/>
      <c r="DM204" s="108"/>
      <c r="DN204" s="108"/>
      <c r="DO204" s="108"/>
      <c r="DP204" s="108"/>
      <c r="DQ204" s="108"/>
      <c r="DR204" s="108"/>
      <c r="DS204" s="108"/>
      <c r="DT204" s="108"/>
      <c r="DU204" s="108"/>
      <c r="DV204" s="108"/>
      <c r="DW204" s="108"/>
      <c r="DX204" s="108"/>
      <c r="DY204" s="108"/>
      <c r="DZ204" s="108"/>
      <c r="EA204" s="108"/>
      <c r="EB204" s="108"/>
      <c r="EC204" s="108"/>
      <c r="ED204" s="108"/>
      <c r="EE204" s="108"/>
      <c r="EF204" s="108"/>
      <c r="EG204" s="108"/>
      <c r="EH204" s="108"/>
      <c r="EI204" s="108"/>
      <c r="EJ204" s="108"/>
      <c r="EK204" s="108"/>
      <c r="EL204" s="108"/>
      <c r="EM204" s="108"/>
      <c r="EN204" s="108"/>
      <c r="EO204" s="108"/>
      <c r="EP204" s="108"/>
      <c r="EQ204" s="108"/>
      <c r="ER204" s="108"/>
      <c r="ES204" s="108"/>
      <c r="ET204" s="108"/>
      <c r="EU204" s="108"/>
      <c r="EV204" s="108"/>
      <c r="EW204" s="108"/>
      <c r="EX204" s="108"/>
      <c r="EY204" s="108"/>
      <c r="EZ204" s="108"/>
      <c r="FA204" s="108"/>
      <c r="FB204" s="108"/>
      <c r="FC204" s="108"/>
      <c r="FD204" s="108"/>
      <c r="FE204" s="108"/>
      <c r="FF204" s="108"/>
      <c r="FG204" s="108"/>
      <c r="FH204" s="108"/>
      <c r="FI204" s="108"/>
      <c r="FJ204" s="108"/>
      <c r="FK204" s="108"/>
      <c r="FL204" s="108"/>
      <c r="FM204" s="108"/>
      <c r="FN204" s="108"/>
      <c r="FO204" s="108"/>
      <c r="FP204" s="108"/>
      <c r="FQ204" s="108"/>
      <c r="FR204" s="108"/>
      <c r="FS204" s="108"/>
      <c r="FT204" s="108"/>
      <c r="FU204" s="108"/>
      <c r="FV204" s="108"/>
      <c r="FW204" s="108"/>
      <c r="FX204" s="108"/>
      <c r="FY204" s="108"/>
      <c r="FZ204" s="270"/>
      <c r="GA204" s="270"/>
      <c r="GB204" s="267"/>
      <c r="GC204" s="267"/>
    </row>
    <row r="205" spans="1:185" s="109" customFormat="1" x14ac:dyDescent="0.25">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8"/>
      <c r="DD205" s="108"/>
      <c r="DE205" s="108"/>
      <c r="DF205" s="108"/>
      <c r="DG205" s="108"/>
      <c r="DH205" s="108"/>
      <c r="DI205" s="108"/>
      <c r="DJ205" s="108"/>
      <c r="DK205" s="108"/>
      <c r="DL205" s="108"/>
      <c r="DM205" s="108"/>
      <c r="DN205" s="108"/>
      <c r="DO205" s="108"/>
      <c r="DP205" s="108"/>
      <c r="DQ205" s="108"/>
      <c r="DR205" s="108"/>
      <c r="DS205" s="108"/>
      <c r="DT205" s="108"/>
      <c r="DU205" s="108"/>
      <c r="DV205" s="108"/>
      <c r="DW205" s="108"/>
      <c r="DX205" s="108"/>
      <c r="DY205" s="108"/>
      <c r="DZ205" s="108"/>
      <c r="EA205" s="108"/>
      <c r="EB205" s="108"/>
      <c r="EC205" s="108"/>
      <c r="ED205" s="108"/>
      <c r="EE205" s="108"/>
      <c r="EF205" s="108"/>
      <c r="EG205" s="108"/>
      <c r="EH205" s="108"/>
      <c r="EI205" s="108"/>
      <c r="EJ205" s="108"/>
      <c r="EK205" s="108"/>
      <c r="EL205" s="108"/>
      <c r="EM205" s="108"/>
      <c r="EN205" s="108"/>
      <c r="EO205" s="108"/>
      <c r="EP205" s="108"/>
      <c r="EQ205" s="108"/>
      <c r="ER205" s="108"/>
      <c r="ES205" s="108"/>
      <c r="ET205" s="108"/>
      <c r="EU205" s="108"/>
      <c r="EV205" s="108"/>
      <c r="EW205" s="108"/>
      <c r="EX205" s="108"/>
      <c r="EY205" s="108"/>
      <c r="EZ205" s="108"/>
      <c r="FA205" s="108"/>
      <c r="FB205" s="108"/>
      <c r="FC205" s="108"/>
      <c r="FD205" s="108"/>
      <c r="FE205" s="108"/>
      <c r="FF205" s="108"/>
      <c r="FG205" s="108"/>
      <c r="FH205" s="108"/>
      <c r="FI205" s="108"/>
      <c r="FJ205" s="108"/>
      <c r="FK205" s="108"/>
      <c r="FL205" s="108"/>
      <c r="FM205" s="108"/>
      <c r="FN205" s="108"/>
      <c r="FO205" s="108"/>
      <c r="FP205" s="108"/>
      <c r="FQ205" s="108"/>
      <c r="FR205" s="108"/>
      <c r="FS205" s="108"/>
      <c r="FT205" s="108"/>
      <c r="FU205" s="108"/>
      <c r="FV205" s="108"/>
      <c r="FW205" s="108"/>
      <c r="FX205" s="108"/>
      <c r="FY205" s="108"/>
      <c r="FZ205" s="270"/>
      <c r="GA205" s="270"/>
      <c r="GB205" s="267"/>
      <c r="GC205" s="267"/>
    </row>
    <row r="206" spans="1:185" s="109" customFormat="1" x14ac:dyDescent="0.25">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8"/>
      <c r="DD206" s="108"/>
      <c r="DE206" s="108"/>
      <c r="DF206" s="108"/>
      <c r="DG206" s="108"/>
      <c r="DH206" s="108"/>
      <c r="DI206" s="108"/>
      <c r="DJ206" s="108"/>
      <c r="DK206" s="108"/>
      <c r="DL206" s="108"/>
      <c r="DM206" s="108"/>
      <c r="DN206" s="108"/>
      <c r="DO206" s="108"/>
      <c r="DP206" s="108"/>
      <c r="DQ206" s="108"/>
      <c r="DR206" s="108"/>
      <c r="DS206" s="108"/>
      <c r="DT206" s="108"/>
      <c r="DU206" s="108"/>
      <c r="DV206" s="108"/>
      <c r="DW206" s="108"/>
      <c r="DX206" s="108"/>
      <c r="DY206" s="108"/>
      <c r="DZ206" s="108"/>
      <c r="EA206" s="108"/>
      <c r="EB206" s="108"/>
      <c r="EC206" s="108"/>
      <c r="ED206" s="108"/>
      <c r="EE206" s="108"/>
      <c r="EF206" s="108"/>
      <c r="EG206" s="108"/>
      <c r="EH206" s="108"/>
      <c r="EI206" s="108"/>
      <c r="EJ206" s="108"/>
      <c r="EK206" s="108"/>
      <c r="EL206" s="108"/>
      <c r="EM206" s="108"/>
      <c r="EN206" s="108"/>
      <c r="EO206" s="108"/>
      <c r="EP206" s="108"/>
      <c r="EQ206" s="108"/>
      <c r="ER206" s="108"/>
      <c r="ES206" s="108"/>
      <c r="ET206" s="108"/>
      <c r="EU206" s="108"/>
      <c r="EV206" s="108"/>
      <c r="EW206" s="108"/>
      <c r="EX206" s="108"/>
      <c r="EY206" s="108"/>
      <c r="EZ206" s="108"/>
      <c r="FA206" s="108"/>
      <c r="FB206" s="108"/>
      <c r="FC206" s="108"/>
      <c r="FD206" s="108"/>
      <c r="FE206" s="108"/>
      <c r="FF206" s="108"/>
      <c r="FG206" s="108"/>
      <c r="FH206" s="108"/>
      <c r="FI206" s="108"/>
      <c r="FJ206" s="108"/>
      <c r="FK206" s="108"/>
      <c r="FL206" s="108"/>
      <c r="FM206" s="108"/>
      <c r="FN206" s="108"/>
      <c r="FO206" s="108"/>
      <c r="FP206" s="108"/>
      <c r="FQ206" s="108"/>
      <c r="FR206" s="108"/>
      <c r="FS206" s="108"/>
      <c r="FT206" s="108"/>
      <c r="FU206" s="108"/>
      <c r="FV206" s="108"/>
      <c r="FW206" s="108"/>
      <c r="FX206" s="108"/>
      <c r="FY206" s="108"/>
      <c r="FZ206" s="270"/>
      <c r="GA206" s="270"/>
      <c r="GB206" s="267"/>
      <c r="GC206" s="267"/>
    </row>
    <row r="207" spans="1:185" s="109" customFormat="1" x14ac:dyDescent="0.25">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8"/>
      <c r="DD207" s="108"/>
      <c r="DE207" s="108"/>
      <c r="DF207" s="108"/>
      <c r="DG207" s="108"/>
      <c r="DH207" s="108"/>
      <c r="DI207" s="108"/>
      <c r="DJ207" s="108"/>
      <c r="DK207" s="108"/>
      <c r="DL207" s="108"/>
      <c r="DM207" s="108"/>
      <c r="DN207" s="108"/>
      <c r="DO207" s="108"/>
      <c r="DP207" s="108"/>
      <c r="DQ207" s="108"/>
      <c r="DR207" s="108"/>
      <c r="DS207" s="108"/>
      <c r="DT207" s="108"/>
      <c r="DU207" s="108"/>
      <c r="DV207" s="108"/>
      <c r="DW207" s="108"/>
      <c r="DX207" s="108"/>
      <c r="DY207" s="108"/>
      <c r="DZ207" s="108"/>
      <c r="EA207" s="108"/>
      <c r="EB207" s="108"/>
      <c r="EC207" s="108"/>
      <c r="ED207" s="108"/>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270"/>
      <c r="GA207" s="270"/>
      <c r="GB207" s="267"/>
      <c r="GC207" s="267"/>
    </row>
    <row r="208" spans="1:185" s="109" customFormat="1" x14ac:dyDescent="0.25">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8"/>
      <c r="DD208" s="108"/>
      <c r="DE208" s="108"/>
      <c r="DF208" s="108"/>
      <c r="DG208" s="108"/>
      <c r="DH208" s="108"/>
      <c r="DI208" s="108"/>
      <c r="DJ208" s="108"/>
      <c r="DK208" s="108"/>
      <c r="DL208" s="108"/>
      <c r="DM208" s="108"/>
      <c r="DN208" s="108"/>
      <c r="DO208" s="108"/>
      <c r="DP208" s="108"/>
      <c r="DQ208" s="108"/>
      <c r="DR208" s="108"/>
      <c r="DS208" s="108"/>
      <c r="DT208" s="108"/>
      <c r="DU208" s="108"/>
      <c r="DV208" s="108"/>
      <c r="DW208" s="108"/>
      <c r="DX208" s="108"/>
      <c r="DY208" s="108"/>
      <c r="DZ208" s="108"/>
      <c r="EA208" s="108"/>
      <c r="EB208" s="108"/>
      <c r="EC208" s="108"/>
      <c r="ED208" s="108"/>
      <c r="EE208" s="108"/>
      <c r="EF208" s="108"/>
      <c r="EG208" s="108"/>
      <c r="EH208" s="108"/>
      <c r="EI208" s="108"/>
      <c r="EJ208" s="108"/>
      <c r="EK208" s="108"/>
      <c r="EL208" s="108"/>
      <c r="EM208" s="108"/>
      <c r="EN208" s="108"/>
      <c r="EO208" s="108"/>
      <c r="EP208" s="108"/>
      <c r="EQ208" s="108"/>
      <c r="ER208" s="108"/>
      <c r="ES208" s="108"/>
      <c r="ET208" s="108"/>
      <c r="EU208" s="108"/>
      <c r="EV208" s="108"/>
      <c r="EW208" s="108"/>
      <c r="EX208" s="108"/>
      <c r="EY208" s="108"/>
      <c r="EZ208" s="108"/>
      <c r="FA208" s="108"/>
      <c r="FB208" s="108"/>
      <c r="FC208" s="108"/>
      <c r="FD208" s="108"/>
      <c r="FE208" s="108"/>
      <c r="FF208" s="108"/>
      <c r="FG208" s="108"/>
      <c r="FH208" s="108"/>
      <c r="FI208" s="108"/>
      <c r="FJ208" s="108"/>
      <c r="FK208" s="108"/>
      <c r="FL208" s="108"/>
      <c r="FM208" s="108"/>
      <c r="FN208" s="108"/>
      <c r="FO208" s="108"/>
      <c r="FP208" s="108"/>
      <c r="FQ208" s="108"/>
      <c r="FR208" s="108"/>
      <c r="FS208" s="108"/>
      <c r="FT208" s="108"/>
      <c r="FU208" s="108"/>
      <c r="FV208" s="108"/>
      <c r="FW208" s="108"/>
      <c r="FX208" s="108"/>
      <c r="FY208" s="108"/>
      <c r="FZ208" s="270"/>
      <c r="GA208" s="270"/>
      <c r="GB208" s="267"/>
      <c r="GC208" s="267"/>
    </row>
    <row r="209" spans="1:185" s="109" customFormat="1" x14ac:dyDescent="0.25">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8"/>
      <c r="DD209" s="108"/>
      <c r="DE209" s="108"/>
      <c r="DF209" s="108"/>
      <c r="DG209" s="108"/>
      <c r="DH209" s="108"/>
      <c r="DI209" s="108"/>
      <c r="DJ209" s="108"/>
      <c r="DK209" s="108"/>
      <c r="DL209" s="108"/>
      <c r="DM209" s="108"/>
      <c r="DN209" s="108"/>
      <c r="DO209" s="108"/>
      <c r="DP209" s="108"/>
      <c r="DQ209" s="108"/>
      <c r="DR209" s="108"/>
      <c r="DS209" s="108"/>
      <c r="DT209" s="108"/>
      <c r="DU209" s="108"/>
      <c r="DV209" s="108"/>
      <c r="DW209" s="108"/>
      <c r="DX209" s="108"/>
      <c r="DY209" s="108"/>
      <c r="DZ209" s="108"/>
      <c r="EA209" s="108"/>
      <c r="EB209" s="108"/>
      <c r="EC209" s="108"/>
      <c r="ED209" s="108"/>
      <c r="EE209" s="108"/>
      <c r="EF209" s="108"/>
      <c r="EG209" s="108"/>
      <c r="EH209" s="108"/>
      <c r="EI209" s="108"/>
      <c r="EJ209" s="108"/>
      <c r="EK209" s="108"/>
      <c r="EL209" s="108"/>
      <c r="EM209" s="108"/>
      <c r="EN209" s="108"/>
      <c r="EO209" s="108"/>
      <c r="EP209" s="108"/>
      <c r="EQ209" s="108"/>
      <c r="ER209" s="108"/>
      <c r="ES209" s="108"/>
      <c r="ET209" s="108"/>
      <c r="EU209" s="108"/>
      <c r="EV209" s="108"/>
      <c r="EW209" s="108"/>
      <c r="EX209" s="108"/>
      <c r="EY209" s="108"/>
      <c r="EZ209" s="108"/>
      <c r="FA209" s="108"/>
      <c r="FB209" s="108"/>
      <c r="FC209" s="108"/>
      <c r="FD209" s="108"/>
      <c r="FE209" s="108"/>
      <c r="FF209" s="108"/>
      <c r="FG209" s="108"/>
      <c r="FH209" s="108"/>
      <c r="FI209" s="108"/>
      <c r="FJ209" s="108"/>
      <c r="FK209" s="108"/>
      <c r="FL209" s="108"/>
      <c r="FM209" s="108"/>
      <c r="FN209" s="108"/>
      <c r="FO209" s="108"/>
      <c r="FP209" s="108"/>
      <c r="FQ209" s="108"/>
      <c r="FR209" s="108"/>
      <c r="FS209" s="108"/>
      <c r="FT209" s="108"/>
      <c r="FU209" s="108"/>
      <c r="FV209" s="108"/>
      <c r="FW209" s="108"/>
      <c r="FX209" s="108"/>
      <c r="FY209" s="108"/>
      <c r="FZ209" s="270"/>
      <c r="GA209" s="270"/>
      <c r="GB209" s="267"/>
      <c r="GC209" s="267"/>
    </row>
    <row r="210" spans="1:185" s="109" customFormat="1" x14ac:dyDescent="0.25">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8"/>
      <c r="DD210" s="108"/>
      <c r="DE210" s="108"/>
      <c r="DF210" s="108"/>
      <c r="DG210" s="108"/>
      <c r="DH210" s="108"/>
      <c r="DI210" s="108"/>
      <c r="DJ210" s="108"/>
      <c r="DK210" s="108"/>
      <c r="DL210" s="108"/>
      <c r="DM210" s="108"/>
      <c r="DN210" s="108"/>
      <c r="DO210" s="108"/>
      <c r="DP210" s="108"/>
      <c r="DQ210" s="108"/>
      <c r="DR210" s="108"/>
      <c r="DS210" s="108"/>
      <c r="DT210" s="108"/>
      <c r="DU210" s="108"/>
      <c r="DV210" s="108"/>
      <c r="DW210" s="108"/>
      <c r="DX210" s="108"/>
      <c r="DY210" s="108"/>
      <c r="DZ210" s="108"/>
      <c r="EA210" s="108"/>
      <c r="EB210" s="108"/>
      <c r="EC210" s="108"/>
      <c r="ED210" s="108"/>
      <c r="EE210" s="108"/>
      <c r="EF210" s="108"/>
      <c r="EG210" s="108"/>
      <c r="EH210" s="108"/>
      <c r="EI210" s="108"/>
      <c r="EJ210" s="108"/>
      <c r="EK210" s="108"/>
      <c r="EL210" s="108"/>
      <c r="EM210" s="108"/>
      <c r="EN210" s="108"/>
      <c r="EO210" s="108"/>
      <c r="EP210" s="108"/>
      <c r="EQ210" s="108"/>
      <c r="ER210" s="108"/>
      <c r="ES210" s="108"/>
      <c r="ET210" s="108"/>
      <c r="EU210" s="108"/>
      <c r="EV210" s="108"/>
      <c r="EW210" s="108"/>
      <c r="EX210" s="108"/>
      <c r="EY210" s="108"/>
      <c r="EZ210" s="108"/>
      <c r="FA210" s="108"/>
      <c r="FB210" s="108"/>
      <c r="FC210" s="108"/>
      <c r="FD210" s="108"/>
      <c r="FE210" s="108"/>
      <c r="FF210" s="108"/>
      <c r="FG210" s="108"/>
      <c r="FH210" s="108"/>
      <c r="FI210" s="108"/>
      <c r="FJ210" s="108"/>
      <c r="FK210" s="108"/>
      <c r="FL210" s="108"/>
      <c r="FM210" s="108"/>
      <c r="FN210" s="108"/>
      <c r="FO210" s="108"/>
      <c r="FP210" s="108"/>
      <c r="FQ210" s="108"/>
      <c r="FR210" s="108"/>
      <c r="FS210" s="108"/>
      <c r="FT210" s="108"/>
      <c r="FU210" s="108"/>
      <c r="FV210" s="108"/>
      <c r="FW210" s="108"/>
      <c r="FX210" s="108"/>
      <c r="FY210" s="108"/>
      <c r="FZ210" s="270"/>
      <c r="GA210" s="270"/>
      <c r="GB210" s="267"/>
      <c r="GC210" s="267"/>
    </row>
    <row r="211" spans="1:185" s="109" customFormat="1" x14ac:dyDescent="0.25">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8"/>
      <c r="DD211" s="108"/>
      <c r="DE211" s="108"/>
      <c r="DF211" s="108"/>
      <c r="DG211" s="108"/>
      <c r="DH211" s="108"/>
      <c r="DI211" s="108"/>
      <c r="DJ211" s="108"/>
      <c r="DK211" s="108"/>
      <c r="DL211" s="108"/>
      <c r="DM211" s="108"/>
      <c r="DN211" s="108"/>
      <c r="DO211" s="108"/>
      <c r="DP211" s="108"/>
      <c r="DQ211" s="108"/>
      <c r="DR211" s="108"/>
      <c r="DS211" s="108"/>
      <c r="DT211" s="108"/>
      <c r="DU211" s="108"/>
      <c r="DV211" s="108"/>
      <c r="DW211" s="108"/>
      <c r="DX211" s="108"/>
      <c r="DY211" s="108"/>
      <c r="DZ211" s="108"/>
      <c r="EA211" s="108"/>
      <c r="EB211" s="108"/>
      <c r="EC211" s="108"/>
      <c r="ED211" s="108"/>
      <c r="EE211" s="108"/>
      <c r="EF211" s="108"/>
      <c r="EG211" s="108"/>
      <c r="EH211" s="108"/>
      <c r="EI211" s="108"/>
      <c r="EJ211" s="108"/>
      <c r="EK211" s="108"/>
      <c r="EL211" s="108"/>
      <c r="EM211" s="108"/>
      <c r="EN211" s="108"/>
      <c r="EO211" s="108"/>
      <c r="EP211" s="108"/>
      <c r="EQ211" s="108"/>
      <c r="ER211" s="108"/>
      <c r="ES211" s="108"/>
      <c r="ET211" s="108"/>
      <c r="EU211" s="108"/>
      <c r="EV211" s="108"/>
      <c r="EW211" s="108"/>
      <c r="EX211" s="108"/>
      <c r="EY211" s="108"/>
      <c r="EZ211" s="108"/>
      <c r="FA211" s="108"/>
      <c r="FB211" s="108"/>
      <c r="FC211" s="108"/>
      <c r="FD211" s="108"/>
      <c r="FE211" s="108"/>
      <c r="FF211" s="108"/>
      <c r="FG211" s="108"/>
      <c r="FH211" s="108"/>
      <c r="FI211" s="108"/>
      <c r="FJ211" s="108"/>
      <c r="FK211" s="108"/>
      <c r="FL211" s="108"/>
      <c r="FM211" s="108"/>
      <c r="FN211" s="108"/>
      <c r="FO211" s="108"/>
      <c r="FP211" s="108"/>
      <c r="FQ211" s="108"/>
      <c r="FR211" s="108"/>
      <c r="FS211" s="108"/>
      <c r="FT211" s="108"/>
      <c r="FU211" s="108"/>
      <c r="FV211" s="108"/>
      <c r="FW211" s="108"/>
      <c r="FX211" s="108"/>
      <c r="FY211" s="108"/>
      <c r="FZ211" s="270"/>
      <c r="GA211" s="270"/>
      <c r="GB211" s="267"/>
      <c r="GC211" s="267"/>
    </row>
    <row r="212" spans="1:185" s="109" customFormat="1" x14ac:dyDescent="0.25">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8"/>
      <c r="DD212" s="108"/>
      <c r="DE212" s="108"/>
      <c r="DF212" s="108"/>
      <c r="DG212" s="108"/>
      <c r="DH212" s="108"/>
      <c r="DI212" s="108"/>
      <c r="DJ212" s="108"/>
      <c r="DK212" s="108"/>
      <c r="DL212" s="108"/>
      <c r="DM212" s="108"/>
      <c r="DN212" s="108"/>
      <c r="DO212" s="108"/>
      <c r="DP212" s="108"/>
      <c r="DQ212" s="108"/>
      <c r="DR212" s="108"/>
      <c r="DS212" s="108"/>
      <c r="DT212" s="108"/>
      <c r="DU212" s="108"/>
      <c r="DV212" s="108"/>
      <c r="DW212" s="108"/>
      <c r="DX212" s="108"/>
      <c r="DY212" s="108"/>
      <c r="DZ212" s="108"/>
      <c r="EA212" s="108"/>
      <c r="EB212" s="108"/>
      <c r="EC212" s="108"/>
      <c r="ED212" s="108"/>
      <c r="EE212" s="108"/>
      <c r="EF212" s="108"/>
      <c r="EG212" s="108"/>
      <c r="EH212" s="108"/>
      <c r="EI212" s="108"/>
      <c r="EJ212" s="108"/>
      <c r="EK212" s="108"/>
      <c r="EL212" s="108"/>
      <c r="EM212" s="108"/>
      <c r="EN212" s="108"/>
      <c r="EO212" s="108"/>
      <c r="EP212" s="108"/>
      <c r="EQ212" s="108"/>
      <c r="ER212" s="108"/>
      <c r="ES212" s="108"/>
      <c r="ET212" s="108"/>
      <c r="EU212" s="108"/>
      <c r="EV212" s="108"/>
      <c r="EW212" s="108"/>
      <c r="EX212" s="108"/>
      <c r="EY212" s="108"/>
      <c r="EZ212" s="108"/>
      <c r="FA212" s="108"/>
      <c r="FB212" s="108"/>
      <c r="FC212" s="108"/>
      <c r="FD212" s="108"/>
      <c r="FE212" s="108"/>
      <c r="FF212" s="108"/>
      <c r="FG212" s="108"/>
      <c r="FH212" s="108"/>
      <c r="FI212" s="108"/>
      <c r="FJ212" s="108"/>
      <c r="FK212" s="108"/>
      <c r="FL212" s="108"/>
      <c r="FM212" s="108"/>
      <c r="FN212" s="108"/>
      <c r="FO212" s="108"/>
      <c r="FP212" s="108"/>
      <c r="FQ212" s="108"/>
      <c r="FR212" s="108"/>
      <c r="FS212" s="108"/>
      <c r="FT212" s="108"/>
      <c r="FU212" s="108"/>
      <c r="FV212" s="108"/>
      <c r="FW212" s="108"/>
      <c r="FX212" s="108"/>
      <c r="FY212" s="108"/>
      <c r="FZ212" s="270"/>
      <c r="GA212" s="270"/>
      <c r="GB212" s="268"/>
      <c r="GC212" s="267"/>
    </row>
    <row r="213" spans="1:185" x14ac:dyDescent="0.25">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8"/>
      <c r="DD213" s="108"/>
      <c r="DE213" s="108"/>
      <c r="DF213" s="108"/>
      <c r="DG213" s="108"/>
      <c r="DH213" s="108"/>
      <c r="DI213" s="108"/>
      <c r="DJ213" s="108"/>
      <c r="DK213" s="108"/>
      <c r="DL213" s="108"/>
      <c r="DM213" s="108"/>
      <c r="DN213" s="108"/>
      <c r="DO213" s="108"/>
      <c r="DP213" s="108"/>
      <c r="DQ213" s="108"/>
      <c r="DR213" s="108"/>
      <c r="DS213" s="108"/>
      <c r="DT213" s="108"/>
      <c r="DU213" s="108"/>
      <c r="DV213" s="108"/>
      <c r="DW213" s="108"/>
      <c r="DX213" s="108"/>
      <c r="DY213" s="108"/>
      <c r="DZ213" s="108"/>
      <c r="EA213" s="108"/>
      <c r="EB213" s="108"/>
      <c r="EC213" s="108"/>
      <c r="ED213" s="108"/>
      <c r="EE213" s="108"/>
      <c r="EF213" s="108"/>
      <c r="EG213" s="108"/>
      <c r="EH213" s="108"/>
      <c r="EI213" s="108"/>
      <c r="EJ213" s="108"/>
      <c r="EK213" s="108"/>
      <c r="EL213" s="108"/>
      <c r="EM213" s="108"/>
      <c r="EN213" s="108"/>
      <c r="EO213" s="108"/>
      <c r="EP213" s="108"/>
      <c r="EQ213" s="108"/>
      <c r="ER213" s="108"/>
      <c r="ES213" s="108"/>
      <c r="ET213" s="108"/>
      <c r="EU213" s="108"/>
      <c r="EV213" s="108"/>
      <c r="EW213" s="108"/>
      <c r="EX213" s="108"/>
      <c r="EY213" s="108"/>
      <c r="EZ213" s="108"/>
      <c r="FA213" s="108"/>
      <c r="FB213" s="108"/>
      <c r="FC213" s="108"/>
      <c r="FD213" s="108"/>
      <c r="FE213" s="108"/>
      <c r="FF213" s="108"/>
      <c r="FG213" s="108"/>
      <c r="FH213" s="108"/>
      <c r="FI213" s="108"/>
      <c r="FJ213" s="108"/>
      <c r="FK213" s="108"/>
      <c r="FL213" s="108"/>
      <c r="FM213" s="108"/>
      <c r="FN213" s="108"/>
      <c r="FO213" s="108"/>
      <c r="FP213" s="108"/>
      <c r="FQ213" s="108"/>
      <c r="FR213" s="108"/>
      <c r="FS213" s="108"/>
      <c r="FT213" s="108"/>
      <c r="FU213" s="108"/>
      <c r="FV213" s="108"/>
      <c r="FW213" s="108"/>
      <c r="FX213" s="108"/>
      <c r="FY213" s="108"/>
      <c r="FZ213" s="270"/>
      <c r="GA213" s="270"/>
    </row>
    <row r="214" spans="1:185" x14ac:dyDescent="0.25">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8"/>
      <c r="DD214" s="108"/>
      <c r="DE214" s="108"/>
      <c r="DF214" s="108"/>
      <c r="DG214" s="108"/>
      <c r="DH214" s="108"/>
      <c r="DI214" s="108"/>
      <c r="DJ214" s="108"/>
      <c r="DK214" s="108"/>
      <c r="DL214" s="108"/>
      <c r="DM214" s="108"/>
      <c r="DN214" s="108"/>
      <c r="DO214" s="108"/>
      <c r="DP214" s="108"/>
      <c r="DQ214" s="108"/>
      <c r="DR214" s="108"/>
      <c r="DS214" s="108"/>
      <c r="DT214" s="108"/>
      <c r="DU214" s="108"/>
      <c r="DV214" s="108"/>
      <c r="DW214" s="108"/>
      <c r="DX214" s="108"/>
      <c r="DY214" s="108"/>
      <c r="DZ214" s="108"/>
      <c r="EA214" s="108"/>
      <c r="EB214" s="108"/>
      <c r="EC214" s="108"/>
      <c r="ED214" s="108"/>
      <c r="EE214" s="108"/>
      <c r="EF214" s="108"/>
      <c r="EG214" s="108"/>
      <c r="EH214" s="108"/>
      <c r="EI214" s="108"/>
      <c r="EJ214" s="108"/>
      <c r="EK214" s="108"/>
      <c r="EL214" s="108"/>
      <c r="EM214" s="108"/>
      <c r="EN214" s="108"/>
      <c r="EO214" s="108"/>
      <c r="EP214" s="108"/>
      <c r="EQ214" s="108"/>
      <c r="ER214" s="108"/>
      <c r="ES214" s="108"/>
      <c r="ET214" s="108"/>
      <c r="EU214" s="108"/>
      <c r="EV214" s="108"/>
      <c r="EW214" s="108"/>
      <c r="EX214" s="108"/>
      <c r="EY214" s="108"/>
      <c r="EZ214" s="108"/>
      <c r="FA214" s="108"/>
      <c r="FB214" s="108"/>
      <c r="FC214" s="108"/>
      <c r="FD214" s="108"/>
      <c r="FE214" s="108"/>
      <c r="FF214" s="108"/>
      <c r="FG214" s="108"/>
      <c r="FH214" s="108"/>
      <c r="FI214" s="108"/>
      <c r="FJ214" s="108"/>
      <c r="FK214" s="108"/>
      <c r="FL214" s="108"/>
      <c r="FM214" s="108"/>
      <c r="FN214" s="108"/>
      <c r="FO214" s="108"/>
      <c r="FP214" s="108"/>
      <c r="FQ214" s="108"/>
      <c r="FR214" s="108"/>
      <c r="FS214" s="108"/>
      <c r="FT214" s="108"/>
      <c r="FU214" s="108"/>
      <c r="FV214" s="108"/>
      <c r="FW214" s="108"/>
      <c r="FX214" s="108"/>
      <c r="FY214" s="108"/>
      <c r="FZ214" s="270"/>
      <c r="GA214" s="270"/>
    </row>
    <row r="215" spans="1:185" x14ac:dyDescent="0.25">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8"/>
      <c r="DD215" s="108"/>
      <c r="DE215" s="108"/>
      <c r="DF215" s="108"/>
      <c r="DG215" s="108"/>
      <c r="DH215" s="108"/>
      <c r="DI215" s="108"/>
      <c r="DJ215" s="108"/>
      <c r="DK215" s="108"/>
      <c r="DL215" s="108"/>
      <c r="DM215" s="108"/>
      <c r="DN215" s="108"/>
      <c r="DO215" s="108"/>
      <c r="DP215" s="108"/>
      <c r="DQ215" s="108"/>
      <c r="DR215" s="108"/>
      <c r="DS215" s="108"/>
      <c r="DT215" s="108"/>
      <c r="DU215" s="108"/>
      <c r="DV215" s="108"/>
      <c r="DW215" s="108"/>
      <c r="DX215" s="108"/>
      <c r="DY215" s="108"/>
      <c r="DZ215" s="108"/>
      <c r="EA215" s="108"/>
      <c r="EB215" s="108"/>
      <c r="EC215" s="108"/>
      <c r="ED215" s="108"/>
      <c r="EE215" s="108"/>
      <c r="EF215" s="108"/>
      <c r="EG215" s="108"/>
      <c r="EH215" s="108"/>
      <c r="EI215" s="108"/>
      <c r="EJ215" s="108"/>
      <c r="EK215" s="108"/>
      <c r="EL215" s="108"/>
      <c r="EM215" s="108"/>
      <c r="EN215" s="108"/>
      <c r="EO215" s="108"/>
      <c r="EP215" s="108"/>
      <c r="EQ215" s="108"/>
      <c r="ER215" s="108"/>
      <c r="ES215" s="108"/>
      <c r="ET215" s="108"/>
      <c r="EU215" s="108"/>
      <c r="EV215" s="108"/>
      <c r="EW215" s="108"/>
      <c r="EX215" s="108"/>
      <c r="EY215" s="108"/>
      <c r="EZ215" s="108"/>
      <c r="FA215" s="108"/>
      <c r="FB215" s="108"/>
      <c r="FC215" s="108"/>
      <c r="FD215" s="108"/>
      <c r="FE215" s="108"/>
      <c r="FF215" s="108"/>
      <c r="FG215" s="108"/>
      <c r="FH215" s="108"/>
      <c r="FI215" s="108"/>
      <c r="FJ215" s="108"/>
      <c r="FK215" s="108"/>
      <c r="FL215" s="108"/>
      <c r="FM215" s="108"/>
      <c r="FN215" s="108"/>
      <c r="FO215" s="108"/>
      <c r="FP215" s="108"/>
      <c r="FQ215" s="108"/>
      <c r="FR215" s="108"/>
      <c r="FS215" s="108"/>
      <c r="FT215" s="108"/>
      <c r="FU215" s="108"/>
      <c r="FV215" s="108"/>
      <c r="FW215" s="108"/>
      <c r="FX215" s="108"/>
      <c r="FY215" s="108"/>
      <c r="FZ215" s="270"/>
      <c r="GA215" s="270"/>
    </row>
    <row r="216" spans="1:185" x14ac:dyDescent="0.25">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8"/>
      <c r="DD216" s="108"/>
      <c r="DE216" s="108"/>
      <c r="DF216" s="108"/>
      <c r="DG216" s="108"/>
      <c r="DH216" s="108"/>
      <c r="DI216" s="108"/>
      <c r="DJ216" s="108"/>
      <c r="DK216" s="108"/>
      <c r="DL216" s="108"/>
      <c r="DM216" s="108"/>
      <c r="DN216" s="108"/>
      <c r="DO216" s="108"/>
      <c r="DP216" s="108"/>
      <c r="DQ216" s="108"/>
      <c r="DR216" s="108"/>
      <c r="DS216" s="108"/>
      <c r="DT216" s="108"/>
      <c r="DU216" s="108"/>
      <c r="DV216" s="108"/>
      <c r="DW216" s="108"/>
      <c r="DX216" s="108"/>
      <c r="DY216" s="108"/>
      <c r="DZ216" s="108"/>
      <c r="EA216" s="108"/>
      <c r="EB216" s="108"/>
      <c r="EC216" s="108"/>
      <c r="ED216" s="108"/>
      <c r="EE216" s="108"/>
      <c r="EF216" s="108"/>
      <c r="EG216" s="108"/>
      <c r="EH216" s="108"/>
      <c r="EI216" s="108"/>
      <c r="EJ216" s="108"/>
      <c r="EK216" s="108"/>
      <c r="EL216" s="108"/>
      <c r="EM216" s="108"/>
      <c r="EN216" s="108"/>
      <c r="EO216" s="108"/>
      <c r="EP216" s="108"/>
      <c r="EQ216" s="108"/>
      <c r="ER216" s="108"/>
      <c r="ES216" s="108"/>
      <c r="ET216" s="108"/>
      <c r="EU216" s="108"/>
      <c r="EV216" s="108"/>
      <c r="EW216" s="108"/>
      <c r="EX216" s="108"/>
      <c r="EY216" s="108"/>
      <c r="EZ216" s="108"/>
      <c r="FA216" s="108"/>
      <c r="FB216" s="108"/>
      <c r="FC216" s="108"/>
      <c r="FD216" s="108"/>
      <c r="FE216" s="108"/>
      <c r="FF216" s="108"/>
      <c r="FG216" s="108"/>
      <c r="FH216" s="108"/>
      <c r="FI216" s="108"/>
      <c r="FJ216" s="108"/>
      <c r="FK216" s="108"/>
      <c r="FL216" s="108"/>
      <c r="FM216" s="108"/>
      <c r="FN216" s="108"/>
      <c r="FO216" s="108"/>
      <c r="FP216" s="108"/>
      <c r="FQ216" s="108"/>
      <c r="FR216" s="108"/>
      <c r="FS216" s="108"/>
      <c r="FT216" s="108"/>
      <c r="FU216" s="108"/>
      <c r="FV216" s="108"/>
      <c r="FW216" s="108"/>
      <c r="FX216" s="108"/>
      <c r="FY216" s="108"/>
      <c r="FZ216" s="270"/>
      <c r="GA216" s="270"/>
    </row>
    <row r="217" spans="1:185" x14ac:dyDescent="0.25">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8"/>
      <c r="DD217" s="108"/>
      <c r="DE217" s="108"/>
      <c r="DF217" s="108"/>
      <c r="DG217" s="108"/>
      <c r="DH217" s="108"/>
      <c r="DI217" s="108"/>
      <c r="DJ217" s="108"/>
      <c r="DK217" s="108"/>
      <c r="DL217" s="108"/>
      <c r="DM217" s="108"/>
      <c r="DN217" s="108"/>
      <c r="DO217" s="108"/>
      <c r="DP217" s="108"/>
      <c r="DQ217" s="108"/>
      <c r="DR217" s="108"/>
      <c r="DS217" s="108"/>
      <c r="DT217" s="108"/>
      <c r="DU217" s="108"/>
      <c r="DV217" s="108"/>
      <c r="DW217" s="108"/>
      <c r="DX217" s="108"/>
      <c r="DY217" s="108"/>
      <c r="DZ217" s="108"/>
      <c r="EA217" s="108"/>
      <c r="EB217" s="108"/>
      <c r="EC217" s="108"/>
      <c r="ED217" s="108"/>
      <c r="EE217" s="108"/>
      <c r="EF217" s="108"/>
      <c r="EG217" s="108"/>
      <c r="EH217" s="108"/>
      <c r="EI217" s="108"/>
      <c r="EJ217" s="108"/>
      <c r="EK217" s="108"/>
      <c r="EL217" s="108"/>
      <c r="EM217" s="108"/>
      <c r="EN217" s="108"/>
      <c r="EO217" s="108"/>
      <c r="EP217" s="108"/>
      <c r="EQ217" s="108"/>
      <c r="ER217" s="108"/>
      <c r="ES217" s="108"/>
      <c r="ET217" s="108"/>
      <c r="EU217" s="108"/>
      <c r="EV217" s="108"/>
      <c r="EW217" s="108"/>
      <c r="EX217" s="108"/>
      <c r="EY217" s="108"/>
      <c r="EZ217" s="108"/>
      <c r="FA217" s="108"/>
      <c r="FB217" s="108"/>
      <c r="FC217" s="108"/>
      <c r="FD217" s="108"/>
      <c r="FE217" s="108"/>
      <c r="FF217" s="108"/>
      <c r="FG217" s="108"/>
      <c r="FH217" s="108"/>
      <c r="FI217" s="108"/>
      <c r="FJ217" s="108"/>
      <c r="FK217" s="108"/>
      <c r="FL217" s="108"/>
      <c r="FM217" s="108"/>
      <c r="FN217" s="108"/>
      <c r="FO217" s="108"/>
      <c r="FP217" s="108"/>
      <c r="FQ217" s="108"/>
      <c r="FR217" s="108"/>
      <c r="FS217" s="108"/>
      <c r="FT217" s="108"/>
      <c r="FU217" s="108"/>
      <c r="FV217" s="108"/>
      <c r="FW217" s="108"/>
      <c r="FX217" s="108"/>
      <c r="FY217" s="108"/>
      <c r="FZ217" s="270"/>
      <c r="GA217" s="270"/>
    </row>
    <row r="218" spans="1:185" x14ac:dyDescent="0.25">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8"/>
      <c r="DD218" s="108"/>
      <c r="DE218" s="108"/>
      <c r="DF218" s="108"/>
      <c r="DG218" s="108"/>
      <c r="DH218" s="108"/>
      <c r="DI218" s="108"/>
      <c r="DJ218" s="108"/>
      <c r="DK218" s="108"/>
      <c r="DL218" s="108"/>
      <c r="DM218" s="108"/>
      <c r="DN218" s="108"/>
      <c r="DO218" s="108"/>
      <c r="DP218" s="108"/>
      <c r="DQ218" s="108"/>
      <c r="DR218" s="108"/>
      <c r="DS218" s="108"/>
      <c r="DT218" s="108"/>
      <c r="DU218" s="108"/>
      <c r="DV218" s="108"/>
      <c r="DW218" s="108"/>
      <c r="DX218" s="108"/>
      <c r="DY218" s="108"/>
      <c r="DZ218" s="108"/>
      <c r="EA218" s="108"/>
      <c r="EB218" s="108"/>
      <c r="EC218" s="108"/>
      <c r="ED218" s="108"/>
      <c r="EE218" s="108"/>
      <c r="EF218" s="108"/>
      <c r="EG218" s="108"/>
      <c r="EH218" s="108"/>
      <c r="EI218" s="108"/>
      <c r="EJ218" s="108"/>
      <c r="EK218" s="108"/>
      <c r="EL218" s="108"/>
      <c r="EM218" s="108"/>
      <c r="EN218" s="108"/>
      <c r="EO218" s="108"/>
      <c r="EP218" s="108"/>
      <c r="EQ218" s="108"/>
      <c r="ER218" s="108"/>
      <c r="ES218" s="108"/>
      <c r="ET218" s="108"/>
      <c r="EU218" s="108"/>
      <c r="EV218" s="108"/>
      <c r="EW218" s="108"/>
      <c r="EX218" s="108"/>
      <c r="EY218" s="108"/>
      <c r="EZ218" s="108"/>
      <c r="FA218" s="108"/>
      <c r="FB218" s="108"/>
      <c r="FC218" s="108"/>
      <c r="FD218" s="108"/>
      <c r="FE218" s="108"/>
      <c r="FF218" s="108"/>
      <c r="FG218" s="108"/>
      <c r="FH218" s="108"/>
      <c r="FI218" s="108"/>
      <c r="FJ218" s="108"/>
      <c r="FK218" s="108"/>
      <c r="FL218" s="108"/>
      <c r="FM218" s="108"/>
      <c r="FN218" s="108"/>
      <c r="FO218" s="108"/>
      <c r="FP218" s="108"/>
      <c r="FQ218" s="108"/>
      <c r="FR218" s="108"/>
      <c r="FS218" s="108"/>
      <c r="FT218" s="108"/>
      <c r="FU218" s="108"/>
      <c r="FV218" s="108"/>
      <c r="FW218" s="108"/>
      <c r="FX218" s="108"/>
      <c r="FY218" s="108"/>
      <c r="FZ218" s="270"/>
      <c r="GA218" s="270"/>
    </row>
    <row r="219" spans="1:185" x14ac:dyDescent="0.25">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8"/>
      <c r="DD219" s="108"/>
      <c r="DE219" s="108"/>
      <c r="DF219" s="108"/>
      <c r="DG219" s="108"/>
      <c r="DH219" s="108"/>
      <c r="DI219" s="108"/>
      <c r="DJ219" s="108"/>
      <c r="DK219" s="108"/>
      <c r="DL219" s="108"/>
      <c r="DM219" s="108"/>
      <c r="DN219" s="108"/>
      <c r="DO219" s="108"/>
      <c r="DP219" s="108"/>
      <c r="DQ219" s="108"/>
      <c r="DR219" s="108"/>
      <c r="DS219" s="108"/>
      <c r="DT219" s="108"/>
      <c r="DU219" s="108"/>
      <c r="DV219" s="108"/>
      <c r="DW219" s="108"/>
      <c r="DX219" s="108"/>
      <c r="DY219" s="108"/>
      <c r="DZ219" s="108"/>
      <c r="EA219" s="108"/>
      <c r="EB219" s="108"/>
      <c r="EC219" s="108"/>
      <c r="ED219" s="108"/>
      <c r="EE219" s="108"/>
      <c r="EF219" s="108"/>
      <c r="EG219" s="108"/>
      <c r="EH219" s="108"/>
      <c r="EI219" s="108"/>
      <c r="EJ219" s="108"/>
      <c r="EK219" s="108"/>
      <c r="EL219" s="108"/>
      <c r="EM219" s="108"/>
      <c r="EN219" s="108"/>
      <c r="EO219" s="108"/>
      <c r="EP219" s="108"/>
      <c r="EQ219" s="108"/>
      <c r="ER219" s="108"/>
      <c r="ES219" s="108"/>
      <c r="ET219" s="108"/>
      <c r="EU219" s="108"/>
      <c r="EV219" s="108"/>
      <c r="EW219" s="108"/>
      <c r="EX219" s="108"/>
      <c r="EY219" s="108"/>
      <c r="EZ219" s="108"/>
      <c r="FA219" s="108"/>
      <c r="FB219" s="108"/>
      <c r="FC219" s="108"/>
      <c r="FD219" s="108"/>
      <c r="FE219" s="108"/>
      <c r="FF219" s="108"/>
      <c r="FG219" s="108"/>
      <c r="FH219" s="108"/>
      <c r="FI219" s="108"/>
      <c r="FJ219" s="108"/>
      <c r="FK219" s="108"/>
      <c r="FL219" s="108"/>
      <c r="FM219" s="108"/>
      <c r="FN219" s="108"/>
      <c r="FO219" s="108"/>
      <c r="FP219" s="108"/>
      <c r="FQ219" s="108"/>
      <c r="FR219" s="108"/>
      <c r="FS219" s="108"/>
      <c r="FT219" s="108"/>
      <c r="FU219" s="108"/>
      <c r="FV219" s="108"/>
      <c r="FW219" s="108"/>
      <c r="FX219" s="108"/>
      <c r="FY219" s="108"/>
      <c r="FZ219" s="270"/>
      <c r="GA219" s="270"/>
    </row>
    <row r="220" spans="1:185" x14ac:dyDescent="0.25">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8"/>
      <c r="DD220" s="108"/>
      <c r="DE220" s="108"/>
      <c r="DF220" s="108"/>
      <c r="DG220" s="108"/>
      <c r="DH220" s="108"/>
      <c r="DI220" s="108"/>
      <c r="DJ220" s="108"/>
      <c r="DK220" s="108"/>
      <c r="DL220" s="108"/>
      <c r="DM220" s="108"/>
      <c r="DN220" s="108"/>
      <c r="DO220" s="108"/>
      <c r="DP220" s="108"/>
      <c r="DQ220" s="108"/>
      <c r="DR220" s="108"/>
      <c r="DS220" s="108"/>
      <c r="DT220" s="108"/>
      <c r="DU220" s="108"/>
      <c r="DV220" s="108"/>
      <c r="DW220" s="108"/>
      <c r="DX220" s="108"/>
      <c r="DY220" s="108"/>
      <c r="DZ220" s="108"/>
      <c r="EA220" s="108"/>
      <c r="EB220" s="108"/>
      <c r="EC220" s="108"/>
      <c r="ED220" s="108"/>
      <c r="EE220" s="108"/>
      <c r="EF220" s="108"/>
      <c r="EG220" s="108"/>
      <c r="EH220" s="108"/>
      <c r="EI220" s="108"/>
      <c r="EJ220" s="108"/>
      <c r="EK220" s="108"/>
      <c r="EL220" s="108"/>
      <c r="EM220" s="108"/>
      <c r="EN220" s="108"/>
      <c r="EO220" s="108"/>
      <c r="EP220" s="108"/>
      <c r="EQ220" s="108"/>
      <c r="ER220" s="108"/>
      <c r="ES220" s="108"/>
      <c r="ET220" s="108"/>
      <c r="EU220" s="108"/>
      <c r="EV220" s="108"/>
      <c r="EW220" s="108"/>
      <c r="EX220" s="108"/>
      <c r="EY220" s="108"/>
      <c r="EZ220" s="108"/>
      <c r="FA220" s="108"/>
      <c r="FB220" s="108"/>
      <c r="FC220" s="108"/>
      <c r="FD220" s="108"/>
      <c r="FE220" s="108"/>
      <c r="FF220" s="108"/>
      <c r="FG220" s="108"/>
      <c r="FH220" s="108"/>
      <c r="FI220" s="108"/>
      <c r="FJ220" s="108"/>
      <c r="FK220" s="108"/>
      <c r="FL220" s="108"/>
      <c r="FM220" s="108"/>
      <c r="FN220" s="108"/>
      <c r="FO220" s="108"/>
      <c r="FP220" s="108"/>
      <c r="FQ220" s="108"/>
      <c r="FR220" s="108"/>
      <c r="FS220" s="108"/>
      <c r="FT220" s="108"/>
      <c r="FU220" s="108"/>
      <c r="FV220" s="108"/>
      <c r="FW220" s="108"/>
      <c r="FX220" s="108"/>
      <c r="FY220" s="108"/>
      <c r="FZ220" s="270"/>
      <c r="GA220" s="270"/>
    </row>
    <row r="221" spans="1:185" x14ac:dyDescent="0.25">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8"/>
      <c r="DD221" s="108"/>
      <c r="DE221" s="108"/>
      <c r="DF221" s="108"/>
      <c r="DG221" s="108"/>
      <c r="DH221" s="108"/>
      <c r="DI221" s="108"/>
      <c r="DJ221" s="108"/>
      <c r="DK221" s="108"/>
      <c r="DL221" s="108"/>
      <c r="DM221" s="108"/>
      <c r="DN221" s="108"/>
      <c r="DO221" s="108"/>
      <c r="DP221" s="108"/>
      <c r="DQ221" s="108"/>
      <c r="DR221" s="108"/>
      <c r="DS221" s="108"/>
      <c r="DT221" s="108"/>
      <c r="DU221" s="108"/>
      <c r="DV221" s="108"/>
      <c r="DW221" s="108"/>
      <c r="DX221" s="108"/>
      <c r="DY221" s="108"/>
      <c r="DZ221" s="108"/>
      <c r="EA221" s="108"/>
      <c r="EB221" s="108"/>
      <c r="EC221" s="108"/>
      <c r="ED221" s="108"/>
      <c r="EE221" s="108"/>
      <c r="EF221" s="108"/>
      <c r="EG221" s="108"/>
      <c r="EH221" s="108"/>
      <c r="EI221" s="108"/>
      <c r="EJ221" s="108"/>
      <c r="EK221" s="108"/>
      <c r="EL221" s="108"/>
      <c r="EM221" s="108"/>
      <c r="EN221" s="108"/>
      <c r="EO221" s="108"/>
      <c r="EP221" s="108"/>
      <c r="EQ221" s="108"/>
      <c r="ER221" s="108"/>
      <c r="ES221" s="108"/>
      <c r="ET221" s="108"/>
      <c r="EU221" s="108"/>
      <c r="EV221" s="108"/>
      <c r="EW221" s="108"/>
      <c r="EX221" s="108"/>
      <c r="EY221" s="108"/>
      <c r="EZ221" s="108"/>
      <c r="FA221" s="108"/>
      <c r="FB221" s="108"/>
      <c r="FC221" s="108"/>
      <c r="FD221" s="108"/>
      <c r="FE221" s="108"/>
      <c r="FF221" s="108"/>
      <c r="FG221" s="108"/>
      <c r="FH221" s="108"/>
      <c r="FI221" s="108"/>
      <c r="FJ221" s="108"/>
      <c r="FK221" s="108"/>
      <c r="FL221" s="108"/>
      <c r="FM221" s="108"/>
      <c r="FN221" s="108"/>
      <c r="FO221" s="108"/>
      <c r="FP221" s="108"/>
      <c r="FQ221" s="108"/>
      <c r="FR221" s="108"/>
      <c r="FS221" s="108"/>
      <c r="FT221" s="108"/>
      <c r="FU221" s="108"/>
      <c r="FV221" s="108"/>
      <c r="FW221" s="108"/>
      <c r="FX221" s="108"/>
      <c r="FY221" s="108"/>
      <c r="FZ221" s="270"/>
      <c r="GA221" s="270"/>
    </row>
    <row r="222" spans="1:185" x14ac:dyDescent="0.25">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8"/>
      <c r="DD222" s="108"/>
      <c r="DE222" s="108"/>
      <c r="DF222" s="108"/>
      <c r="DG222" s="108"/>
      <c r="DH222" s="108"/>
      <c r="DI222" s="108"/>
      <c r="DJ222" s="108"/>
      <c r="DK222" s="108"/>
      <c r="DL222" s="108"/>
      <c r="DM222" s="108"/>
      <c r="DN222" s="108"/>
      <c r="DO222" s="108"/>
      <c r="DP222" s="108"/>
      <c r="DQ222" s="108"/>
      <c r="DR222" s="108"/>
      <c r="DS222" s="108"/>
      <c r="DT222" s="108"/>
      <c r="DU222" s="108"/>
      <c r="DV222" s="108"/>
      <c r="DW222" s="108"/>
      <c r="DX222" s="108"/>
      <c r="DY222" s="108"/>
      <c r="DZ222" s="108"/>
      <c r="EA222" s="108"/>
      <c r="EB222" s="108"/>
      <c r="EC222" s="108"/>
      <c r="ED222" s="108"/>
      <c r="EE222" s="108"/>
      <c r="EF222" s="108"/>
      <c r="EG222" s="108"/>
      <c r="EH222" s="108"/>
      <c r="EI222" s="108"/>
      <c r="EJ222" s="108"/>
      <c r="EK222" s="108"/>
      <c r="EL222" s="108"/>
      <c r="EM222" s="108"/>
      <c r="EN222" s="108"/>
      <c r="EO222" s="108"/>
      <c r="EP222" s="108"/>
      <c r="EQ222" s="108"/>
      <c r="ER222" s="108"/>
      <c r="ES222" s="108"/>
      <c r="ET222" s="108"/>
      <c r="EU222" s="108"/>
      <c r="EV222" s="108"/>
      <c r="EW222" s="108"/>
      <c r="EX222" s="108"/>
      <c r="EY222" s="108"/>
      <c r="EZ222" s="108"/>
      <c r="FA222" s="108"/>
      <c r="FB222" s="108"/>
      <c r="FC222" s="108"/>
      <c r="FD222" s="108"/>
      <c r="FE222" s="108"/>
      <c r="FF222" s="108"/>
      <c r="FG222" s="108"/>
      <c r="FH222" s="108"/>
      <c r="FI222" s="108"/>
      <c r="FJ222" s="108"/>
      <c r="FK222" s="108"/>
      <c r="FL222" s="108"/>
      <c r="FM222" s="108"/>
      <c r="FN222" s="108"/>
      <c r="FO222" s="108"/>
      <c r="FP222" s="108"/>
      <c r="FQ222" s="108"/>
      <c r="FR222" s="108"/>
      <c r="FS222" s="108"/>
      <c r="FT222" s="108"/>
      <c r="FU222" s="108"/>
      <c r="FV222" s="108"/>
      <c r="FW222" s="108"/>
      <c r="FX222" s="108"/>
      <c r="FY222" s="108"/>
      <c r="FZ222" s="270"/>
      <c r="GA222" s="270"/>
    </row>
    <row r="223" spans="1:185" x14ac:dyDescent="0.25">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8"/>
      <c r="DD223" s="108"/>
      <c r="DE223" s="108"/>
      <c r="DF223" s="108"/>
      <c r="DG223" s="108"/>
      <c r="DH223" s="108"/>
      <c r="DI223" s="108"/>
      <c r="DJ223" s="108"/>
      <c r="DK223" s="108"/>
      <c r="DL223" s="108"/>
      <c r="DM223" s="108"/>
      <c r="DN223" s="108"/>
      <c r="DO223" s="108"/>
      <c r="DP223" s="108"/>
      <c r="DQ223" s="108"/>
      <c r="DR223" s="108"/>
      <c r="DS223" s="108"/>
      <c r="DT223" s="108"/>
      <c r="DU223" s="108"/>
      <c r="DV223" s="108"/>
      <c r="DW223" s="108"/>
      <c r="DX223" s="108"/>
      <c r="DY223" s="108"/>
      <c r="DZ223" s="108"/>
      <c r="EA223" s="108"/>
      <c r="EB223" s="108"/>
      <c r="EC223" s="108"/>
      <c r="ED223" s="108"/>
      <c r="EE223" s="108"/>
      <c r="EF223" s="108"/>
      <c r="EG223" s="108"/>
      <c r="EH223" s="108"/>
      <c r="EI223" s="108"/>
      <c r="EJ223" s="108"/>
      <c r="EK223" s="108"/>
      <c r="EL223" s="108"/>
      <c r="EM223" s="108"/>
      <c r="EN223" s="108"/>
      <c r="EO223" s="108"/>
      <c r="EP223" s="108"/>
      <c r="EQ223" s="108"/>
      <c r="ER223" s="108"/>
      <c r="ES223" s="108"/>
      <c r="ET223" s="108"/>
      <c r="EU223" s="108"/>
      <c r="EV223" s="108"/>
      <c r="EW223" s="108"/>
      <c r="EX223" s="108"/>
      <c r="EY223" s="108"/>
      <c r="EZ223" s="108"/>
      <c r="FA223" s="108"/>
      <c r="FB223" s="108"/>
      <c r="FC223" s="108"/>
      <c r="FD223" s="108"/>
      <c r="FE223" s="108"/>
      <c r="FF223" s="108"/>
      <c r="FG223" s="108"/>
      <c r="FH223" s="108"/>
      <c r="FI223" s="108"/>
      <c r="FJ223" s="108"/>
      <c r="FK223" s="108"/>
      <c r="FL223" s="108"/>
      <c r="FM223" s="108"/>
      <c r="FN223" s="108"/>
      <c r="FO223" s="108"/>
      <c r="FP223" s="108"/>
      <c r="FQ223" s="108"/>
      <c r="FR223" s="108"/>
      <c r="FS223" s="108"/>
      <c r="FT223" s="108"/>
      <c r="FU223" s="108"/>
      <c r="FV223" s="108"/>
      <c r="FW223" s="108"/>
      <c r="FX223" s="108"/>
      <c r="FY223" s="108"/>
      <c r="FZ223" s="270"/>
      <c r="GA223" s="270"/>
    </row>
    <row r="224" spans="1:185" s="268" customFormat="1" x14ac:dyDescent="0.25">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8"/>
      <c r="DD224" s="108"/>
      <c r="DE224" s="108"/>
      <c r="DF224" s="108"/>
      <c r="DG224" s="108"/>
      <c r="DH224" s="108"/>
      <c r="DI224" s="108"/>
      <c r="DJ224" s="108"/>
      <c r="DK224" s="108"/>
      <c r="DL224" s="108"/>
      <c r="DM224" s="108"/>
      <c r="DN224" s="108"/>
      <c r="DO224" s="108"/>
      <c r="DP224" s="108"/>
      <c r="DQ224" s="108"/>
      <c r="DR224" s="108"/>
      <c r="DS224" s="108"/>
      <c r="DT224" s="108"/>
      <c r="DU224" s="108"/>
      <c r="DV224" s="108"/>
      <c r="DW224" s="108"/>
      <c r="DX224" s="108"/>
      <c r="DY224" s="108"/>
      <c r="DZ224" s="108"/>
      <c r="EA224" s="108"/>
      <c r="EB224" s="108"/>
      <c r="EC224" s="108"/>
      <c r="ED224" s="108"/>
      <c r="EE224" s="108"/>
      <c r="EF224" s="108"/>
      <c r="EG224" s="108"/>
      <c r="EH224" s="108"/>
      <c r="EI224" s="108"/>
      <c r="EJ224" s="108"/>
      <c r="EK224" s="108"/>
      <c r="EL224" s="108"/>
      <c r="EM224" s="108"/>
      <c r="EN224" s="108"/>
      <c r="EO224" s="108"/>
      <c r="EP224" s="108"/>
      <c r="EQ224" s="108"/>
      <c r="ER224" s="108"/>
      <c r="ES224" s="108"/>
      <c r="ET224" s="108"/>
      <c r="EU224" s="108"/>
      <c r="EV224" s="108"/>
      <c r="EW224" s="108"/>
      <c r="EX224" s="108"/>
      <c r="EY224" s="108"/>
      <c r="EZ224" s="108"/>
      <c r="FA224" s="108"/>
      <c r="FB224" s="108"/>
      <c r="FC224" s="108"/>
      <c r="FD224" s="108"/>
      <c r="FE224" s="108"/>
      <c r="FF224" s="108"/>
      <c r="FG224" s="108"/>
      <c r="FH224" s="108"/>
      <c r="FI224" s="108"/>
      <c r="FJ224" s="108"/>
      <c r="FK224" s="108"/>
      <c r="FL224" s="108"/>
      <c r="FM224" s="108"/>
      <c r="FN224" s="108"/>
      <c r="FO224" s="108"/>
      <c r="FP224" s="108"/>
      <c r="FQ224" s="108"/>
      <c r="FR224" s="108"/>
      <c r="FS224" s="108"/>
      <c r="FT224" s="108"/>
      <c r="FU224" s="108"/>
      <c r="FV224" s="108"/>
      <c r="FW224" s="108"/>
      <c r="FX224" s="108"/>
      <c r="FY224" s="108"/>
      <c r="FZ224" s="270"/>
      <c r="GA224" s="270"/>
    </row>
    <row r="225" spans="1:183" s="268" customFormat="1" x14ac:dyDescent="0.25">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8"/>
      <c r="DD225" s="108"/>
      <c r="DE225" s="108"/>
      <c r="DF225" s="108"/>
      <c r="DG225" s="108"/>
      <c r="DH225" s="108"/>
      <c r="DI225" s="108"/>
      <c r="DJ225" s="108"/>
      <c r="DK225" s="108"/>
      <c r="DL225" s="108"/>
      <c r="DM225" s="108"/>
      <c r="DN225" s="108"/>
      <c r="DO225" s="108"/>
      <c r="DP225" s="108"/>
      <c r="DQ225" s="108"/>
      <c r="DR225" s="108"/>
      <c r="DS225" s="108"/>
      <c r="DT225" s="108"/>
      <c r="DU225" s="108"/>
      <c r="DV225" s="108"/>
      <c r="DW225" s="108"/>
      <c r="DX225" s="108"/>
      <c r="DY225" s="108"/>
      <c r="DZ225" s="108"/>
      <c r="EA225" s="108"/>
      <c r="EB225" s="108"/>
      <c r="EC225" s="108"/>
      <c r="ED225" s="108"/>
      <c r="EE225" s="108"/>
      <c r="EF225" s="108"/>
      <c r="EG225" s="108"/>
      <c r="EH225" s="108"/>
      <c r="EI225" s="108"/>
      <c r="EJ225" s="108"/>
      <c r="EK225" s="108"/>
      <c r="EL225" s="108"/>
      <c r="EM225" s="108"/>
      <c r="EN225" s="108"/>
      <c r="EO225" s="108"/>
      <c r="EP225" s="108"/>
      <c r="EQ225" s="108"/>
      <c r="ER225" s="108"/>
      <c r="ES225" s="108"/>
      <c r="ET225" s="108"/>
      <c r="EU225" s="108"/>
      <c r="EV225" s="108"/>
      <c r="EW225" s="108"/>
      <c r="EX225" s="108"/>
      <c r="EY225" s="108"/>
      <c r="EZ225" s="108"/>
      <c r="FA225" s="108"/>
      <c r="FB225" s="108"/>
      <c r="FC225" s="108"/>
      <c r="FD225" s="108"/>
      <c r="FE225" s="108"/>
      <c r="FF225" s="108"/>
      <c r="FG225" s="108"/>
      <c r="FH225" s="108"/>
      <c r="FI225" s="108"/>
      <c r="FJ225" s="108"/>
      <c r="FK225" s="108"/>
      <c r="FL225" s="108"/>
      <c r="FM225" s="108"/>
      <c r="FN225" s="108"/>
      <c r="FO225" s="108"/>
      <c r="FP225" s="108"/>
      <c r="FQ225" s="108"/>
      <c r="FR225" s="108"/>
      <c r="FS225" s="108"/>
      <c r="FT225" s="108"/>
      <c r="FU225" s="108"/>
      <c r="FV225" s="108"/>
      <c r="FW225" s="108"/>
      <c r="FX225" s="108"/>
      <c r="FY225" s="108"/>
      <c r="FZ225" s="270"/>
      <c r="GA225" s="270"/>
    </row>
    <row r="226" spans="1:183" s="268" customFormat="1" x14ac:dyDescent="0.25">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8"/>
      <c r="DD226" s="108"/>
      <c r="DE226" s="108"/>
      <c r="DF226" s="108"/>
      <c r="DG226" s="108"/>
      <c r="DH226" s="108"/>
      <c r="DI226" s="108"/>
      <c r="DJ226" s="108"/>
      <c r="DK226" s="108"/>
      <c r="DL226" s="108"/>
      <c r="DM226" s="108"/>
      <c r="DN226" s="108"/>
      <c r="DO226" s="108"/>
      <c r="DP226" s="108"/>
      <c r="DQ226" s="108"/>
      <c r="DR226" s="108"/>
      <c r="DS226" s="108"/>
      <c r="DT226" s="108"/>
      <c r="DU226" s="108"/>
      <c r="DV226" s="108"/>
      <c r="DW226" s="108"/>
      <c r="DX226" s="108"/>
      <c r="DY226" s="108"/>
      <c r="DZ226" s="108"/>
      <c r="EA226" s="108"/>
      <c r="EB226" s="108"/>
      <c r="EC226" s="108"/>
      <c r="ED226" s="108"/>
      <c r="EE226" s="108"/>
      <c r="EF226" s="108"/>
      <c r="EG226" s="108"/>
      <c r="EH226" s="108"/>
      <c r="EI226" s="108"/>
      <c r="EJ226" s="108"/>
      <c r="EK226" s="108"/>
      <c r="EL226" s="108"/>
      <c r="EM226" s="108"/>
      <c r="EN226" s="108"/>
      <c r="EO226" s="108"/>
      <c r="EP226" s="108"/>
      <c r="EQ226" s="108"/>
      <c r="ER226" s="108"/>
      <c r="ES226" s="108"/>
      <c r="ET226" s="108"/>
      <c r="EU226" s="108"/>
      <c r="EV226" s="108"/>
      <c r="EW226" s="108"/>
      <c r="EX226" s="108"/>
      <c r="EY226" s="108"/>
      <c r="EZ226" s="108"/>
      <c r="FA226" s="108"/>
      <c r="FB226" s="108"/>
      <c r="FC226" s="108"/>
      <c r="FD226" s="108"/>
      <c r="FE226" s="108"/>
      <c r="FF226" s="108"/>
      <c r="FG226" s="108"/>
      <c r="FH226" s="108"/>
      <c r="FI226" s="108"/>
      <c r="FJ226" s="108"/>
      <c r="FK226" s="108"/>
      <c r="FL226" s="108"/>
      <c r="FM226" s="108"/>
      <c r="FN226" s="108"/>
      <c r="FO226" s="108"/>
      <c r="FP226" s="108"/>
      <c r="FQ226" s="108"/>
      <c r="FR226" s="108"/>
      <c r="FS226" s="108"/>
      <c r="FT226" s="108"/>
      <c r="FU226" s="108"/>
      <c r="FV226" s="108"/>
      <c r="FW226" s="108"/>
      <c r="FX226" s="108"/>
      <c r="FY226" s="108"/>
      <c r="FZ226" s="270"/>
      <c r="GA226" s="270"/>
    </row>
    <row r="227" spans="1:183" s="268" customFormat="1" x14ac:dyDescent="0.25">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c r="AD227" s="108"/>
      <c r="AE227" s="108"/>
      <c r="AF227" s="108"/>
      <c r="AG227" s="108"/>
      <c r="AH227" s="108"/>
      <c r="AI227" s="108"/>
      <c r="AJ227" s="108"/>
      <c r="AK227" s="108"/>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c r="CP227" s="108"/>
      <c r="CQ227" s="108"/>
      <c r="CR227" s="108"/>
      <c r="CS227" s="108"/>
      <c r="CT227" s="108"/>
      <c r="CU227" s="108"/>
      <c r="CV227" s="108"/>
      <c r="CW227" s="108"/>
      <c r="CX227" s="108"/>
      <c r="CY227" s="108"/>
      <c r="CZ227" s="108"/>
      <c r="DA227" s="108"/>
      <c r="DB227" s="108"/>
      <c r="DC227" s="108"/>
      <c r="DD227" s="108"/>
      <c r="DE227" s="108"/>
      <c r="DF227" s="108"/>
      <c r="DG227" s="108"/>
      <c r="DH227" s="108"/>
      <c r="DI227" s="108"/>
      <c r="DJ227" s="108"/>
      <c r="DK227" s="108"/>
      <c r="DL227" s="108"/>
      <c r="DM227" s="108"/>
      <c r="DN227" s="108"/>
      <c r="DO227" s="108"/>
      <c r="DP227" s="108"/>
      <c r="DQ227" s="108"/>
      <c r="DR227" s="108"/>
      <c r="DS227" s="108"/>
      <c r="DT227" s="108"/>
      <c r="DU227" s="108"/>
      <c r="DV227" s="108"/>
      <c r="DW227" s="108"/>
      <c r="DX227" s="108"/>
      <c r="DY227" s="108"/>
      <c r="DZ227" s="108"/>
      <c r="EA227" s="108"/>
      <c r="EB227" s="108"/>
      <c r="EC227" s="108"/>
      <c r="ED227" s="108"/>
      <c r="EE227" s="108"/>
      <c r="EF227" s="108"/>
      <c r="EG227" s="108"/>
      <c r="EH227" s="108"/>
      <c r="EI227" s="108"/>
      <c r="EJ227" s="108"/>
      <c r="EK227" s="108"/>
      <c r="EL227" s="108"/>
      <c r="EM227" s="108"/>
      <c r="EN227" s="108"/>
      <c r="EO227" s="108"/>
      <c r="EP227" s="108"/>
      <c r="EQ227" s="108"/>
      <c r="ER227" s="108"/>
      <c r="ES227" s="108"/>
      <c r="ET227" s="108"/>
      <c r="EU227" s="108"/>
      <c r="EV227" s="108"/>
      <c r="EW227" s="108"/>
      <c r="EX227" s="108"/>
      <c r="EY227" s="108"/>
      <c r="EZ227" s="108"/>
      <c r="FA227" s="108"/>
      <c r="FB227" s="108"/>
      <c r="FC227" s="108"/>
      <c r="FD227" s="108"/>
      <c r="FE227" s="108"/>
      <c r="FF227" s="108"/>
      <c r="FG227" s="108"/>
      <c r="FH227" s="108"/>
      <c r="FI227" s="108"/>
      <c r="FJ227" s="108"/>
      <c r="FK227" s="108"/>
      <c r="FL227" s="108"/>
      <c r="FM227" s="108"/>
      <c r="FN227" s="108"/>
      <c r="FO227" s="108"/>
      <c r="FP227" s="108"/>
      <c r="FQ227" s="108"/>
      <c r="FR227" s="108"/>
      <c r="FS227" s="108"/>
      <c r="FT227" s="108"/>
      <c r="FU227" s="108"/>
      <c r="FV227" s="108"/>
      <c r="FW227" s="108"/>
      <c r="FX227" s="108"/>
      <c r="FY227" s="108"/>
      <c r="FZ227" s="270"/>
      <c r="GA227" s="270"/>
    </row>
    <row r="228" spans="1:183" s="268" customFormat="1" x14ac:dyDescent="0.25">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8"/>
      <c r="DD228" s="108"/>
      <c r="DE228" s="108"/>
      <c r="DF228" s="108"/>
      <c r="DG228" s="108"/>
      <c r="DH228" s="108"/>
      <c r="DI228" s="108"/>
      <c r="DJ228" s="108"/>
      <c r="DK228" s="108"/>
      <c r="DL228" s="108"/>
      <c r="DM228" s="108"/>
      <c r="DN228" s="108"/>
      <c r="DO228" s="108"/>
      <c r="DP228" s="108"/>
      <c r="DQ228" s="108"/>
      <c r="DR228" s="108"/>
      <c r="DS228" s="108"/>
      <c r="DT228" s="108"/>
      <c r="DU228" s="108"/>
      <c r="DV228" s="108"/>
      <c r="DW228" s="108"/>
      <c r="DX228" s="108"/>
      <c r="DY228" s="108"/>
      <c r="DZ228" s="108"/>
      <c r="EA228" s="108"/>
      <c r="EB228" s="108"/>
      <c r="EC228" s="108"/>
      <c r="ED228" s="108"/>
      <c r="EE228" s="108"/>
      <c r="EF228" s="108"/>
      <c r="EG228" s="108"/>
      <c r="EH228" s="108"/>
      <c r="EI228" s="108"/>
      <c r="EJ228" s="108"/>
      <c r="EK228" s="108"/>
      <c r="EL228" s="108"/>
      <c r="EM228" s="108"/>
      <c r="EN228" s="108"/>
      <c r="EO228" s="108"/>
      <c r="EP228" s="108"/>
      <c r="EQ228" s="108"/>
      <c r="ER228" s="108"/>
      <c r="ES228" s="108"/>
      <c r="ET228" s="108"/>
      <c r="EU228" s="108"/>
      <c r="EV228" s="108"/>
      <c r="EW228" s="108"/>
      <c r="EX228" s="108"/>
      <c r="EY228" s="108"/>
      <c r="EZ228" s="108"/>
      <c r="FA228" s="108"/>
      <c r="FB228" s="108"/>
      <c r="FC228" s="108"/>
      <c r="FD228" s="108"/>
      <c r="FE228" s="108"/>
      <c r="FF228" s="108"/>
      <c r="FG228" s="108"/>
      <c r="FH228" s="108"/>
      <c r="FI228" s="108"/>
      <c r="FJ228" s="108"/>
      <c r="FK228" s="108"/>
      <c r="FL228" s="108"/>
      <c r="FM228" s="108"/>
      <c r="FN228" s="108"/>
      <c r="FO228" s="108"/>
      <c r="FP228" s="108"/>
      <c r="FQ228" s="108"/>
      <c r="FR228" s="108"/>
      <c r="FS228" s="108"/>
      <c r="FT228" s="108"/>
      <c r="FU228" s="108"/>
      <c r="FV228" s="108"/>
      <c r="FW228" s="108"/>
      <c r="FX228" s="108"/>
      <c r="FY228" s="108"/>
      <c r="FZ228" s="270"/>
      <c r="GA228" s="270"/>
    </row>
    <row r="229" spans="1:183" s="268" customFormat="1" x14ac:dyDescent="0.25">
      <c r="A229" s="107"/>
      <c r="B229" s="9"/>
      <c r="C229" s="9"/>
      <c r="D229" s="9"/>
      <c r="E229" s="9"/>
      <c r="F229" s="107"/>
      <c r="G229" s="107"/>
      <c r="H229" s="9"/>
      <c r="I229" s="107"/>
      <c r="J229" s="107"/>
      <c r="K229" s="107"/>
      <c r="L229" s="107"/>
      <c r="M229" s="107"/>
      <c r="N229" s="107"/>
      <c r="O229" s="107"/>
      <c r="P229" s="107"/>
      <c r="Q229" s="107"/>
      <c r="R229" s="107"/>
      <c r="S229" s="107"/>
      <c r="T229" s="107"/>
      <c r="U229" s="107"/>
      <c r="V229" s="9"/>
      <c r="W229" s="107"/>
      <c r="X229" s="107"/>
      <c r="Y229" s="9"/>
      <c r="Z229" s="107"/>
      <c r="AA229" s="107"/>
      <c r="AB229" s="107"/>
      <c r="AC229" s="107"/>
      <c r="AD229" s="9"/>
      <c r="AE229" s="107"/>
      <c r="AF229" s="107"/>
      <c r="AG229" s="107"/>
      <c r="AH229" s="107"/>
      <c r="AI229" s="107"/>
      <c r="AJ229" s="107"/>
      <c r="AK229" s="107"/>
      <c r="AL229" s="107"/>
      <c r="AM229" s="107"/>
      <c r="AN229" s="107"/>
      <c r="AO229" s="107"/>
      <c r="AP229" s="107"/>
      <c r="AQ229" s="107"/>
      <c r="AR229" s="107"/>
      <c r="AS229" s="107"/>
      <c r="AT229" s="9"/>
      <c r="AU229" s="107"/>
      <c r="AV229" s="107"/>
      <c r="AW229" s="107"/>
      <c r="AX229" s="107"/>
      <c r="AY229" s="107"/>
      <c r="AZ229" s="107"/>
      <c r="BA229" s="107"/>
      <c r="BB229" s="107"/>
      <c r="BC229" s="107"/>
      <c r="BD229" s="107"/>
      <c r="BE229" s="107"/>
      <c r="BF229" s="107"/>
      <c r="BG229" s="107"/>
      <c r="BH229" s="107"/>
      <c r="BI229" s="107"/>
      <c r="BJ229" s="107"/>
      <c r="BK229" s="107"/>
      <c r="BL229" s="107"/>
      <c r="BM229" s="107"/>
      <c r="BN229" s="107"/>
      <c r="BO229" s="107"/>
      <c r="BP229" s="9"/>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107"/>
      <c r="ED229" s="107"/>
      <c r="EE229" s="107"/>
      <c r="EF229" s="107"/>
      <c r="EG229" s="9"/>
      <c r="EH229" s="107"/>
      <c r="EI229" s="107"/>
      <c r="EJ229" s="107"/>
      <c r="EK229" s="107"/>
      <c r="EL229" s="107"/>
      <c r="EM229" s="107"/>
      <c r="EN229" s="107"/>
      <c r="EO229" s="107"/>
      <c r="EP229" s="107"/>
      <c r="EQ229" s="107"/>
      <c r="ER229" s="107"/>
      <c r="ES229" s="107"/>
      <c r="ET229" s="107"/>
      <c r="EU229" s="107"/>
      <c r="EV229" s="107"/>
      <c r="EW229" s="107"/>
      <c r="EX229" s="107"/>
      <c r="EY229" s="107"/>
      <c r="EZ229" s="107"/>
      <c r="FA229" s="107"/>
      <c r="FB229" s="107"/>
      <c r="FC229" s="107"/>
      <c r="FD229" s="107"/>
      <c r="FE229" s="107"/>
      <c r="FF229" s="107"/>
      <c r="FG229" s="107"/>
      <c r="FH229" s="107"/>
      <c r="FI229" s="107"/>
      <c r="FJ229" s="107"/>
      <c r="FK229" s="107"/>
      <c r="FL229" s="107"/>
      <c r="FM229" s="107"/>
      <c r="FN229" s="107"/>
      <c r="FO229" s="107"/>
      <c r="FP229" s="107"/>
      <c r="FQ229" s="107"/>
      <c r="FR229" s="107"/>
      <c r="FS229" s="107"/>
      <c r="FT229" s="107"/>
      <c r="FU229" s="107"/>
      <c r="FV229" s="107"/>
      <c r="FW229" s="107"/>
      <c r="FX229" s="107"/>
      <c r="FY229" s="107"/>
    </row>
    <row r="230" spans="1:183" s="268" customFormat="1" x14ac:dyDescent="0.25">
      <c r="A230" s="107"/>
      <c r="B230" s="9"/>
      <c r="C230" s="9"/>
      <c r="D230" s="9"/>
      <c r="E230" s="9"/>
      <c r="F230" s="107"/>
      <c r="G230" s="107"/>
      <c r="H230" s="9"/>
      <c r="I230" s="107"/>
      <c r="J230" s="107"/>
      <c r="K230" s="107"/>
      <c r="L230" s="107"/>
      <c r="M230" s="107"/>
      <c r="N230" s="107"/>
      <c r="O230" s="107"/>
      <c r="P230" s="107"/>
      <c r="Q230" s="107"/>
      <c r="R230" s="107"/>
      <c r="S230" s="107"/>
      <c r="T230" s="107"/>
      <c r="U230" s="107"/>
      <c r="V230" s="9"/>
      <c r="W230" s="107"/>
      <c r="X230" s="107"/>
      <c r="Y230" s="9"/>
      <c r="Z230" s="107"/>
      <c r="AA230" s="107"/>
      <c r="AB230" s="107"/>
      <c r="AC230" s="107"/>
      <c r="AD230" s="9"/>
      <c r="AE230" s="107"/>
      <c r="AF230" s="107"/>
      <c r="AG230" s="107"/>
      <c r="AH230" s="107"/>
      <c r="AI230" s="107"/>
      <c r="AJ230" s="107"/>
      <c r="AK230" s="107"/>
      <c r="AL230" s="107"/>
      <c r="AM230" s="107"/>
      <c r="AN230" s="107"/>
      <c r="AO230" s="107"/>
      <c r="AP230" s="107"/>
      <c r="AQ230" s="107"/>
      <c r="AR230" s="107"/>
      <c r="AS230" s="107"/>
      <c r="AT230" s="9"/>
      <c r="AU230" s="107"/>
      <c r="AV230" s="107"/>
      <c r="AW230" s="107"/>
      <c r="AX230" s="107"/>
      <c r="AY230" s="107"/>
      <c r="AZ230" s="107"/>
      <c r="BA230" s="107"/>
      <c r="BB230" s="107"/>
      <c r="BC230" s="107"/>
      <c r="BD230" s="107"/>
      <c r="BE230" s="107"/>
      <c r="BF230" s="107"/>
      <c r="BG230" s="107"/>
      <c r="BH230" s="107"/>
      <c r="BI230" s="107"/>
      <c r="BJ230" s="107"/>
      <c r="BK230" s="107"/>
      <c r="BL230" s="107"/>
      <c r="BM230" s="107"/>
      <c r="BN230" s="107"/>
      <c r="BO230" s="107"/>
      <c r="BP230" s="9"/>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9"/>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c r="FB230" s="107"/>
      <c r="FC230" s="107"/>
      <c r="FD230" s="107"/>
      <c r="FE230" s="107"/>
      <c r="FF230" s="107"/>
      <c r="FG230" s="107"/>
      <c r="FH230" s="107"/>
      <c r="FI230" s="107"/>
      <c r="FJ230" s="107"/>
      <c r="FK230" s="107"/>
      <c r="FL230" s="107"/>
      <c r="FM230" s="107"/>
      <c r="FN230" s="107"/>
      <c r="FO230" s="107"/>
      <c r="FP230" s="107"/>
      <c r="FQ230" s="107"/>
      <c r="FR230" s="107"/>
      <c r="FS230" s="107"/>
      <c r="FT230" s="107"/>
      <c r="FU230" s="107"/>
      <c r="FV230" s="107"/>
      <c r="FW230" s="107"/>
      <c r="FX230" s="107"/>
      <c r="FY230" s="107"/>
    </row>
    <row r="231" spans="1:183" s="268" customFormat="1" x14ac:dyDescent="0.25">
      <c r="A231" s="107"/>
      <c r="B231" s="9"/>
      <c r="C231" s="9"/>
      <c r="D231" s="9"/>
      <c r="E231" s="9"/>
      <c r="F231" s="107"/>
      <c r="G231" s="107"/>
      <c r="H231" s="9"/>
      <c r="I231" s="107"/>
      <c r="J231" s="107"/>
      <c r="K231" s="107"/>
      <c r="L231" s="107"/>
      <c r="M231" s="107"/>
      <c r="N231" s="107"/>
      <c r="O231" s="107"/>
      <c r="P231" s="107"/>
      <c r="Q231" s="107"/>
      <c r="R231" s="107"/>
      <c r="S231" s="107"/>
      <c r="T231" s="107"/>
      <c r="U231" s="107"/>
      <c r="V231" s="9"/>
      <c r="W231" s="107"/>
      <c r="X231" s="107"/>
      <c r="Y231" s="9"/>
      <c r="Z231" s="107"/>
      <c r="AA231" s="107"/>
      <c r="AB231" s="107"/>
      <c r="AC231" s="107"/>
      <c r="AD231" s="9"/>
      <c r="AE231" s="107"/>
      <c r="AF231" s="107"/>
      <c r="AG231" s="107"/>
      <c r="AH231" s="107"/>
      <c r="AI231" s="107"/>
      <c r="AJ231" s="107"/>
      <c r="AK231" s="107"/>
      <c r="AL231" s="107"/>
      <c r="AM231" s="107"/>
      <c r="AN231" s="107"/>
      <c r="AO231" s="107"/>
      <c r="AP231" s="107"/>
      <c r="AQ231" s="107"/>
      <c r="AR231" s="107"/>
      <c r="AS231" s="107"/>
      <c r="AT231" s="9"/>
      <c r="AU231" s="107"/>
      <c r="AV231" s="107"/>
      <c r="AW231" s="107"/>
      <c r="AX231" s="107"/>
      <c r="AY231" s="107"/>
      <c r="AZ231" s="107"/>
      <c r="BA231" s="107"/>
      <c r="BB231" s="107"/>
      <c r="BC231" s="107"/>
      <c r="BD231" s="107"/>
      <c r="BE231" s="107"/>
      <c r="BF231" s="107"/>
      <c r="BG231" s="107"/>
      <c r="BH231" s="107"/>
      <c r="BI231" s="107"/>
      <c r="BJ231" s="107"/>
      <c r="BK231" s="107"/>
      <c r="BL231" s="107"/>
      <c r="BM231" s="107"/>
      <c r="BN231" s="107"/>
      <c r="BO231" s="107"/>
      <c r="BP231" s="9"/>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9"/>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c r="FB231" s="107"/>
      <c r="FC231" s="107"/>
      <c r="FD231" s="107"/>
      <c r="FE231" s="107"/>
      <c r="FF231" s="107"/>
      <c r="FG231" s="107"/>
      <c r="FH231" s="107"/>
      <c r="FI231" s="107"/>
      <c r="FJ231" s="107"/>
      <c r="FK231" s="107"/>
      <c r="FL231" s="107"/>
      <c r="FM231" s="107"/>
      <c r="FN231" s="107"/>
      <c r="FO231" s="107"/>
      <c r="FP231" s="107"/>
      <c r="FQ231" s="107"/>
      <c r="FR231" s="107"/>
      <c r="FS231" s="107"/>
      <c r="FT231" s="107"/>
      <c r="FU231" s="107"/>
      <c r="FV231" s="107"/>
      <c r="FW231" s="107"/>
      <c r="FX231" s="107"/>
      <c r="FY231" s="107"/>
    </row>
    <row r="232" spans="1:183" s="268" customFormat="1" x14ac:dyDescent="0.25">
      <c r="A232" s="107"/>
      <c r="B232" s="9"/>
      <c r="C232" s="9"/>
      <c r="D232" s="9"/>
      <c r="E232" s="9"/>
      <c r="F232" s="107"/>
      <c r="G232" s="107"/>
      <c r="H232" s="9"/>
      <c r="I232" s="107"/>
      <c r="J232" s="107"/>
      <c r="K232" s="107"/>
      <c r="L232" s="107"/>
      <c r="M232" s="107"/>
      <c r="N232" s="107"/>
      <c r="O232" s="107"/>
      <c r="P232" s="107"/>
      <c r="Q232" s="107"/>
      <c r="R232" s="107"/>
      <c r="S232" s="107"/>
      <c r="T232" s="107"/>
      <c r="U232" s="107"/>
      <c r="V232" s="9"/>
      <c r="W232" s="107"/>
      <c r="X232" s="107"/>
      <c r="Y232" s="9"/>
      <c r="Z232" s="107"/>
      <c r="AA232" s="107"/>
      <c r="AB232" s="107"/>
      <c r="AC232" s="107"/>
      <c r="AD232" s="9"/>
      <c r="AE232" s="107"/>
      <c r="AF232" s="107"/>
      <c r="AG232" s="107"/>
      <c r="AH232" s="107"/>
      <c r="AI232" s="107"/>
      <c r="AJ232" s="107"/>
      <c r="AK232" s="107"/>
      <c r="AL232" s="107"/>
      <c r="AM232" s="107"/>
      <c r="AN232" s="107"/>
      <c r="AO232" s="107"/>
      <c r="AP232" s="107"/>
      <c r="AQ232" s="107"/>
      <c r="AR232" s="107"/>
      <c r="AS232" s="107"/>
      <c r="AT232" s="9"/>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9"/>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9"/>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c r="FB232" s="107"/>
      <c r="FC232" s="107"/>
      <c r="FD232" s="107"/>
      <c r="FE232" s="107"/>
      <c r="FF232" s="107"/>
      <c r="FG232" s="107"/>
      <c r="FH232" s="107"/>
      <c r="FI232" s="107"/>
      <c r="FJ232" s="107"/>
      <c r="FK232" s="107"/>
      <c r="FL232" s="107"/>
      <c r="FM232" s="107"/>
      <c r="FN232" s="107"/>
      <c r="FO232" s="107"/>
      <c r="FP232" s="107"/>
      <c r="FQ232" s="107"/>
      <c r="FR232" s="107"/>
      <c r="FS232" s="107"/>
      <c r="FT232" s="107"/>
      <c r="FU232" s="107"/>
      <c r="FV232" s="107"/>
      <c r="FW232" s="107"/>
      <c r="FX232" s="107"/>
      <c r="FY232" s="107"/>
    </row>
    <row r="233" spans="1:183" s="268" customFormat="1" x14ac:dyDescent="0.25">
      <c r="A233" s="107"/>
      <c r="B233" s="9"/>
      <c r="C233" s="9"/>
      <c r="D233" s="9"/>
      <c r="E233" s="9"/>
      <c r="F233" s="107"/>
      <c r="G233" s="107"/>
      <c r="H233" s="9"/>
      <c r="I233" s="107"/>
      <c r="J233" s="107"/>
      <c r="K233" s="107"/>
      <c r="L233" s="107"/>
      <c r="M233" s="107"/>
      <c r="N233" s="107"/>
      <c r="O233" s="107"/>
      <c r="P233" s="107"/>
      <c r="Q233" s="107"/>
      <c r="R233" s="107"/>
      <c r="S233" s="107"/>
      <c r="T233" s="107"/>
      <c r="U233" s="107"/>
      <c r="V233" s="9"/>
      <c r="W233" s="107"/>
      <c r="X233" s="107"/>
      <c r="Y233" s="9"/>
      <c r="Z233" s="107"/>
      <c r="AA233" s="107"/>
      <c r="AB233" s="107"/>
      <c r="AC233" s="107"/>
      <c r="AD233" s="9"/>
      <c r="AE233" s="107"/>
      <c r="AF233" s="107"/>
      <c r="AG233" s="107"/>
      <c r="AH233" s="107"/>
      <c r="AI233" s="107"/>
      <c r="AJ233" s="107"/>
      <c r="AK233" s="107"/>
      <c r="AL233" s="107"/>
      <c r="AM233" s="107"/>
      <c r="AN233" s="107"/>
      <c r="AO233" s="107"/>
      <c r="AP233" s="107"/>
      <c r="AQ233" s="107"/>
      <c r="AR233" s="107"/>
      <c r="AS233" s="107"/>
      <c r="AT233" s="9"/>
      <c r="AU233" s="107"/>
      <c r="AV233" s="107"/>
      <c r="AW233" s="107"/>
      <c r="AX233" s="107"/>
      <c r="AY233" s="107"/>
      <c r="AZ233" s="107"/>
      <c r="BA233" s="107"/>
      <c r="BB233" s="107"/>
      <c r="BC233" s="107"/>
      <c r="BD233" s="107"/>
      <c r="BE233" s="107"/>
      <c r="BF233" s="107"/>
      <c r="BG233" s="107"/>
      <c r="BH233" s="107"/>
      <c r="BI233" s="107"/>
      <c r="BJ233" s="107"/>
      <c r="BK233" s="107"/>
      <c r="BL233" s="107"/>
      <c r="BM233" s="107"/>
      <c r="BN233" s="107"/>
      <c r="BO233" s="107"/>
      <c r="BP233" s="9"/>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9"/>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c r="FB233" s="107"/>
      <c r="FC233" s="107"/>
      <c r="FD233" s="107"/>
      <c r="FE233" s="107"/>
      <c r="FF233" s="107"/>
      <c r="FG233" s="107"/>
      <c r="FH233" s="107"/>
      <c r="FI233" s="107"/>
      <c r="FJ233" s="107"/>
      <c r="FK233" s="107"/>
      <c r="FL233" s="107"/>
      <c r="FM233" s="107"/>
      <c r="FN233" s="107"/>
      <c r="FO233" s="107"/>
      <c r="FP233" s="107"/>
      <c r="FQ233" s="107"/>
      <c r="FR233" s="107"/>
      <c r="FS233" s="107"/>
      <c r="FT233" s="107"/>
      <c r="FU233" s="107"/>
      <c r="FV233" s="107"/>
      <c r="FW233" s="107"/>
      <c r="FX233" s="107"/>
      <c r="FY233" s="107"/>
    </row>
    <row r="234" spans="1:183" s="268" customFormat="1" x14ac:dyDescent="0.25">
      <c r="A234" s="107"/>
      <c r="B234" s="9"/>
      <c r="C234" s="9"/>
      <c r="D234" s="9"/>
      <c r="E234" s="9"/>
      <c r="F234" s="107"/>
      <c r="G234" s="107"/>
      <c r="H234" s="9"/>
      <c r="I234" s="107"/>
      <c r="J234" s="107"/>
      <c r="K234" s="107"/>
      <c r="L234" s="107"/>
      <c r="M234" s="107"/>
      <c r="N234" s="107"/>
      <c r="O234" s="107"/>
      <c r="P234" s="107"/>
      <c r="Q234" s="107"/>
      <c r="R234" s="107"/>
      <c r="S234" s="107"/>
      <c r="T234" s="107"/>
      <c r="U234" s="107"/>
      <c r="V234" s="9"/>
      <c r="W234" s="107"/>
      <c r="X234" s="107"/>
      <c r="Y234" s="9"/>
      <c r="Z234" s="107"/>
      <c r="AA234" s="107"/>
      <c r="AB234" s="107"/>
      <c r="AC234" s="107"/>
      <c r="AD234" s="9"/>
      <c r="AE234" s="107"/>
      <c r="AF234" s="107"/>
      <c r="AG234" s="107"/>
      <c r="AH234" s="107"/>
      <c r="AI234" s="107"/>
      <c r="AJ234" s="107"/>
      <c r="AK234" s="107"/>
      <c r="AL234" s="107"/>
      <c r="AM234" s="107"/>
      <c r="AN234" s="107"/>
      <c r="AO234" s="107"/>
      <c r="AP234" s="107"/>
      <c r="AQ234" s="107"/>
      <c r="AR234" s="107"/>
      <c r="AS234" s="107"/>
      <c r="AT234" s="9"/>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9"/>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9"/>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c r="FB234" s="107"/>
      <c r="FC234" s="107"/>
      <c r="FD234" s="107"/>
      <c r="FE234" s="107"/>
      <c r="FF234" s="107"/>
      <c r="FG234" s="107"/>
      <c r="FH234" s="107"/>
      <c r="FI234" s="107"/>
      <c r="FJ234" s="107"/>
      <c r="FK234" s="107"/>
      <c r="FL234" s="107"/>
      <c r="FM234" s="107"/>
      <c r="FN234" s="107"/>
      <c r="FO234" s="107"/>
      <c r="FP234" s="107"/>
      <c r="FQ234" s="107"/>
      <c r="FR234" s="107"/>
      <c r="FS234" s="107"/>
      <c r="FT234" s="107"/>
      <c r="FU234" s="107"/>
      <c r="FV234" s="107"/>
      <c r="FW234" s="107"/>
      <c r="FX234" s="107"/>
      <c r="FY234" s="107"/>
    </row>
    <row r="235" spans="1:183" s="268" customFormat="1" x14ac:dyDescent="0.25">
      <c r="A235" s="107"/>
      <c r="B235" s="9"/>
      <c r="C235" s="9"/>
      <c r="D235" s="9"/>
      <c r="E235" s="9"/>
      <c r="F235" s="107"/>
      <c r="G235" s="107"/>
      <c r="H235" s="9"/>
      <c r="I235" s="107"/>
      <c r="J235" s="107"/>
      <c r="K235" s="107"/>
      <c r="L235" s="107"/>
      <c r="M235" s="107"/>
      <c r="N235" s="107"/>
      <c r="O235" s="107"/>
      <c r="P235" s="107"/>
      <c r="Q235" s="107"/>
      <c r="R235" s="107"/>
      <c r="S235" s="107"/>
      <c r="T235" s="107"/>
      <c r="U235" s="107"/>
      <c r="V235" s="9"/>
      <c r="W235" s="107"/>
      <c r="X235" s="107"/>
      <c r="Y235" s="9"/>
      <c r="Z235" s="107"/>
      <c r="AA235" s="107"/>
      <c r="AB235" s="107"/>
      <c r="AC235" s="107"/>
      <c r="AD235" s="9"/>
      <c r="AE235" s="107"/>
      <c r="AF235" s="107"/>
      <c r="AG235" s="107"/>
      <c r="AH235" s="107"/>
      <c r="AI235" s="107"/>
      <c r="AJ235" s="107"/>
      <c r="AK235" s="107"/>
      <c r="AL235" s="107"/>
      <c r="AM235" s="107"/>
      <c r="AN235" s="107"/>
      <c r="AO235" s="107"/>
      <c r="AP235" s="107"/>
      <c r="AQ235" s="107"/>
      <c r="AR235" s="107"/>
      <c r="AS235" s="107"/>
      <c r="AT235" s="9"/>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9"/>
      <c r="BQ235" s="107"/>
      <c r="BR235" s="107"/>
      <c r="BS235" s="107"/>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c r="CW235" s="107"/>
      <c r="CX235" s="107"/>
      <c r="CY235" s="107"/>
      <c r="CZ235" s="107"/>
      <c r="DA235" s="107"/>
      <c r="DB235" s="107"/>
      <c r="DC235" s="107"/>
      <c r="DD235" s="107"/>
      <c r="DE235" s="107"/>
      <c r="DF235" s="107"/>
      <c r="DG235" s="107"/>
      <c r="DH235" s="107"/>
      <c r="DI235" s="107"/>
      <c r="DJ235" s="107"/>
      <c r="DK235" s="107"/>
      <c r="DL235" s="107"/>
      <c r="DM235" s="107"/>
      <c r="DN235" s="107"/>
      <c r="DO235" s="107"/>
      <c r="DP235" s="107"/>
      <c r="DQ235" s="107"/>
      <c r="DR235" s="107"/>
      <c r="DS235" s="107"/>
      <c r="DT235" s="107"/>
      <c r="DU235" s="107"/>
      <c r="DV235" s="107"/>
      <c r="DW235" s="107"/>
      <c r="DX235" s="107"/>
      <c r="DY235" s="107"/>
      <c r="DZ235" s="107"/>
      <c r="EA235" s="107"/>
      <c r="EB235" s="107"/>
      <c r="EC235" s="107"/>
      <c r="ED235" s="107"/>
      <c r="EE235" s="107"/>
      <c r="EF235" s="107"/>
      <c r="EG235" s="9"/>
      <c r="EH235" s="107"/>
      <c r="EI235" s="107"/>
      <c r="EJ235" s="107"/>
      <c r="EK235" s="107"/>
      <c r="EL235" s="107"/>
      <c r="EM235" s="107"/>
      <c r="EN235" s="107"/>
      <c r="EO235" s="107"/>
      <c r="EP235" s="107"/>
      <c r="EQ235" s="107"/>
      <c r="ER235" s="107"/>
      <c r="ES235" s="107"/>
      <c r="ET235" s="107"/>
      <c r="EU235" s="107"/>
      <c r="EV235" s="107"/>
      <c r="EW235" s="107"/>
      <c r="EX235" s="107"/>
      <c r="EY235" s="107"/>
      <c r="EZ235" s="107"/>
      <c r="FA235" s="107"/>
      <c r="FB235" s="107"/>
      <c r="FC235" s="107"/>
      <c r="FD235" s="107"/>
      <c r="FE235" s="107"/>
      <c r="FF235" s="107"/>
      <c r="FG235" s="107"/>
      <c r="FH235" s="107"/>
      <c r="FI235" s="107"/>
      <c r="FJ235" s="107"/>
      <c r="FK235" s="107"/>
      <c r="FL235" s="107"/>
      <c r="FM235" s="107"/>
      <c r="FN235" s="107"/>
      <c r="FO235" s="107"/>
      <c r="FP235" s="107"/>
      <c r="FQ235" s="107"/>
      <c r="FR235" s="107"/>
      <c r="FS235" s="107"/>
      <c r="FT235" s="107"/>
      <c r="FU235" s="107"/>
      <c r="FV235" s="107"/>
      <c r="FW235" s="107"/>
      <c r="FX235" s="107"/>
      <c r="FY235" s="107"/>
    </row>
    <row r="236" spans="1:183" s="268" customFormat="1" x14ac:dyDescent="0.25">
      <c r="A236" s="107"/>
      <c r="B236" s="9"/>
      <c r="C236" s="9"/>
      <c r="D236" s="9"/>
      <c r="E236" s="9"/>
      <c r="F236" s="107"/>
      <c r="G236" s="107"/>
      <c r="H236" s="9"/>
      <c r="I236" s="107"/>
      <c r="J236" s="107"/>
      <c r="K236" s="107"/>
      <c r="L236" s="107"/>
      <c r="M236" s="107"/>
      <c r="N236" s="107"/>
      <c r="O236" s="107"/>
      <c r="P236" s="107"/>
      <c r="Q236" s="107"/>
      <c r="R236" s="107"/>
      <c r="S236" s="107"/>
      <c r="T236" s="107"/>
      <c r="U236" s="107"/>
      <c r="V236" s="9"/>
      <c r="W236" s="107"/>
      <c r="X236" s="107"/>
      <c r="Y236" s="9"/>
      <c r="Z236" s="107"/>
      <c r="AA236" s="107"/>
      <c r="AB236" s="107"/>
      <c r="AC236" s="107"/>
      <c r="AD236" s="9"/>
      <c r="AE236" s="107"/>
      <c r="AF236" s="107"/>
      <c r="AG236" s="107"/>
      <c r="AH236" s="107"/>
      <c r="AI236" s="107"/>
      <c r="AJ236" s="107"/>
      <c r="AK236" s="107"/>
      <c r="AL236" s="107"/>
      <c r="AM236" s="107"/>
      <c r="AN236" s="107"/>
      <c r="AO236" s="107"/>
      <c r="AP236" s="107"/>
      <c r="AQ236" s="107"/>
      <c r="AR236" s="107"/>
      <c r="AS236" s="107"/>
      <c r="AT236" s="9"/>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9"/>
      <c r="BQ236" s="107"/>
      <c r="BR236" s="107"/>
      <c r="BS236" s="107"/>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c r="CW236" s="107"/>
      <c r="CX236" s="107"/>
      <c r="CY236" s="107"/>
      <c r="CZ236" s="107"/>
      <c r="DA236" s="107"/>
      <c r="DB236" s="107"/>
      <c r="DC236" s="107"/>
      <c r="DD236" s="107"/>
      <c r="DE236" s="107"/>
      <c r="DF236" s="107"/>
      <c r="DG236" s="107"/>
      <c r="DH236" s="107"/>
      <c r="DI236" s="107"/>
      <c r="DJ236" s="107"/>
      <c r="DK236" s="107"/>
      <c r="DL236" s="107"/>
      <c r="DM236" s="107"/>
      <c r="DN236" s="107"/>
      <c r="DO236" s="107"/>
      <c r="DP236" s="107"/>
      <c r="DQ236" s="107"/>
      <c r="DR236" s="107"/>
      <c r="DS236" s="107"/>
      <c r="DT236" s="107"/>
      <c r="DU236" s="107"/>
      <c r="DV236" s="107"/>
      <c r="DW236" s="107"/>
      <c r="DX236" s="107"/>
      <c r="DY236" s="107"/>
      <c r="DZ236" s="107"/>
      <c r="EA236" s="107"/>
      <c r="EB236" s="107"/>
      <c r="EC236" s="107"/>
      <c r="ED236" s="107"/>
      <c r="EE236" s="107"/>
      <c r="EF236" s="107"/>
      <c r="EG236" s="9"/>
      <c r="EH236" s="107"/>
      <c r="EI236" s="107"/>
      <c r="EJ236" s="107"/>
      <c r="EK236" s="107"/>
      <c r="EL236" s="107"/>
      <c r="EM236" s="107"/>
      <c r="EN236" s="107"/>
      <c r="EO236" s="107"/>
      <c r="EP236" s="107"/>
      <c r="EQ236" s="107"/>
      <c r="ER236" s="107"/>
      <c r="ES236" s="107"/>
      <c r="ET236" s="107"/>
      <c r="EU236" s="107"/>
      <c r="EV236" s="107"/>
      <c r="EW236" s="107"/>
      <c r="EX236" s="107"/>
      <c r="EY236" s="107"/>
      <c r="EZ236" s="107"/>
      <c r="FA236" s="107"/>
      <c r="FB236" s="107"/>
      <c r="FC236" s="107"/>
      <c r="FD236" s="107"/>
      <c r="FE236" s="107"/>
      <c r="FF236" s="107"/>
      <c r="FG236" s="107"/>
      <c r="FH236" s="107"/>
      <c r="FI236" s="107"/>
      <c r="FJ236" s="107"/>
      <c r="FK236" s="107"/>
      <c r="FL236" s="107"/>
      <c r="FM236" s="107"/>
      <c r="FN236" s="107"/>
      <c r="FO236" s="107"/>
      <c r="FP236" s="107"/>
      <c r="FQ236" s="107"/>
      <c r="FR236" s="107"/>
      <c r="FS236" s="107"/>
      <c r="FT236" s="107"/>
      <c r="FU236" s="107"/>
      <c r="FV236" s="107"/>
      <c r="FW236" s="107"/>
      <c r="FX236" s="107"/>
      <c r="FY236" s="107"/>
    </row>
    <row r="237" spans="1:183" s="268" customFormat="1" x14ac:dyDescent="0.25">
      <c r="A237" s="107"/>
      <c r="B237" s="9"/>
      <c r="C237" s="9"/>
      <c r="D237" s="9"/>
      <c r="E237" s="9"/>
      <c r="F237" s="107"/>
      <c r="G237" s="107"/>
      <c r="H237" s="9"/>
      <c r="I237" s="107"/>
      <c r="J237" s="107"/>
      <c r="K237" s="107"/>
      <c r="L237" s="107"/>
      <c r="M237" s="107"/>
      <c r="N237" s="107"/>
      <c r="O237" s="107"/>
      <c r="P237" s="107"/>
      <c r="Q237" s="107"/>
      <c r="R237" s="107"/>
      <c r="S237" s="107"/>
      <c r="T237" s="107"/>
      <c r="U237" s="107"/>
      <c r="V237" s="9"/>
      <c r="W237" s="107"/>
      <c r="X237" s="107"/>
      <c r="Y237" s="9"/>
      <c r="Z237" s="107"/>
      <c r="AA237" s="107"/>
      <c r="AB237" s="107"/>
      <c r="AC237" s="107"/>
      <c r="AD237" s="9"/>
      <c r="AE237" s="107"/>
      <c r="AF237" s="107"/>
      <c r="AG237" s="107"/>
      <c r="AH237" s="107"/>
      <c r="AI237" s="107"/>
      <c r="AJ237" s="107"/>
      <c r="AK237" s="107"/>
      <c r="AL237" s="107"/>
      <c r="AM237" s="107"/>
      <c r="AN237" s="107"/>
      <c r="AO237" s="107"/>
      <c r="AP237" s="107"/>
      <c r="AQ237" s="107"/>
      <c r="AR237" s="107"/>
      <c r="AS237" s="107"/>
      <c r="AT237" s="9"/>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9"/>
      <c r="BQ237" s="107"/>
      <c r="BR237" s="107"/>
      <c r="BS237" s="107"/>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c r="CW237" s="107"/>
      <c r="CX237" s="107"/>
      <c r="CY237" s="107"/>
      <c r="CZ237" s="107"/>
      <c r="DA237" s="107"/>
      <c r="DB237" s="107"/>
      <c r="DC237" s="107"/>
      <c r="DD237" s="107"/>
      <c r="DE237" s="107"/>
      <c r="DF237" s="107"/>
      <c r="DG237" s="107"/>
      <c r="DH237" s="107"/>
      <c r="DI237" s="107"/>
      <c r="DJ237" s="107"/>
      <c r="DK237" s="107"/>
      <c r="DL237" s="107"/>
      <c r="DM237" s="107"/>
      <c r="DN237" s="107"/>
      <c r="DO237" s="107"/>
      <c r="DP237" s="107"/>
      <c r="DQ237" s="107"/>
      <c r="DR237" s="107"/>
      <c r="DS237" s="107"/>
      <c r="DT237" s="107"/>
      <c r="DU237" s="107"/>
      <c r="DV237" s="107"/>
      <c r="DW237" s="107"/>
      <c r="DX237" s="107"/>
      <c r="DY237" s="107"/>
      <c r="DZ237" s="107"/>
      <c r="EA237" s="107"/>
      <c r="EB237" s="107"/>
      <c r="EC237" s="107"/>
      <c r="ED237" s="107"/>
      <c r="EE237" s="107"/>
      <c r="EF237" s="107"/>
      <c r="EG237" s="9"/>
      <c r="EH237" s="107"/>
      <c r="EI237" s="107"/>
      <c r="EJ237" s="107"/>
      <c r="EK237" s="107"/>
      <c r="EL237" s="107"/>
      <c r="EM237" s="107"/>
      <c r="EN237" s="107"/>
      <c r="EO237" s="107"/>
      <c r="EP237" s="107"/>
      <c r="EQ237" s="107"/>
      <c r="ER237" s="107"/>
      <c r="ES237" s="107"/>
      <c r="ET237" s="107"/>
      <c r="EU237" s="107"/>
      <c r="EV237" s="107"/>
      <c r="EW237" s="107"/>
      <c r="EX237" s="107"/>
      <c r="EY237" s="107"/>
      <c r="EZ237" s="107"/>
      <c r="FA237" s="107"/>
      <c r="FB237" s="107"/>
      <c r="FC237" s="107"/>
      <c r="FD237" s="107"/>
      <c r="FE237" s="107"/>
      <c r="FF237" s="107"/>
      <c r="FG237" s="107"/>
      <c r="FH237" s="107"/>
      <c r="FI237" s="107"/>
      <c r="FJ237" s="107"/>
      <c r="FK237" s="107"/>
      <c r="FL237" s="107"/>
      <c r="FM237" s="107"/>
      <c r="FN237" s="107"/>
      <c r="FO237" s="107"/>
      <c r="FP237" s="107"/>
      <c r="FQ237" s="107"/>
      <c r="FR237" s="107"/>
      <c r="FS237" s="107"/>
      <c r="FT237" s="107"/>
      <c r="FU237" s="107"/>
      <c r="FV237" s="107"/>
      <c r="FW237" s="107"/>
      <c r="FX237" s="107"/>
      <c r="FY237" s="107"/>
    </row>
    <row r="238" spans="1:183" s="268" customFormat="1" x14ac:dyDescent="0.25">
      <c r="A238" s="107"/>
      <c r="B238" s="9"/>
      <c r="C238" s="9"/>
      <c r="D238" s="9"/>
      <c r="E238" s="9"/>
      <c r="F238" s="107"/>
      <c r="G238" s="107"/>
      <c r="H238" s="9"/>
      <c r="I238" s="107"/>
      <c r="J238" s="107"/>
      <c r="K238" s="107"/>
      <c r="L238" s="107"/>
      <c r="M238" s="107"/>
      <c r="N238" s="107"/>
      <c r="O238" s="107"/>
      <c r="P238" s="107"/>
      <c r="Q238" s="107"/>
      <c r="R238" s="107"/>
      <c r="S238" s="107"/>
      <c r="T238" s="107"/>
      <c r="U238" s="107"/>
      <c r="V238" s="9"/>
      <c r="W238" s="107"/>
      <c r="X238" s="107"/>
      <c r="Y238" s="9"/>
      <c r="Z238" s="107"/>
      <c r="AA238" s="107"/>
      <c r="AB238" s="107"/>
      <c r="AC238" s="107"/>
      <c r="AD238" s="9"/>
      <c r="AE238" s="107"/>
      <c r="AF238" s="107"/>
      <c r="AG238" s="107"/>
      <c r="AH238" s="107"/>
      <c r="AI238" s="107"/>
      <c r="AJ238" s="107"/>
      <c r="AK238" s="107"/>
      <c r="AL238" s="107"/>
      <c r="AM238" s="107"/>
      <c r="AN238" s="107"/>
      <c r="AO238" s="107"/>
      <c r="AP238" s="107"/>
      <c r="AQ238" s="107"/>
      <c r="AR238" s="107"/>
      <c r="AS238" s="107"/>
      <c r="AT238" s="9"/>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9"/>
      <c r="BQ238" s="107"/>
      <c r="BR238" s="107"/>
      <c r="BS238" s="107"/>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c r="CW238" s="107"/>
      <c r="CX238" s="107"/>
      <c r="CY238" s="107"/>
      <c r="CZ238" s="107"/>
      <c r="DA238" s="107"/>
      <c r="DB238" s="107"/>
      <c r="DC238" s="107"/>
      <c r="DD238" s="107"/>
      <c r="DE238" s="107"/>
      <c r="DF238" s="107"/>
      <c r="DG238" s="107"/>
      <c r="DH238" s="107"/>
      <c r="DI238" s="107"/>
      <c r="DJ238" s="107"/>
      <c r="DK238" s="107"/>
      <c r="DL238" s="107"/>
      <c r="DM238" s="107"/>
      <c r="DN238" s="107"/>
      <c r="DO238" s="107"/>
      <c r="DP238" s="107"/>
      <c r="DQ238" s="107"/>
      <c r="DR238" s="107"/>
      <c r="DS238" s="107"/>
      <c r="DT238" s="107"/>
      <c r="DU238" s="107"/>
      <c r="DV238" s="107"/>
      <c r="DW238" s="107"/>
      <c r="DX238" s="107"/>
      <c r="DY238" s="107"/>
      <c r="DZ238" s="107"/>
      <c r="EA238" s="107"/>
      <c r="EB238" s="107"/>
      <c r="EC238" s="107"/>
      <c r="ED238" s="107"/>
      <c r="EE238" s="107"/>
      <c r="EF238" s="107"/>
      <c r="EG238" s="9"/>
      <c r="EH238" s="107"/>
      <c r="EI238" s="107"/>
      <c r="EJ238" s="107"/>
      <c r="EK238" s="107"/>
      <c r="EL238" s="107"/>
      <c r="EM238" s="107"/>
      <c r="EN238" s="107"/>
      <c r="EO238" s="107"/>
      <c r="EP238" s="107"/>
      <c r="EQ238" s="107"/>
      <c r="ER238" s="107"/>
      <c r="ES238" s="107"/>
      <c r="ET238" s="107"/>
      <c r="EU238" s="107"/>
      <c r="EV238" s="107"/>
      <c r="EW238" s="107"/>
      <c r="EX238" s="107"/>
      <c r="EY238" s="107"/>
      <c r="EZ238" s="107"/>
      <c r="FA238" s="107"/>
      <c r="FB238" s="107"/>
      <c r="FC238" s="107"/>
      <c r="FD238" s="107"/>
      <c r="FE238" s="107"/>
      <c r="FF238" s="107"/>
      <c r="FG238" s="107"/>
      <c r="FH238" s="107"/>
      <c r="FI238" s="107"/>
      <c r="FJ238" s="107"/>
      <c r="FK238" s="107"/>
      <c r="FL238" s="107"/>
      <c r="FM238" s="107"/>
      <c r="FN238" s="107"/>
      <c r="FO238" s="107"/>
      <c r="FP238" s="107"/>
      <c r="FQ238" s="107"/>
      <c r="FR238" s="107"/>
      <c r="FS238" s="107"/>
      <c r="FT238" s="107"/>
      <c r="FU238" s="107"/>
      <c r="FV238" s="107"/>
      <c r="FW238" s="107"/>
      <c r="FX238" s="107"/>
      <c r="FY238" s="107"/>
    </row>
    <row r="239" spans="1:183" s="268" customFormat="1" x14ac:dyDescent="0.25">
      <c r="A239" s="107"/>
      <c r="B239" s="9"/>
      <c r="C239" s="9"/>
      <c r="D239" s="9"/>
      <c r="E239" s="9"/>
      <c r="F239" s="107"/>
      <c r="G239" s="107"/>
      <c r="H239" s="9"/>
      <c r="I239" s="107"/>
      <c r="J239" s="107"/>
      <c r="K239" s="107"/>
      <c r="L239" s="107"/>
      <c r="M239" s="107"/>
      <c r="N239" s="107"/>
      <c r="O239" s="107"/>
      <c r="P239" s="107"/>
      <c r="Q239" s="107"/>
      <c r="R239" s="107"/>
      <c r="S239" s="107"/>
      <c r="T239" s="107"/>
      <c r="U239" s="107"/>
      <c r="V239" s="9"/>
      <c r="W239" s="107"/>
      <c r="X239" s="107"/>
      <c r="Y239" s="9"/>
      <c r="Z239" s="107"/>
      <c r="AA239" s="107"/>
      <c r="AB239" s="107"/>
      <c r="AC239" s="107"/>
      <c r="AD239" s="9"/>
      <c r="AE239" s="107"/>
      <c r="AF239" s="107"/>
      <c r="AG239" s="107"/>
      <c r="AH239" s="107"/>
      <c r="AI239" s="107"/>
      <c r="AJ239" s="107"/>
      <c r="AK239" s="107"/>
      <c r="AL239" s="107"/>
      <c r="AM239" s="107"/>
      <c r="AN239" s="107"/>
      <c r="AO239" s="107"/>
      <c r="AP239" s="107"/>
      <c r="AQ239" s="107"/>
      <c r="AR239" s="107"/>
      <c r="AS239" s="107"/>
      <c r="AT239" s="9"/>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9"/>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9"/>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c r="FB239" s="107"/>
      <c r="FC239" s="107"/>
      <c r="FD239" s="107"/>
      <c r="FE239" s="107"/>
      <c r="FF239" s="107"/>
      <c r="FG239" s="107"/>
      <c r="FH239" s="107"/>
      <c r="FI239" s="107"/>
      <c r="FJ239" s="107"/>
      <c r="FK239" s="107"/>
      <c r="FL239" s="107"/>
      <c r="FM239" s="107"/>
      <c r="FN239" s="107"/>
      <c r="FO239" s="107"/>
      <c r="FP239" s="107"/>
      <c r="FQ239" s="107"/>
      <c r="FR239" s="107"/>
      <c r="FS239" s="107"/>
      <c r="FT239" s="107"/>
      <c r="FU239" s="107"/>
      <c r="FV239" s="107"/>
      <c r="FW239" s="107"/>
      <c r="FX239" s="107"/>
      <c r="FY239" s="107"/>
    </row>
    <row r="240" spans="1:183" s="268" customFormat="1" x14ac:dyDescent="0.25">
      <c r="A240" s="107"/>
      <c r="B240" s="9"/>
      <c r="C240" s="9"/>
      <c r="D240" s="9"/>
      <c r="E240" s="9"/>
      <c r="F240" s="107"/>
      <c r="G240" s="107"/>
      <c r="H240" s="9"/>
      <c r="I240" s="107"/>
      <c r="J240" s="107"/>
      <c r="K240" s="107"/>
      <c r="L240" s="107"/>
      <c r="M240" s="107"/>
      <c r="N240" s="107"/>
      <c r="O240" s="107"/>
      <c r="P240" s="107"/>
      <c r="Q240" s="107"/>
      <c r="R240" s="107"/>
      <c r="S240" s="107"/>
      <c r="T240" s="107"/>
      <c r="U240" s="107"/>
      <c r="V240" s="9"/>
      <c r="W240" s="107"/>
      <c r="X240" s="107"/>
      <c r="Y240" s="9"/>
      <c r="Z240" s="107"/>
      <c r="AA240" s="107"/>
      <c r="AB240" s="107"/>
      <c r="AC240" s="107"/>
      <c r="AD240" s="9"/>
      <c r="AE240" s="107"/>
      <c r="AF240" s="107"/>
      <c r="AG240" s="107"/>
      <c r="AH240" s="107"/>
      <c r="AI240" s="107"/>
      <c r="AJ240" s="107"/>
      <c r="AK240" s="107"/>
      <c r="AL240" s="107"/>
      <c r="AM240" s="107"/>
      <c r="AN240" s="107"/>
      <c r="AO240" s="107"/>
      <c r="AP240" s="107"/>
      <c r="AQ240" s="107"/>
      <c r="AR240" s="107"/>
      <c r="AS240" s="107"/>
      <c r="AT240" s="9"/>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9"/>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9"/>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c r="FB240" s="107"/>
      <c r="FC240" s="107"/>
      <c r="FD240" s="107"/>
      <c r="FE240" s="107"/>
      <c r="FF240" s="107"/>
      <c r="FG240" s="107"/>
      <c r="FH240" s="107"/>
      <c r="FI240" s="107"/>
      <c r="FJ240" s="107"/>
      <c r="FK240" s="107"/>
      <c r="FL240" s="107"/>
      <c r="FM240" s="107"/>
      <c r="FN240" s="107"/>
      <c r="FO240" s="107"/>
      <c r="FP240" s="107"/>
      <c r="FQ240" s="107"/>
      <c r="FR240" s="107"/>
      <c r="FS240" s="107"/>
      <c r="FT240" s="107"/>
      <c r="FU240" s="107"/>
      <c r="FV240" s="107"/>
      <c r="FW240" s="107"/>
      <c r="FX240" s="107"/>
      <c r="FY240" s="107"/>
    </row>
    <row r="241" spans="1:185" s="268" customFormat="1" x14ac:dyDescent="0.25">
      <c r="A241" s="107"/>
      <c r="B241" s="9"/>
      <c r="C241" s="9"/>
      <c r="D241" s="9"/>
      <c r="E241" s="9"/>
      <c r="F241" s="107"/>
      <c r="G241" s="107"/>
      <c r="H241" s="9"/>
      <c r="I241" s="107"/>
      <c r="J241" s="107"/>
      <c r="K241" s="107"/>
      <c r="L241" s="107"/>
      <c r="M241" s="107"/>
      <c r="N241" s="107"/>
      <c r="O241" s="107"/>
      <c r="P241" s="107"/>
      <c r="Q241" s="107"/>
      <c r="R241" s="107"/>
      <c r="S241" s="107"/>
      <c r="T241" s="107"/>
      <c r="U241" s="107"/>
      <c r="V241" s="9"/>
      <c r="W241" s="107"/>
      <c r="X241" s="107"/>
      <c r="Y241" s="9"/>
      <c r="Z241" s="107"/>
      <c r="AA241" s="107"/>
      <c r="AB241" s="107"/>
      <c r="AC241" s="107"/>
      <c r="AD241" s="9"/>
      <c r="AE241" s="107"/>
      <c r="AF241" s="107"/>
      <c r="AG241" s="107"/>
      <c r="AH241" s="107"/>
      <c r="AI241" s="107"/>
      <c r="AJ241" s="107"/>
      <c r="AK241" s="107"/>
      <c r="AL241" s="107"/>
      <c r="AM241" s="107"/>
      <c r="AN241" s="107"/>
      <c r="AO241" s="107"/>
      <c r="AP241" s="107"/>
      <c r="AQ241" s="107"/>
      <c r="AR241" s="107"/>
      <c r="AS241" s="107"/>
      <c r="AT241" s="9"/>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9"/>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9"/>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c r="FB241" s="107"/>
      <c r="FC241" s="107"/>
      <c r="FD241" s="107"/>
      <c r="FE241" s="107"/>
      <c r="FF241" s="107"/>
      <c r="FG241" s="107"/>
      <c r="FH241" s="107"/>
      <c r="FI241" s="107"/>
      <c r="FJ241" s="107"/>
      <c r="FK241" s="107"/>
      <c r="FL241" s="107"/>
      <c r="FM241" s="107"/>
      <c r="FN241" s="107"/>
      <c r="FO241" s="107"/>
      <c r="FP241" s="107"/>
      <c r="FQ241" s="107"/>
      <c r="FR241" s="107"/>
      <c r="FS241" s="107"/>
      <c r="FT241" s="107"/>
      <c r="FU241" s="107"/>
      <c r="FV241" s="107"/>
      <c r="FW241" s="107"/>
      <c r="FX241" s="107"/>
      <c r="FY241" s="107"/>
    </row>
    <row r="242" spans="1:185" s="268" customFormat="1" x14ac:dyDescent="0.25">
      <c r="A242" s="107"/>
      <c r="B242" s="9"/>
      <c r="C242" s="9"/>
      <c r="D242" s="9"/>
      <c r="E242" s="9"/>
      <c r="F242" s="107"/>
      <c r="G242" s="107"/>
      <c r="H242" s="9"/>
      <c r="I242" s="107"/>
      <c r="J242" s="107"/>
      <c r="K242" s="107"/>
      <c r="L242" s="107"/>
      <c r="M242" s="107"/>
      <c r="N242" s="107"/>
      <c r="O242" s="107"/>
      <c r="P242" s="107"/>
      <c r="Q242" s="107"/>
      <c r="R242" s="107"/>
      <c r="S242" s="107"/>
      <c r="T242" s="107"/>
      <c r="U242" s="107"/>
      <c r="V242" s="9"/>
      <c r="W242" s="107"/>
      <c r="X242" s="107"/>
      <c r="Y242" s="9"/>
      <c r="Z242" s="107"/>
      <c r="AA242" s="107"/>
      <c r="AB242" s="107"/>
      <c r="AC242" s="107"/>
      <c r="AD242" s="9"/>
      <c r="AE242" s="107"/>
      <c r="AF242" s="107"/>
      <c r="AG242" s="107"/>
      <c r="AH242" s="107"/>
      <c r="AI242" s="107"/>
      <c r="AJ242" s="107"/>
      <c r="AK242" s="107"/>
      <c r="AL242" s="107"/>
      <c r="AM242" s="107"/>
      <c r="AN242" s="107"/>
      <c r="AO242" s="107"/>
      <c r="AP242" s="107"/>
      <c r="AQ242" s="107"/>
      <c r="AR242" s="107"/>
      <c r="AS242" s="107"/>
      <c r="AT242" s="9"/>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9"/>
      <c r="BQ242" s="107"/>
      <c r="BR242" s="107"/>
      <c r="BS242" s="107"/>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c r="CW242" s="107"/>
      <c r="CX242" s="107"/>
      <c r="CY242" s="107"/>
      <c r="CZ242" s="107"/>
      <c r="DA242" s="107"/>
      <c r="DB242" s="107"/>
      <c r="DC242" s="107"/>
      <c r="DD242" s="107"/>
      <c r="DE242" s="107"/>
      <c r="DF242" s="107"/>
      <c r="DG242" s="107"/>
      <c r="DH242" s="107"/>
      <c r="DI242" s="107"/>
      <c r="DJ242" s="107"/>
      <c r="DK242" s="107"/>
      <c r="DL242" s="107"/>
      <c r="DM242" s="107"/>
      <c r="DN242" s="107"/>
      <c r="DO242" s="107"/>
      <c r="DP242" s="107"/>
      <c r="DQ242" s="107"/>
      <c r="DR242" s="107"/>
      <c r="DS242" s="107"/>
      <c r="DT242" s="107"/>
      <c r="DU242" s="107"/>
      <c r="DV242" s="107"/>
      <c r="DW242" s="107"/>
      <c r="DX242" s="107"/>
      <c r="DY242" s="107"/>
      <c r="DZ242" s="107"/>
      <c r="EA242" s="107"/>
      <c r="EB242" s="107"/>
      <c r="EC242" s="107"/>
      <c r="ED242" s="107"/>
      <c r="EE242" s="107"/>
      <c r="EF242" s="107"/>
      <c r="EG242" s="9"/>
      <c r="EH242" s="107"/>
      <c r="EI242" s="107"/>
      <c r="EJ242" s="107"/>
      <c r="EK242" s="107"/>
      <c r="EL242" s="107"/>
      <c r="EM242" s="107"/>
      <c r="EN242" s="107"/>
      <c r="EO242" s="107"/>
      <c r="EP242" s="107"/>
      <c r="EQ242" s="107"/>
      <c r="ER242" s="107"/>
      <c r="ES242" s="107"/>
      <c r="ET242" s="107"/>
      <c r="EU242" s="107"/>
      <c r="EV242" s="107"/>
      <c r="EW242" s="107"/>
      <c r="EX242" s="107"/>
      <c r="EY242" s="107"/>
      <c r="EZ242" s="107"/>
      <c r="FA242" s="107"/>
      <c r="FB242" s="107"/>
      <c r="FC242" s="107"/>
      <c r="FD242" s="107"/>
      <c r="FE242" s="107"/>
      <c r="FF242" s="107"/>
      <c r="FG242" s="107"/>
      <c r="FH242" s="107"/>
      <c r="FI242" s="107"/>
      <c r="FJ242" s="107"/>
      <c r="FK242" s="107"/>
      <c r="FL242" s="107"/>
      <c r="FM242" s="107"/>
      <c r="FN242" s="107"/>
      <c r="FO242" s="107"/>
      <c r="FP242" s="107"/>
      <c r="FQ242" s="107"/>
      <c r="FR242" s="107"/>
      <c r="FS242" s="107"/>
      <c r="FT242" s="107"/>
      <c r="FU242" s="107"/>
      <c r="FV242" s="107"/>
      <c r="FW242" s="107"/>
      <c r="FX242" s="107"/>
      <c r="FY242" s="107"/>
    </row>
    <row r="243" spans="1:185" s="268" customFormat="1" x14ac:dyDescent="0.25">
      <c r="A243" s="107"/>
      <c r="B243" s="9"/>
      <c r="C243" s="9"/>
      <c r="D243" s="9"/>
      <c r="E243" s="9"/>
      <c r="F243" s="107"/>
      <c r="G243" s="107"/>
      <c r="H243" s="9"/>
      <c r="I243" s="107"/>
      <c r="J243" s="107"/>
      <c r="K243" s="107"/>
      <c r="L243" s="107"/>
      <c r="M243" s="107"/>
      <c r="N243" s="107"/>
      <c r="O243" s="107"/>
      <c r="P243" s="107"/>
      <c r="Q243" s="107"/>
      <c r="R243" s="107"/>
      <c r="S243" s="107"/>
      <c r="T243" s="107"/>
      <c r="U243" s="107"/>
      <c r="V243" s="9"/>
      <c r="W243" s="107"/>
      <c r="X243" s="107"/>
      <c r="Y243" s="9"/>
      <c r="Z243" s="107"/>
      <c r="AA243" s="107"/>
      <c r="AB243" s="107"/>
      <c r="AC243" s="107"/>
      <c r="AD243" s="9"/>
      <c r="AE243" s="107"/>
      <c r="AF243" s="107"/>
      <c r="AG243" s="107"/>
      <c r="AH243" s="107"/>
      <c r="AI243" s="107"/>
      <c r="AJ243" s="107"/>
      <c r="AK243" s="107"/>
      <c r="AL243" s="107"/>
      <c r="AM243" s="107"/>
      <c r="AN243" s="107"/>
      <c r="AO243" s="107"/>
      <c r="AP243" s="107"/>
      <c r="AQ243" s="107"/>
      <c r="AR243" s="107"/>
      <c r="AS243" s="107"/>
      <c r="AT243" s="9"/>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9"/>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9"/>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c r="FB243" s="107"/>
      <c r="FC243" s="107"/>
      <c r="FD243" s="107"/>
      <c r="FE243" s="107"/>
      <c r="FF243" s="107"/>
      <c r="FG243" s="107"/>
      <c r="FH243" s="107"/>
      <c r="FI243" s="107"/>
      <c r="FJ243" s="107"/>
      <c r="FK243" s="107"/>
      <c r="FL243" s="107"/>
      <c r="FM243" s="107"/>
      <c r="FN243" s="107"/>
      <c r="FO243" s="107"/>
      <c r="FP243" s="107"/>
      <c r="FQ243" s="107"/>
      <c r="FR243" s="107"/>
      <c r="FS243" s="107"/>
      <c r="FT243" s="107"/>
      <c r="FU243" s="107"/>
      <c r="FV243" s="107"/>
      <c r="FW243" s="107"/>
      <c r="FX243" s="107"/>
      <c r="FY243" s="107"/>
    </row>
    <row r="244" spans="1:185" s="268" customFormat="1" x14ac:dyDescent="0.25">
      <c r="A244" s="107"/>
      <c r="B244" s="9"/>
      <c r="C244" s="9"/>
      <c r="D244" s="9"/>
      <c r="E244" s="9"/>
      <c r="F244" s="107"/>
      <c r="G244" s="107"/>
      <c r="H244" s="9"/>
      <c r="I244" s="107"/>
      <c r="J244" s="107"/>
      <c r="K244" s="107"/>
      <c r="L244" s="107"/>
      <c r="M244" s="107"/>
      <c r="N244" s="107"/>
      <c r="O244" s="107"/>
      <c r="P244" s="107"/>
      <c r="Q244" s="107"/>
      <c r="R244" s="107"/>
      <c r="S244" s="107"/>
      <c r="T244" s="107"/>
      <c r="U244" s="107"/>
      <c r="V244" s="9"/>
      <c r="W244" s="107"/>
      <c r="X244" s="107"/>
      <c r="Y244" s="9"/>
      <c r="Z244" s="107"/>
      <c r="AA244" s="107"/>
      <c r="AB244" s="107"/>
      <c r="AC244" s="107"/>
      <c r="AD244" s="9"/>
      <c r="AE244" s="107"/>
      <c r="AF244" s="107"/>
      <c r="AG244" s="107"/>
      <c r="AH244" s="107"/>
      <c r="AI244" s="107"/>
      <c r="AJ244" s="107"/>
      <c r="AK244" s="107"/>
      <c r="AL244" s="107"/>
      <c r="AM244" s="107"/>
      <c r="AN244" s="107"/>
      <c r="AO244" s="107"/>
      <c r="AP244" s="107"/>
      <c r="AQ244" s="107"/>
      <c r="AR244" s="107"/>
      <c r="AS244" s="107"/>
      <c r="AT244" s="9"/>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9"/>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9"/>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c r="FB244" s="107"/>
      <c r="FC244" s="107"/>
      <c r="FD244" s="107"/>
      <c r="FE244" s="107"/>
      <c r="FF244" s="107"/>
      <c r="FG244" s="107"/>
      <c r="FH244" s="107"/>
      <c r="FI244" s="107"/>
      <c r="FJ244" s="107"/>
      <c r="FK244" s="107"/>
      <c r="FL244" s="107"/>
      <c r="FM244" s="107"/>
      <c r="FN244" s="107"/>
      <c r="FO244" s="107"/>
      <c r="FP244" s="107"/>
      <c r="FQ244" s="107"/>
      <c r="FR244" s="107"/>
      <c r="FS244" s="107"/>
      <c r="FT244" s="107"/>
      <c r="FU244" s="107"/>
      <c r="FV244" s="107"/>
      <c r="FW244" s="107"/>
      <c r="FX244" s="107"/>
      <c r="FY244" s="107"/>
    </row>
    <row r="245" spans="1:185" s="268" customFormat="1" x14ac:dyDescent="0.25">
      <c r="A245" s="107"/>
      <c r="B245" s="9"/>
      <c r="C245" s="9"/>
      <c r="D245" s="9"/>
      <c r="E245" s="9"/>
      <c r="F245" s="107"/>
      <c r="G245" s="107"/>
      <c r="H245" s="9"/>
      <c r="I245" s="107"/>
      <c r="J245" s="107"/>
      <c r="K245" s="107"/>
      <c r="L245" s="107"/>
      <c r="M245" s="107"/>
      <c r="N245" s="107"/>
      <c r="O245" s="107"/>
      <c r="P245" s="107"/>
      <c r="Q245" s="107"/>
      <c r="R245" s="107"/>
      <c r="S245" s="107"/>
      <c r="T245" s="107"/>
      <c r="U245" s="107"/>
      <c r="V245" s="9"/>
      <c r="W245" s="107"/>
      <c r="X245" s="107"/>
      <c r="Y245" s="9"/>
      <c r="Z245" s="107"/>
      <c r="AA245" s="107"/>
      <c r="AB245" s="107"/>
      <c r="AC245" s="107"/>
      <c r="AD245" s="9"/>
      <c r="AE245" s="107"/>
      <c r="AF245" s="107"/>
      <c r="AG245" s="107"/>
      <c r="AH245" s="107"/>
      <c r="AI245" s="107"/>
      <c r="AJ245" s="107"/>
      <c r="AK245" s="107"/>
      <c r="AL245" s="107"/>
      <c r="AM245" s="107"/>
      <c r="AN245" s="107"/>
      <c r="AO245" s="107"/>
      <c r="AP245" s="107"/>
      <c r="AQ245" s="107"/>
      <c r="AR245" s="107"/>
      <c r="AS245" s="107"/>
      <c r="AT245" s="9"/>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9"/>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9"/>
      <c r="EH245" s="107"/>
      <c r="EI245" s="107"/>
      <c r="EJ245" s="107"/>
      <c r="EK245" s="107"/>
      <c r="EL245" s="107"/>
      <c r="EM245" s="107"/>
      <c r="EN245" s="107"/>
      <c r="EO245" s="107"/>
      <c r="EP245" s="107"/>
      <c r="EQ245" s="107"/>
      <c r="ER245" s="107"/>
      <c r="ES245" s="107"/>
      <c r="ET245" s="107"/>
      <c r="EU245" s="107"/>
      <c r="EV245" s="107"/>
      <c r="EW245" s="107"/>
      <c r="EX245" s="107"/>
      <c r="EY245" s="107"/>
      <c r="EZ245" s="107"/>
      <c r="FA245" s="107"/>
      <c r="FB245" s="107"/>
      <c r="FC245" s="107"/>
      <c r="FD245" s="107"/>
      <c r="FE245" s="107"/>
      <c r="FF245" s="107"/>
      <c r="FG245" s="107"/>
      <c r="FH245" s="107"/>
      <c r="FI245" s="107"/>
      <c r="FJ245" s="107"/>
      <c r="FK245" s="107"/>
      <c r="FL245" s="107"/>
      <c r="FM245" s="107"/>
      <c r="FN245" s="107"/>
      <c r="FO245" s="107"/>
      <c r="FP245" s="107"/>
      <c r="FQ245" s="107"/>
      <c r="FR245" s="107"/>
      <c r="FS245" s="107"/>
      <c r="FT245" s="107"/>
      <c r="FU245" s="107"/>
      <c r="FV245" s="107"/>
      <c r="FW245" s="107"/>
      <c r="FX245" s="107"/>
      <c r="FY245" s="107"/>
    </row>
    <row r="246" spans="1:185" s="268" customFormat="1" x14ac:dyDescent="0.25">
      <c r="A246" s="107"/>
      <c r="B246" s="9"/>
      <c r="C246" s="9"/>
      <c r="D246" s="9"/>
      <c r="E246" s="9"/>
      <c r="F246" s="107"/>
      <c r="G246" s="107"/>
      <c r="H246" s="9"/>
      <c r="I246" s="107"/>
      <c r="J246" s="107"/>
      <c r="K246" s="107"/>
      <c r="L246" s="107"/>
      <c r="M246" s="107"/>
      <c r="N246" s="107"/>
      <c r="O246" s="107"/>
      <c r="P246" s="107"/>
      <c r="Q246" s="107"/>
      <c r="R246" s="107"/>
      <c r="S246" s="107"/>
      <c r="T246" s="107"/>
      <c r="U246" s="107"/>
      <c r="V246" s="9"/>
      <c r="W246" s="107"/>
      <c r="X246" s="107"/>
      <c r="Y246" s="9"/>
      <c r="Z246" s="107"/>
      <c r="AA246" s="107"/>
      <c r="AB246" s="107"/>
      <c r="AC246" s="107"/>
      <c r="AD246" s="9"/>
      <c r="AE246" s="107"/>
      <c r="AF246" s="107"/>
      <c r="AG246" s="107"/>
      <c r="AH246" s="107"/>
      <c r="AI246" s="107"/>
      <c r="AJ246" s="107"/>
      <c r="AK246" s="107"/>
      <c r="AL246" s="107"/>
      <c r="AM246" s="107"/>
      <c r="AN246" s="107"/>
      <c r="AO246" s="107"/>
      <c r="AP246" s="107"/>
      <c r="AQ246" s="107"/>
      <c r="AR246" s="107"/>
      <c r="AS246" s="107"/>
      <c r="AT246" s="9"/>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9"/>
      <c r="BQ246" s="107"/>
      <c r="BR246" s="107"/>
      <c r="BS246" s="107"/>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c r="CW246" s="107"/>
      <c r="CX246" s="107"/>
      <c r="CY246" s="107"/>
      <c r="CZ246" s="107"/>
      <c r="DA246" s="107"/>
      <c r="DB246" s="107"/>
      <c r="DC246" s="107"/>
      <c r="DD246" s="107"/>
      <c r="DE246" s="107"/>
      <c r="DF246" s="107"/>
      <c r="DG246" s="107"/>
      <c r="DH246" s="107"/>
      <c r="DI246" s="107"/>
      <c r="DJ246" s="107"/>
      <c r="DK246" s="107"/>
      <c r="DL246" s="107"/>
      <c r="DM246" s="107"/>
      <c r="DN246" s="107"/>
      <c r="DO246" s="107"/>
      <c r="DP246" s="107"/>
      <c r="DQ246" s="107"/>
      <c r="DR246" s="107"/>
      <c r="DS246" s="107"/>
      <c r="DT246" s="107"/>
      <c r="DU246" s="107"/>
      <c r="DV246" s="107"/>
      <c r="DW246" s="107"/>
      <c r="DX246" s="107"/>
      <c r="DY246" s="107"/>
      <c r="DZ246" s="107"/>
      <c r="EA246" s="107"/>
      <c r="EB246" s="107"/>
      <c r="EC246" s="107"/>
      <c r="ED246" s="107"/>
      <c r="EE246" s="107"/>
      <c r="EF246" s="107"/>
      <c r="EG246" s="9"/>
      <c r="EH246" s="107"/>
      <c r="EI246" s="107"/>
      <c r="EJ246" s="107"/>
      <c r="EK246" s="107"/>
      <c r="EL246" s="107"/>
      <c r="EM246" s="107"/>
      <c r="EN246" s="107"/>
      <c r="EO246" s="107"/>
      <c r="EP246" s="107"/>
      <c r="EQ246" s="107"/>
      <c r="ER246" s="107"/>
      <c r="ES246" s="107"/>
      <c r="ET246" s="107"/>
      <c r="EU246" s="107"/>
      <c r="EV246" s="107"/>
      <c r="EW246" s="107"/>
      <c r="EX246" s="107"/>
      <c r="EY246" s="107"/>
      <c r="EZ246" s="107"/>
      <c r="FA246" s="107"/>
      <c r="FB246" s="107"/>
      <c r="FC246" s="107"/>
      <c r="FD246" s="107"/>
      <c r="FE246" s="107"/>
      <c r="FF246" s="107"/>
      <c r="FG246" s="107"/>
      <c r="FH246" s="107"/>
      <c r="FI246" s="107"/>
      <c r="FJ246" s="107"/>
      <c r="FK246" s="107"/>
      <c r="FL246" s="107"/>
      <c r="FM246" s="107"/>
      <c r="FN246" s="107"/>
      <c r="FO246" s="107"/>
      <c r="FP246" s="107"/>
      <c r="FQ246" s="107"/>
      <c r="FR246" s="107"/>
      <c r="FS246" s="107"/>
      <c r="FT246" s="107"/>
      <c r="FU246" s="107"/>
      <c r="FV246" s="107"/>
      <c r="FW246" s="107"/>
      <c r="FX246" s="107"/>
      <c r="FY246" s="107"/>
    </row>
    <row r="247" spans="1:185" s="268" customFormat="1" x14ac:dyDescent="0.25">
      <c r="A247" s="107"/>
      <c r="B247" s="9"/>
      <c r="C247" s="9"/>
      <c r="D247" s="9"/>
      <c r="E247" s="9"/>
      <c r="F247" s="107"/>
      <c r="G247" s="107"/>
      <c r="H247" s="9"/>
      <c r="I247" s="107"/>
      <c r="J247" s="107"/>
      <c r="K247" s="107"/>
      <c r="L247" s="107"/>
      <c r="M247" s="107"/>
      <c r="N247" s="107"/>
      <c r="O247" s="107"/>
      <c r="P247" s="107"/>
      <c r="Q247" s="107"/>
      <c r="R247" s="107"/>
      <c r="S247" s="107"/>
      <c r="T247" s="107"/>
      <c r="U247" s="107"/>
      <c r="V247" s="9"/>
      <c r="W247" s="107"/>
      <c r="X247" s="107"/>
      <c r="Y247" s="9"/>
      <c r="Z247" s="107"/>
      <c r="AA247" s="107"/>
      <c r="AB247" s="107"/>
      <c r="AC247" s="107"/>
      <c r="AD247" s="9"/>
      <c r="AE247" s="107"/>
      <c r="AF247" s="107"/>
      <c r="AG247" s="107"/>
      <c r="AH247" s="107"/>
      <c r="AI247" s="107"/>
      <c r="AJ247" s="107"/>
      <c r="AK247" s="107"/>
      <c r="AL247" s="107"/>
      <c r="AM247" s="107"/>
      <c r="AN247" s="107"/>
      <c r="AO247" s="107"/>
      <c r="AP247" s="107"/>
      <c r="AQ247" s="107"/>
      <c r="AR247" s="107"/>
      <c r="AS247" s="107"/>
      <c r="AT247" s="9"/>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9"/>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9"/>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row>
    <row r="248" spans="1:185" s="268" customFormat="1" x14ac:dyDescent="0.25">
      <c r="A248" s="107"/>
      <c r="B248" s="9"/>
      <c r="C248" s="9"/>
      <c r="D248" s="9"/>
      <c r="E248" s="9"/>
      <c r="F248" s="107"/>
      <c r="G248" s="107"/>
      <c r="H248" s="9"/>
      <c r="I248" s="107"/>
      <c r="J248" s="107"/>
      <c r="K248" s="107"/>
      <c r="L248" s="107"/>
      <c r="M248" s="107"/>
      <c r="N248" s="107"/>
      <c r="O248" s="107"/>
      <c r="P248" s="107"/>
      <c r="Q248" s="107"/>
      <c r="R248" s="107"/>
      <c r="S248" s="107"/>
      <c r="T248" s="107"/>
      <c r="U248" s="107"/>
      <c r="V248" s="9"/>
      <c r="W248" s="107"/>
      <c r="X248" s="107"/>
      <c r="Y248" s="9"/>
      <c r="Z248" s="107"/>
      <c r="AA248" s="107"/>
      <c r="AB248" s="107"/>
      <c r="AC248" s="107"/>
      <c r="AD248" s="9"/>
      <c r="AE248" s="107"/>
      <c r="AF248" s="107"/>
      <c r="AG248" s="107"/>
      <c r="AH248" s="107"/>
      <c r="AI248" s="107"/>
      <c r="AJ248" s="107"/>
      <c r="AK248" s="107"/>
      <c r="AL248" s="107"/>
      <c r="AM248" s="107"/>
      <c r="AN248" s="107"/>
      <c r="AO248" s="107"/>
      <c r="AP248" s="107"/>
      <c r="AQ248" s="107"/>
      <c r="AR248" s="107"/>
      <c r="AS248" s="107"/>
      <c r="AT248" s="9"/>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9"/>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9"/>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c r="FB248" s="107"/>
      <c r="FC248" s="107"/>
      <c r="FD248" s="107"/>
      <c r="FE248" s="107"/>
      <c r="FF248" s="107"/>
      <c r="FG248" s="107"/>
      <c r="FH248" s="107"/>
      <c r="FI248" s="107"/>
      <c r="FJ248" s="107"/>
      <c r="FK248" s="107"/>
      <c r="FL248" s="107"/>
      <c r="FM248" s="107"/>
      <c r="FN248" s="107"/>
      <c r="FO248" s="107"/>
      <c r="FP248" s="107"/>
      <c r="FQ248" s="107"/>
      <c r="FR248" s="107"/>
      <c r="FS248" s="107"/>
      <c r="FT248" s="107"/>
      <c r="FU248" s="107"/>
      <c r="FV248" s="107"/>
      <c r="FW248" s="107"/>
      <c r="FX248" s="107"/>
      <c r="FY248" s="107"/>
    </row>
    <row r="249" spans="1:185" s="268" customFormat="1" x14ac:dyDescent="0.25">
      <c r="A249" s="107"/>
      <c r="B249" s="9"/>
      <c r="C249" s="9"/>
      <c r="D249" s="9"/>
      <c r="E249" s="9"/>
      <c r="F249" s="107"/>
      <c r="G249" s="107"/>
      <c r="H249" s="9"/>
      <c r="I249" s="107"/>
      <c r="J249" s="107"/>
      <c r="K249" s="107"/>
      <c r="L249" s="107"/>
      <c r="M249" s="107"/>
      <c r="N249" s="107"/>
      <c r="O249" s="107"/>
      <c r="P249" s="107"/>
      <c r="Q249" s="107"/>
      <c r="R249" s="107"/>
      <c r="S249" s="107"/>
      <c r="T249" s="107"/>
      <c r="U249" s="107"/>
      <c r="V249" s="9"/>
      <c r="W249" s="107"/>
      <c r="X249" s="107"/>
      <c r="Y249" s="9"/>
      <c r="Z249" s="107"/>
      <c r="AA249" s="107"/>
      <c r="AB249" s="107"/>
      <c r="AC249" s="107"/>
      <c r="AD249" s="9"/>
      <c r="AE249" s="107"/>
      <c r="AF249" s="107"/>
      <c r="AG249" s="107"/>
      <c r="AH249" s="107"/>
      <c r="AI249" s="107"/>
      <c r="AJ249" s="107"/>
      <c r="AK249" s="107"/>
      <c r="AL249" s="107"/>
      <c r="AM249" s="107"/>
      <c r="AN249" s="107"/>
      <c r="AO249" s="107"/>
      <c r="AP249" s="107"/>
      <c r="AQ249" s="107"/>
      <c r="AR249" s="107"/>
      <c r="AS249" s="107"/>
      <c r="AT249" s="9"/>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9"/>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9"/>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c r="FB249" s="107"/>
      <c r="FC249" s="107"/>
      <c r="FD249" s="107"/>
      <c r="FE249" s="107"/>
      <c r="FF249" s="107"/>
      <c r="FG249" s="107"/>
      <c r="FH249" s="107"/>
      <c r="FI249" s="107"/>
      <c r="FJ249" s="107"/>
      <c r="FK249" s="107"/>
      <c r="FL249" s="107"/>
      <c r="FM249" s="107"/>
      <c r="FN249" s="107"/>
      <c r="FO249" s="107"/>
      <c r="FP249" s="107"/>
      <c r="FQ249" s="107"/>
      <c r="FR249" s="107"/>
      <c r="FS249" s="107"/>
      <c r="FT249" s="107"/>
      <c r="FU249" s="107"/>
      <c r="FV249" s="107"/>
      <c r="FW249" s="107"/>
      <c r="FX249" s="107"/>
      <c r="FY249" s="107"/>
    </row>
    <row r="250" spans="1:185" s="268" customFormat="1" x14ac:dyDescent="0.25">
      <c r="A250" s="107"/>
      <c r="B250" s="9"/>
      <c r="C250" s="9"/>
      <c r="D250" s="9"/>
      <c r="E250" s="9"/>
      <c r="F250" s="107"/>
      <c r="G250" s="107"/>
      <c r="H250" s="9"/>
      <c r="I250" s="107"/>
      <c r="J250" s="107"/>
      <c r="K250" s="107"/>
      <c r="L250" s="107"/>
      <c r="M250" s="107"/>
      <c r="N250" s="107"/>
      <c r="O250" s="107"/>
      <c r="P250" s="107"/>
      <c r="Q250" s="107"/>
      <c r="R250" s="107"/>
      <c r="S250" s="107"/>
      <c r="T250" s="107"/>
      <c r="U250" s="107"/>
      <c r="V250" s="9"/>
      <c r="W250" s="107"/>
      <c r="X250" s="107"/>
      <c r="Y250" s="9"/>
      <c r="Z250" s="107"/>
      <c r="AA250" s="107"/>
      <c r="AB250" s="107"/>
      <c r="AC250" s="107"/>
      <c r="AD250" s="9"/>
      <c r="AE250" s="107"/>
      <c r="AF250" s="107"/>
      <c r="AG250" s="107"/>
      <c r="AH250" s="107"/>
      <c r="AI250" s="107"/>
      <c r="AJ250" s="107"/>
      <c r="AK250" s="107"/>
      <c r="AL250" s="107"/>
      <c r="AM250" s="107"/>
      <c r="AN250" s="107"/>
      <c r="AO250" s="107"/>
      <c r="AP250" s="107"/>
      <c r="AQ250" s="107"/>
      <c r="AR250" s="107"/>
      <c r="AS250" s="107"/>
      <c r="AT250" s="9"/>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9"/>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9"/>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c r="FB250" s="107"/>
      <c r="FC250" s="107"/>
      <c r="FD250" s="107"/>
      <c r="FE250" s="107"/>
      <c r="FF250" s="107"/>
      <c r="FG250" s="107"/>
      <c r="FH250" s="107"/>
      <c r="FI250" s="107"/>
      <c r="FJ250" s="107"/>
      <c r="FK250" s="107"/>
      <c r="FL250" s="107"/>
      <c r="FM250" s="107"/>
      <c r="FN250" s="107"/>
      <c r="FO250" s="107"/>
      <c r="FP250" s="107"/>
      <c r="FQ250" s="107"/>
      <c r="FR250" s="107"/>
      <c r="FS250" s="107"/>
      <c r="FT250" s="107"/>
      <c r="FU250" s="107"/>
      <c r="FV250" s="107"/>
      <c r="FW250" s="107"/>
      <c r="FX250" s="107"/>
      <c r="FY250" s="107"/>
    </row>
    <row r="251" spans="1:185" s="268" customFormat="1" x14ac:dyDescent="0.25">
      <c r="A251" s="107"/>
      <c r="B251" s="9"/>
      <c r="C251" s="9"/>
      <c r="D251" s="9"/>
      <c r="E251" s="9"/>
      <c r="F251" s="107"/>
      <c r="G251" s="107"/>
      <c r="H251" s="9"/>
      <c r="I251" s="107"/>
      <c r="J251" s="107"/>
      <c r="K251" s="107"/>
      <c r="L251" s="107"/>
      <c r="M251" s="107"/>
      <c r="N251" s="107"/>
      <c r="O251" s="107"/>
      <c r="P251" s="107"/>
      <c r="Q251" s="107"/>
      <c r="R251" s="107"/>
      <c r="S251" s="107"/>
      <c r="T251" s="107"/>
      <c r="U251" s="107"/>
      <c r="V251" s="9"/>
      <c r="W251" s="107"/>
      <c r="X251" s="107"/>
      <c r="Y251" s="9"/>
      <c r="Z251" s="107"/>
      <c r="AA251" s="107"/>
      <c r="AB251" s="107"/>
      <c r="AC251" s="107"/>
      <c r="AD251" s="9"/>
      <c r="AE251" s="107"/>
      <c r="AF251" s="107"/>
      <c r="AG251" s="107"/>
      <c r="AH251" s="107"/>
      <c r="AI251" s="107"/>
      <c r="AJ251" s="107"/>
      <c r="AK251" s="107"/>
      <c r="AL251" s="107"/>
      <c r="AM251" s="107"/>
      <c r="AN251" s="107"/>
      <c r="AO251" s="107"/>
      <c r="AP251" s="107"/>
      <c r="AQ251" s="107"/>
      <c r="AR251" s="107"/>
      <c r="AS251" s="107"/>
      <c r="AT251" s="9"/>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9"/>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9"/>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c r="FB251" s="107"/>
      <c r="FC251" s="107"/>
      <c r="FD251" s="107"/>
      <c r="FE251" s="107"/>
      <c r="FF251" s="107"/>
      <c r="FG251" s="107"/>
      <c r="FH251" s="107"/>
      <c r="FI251" s="107"/>
      <c r="FJ251" s="107"/>
      <c r="FK251" s="107"/>
      <c r="FL251" s="107"/>
      <c r="FM251" s="107"/>
      <c r="FN251" s="107"/>
      <c r="FO251" s="107"/>
      <c r="FP251" s="107"/>
      <c r="FQ251" s="107"/>
      <c r="FR251" s="107"/>
      <c r="FS251" s="107"/>
      <c r="FT251" s="107"/>
      <c r="FU251" s="107"/>
      <c r="FV251" s="107"/>
      <c r="FW251" s="107"/>
      <c r="FX251" s="107"/>
      <c r="FY251" s="107"/>
    </row>
    <row r="252" spans="1:185" s="268" customFormat="1" x14ac:dyDescent="0.25">
      <c r="A252" s="107"/>
      <c r="B252" s="9"/>
      <c r="C252" s="9"/>
      <c r="D252" s="9"/>
      <c r="E252" s="9"/>
      <c r="F252" s="107"/>
      <c r="G252" s="107"/>
      <c r="H252" s="9"/>
      <c r="I252" s="107"/>
      <c r="J252" s="107"/>
      <c r="K252" s="107"/>
      <c r="L252" s="107"/>
      <c r="M252" s="107"/>
      <c r="N252" s="107"/>
      <c r="O252" s="107"/>
      <c r="P252" s="107"/>
      <c r="Q252" s="107"/>
      <c r="R252" s="107"/>
      <c r="S252" s="107"/>
      <c r="T252" s="107"/>
      <c r="U252" s="107"/>
      <c r="V252" s="9"/>
      <c r="W252" s="107"/>
      <c r="X252" s="107"/>
      <c r="Y252" s="9"/>
      <c r="Z252" s="107"/>
      <c r="AA252" s="107"/>
      <c r="AB252" s="107"/>
      <c r="AC252" s="107"/>
      <c r="AD252" s="9"/>
      <c r="AE252" s="107"/>
      <c r="AF252" s="107"/>
      <c r="AG252" s="107"/>
      <c r="AH252" s="107"/>
      <c r="AI252" s="107"/>
      <c r="AJ252" s="107"/>
      <c r="AK252" s="107"/>
      <c r="AL252" s="107"/>
      <c r="AM252" s="107"/>
      <c r="AN252" s="107"/>
      <c r="AO252" s="107"/>
      <c r="AP252" s="107"/>
      <c r="AQ252" s="107"/>
      <c r="AR252" s="107"/>
      <c r="AS252" s="107"/>
      <c r="AT252" s="9"/>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9"/>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9"/>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c r="FB252" s="107"/>
      <c r="FC252" s="107"/>
      <c r="FD252" s="107"/>
      <c r="FE252" s="107"/>
      <c r="FF252" s="107"/>
      <c r="FG252" s="107"/>
      <c r="FH252" s="107"/>
      <c r="FI252" s="107"/>
      <c r="FJ252" s="107"/>
      <c r="FK252" s="107"/>
      <c r="FL252" s="107"/>
      <c r="FM252" s="107"/>
      <c r="FN252" s="107"/>
      <c r="FO252" s="107"/>
      <c r="FP252" s="107"/>
      <c r="FQ252" s="107"/>
      <c r="FR252" s="107"/>
      <c r="FS252" s="107"/>
      <c r="FT252" s="107"/>
      <c r="FU252" s="107"/>
      <c r="FV252" s="107"/>
      <c r="FW252" s="107"/>
      <c r="FX252" s="107"/>
      <c r="FY252" s="107"/>
    </row>
    <row r="253" spans="1:185" s="268" customFormat="1" x14ac:dyDescent="0.25">
      <c r="A253" s="107"/>
      <c r="B253" s="9"/>
      <c r="C253" s="9"/>
      <c r="D253" s="9"/>
      <c r="E253" s="9"/>
      <c r="F253" s="107"/>
      <c r="G253" s="107"/>
      <c r="H253" s="9"/>
      <c r="I253" s="107"/>
      <c r="J253" s="107"/>
      <c r="K253" s="107"/>
      <c r="L253" s="107"/>
      <c r="M253" s="107"/>
      <c r="N253" s="107"/>
      <c r="O253" s="107"/>
      <c r="P253" s="107"/>
      <c r="Q253" s="107"/>
      <c r="R253" s="107"/>
      <c r="S253" s="107"/>
      <c r="T253" s="107"/>
      <c r="U253" s="107"/>
      <c r="V253" s="9"/>
      <c r="W253" s="107"/>
      <c r="X253" s="107"/>
      <c r="Y253" s="9"/>
      <c r="Z253" s="107"/>
      <c r="AA253" s="107"/>
      <c r="AB253" s="107"/>
      <c r="AC253" s="107"/>
      <c r="AD253" s="9"/>
      <c r="AE253" s="107"/>
      <c r="AF253" s="107"/>
      <c r="AG253" s="107"/>
      <c r="AH253" s="107"/>
      <c r="AI253" s="107"/>
      <c r="AJ253" s="107"/>
      <c r="AK253" s="107"/>
      <c r="AL253" s="107"/>
      <c r="AM253" s="107"/>
      <c r="AN253" s="107"/>
      <c r="AO253" s="107"/>
      <c r="AP253" s="107"/>
      <c r="AQ253" s="107"/>
      <c r="AR253" s="107"/>
      <c r="AS253" s="107"/>
      <c r="AT253" s="9"/>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9"/>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9"/>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c r="FB253" s="107"/>
      <c r="FC253" s="107"/>
      <c r="FD253" s="107"/>
      <c r="FE253" s="107"/>
      <c r="FF253" s="107"/>
      <c r="FG253" s="107"/>
      <c r="FH253" s="107"/>
      <c r="FI253" s="107"/>
      <c r="FJ253" s="107"/>
      <c r="FK253" s="107"/>
      <c r="FL253" s="107"/>
      <c r="FM253" s="107"/>
      <c r="FN253" s="107"/>
      <c r="FO253" s="107"/>
      <c r="FP253" s="107"/>
      <c r="FQ253" s="107"/>
      <c r="FR253" s="107"/>
      <c r="FS253" s="107"/>
      <c r="FT253" s="107"/>
      <c r="FU253" s="107"/>
      <c r="FV253" s="107"/>
      <c r="FW253" s="107"/>
      <c r="FX253" s="107"/>
      <c r="FY253" s="107"/>
    </row>
    <row r="254" spans="1:185" s="268" customFormat="1" x14ac:dyDescent="0.25">
      <c r="A254" s="107"/>
      <c r="B254" s="9"/>
      <c r="C254" s="9"/>
      <c r="D254" s="9"/>
      <c r="E254" s="9"/>
      <c r="F254" s="107"/>
      <c r="G254" s="107"/>
      <c r="H254" s="9"/>
      <c r="I254" s="107"/>
      <c r="J254" s="107"/>
      <c r="K254" s="107"/>
      <c r="L254" s="107"/>
      <c r="M254" s="107"/>
      <c r="N254" s="107"/>
      <c r="O254" s="107"/>
      <c r="P254" s="107"/>
      <c r="Q254" s="107"/>
      <c r="R254" s="107"/>
      <c r="S254" s="107"/>
      <c r="T254" s="107"/>
      <c r="U254" s="107"/>
      <c r="V254" s="9"/>
      <c r="W254" s="107"/>
      <c r="X254" s="107"/>
      <c r="Y254" s="9"/>
      <c r="Z254" s="107"/>
      <c r="AA254" s="107"/>
      <c r="AB254" s="107"/>
      <c r="AC254" s="107"/>
      <c r="AD254" s="9"/>
      <c r="AE254" s="107"/>
      <c r="AF254" s="107"/>
      <c r="AG254" s="107"/>
      <c r="AH254" s="107"/>
      <c r="AI254" s="107"/>
      <c r="AJ254" s="107"/>
      <c r="AK254" s="107"/>
      <c r="AL254" s="107"/>
      <c r="AM254" s="107"/>
      <c r="AN254" s="107"/>
      <c r="AO254" s="107"/>
      <c r="AP254" s="107"/>
      <c r="AQ254" s="107"/>
      <c r="AR254" s="107"/>
      <c r="AS254" s="107"/>
      <c r="AT254" s="9"/>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9"/>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9"/>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c r="FB254" s="107"/>
      <c r="FC254" s="107"/>
      <c r="FD254" s="107"/>
      <c r="FE254" s="107"/>
      <c r="FF254" s="107"/>
      <c r="FG254" s="107"/>
      <c r="FH254" s="107"/>
      <c r="FI254" s="107"/>
      <c r="FJ254" s="107"/>
      <c r="FK254" s="107"/>
      <c r="FL254" s="107"/>
      <c r="FM254" s="107"/>
      <c r="FN254" s="107"/>
      <c r="FO254" s="107"/>
      <c r="FP254" s="107"/>
      <c r="FQ254" s="107"/>
      <c r="FR254" s="107"/>
      <c r="FS254" s="107"/>
      <c r="FT254" s="107"/>
      <c r="FU254" s="107"/>
      <c r="FV254" s="107"/>
      <c r="FW254" s="107"/>
      <c r="FX254" s="107"/>
      <c r="FY254" s="107"/>
    </row>
    <row r="255" spans="1:185" s="268" customFormat="1" x14ac:dyDescent="0.25">
      <c r="A255" s="107"/>
      <c r="B255" s="9"/>
      <c r="C255" s="9"/>
      <c r="D255" s="9"/>
      <c r="E255" s="9"/>
      <c r="F255" s="107"/>
      <c r="G255" s="107"/>
      <c r="H255" s="9"/>
      <c r="I255" s="107"/>
      <c r="J255" s="107"/>
      <c r="K255" s="107"/>
      <c r="L255" s="107"/>
      <c r="M255" s="107"/>
      <c r="N255" s="107"/>
      <c r="O255" s="107"/>
      <c r="P255" s="107"/>
      <c r="Q255" s="107"/>
      <c r="R255" s="107"/>
      <c r="S255" s="107"/>
      <c r="T255" s="107"/>
      <c r="U255" s="107"/>
      <c r="V255" s="9"/>
      <c r="W255" s="107"/>
      <c r="X255" s="107"/>
      <c r="Y255" s="9"/>
      <c r="Z255" s="107"/>
      <c r="AA255" s="107"/>
      <c r="AB255" s="107"/>
      <c r="AC255" s="107"/>
      <c r="AD255" s="9"/>
      <c r="AE255" s="107"/>
      <c r="AF255" s="107"/>
      <c r="AG255" s="107"/>
      <c r="AH255" s="107"/>
      <c r="AI255" s="107"/>
      <c r="AJ255" s="107"/>
      <c r="AK255" s="107"/>
      <c r="AL255" s="107"/>
      <c r="AM255" s="107"/>
      <c r="AN255" s="107"/>
      <c r="AO255" s="107"/>
      <c r="AP255" s="107"/>
      <c r="AQ255" s="107"/>
      <c r="AR255" s="107"/>
      <c r="AS255" s="107"/>
      <c r="AT255" s="9"/>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9"/>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9"/>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c r="FB255" s="107"/>
      <c r="FC255" s="107"/>
      <c r="FD255" s="107"/>
      <c r="FE255" s="107"/>
      <c r="FF255" s="107"/>
      <c r="FG255" s="107"/>
      <c r="FH255" s="107"/>
      <c r="FI255" s="107"/>
      <c r="FJ255" s="107"/>
      <c r="FK255" s="107"/>
      <c r="FL255" s="107"/>
      <c r="FM255" s="107"/>
      <c r="FN255" s="107"/>
      <c r="FO255" s="107"/>
      <c r="FP255" s="107"/>
      <c r="FQ255" s="107"/>
      <c r="FR255" s="107"/>
      <c r="FS255" s="107"/>
      <c r="FT255" s="107"/>
      <c r="FU255" s="107"/>
      <c r="FV255" s="107"/>
      <c r="FW255" s="107"/>
      <c r="FX255" s="107"/>
      <c r="FY255" s="107"/>
    </row>
    <row r="256" spans="1:185" x14ac:dyDescent="0.25">
      <c r="B256" s="9"/>
      <c r="C256" s="9"/>
      <c r="D256" s="9"/>
      <c r="E256" s="9"/>
      <c r="H256" s="9"/>
      <c r="V256" s="9"/>
      <c r="Y256" s="9"/>
      <c r="AD256" s="9"/>
      <c r="AT256" s="9"/>
      <c r="BP256" s="9"/>
      <c r="EG256" s="9"/>
      <c r="FZ256" s="107"/>
      <c r="GA256" s="107"/>
      <c r="GB256" s="107"/>
      <c r="GC256" s="107"/>
    </row>
    <row r="257" spans="2:185" x14ac:dyDescent="0.25">
      <c r="B257" s="9"/>
      <c r="C257" s="9"/>
      <c r="D257" s="9"/>
      <c r="E257" s="9"/>
      <c r="H257" s="9"/>
      <c r="V257" s="9"/>
      <c r="Y257" s="9"/>
      <c r="AD257" s="9"/>
      <c r="AT257" s="9"/>
      <c r="BP257" s="9"/>
      <c r="EG257" s="9"/>
      <c r="FZ257" s="107"/>
      <c r="GA257" s="107"/>
      <c r="GB257" s="107"/>
      <c r="GC257" s="107"/>
    </row>
    <row r="258" spans="2:185" x14ac:dyDescent="0.25">
      <c r="B258" s="9"/>
      <c r="C258" s="9"/>
      <c r="D258" s="9"/>
      <c r="E258" s="9"/>
      <c r="H258" s="9"/>
      <c r="V258" s="9"/>
      <c r="Y258" s="9"/>
      <c r="AD258" s="9"/>
      <c r="AT258" s="9"/>
      <c r="BP258" s="9"/>
      <c r="EG258" s="9"/>
      <c r="FZ258" s="107"/>
      <c r="GA258" s="107"/>
      <c r="GB258" s="107"/>
      <c r="GC258" s="107"/>
    </row>
    <row r="259" spans="2:185" x14ac:dyDescent="0.25">
      <c r="B259" s="9"/>
      <c r="C259" s="9"/>
      <c r="D259" s="9"/>
      <c r="E259" s="9"/>
      <c r="H259" s="9"/>
      <c r="V259" s="9"/>
      <c r="Y259" s="9"/>
      <c r="AD259" s="9"/>
      <c r="AT259" s="9"/>
      <c r="BP259" s="9"/>
      <c r="EG259" s="9"/>
      <c r="FZ259" s="107"/>
      <c r="GA259" s="107"/>
      <c r="GB259" s="107"/>
      <c r="GC259" s="107"/>
    </row>
    <row r="260" spans="2:185" x14ac:dyDescent="0.25">
      <c r="B260" s="9"/>
      <c r="C260" s="9"/>
      <c r="D260" s="9"/>
      <c r="E260" s="9"/>
      <c r="H260" s="9"/>
      <c r="V260" s="9"/>
      <c r="Y260" s="9"/>
      <c r="AD260" s="9"/>
      <c r="AT260" s="9"/>
      <c r="BP260" s="9"/>
      <c r="EG260" s="9"/>
      <c r="FZ260" s="107"/>
      <c r="GA260" s="107"/>
      <c r="GB260" s="107"/>
      <c r="GC260" s="107"/>
    </row>
    <row r="261" spans="2:185" x14ac:dyDescent="0.25">
      <c r="B261" s="9"/>
      <c r="C261" s="9"/>
      <c r="D261" s="9"/>
      <c r="E261" s="9"/>
      <c r="H261" s="9"/>
      <c r="V261" s="9"/>
      <c r="Y261" s="9"/>
      <c r="AD261" s="9"/>
      <c r="AT261" s="9"/>
      <c r="BP261" s="9"/>
      <c r="EG261" s="9"/>
      <c r="FZ261" s="107"/>
      <c r="GA261" s="107"/>
      <c r="GB261" s="107"/>
      <c r="GC261" s="107"/>
    </row>
    <row r="262" spans="2:185" x14ac:dyDescent="0.25">
      <c r="B262" s="9"/>
      <c r="C262" s="9"/>
      <c r="D262" s="9"/>
      <c r="E262" s="9"/>
      <c r="H262" s="9"/>
      <c r="V262" s="9"/>
      <c r="Y262" s="9"/>
      <c r="AD262" s="9"/>
      <c r="AT262" s="9"/>
      <c r="BP262" s="9"/>
      <c r="EG262" s="9"/>
      <c r="FZ262" s="107"/>
      <c r="GA262" s="107"/>
      <c r="GB262" s="107"/>
      <c r="GC262" s="107"/>
    </row>
    <row r="263" spans="2:185" x14ac:dyDescent="0.25">
      <c r="B263" s="9"/>
      <c r="C263" s="9"/>
      <c r="D263" s="9"/>
      <c r="E263" s="9"/>
      <c r="H263" s="9"/>
      <c r="V263" s="9"/>
      <c r="Y263" s="9"/>
      <c r="AD263" s="9"/>
      <c r="AT263" s="9"/>
      <c r="BP263" s="9"/>
      <c r="EG263" s="9"/>
      <c r="FZ263" s="107"/>
      <c r="GA263" s="107"/>
      <c r="GB263" s="107"/>
      <c r="GC263" s="107"/>
    </row>
    <row r="264" spans="2:185" x14ac:dyDescent="0.25">
      <c r="B264" s="9"/>
      <c r="C264" s="9"/>
      <c r="D264" s="9"/>
      <c r="E264" s="9"/>
      <c r="H264" s="9"/>
      <c r="V264" s="9"/>
      <c r="Y264" s="9"/>
      <c r="AD264" s="9"/>
      <c r="AT264" s="9"/>
      <c r="BP264" s="9"/>
      <c r="EG264" s="9"/>
      <c r="FZ264" s="107"/>
      <c r="GA264" s="107"/>
      <c r="GB264" s="107"/>
      <c r="GC264" s="107"/>
    </row>
    <row r="265" spans="2:185" x14ac:dyDescent="0.25">
      <c r="B265" s="9"/>
      <c r="C265" s="9"/>
      <c r="D265" s="9"/>
      <c r="E265" s="9"/>
      <c r="H265" s="9"/>
      <c r="V265" s="9"/>
      <c r="Y265" s="9"/>
      <c r="AD265" s="9"/>
      <c r="AT265" s="9"/>
      <c r="BP265" s="9"/>
      <c r="EG265" s="9"/>
      <c r="FZ265" s="107"/>
      <c r="GA265" s="107"/>
      <c r="GB265" s="107"/>
      <c r="GC265" s="107"/>
    </row>
    <row r="266" spans="2:185" x14ac:dyDescent="0.25">
      <c r="B266" s="9"/>
      <c r="C266" s="9"/>
      <c r="D266" s="9"/>
      <c r="E266" s="9"/>
      <c r="H266" s="9"/>
      <c r="V266" s="9"/>
      <c r="Y266" s="9"/>
      <c r="AD266" s="9"/>
      <c r="AT266" s="9"/>
      <c r="BP266" s="9"/>
      <c r="EG266" s="9"/>
      <c r="FZ266" s="107"/>
      <c r="GA266" s="107"/>
      <c r="GB266" s="107"/>
      <c r="GC266" s="107"/>
    </row>
    <row r="267" spans="2:185" x14ac:dyDescent="0.25">
      <c r="B267" s="9"/>
      <c r="C267" s="9"/>
      <c r="D267" s="9"/>
      <c r="E267" s="9"/>
      <c r="H267" s="9"/>
      <c r="V267" s="9"/>
      <c r="Y267" s="9"/>
      <c r="AD267" s="9"/>
      <c r="AT267" s="9"/>
      <c r="BP267" s="9"/>
      <c r="EG267" s="9"/>
      <c r="FZ267" s="107"/>
      <c r="GA267" s="107"/>
      <c r="GB267" s="107"/>
      <c r="GC267" s="107"/>
    </row>
    <row r="268" spans="2:185" x14ac:dyDescent="0.25">
      <c r="B268" s="9"/>
      <c r="C268" s="9"/>
      <c r="D268" s="9"/>
      <c r="E268" s="9"/>
      <c r="H268" s="9"/>
      <c r="V268" s="9"/>
      <c r="Y268" s="9"/>
      <c r="AD268" s="9"/>
      <c r="AT268" s="9"/>
      <c r="BP268" s="9"/>
      <c r="EG268" s="9"/>
      <c r="FZ268" s="107"/>
      <c r="GA268" s="107"/>
      <c r="GB268" s="107"/>
      <c r="GC268" s="107"/>
    </row>
    <row r="269" spans="2:185" x14ac:dyDescent="0.25">
      <c r="B269" s="9"/>
      <c r="C269" s="9"/>
      <c r="D269" s="9"/>
      <c r="E269" s="9"/>
      <c r="H269" s="9"/>
      <c r="V269" s="9"/>
      <c r="Y269" s="9"/>
      <c r="AD269" s="9"/>
      <c r="AT269" s="9"/>
      <c r="BP269" s="9"/>
      <c r="EG269" s="9"/>
      <c r="FZ269" s="107"/>
      <c r="GA269" s="107"/>
      <c r="GB269" s="107"/>
      <c r="GC269" s="107"/>
    </row>
    <row r="270" spans="2:185" x14ac:dyDescent="0.25">
      <c r="B270" s="9"/>
      <c r="C270" s="9"/>
      <c r="D270" s="9"/>
      <c r="E270" s="9"/>
      <c r="H270" s="9"/>
      <c r="V270" s="9"/>
      <c r="Y270" s="9"/>
      <c r="AD270" s="9"/>
      <c r="AT270" s="9"/>
      <c r="BP270" s="9"/>
      <c r="EG270" s="9"/>
      <c r="FZ270" s="107"/>
      <c r="GA270" s="107"/>
      <c r="GB270" s="107"/>
      <c r="GC270" s="107"/>
    </row>
    <row r="271" spans="2:185" x14ac:dyDescent="0.25">
      <c r="B271" s="9"/>
      <c r="C271" s="9"/>
      <c r="D271" s="9"/>
      <c r="E271" s="9"/>
      <c r="H271" s="9"/>
      <c r="V271" s="9"/>
      <c r="Y271" s="9"/>
      <c r="AD271" s="9"/>
      <c r="AT271" s="9"/>
      <c r="BP271" s="9"/>
      <c r="EG271" s="9"/>
      <c r="FZ271" s="107"/>
      <c r="GA271" s="107"/>
      <c r="GB271" s="107"/>
      <c r="GC271" s="107"/>
    </row>
    <row r="272" spans="2:185" x14ac:dyDescent="0.25">
      <c r="B272" s="9"/>
      <c r="C272" s="9"/>
      <c r="D272" s="9"/>
      <c r="E272" s="9"/>
      <c r="H272" s="9"/>
      <c r="V272" s="9"/>
      <c r="Y272" s="9"/>
      <c r="AD272" s="9"/>
      <c r="AT272" s="9"/>
      <c r="BP272" s="9"/>
      <c r="EG272" s="9"/>
      <c r="FZ272" s="107"/>
      <c r="GA272" s="107"/>
      <c r="GB272" s="107"/>
      <c r="GC272" s="107"/>
    </row>
    <row r="273" spans="1:185" x14ac:dyDescent="0.25">
      <c r="B273" s="9"/>
      <c r="C273" s="9"/>
      <c r="D273" s="9"/>
      <c r="E273" s="9"/>
      <c r="H273" s="9"/>
      <c r="V273" s="9"/>
      <c r="Y273" s="9"/>
      <c r="AD273" s="9"/>
      <c r="AT273" s="9"/>
      <c r="BP273" s="9"/>
      <c r="EG273" s="9"/>
      <c r="FZ273" s="107"/>
      <c r="GA273" s="107"/>
      <c r="GB273" s="107"/>
      <c r="GC273" s="107"/>
    </row>
    <row r="274" spans="1:185" x14ac:dyDescent="0.25">
      <c r="B274" s="9"/>
      <c r="C274" s="9"/>
      <c r="D274" s="9"/>
      <c r="E274" s="9"/>
      <c r="H274" s="9"/>
      <c r="V274" s="9"/>
      <c r="Y274" s="9"/>
      <c r="AD274" s="9"/>
      <c r="AT274" s="9"/>
      <c r="BP274" s="9"/>
      <c r="EG274" s="9"/>
      <c r="FZ274" s="107"/>
      <c r="GA274" s="107"/>
      <c r="GB274" s="107"/>
      <c r="GC274" s="107"/>
    </row>
    <row r="275" spans="1:185" x14ac:dyDescent="0.25">
      <c r="B275" s="9"/>
      <c r="C275" s="9"/>
      <c r="D275" s="9"/>
      <c r="E275" s="9"/>
      <c r="H275" s="9"/>
      <c r="V275" s="9"/>
      <c r="Y275" s="9"/>
      <c r="AD275" s="9"/>
      <c r="AT275" s="9"/>
      <c r="BP275" s="9"/>
      <c r="EG275" s="9"/>
      <c r="FZ275" s="107"/>
      <c r="GA275" s="107"/>
      <c r="GB275" s="107"/>
      <c r="GC275" s="107"/>
    </row>
    <row r="276" spans="1:185" x14ac:dyDescent="0.25">
      <c r="B276" s="9"/>
      <c r="C276" s="9"/>
      <c r="D276" s="9"/>
      <c r="E276" s="9"/>
      <c r="H276" s="9"/>
      <c r="V276" s="9"/>
      <c r="Y276" s="9"/>
      <c r="AD276" s="9"/>
      <c r="AT276" s="9"/>
      <c r="BP276" s="9"/>
      <c r="EG276" s="9"/>
      <c r="FZ276" s="107"/>
      <c r="GA276" s="107"/>
      <c r="GB276" s="107"/>
      <c r="GC276" s="107"/>
    </row>
    <row r="277" spans="1:185" x14ac:dyDescent="0.25">
      <c r="B277" s="9"/>
      <c r="C277" s="9"/>
      <c r="D277" s="9"/>
      <c r="E277" s="9"/>
      <c r="H277" s="9"/>
      <c r="V277" s="9"/>
      <c r="Y277" s="9"/>
      <c r="AD277" s="9"/>
      <c r="AT277" s="9"/>
      <c r="BP277" s="9"/>
      <c r="EG277" s="9"/>
      <c r="FZ277" s="107"/>
      <c r="GA277" s="107"/>
      <c r="GB277" s="107"/>
      <c r="GC277" s="107"/>
    </row>
    <row r="278" spans="1:185" x14ac:dyDescent="0.25">
      <c r="B278" s="9"/>
      <c r="C278" s="9"/>
      <c r="D278" s="9"/>
      <c r="E278" s="9"/>
      <c r="H278" s="9"/>
      <c r="V278" s="9"/>
      <c r="Y278" s="9"/>
      <c r="AD278" s="9"/>
      <c r="AT278" s="9"/>
      <c r="BP278" s="9"/>
      <c r="EG278" s="9"/>
      <c r="FZ278" s="107"/>
      <c r="GA278" s="107"/>
      <c r="GB278" s="107"/>
      <c r="GC278" s="107"/>
    </row>
    <row r="279" spans="1:185" x14ac:dyDescent="0.25">
      <c r="B279" s="9"/>
      <c r="C279" s="9"/>
      <c r="D279" s="9"/>
      <c r="E279" s="9"/>
      <c r="H279" s="9"/>
      <c r="V279" s="9"/>
      <c r="Y279" s="9"/>
      <c r="AD279" s="9"/>
      <c r="AT279" s="9"/>
      <c r="BP279" s="9"/>
      <c r="EG279" s="9"/>
      <c r="FZ279" s="107"/>
      <c r="GA279" s="107"/>
      <c r="GB279" s="107"/>
      <c r="GC279" s="107"/>
    </row>
    <row r="280" spans="1:185" x14ac:dyDescent="0.25">
      <c r="B280" s="9"/>
      <c r="C280" s="9"/>
      <c r="D280" s="9"/>
      <c r="E280" s="9"/>
      <c r="H280" s="9"/>
      <c r="V280" s="9"/>
      <c r="Y280" s="9"/>
      <c r="AD280" s="9"/>
      <c r="AT280" s="9"/>
      <c r="BP280" s="9"/>
      <c r="EG280" s="9"/>
      <c r="FZ280" s="107"/>
      <c r="GA280" s="107"/>
      <c r="GB280" s="107"/>
      <c r="GC280" s="107"/>
    </row>
    <row r="281" spans="1:185" x14ac:dyDescent="0.25">
      <c r="B281" s="9"/>
      <c r="C281" s="9"/>
      <c r="D281" s="9"/>
      <c r="E281" s="9"/>
      <c r="H281" s="9"/>
      <c r="V281" s="9"/>
      <c r="Y281" s="9"/>
      <c r="AD281" s="9"/>
      <c r="AT281" s="9"/>
      <c r="BP281" s="9"/>
      <c r="EG281" s="9"/>
      <c r="FZ281" s="107"/>
      <c r="GA281" s="107"/>
      <c r="GB281" s="107"/>
      <c r="GC281" s="107"/>
    </row>
    <row r="282" spans="1:185" x14ac:dyDescent="0.25">
      <c r="B282" s="9"/>
      <c r="C282" s="9"/>
      <c r="D282" s="9"/>
      <c r="E282" s="9"/>
      <c r="H282" s="9"/>
      <c r="V282" s="9"/>
      <c r="Y282" s="9"/>
      <c r="AD282" s="9"/>
      <c r="AT282" s="9"/>
      <c r="BP282" s="9"/>
      <c r="EG282" s="9"/>
      <c r="FZ282" s="107"/>
      <c r="GA282" s="107"/>
      <c r="GB282" s="107"/>
      <c r="GC282" s="107"/>
    </row>
    <row r="283" spans="1:185" x14ac:dyDescent="0.25">
      <c r="B283" s="9"/>
      <c r="C283" s="9"/>
      <c r="D283" s="9"/>
      <c r="E283" s="9"/>
      <c r="H283" s="9"/>
      <c r="V283" s="9"/>
      <c r="Y283" s="9"/>
      <c r="AD283" s="9"/>
      <c r="AT283" s="9"/>
      <c r="BP283" s="9"/>
      <c r="EG283" s="9"/>
      <c r="FZ283" s="107"/>
      <c r="GA283" s="107"/>
      <c r="GB283" s="107"/>
      <c r="GC283" s="107"/>
    </row>
    <row r="284" spans="1:185" x14ac:dyDescent="0.25">
      <c r="B284" s="9"/>
      <c r="C284" s="9"/>
      <c r="D284" s="9"/>
      <c r="E284" s="9"/>
      <c r="H284" s="9"/>
      <c r="V284" s="9"/>
      <c r="Y284" s="9"/>
      <c r="AD284" s="9"/>
      <c r="AT284" s="9"/>
      <c r="BP284" s="9"/>
      <c r="EG284" s="9"/>
      <c r="FZ284" s="107"/>
      <c r="GA284" s="107"/>
      <c r="GB284" s="107"/>
      <c r="GC284" s="107"/>
    </row>
    <row r="285" spans="1:185" x14ac:dyDescent="0.25">
      <c r="B285" s="9"/>
      <c r="C285" s="9"/>
      <c r="D285" s="9"/>
      <c r="E285" s="9"/>
      <c r="H285" s="9"/>
      <c r="V285" s="9"/>
      <c r="Y285" s="9"/>
      <c r="AD285" s="9"/>
      <c r="AT285" s="9"/>
      <c r="BP285" s="9"/>
      <c r="EG285" s="9"/>
      <c r="FZ285" s="107"/>
      <c r="GA285" s="107"/>
      <c r="GB285" s="107"/>
      <c r="GC285" s="107"/>
    </row>
    <row r="286" spans="1:185" x14ac:dyDescent="0.25">
      <c r="B286" s="9"/>
      <c r="C286" s="9"/>
      <c r="D286" s="9"/>
      <c r="E286" s="9"/>
      <c r="H286" s="9"/>
      <c r="V286" s="9"/>
      <c r="Y286" s="9"/>
      <c r="AD286" s="9"/>
      <c r="AT286" s="9"/>
      <c r="BP286" s="9"/>
      <c r="EG286" s="9"/>
      <c r="FZ286" s="107"/>
      <c r="GA286" s="107"/>
      <c r="GB286" s="107"/>
      <c r="GC286" s="107"/>
    </row>
    <row r="287" spans="1:185" x14ac:dyDescent="0.25">
      <c r="B287" s="9"/>
      <c r="C287" s="9"/>
      <c r="D287" s="9"/>
      <c r="E287" s="9"/>
      <c r="H287" s="9"/>
      <c r="V287" s="9"/>
      <c r="Y287" s="9"/>
      <c r="AD287" s="9"/>
      <c r="AT287" s="9"/>
      <c r="BP287" s="9"/>
      <c r="EG287" s="9"/>
      <c r="FZ287" s="107"/>
      <c r="GA287" s="107"/>
      <c r="GB287" s="107"/>
      <c r="GC287" s="107"/>
    </row>
    <row r="288" spans="1:185" s="268" customFormat="1" x14ac:dyDescent="0.25">
      <c r="A288" s="107"/>
      <c r="B288" s="9"/>
      <c r="C288" s="9"/>
      <c r="D288" s="9"/>
      <c r="E288" s="9"/>
      <c r="F288" s="107"/>
      <c r="G288" s="107"/>
      <c r="H288" s="9"/>
      <c r="I288" s="107"/>
      <c r="J288" s="107"/>
      <c r="K288" s="107"/>
      <c r="L288" s="107"/>
      <c r="M288" s="107"/>
      <c r="N288" s="107"/>
      <c r="O288" s="107"/>
      <c r="P288" s="107"/>
      <c r="Q288" s="107"/>
      <c r="R288" s="107"/>
      <c r="S288" s="107"/>
      <c r="T288" s="107"/>
      <c r="U288" s="107"/>
      <c r="V288" s="9"/>
      <c r="W288" s="107"/>
      <c r="X288" s="107"/>
      <c r="Y288" s="9"/>
      <c r="Z288" s="107"/>
      <c r="AA288" s="107"/>
      <c r="AB288" s="107"/>
      <c r="AC288" s="107"/>
      <c r="AD288" s="9"/>
      <c r="AE288" s="107"/>
      <c r="AF288" s="107"/>
      <c r="AG288" s="107"/>
      <c r="AH288" s="107"/>
      <c r="AI288" s="107"/>
      <c r="AJ288" s="107"/>
      <c r="AK288" s="107"/>
      <c r="AL288" s="107"/>
      <c r="AM288" s="107"/>
      <c r="AN288" s="107"/>
      <c r="AO288" s="107"/>
      <c r="AP288" s="107"/>
      <c r="AQ288" s="107"/>
      <c r="AR288" s="107"/>
      <c r="AS288" s="107"/>
      <c r="AT288" s="9"/>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9"/>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9"/>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c r="FB288" s="107"/>
      <c r="FC288" s="107"/>
      <c r="FD288" s="107"/>
      <c r="FE288" s="107"/>
      <c r="FF288" s="107"/>
      <c r="FG288" s="107"/>
      <c r="FH288" s="107"/>
      <c r="FI288" s="107"/>
      <c r="FJ288" s="107"/>
      <c r="FK288" s="107"/>
      <c r="FL288" s="107"/>
      <c r="FM288" s="107"/>
      <c r="FN288" s="107"/>
      <c r="FO288" s="107"/>
      <c r="FP288" s="107"/>
      <c r="FQ288" s="107"/>
      <c r="FR288" s="107"/>
      <c r="FS288" s="107"/>
      <c r="FT288" s="107"/>
      <c r="FU288" s="107"/>
      <c r="FV288" s="107"/>
      <c r="FW288" s="107"/>
      <c r="FX288" s="107"/>
      <c r="FY288" s="107"/>
    </row>
    <row r="289" spans="1:183" s="268" customFormat="1" x14ac:dyDescent="0.25">
      <c r="A289" s="107"/>
      <c r="B289" s="9"/>
      <c r="C289" s="9"/>
      <c r="D289" s="9"/>
      <c r="E289" s="9"/>
      <c r="F289" s="107"/>
      <c r="G289" s="107"/>
      <c r="H289" s="9"/>
      <c r="I289" s="107"/>
      <c r="J289" s="107"/>
      <c r="K289" s="107"/>
      <c r="L289" s="107"/>
      <c r="M289" s="107"/>
      <c r="N289" s="107"/>
      <c r="O289" s="107"/>
      <c r="P289" s="107"/>
      <c r="Q289" s="107"/>
      <c r="R289" s="107"/>
      <c r="S289" s="107"/>
      <c r="T289" s="107"/>
      <c r="U289" s="107"/>
      <c r="V289" s="9"/>
      <c r="W289" s="107"/>
      <c r="X289" s="107"/>
      <c r="Y289" s="9"/>
      <c r="Z289" s="107"/>
      <c r="AA289" s="107"/>
      <c r="AB289" s="107"/>
      <c r="AC289" s="107"/>
      <c r="AD289" s="9"/>
      <c r="AE289" s="107"/>
      <c r="AF289" s="107"/>
      <c r="AG289" s="107"/>
      <c r="AH289" s="107"/>
      <c r="AI289" s="107"/>
      <c r="AJ289" s="107"/>
      <c r="AK289" s="107"/>
      <c r="AL289" s="107"/>
      <c r="AM289" s="107"/>
      <c r="AN289" s="107"/>
      <c r="AO289" s="107"/>
      <c r="AP289" s="107"/>
      <c r="AQ289" s="107"/>
      <c r="AR289" s="107"/>
      <c r="AS289" s="107"/>
      <c r="AT289" s="9"/>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9"/>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9"/>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c r="FB289" s="107"/>
      <c r="FC289" s="107"/>
      <c r="FD289" s="107"/>
      <c r="FE289" s="107"/>
      <c r="FF289" s="107"/>
      <c r="FG289" s="107"/>
      <c r="FH289" s="107"/>
      <c r="FI289" s="107"/>
      <c r="FJ289" s="107"/>
      <c r="FK289" s="107"/>
      <c r="FL289" s="107"/>
      <c r="FM289" s="107"/>
      <c r="FN289" s="107"/>
      <c r="FO289" s="107"/>
      <c r="FP289" s="107"/>
      <c r="FQ289" s="107"/>
      <c r="FR289" s="107"/>
      <c r="FS289" s="107"/>
      <c r="FT289" s="107"/>
      <c r="FU289" s="107"/>
      <c r="FV289" s="107"/>
      <c r="FW289" s="107"/>
      <c r="FX289" s="107"/>
      <c r="FY289" s="107"/>
    </row>
    <row r="290" spans="1:183" s="268" customFormat="1" x14ac:dyDescent="0.25">
      <c r="A290" s="107"/>
      <c r="B290" s="9"/>
      <c r="C290" s="9"/>
      <c r="D290" s="9"/>
      <c r="E290" s="9"/>
      <c r="F290" s="107"/>
      <c r="G290" s="107"/>
      <c r="H290" s="9"/>
      <c r="I290" s="107"/>
      <c r="J290" s="107"/>
      <c r="K290" s="107"/>
      <c r="L290" s="107"/>
      <c r="M290" s="107"/>
      <c r="N290" s="107"/>
      <c r="O290" s="107"/>
      <c r="P290" s="107"/>
      <c r="Q290" s="107"/>
      <c r="R290" s="107"/>
      <c r="S290" s="107"/>
      <c r="T290" s="107"/>
      <c r="U290" s="107"/>
      <c r="V290" s="9"/>
      <c r="W290" s="107"/>
      <c r="X290" s="107"/>
      <c r="Y290" s="9"/>
      <c r="Z290" s="107"/>
      <c r="AA290" s="107"/>
      <c r="AB290" s="107"/>
      <c r="AC290" s="107"/>
      <c r="AD290" s="9"/>
      <c r="AE290" s="107"/>
      <c r="AF290" s="107"/>
      <c r="AG290" s="107"/>
      <c r="AH290" s="107"/>
      <c r="AI290" s="107"/>
      <c r="AJ290" s="107"/>
      <c r="AK290" s="107"/>
      <c r="AL290" s="107"/>
      <c r="AM290" s="107"/>
      <c r="AN290" s="107"/>
      <c r="AO290" s="107"/>
      <c r="AP290" s="107"/>
      <c r="AQ290" s="107"/>
      <c r="AR290" s="107"/>
      <c r="AS290" s="107"/>
      <c r="AT290" s="9"/>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9"/>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9"/>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c r="FB290" s="107"/>
      <c r="FC290" s="107"/>
      <c r="FD290" s="107"/>
      <c r="FE290" s="107"/>
      <c r="FF290" s="107"/>
      <c r="FG290" s="107"/>
      <c r="FH290" s="107"/>
      <c r="FI290" s="107"/>
      <c r="FJ290" s="107"/>
      <c r="FK290" s="107"/>
      <c r="FL290" s="107"/>
      <c r="FM290" s="107"/>
      <c r="FN290" s="107"/>
      <c r="FO290" s="107"/>
      <c r="FP290" s="107"/>
      <c r="FQ290" s="107"/>
      <c r="FR290" s="107"/>
      <c r="FS290" s="107"/>
      <c r="FT290" s="107"/>
      <c r="FU290" s="107"/>
      <c r="FV290" s="107"/>
      <c r="FW290" s="107"/>
      <c r="FX290" s="107"/>
      <c r="FY290" s="107"/>
    </row>
    <row r="291" spans="1:183" s="268" customFormat="1" x14ac:dyDescent="0.25">
      <c r="A291" s="107"/>
      <c r="B291" s="9"/>
      <c r="C291" s="9"/>
      <c r="D291" s="9"/>
      <c r="E291" s="9"/>
      <c r="F291" s="107"/>
      <c r="G291" s="107"/>
      <c r="H291" s="9"/>
      <c r="I291" s="107"/>
      <c r="J291" s="107"/>
      <c r="K291" s="107"/>
      <c r="L291" s="107"/>
      <c r="M291" s="107"/>
      <c r="N291" s="107"/>
      <c r="O291" s="107"/>
      <c r="P291" s="107"/>
      <c r="Q291" s="107"/>
      <c r="R291" s="107"/>
      <c r="S291" s="107"/>
      <c r="T291" s="107"/>
      <c r="U291" s="107"/>
      <c r="V291" s="9"/>
      <c r="W291" s="107"/>
      <c r="X291" s="107"/>
      <c r="Y291" s="9"/>
      <c r="Z291" s="107"/>
      <c r="AA291" s="107"/>
      <c r="AB291" s="107"/>
      <c r="AC291" s="107"/>
      <c r="AD291" s="9"/>
      <c r="AE291" s="107"/>
      <c r="AF291" s="107"/>
      <c r="AG291" s="107"/>
      <c r="AH291" s="107"/>
      <c r="AI291" s="107"/>
      <c r="AJ291" s="107"/>
      <c r="AK291" s="107"/>
      <c r="AL291" s="107"/>
      <c r="AM291" s="107"/>
      <c r="AN291" s="107"/>
      <c r="AO291" s="107"/>
      <c r="AP291" s="107"/>
      <c r="AQ291" s="107"/>
      <c r="AR291" s="107"/>
      <c r="AS291" s="107"/>
      <c r="AT291" s="9"/>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9"/>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9"/>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c r="FB291" s="107"/>
      <c r="FC291" s="107"/>
      <c r="FD291" s="107"/>
      <c r="FE291" s="107"/>
      <c r="FF291" s="107"/>
      <c r="FG291" s="107"/>
      <c r="FH291" s="107"/>
      <c r="FI291" s="107"/>
      <c r="FJ291" s="107"/>
      <c r="FK291" s="107"/>
      <c r="FL291" s="107"/>
      <c r="FM291" s="107"/>
      <c r="FN291" s="107"/>
      <c r="FO291" s="107"/>
      <c r="FP291" s="107"/>
      <c r="FQ291" s="107"/>
      <c r="FR291" s="107"/>
      <c r="FS291" s="107"/>
      <c r="FT291" s="107"/>
      <c r="FU291" s="107"/>
      <c r="FV291" s="107"/>
      <c r="FW291" s="107"/>
      <c r="FX291" s="107"/>
      <c r="FY291" s="107"/>
    </row>
    <row r="292" spans="1:183" s="268" customFormat="1" x14ac:dyDescent="0.25">
      <c r="A292" s="107"/>
      <c r="B292" s="9"/>
      <c r="C292" s="9"/>
      <c r="D292" s="9"/>
      <c r="E292" s="9"/>
      <c r="F292" s="107"/>
      <c r="G292" s="107"/>
      <c r="H292" s="9"/>
      <c r="I292" s="107"/>
      <c r="J292" s="107"/>
      <c r="K292" s="107"/>
      <c r="L292" s="107"/>
      <c r="M292" s="107"/>
      <c r="N292" s="107"/>
      <c r="O292" s="107"/>
      <c r="P292" s="107"/>
      <c r="Q292" s="107"/>
      <c r="R292" s="107"/>
      <c r="S292" s="107"/>
      <c r="T292" s="107"/>
      <c r="U292" s="107"/>
      <c r="V292" s="9"/>
      <c r="W292" s="107"/>
      <c r="X292" s="107"/>
      <c r="Y292" s="9"/>
      <c r="Z292" s="107"/>
      <c r="AA292" s="107"/>
      <c r="AB292" s="107"/>
      <c r="AC292" s="107"/>
      <c r="AD292" s="9"/>
      <c r="AE292" s="107"/>
      <c r="AF292" s="107"/>
      <c r="AG292" s="107"/>
      <c r="AH292" s="107"/>
      <c r="AI292" s="107"/>
      <c r="AJ292" s="107"/>
      <c r="AK292" s="107"/>
      <c r="AL292" s="107"/>
      <c r="AM292" s="107"/>
      <c r="AN292" s="107"/>
      <c r="AO292" s="107"/>
      <c r="AP292" s="107"/>
      <c r="AQ292" s="107"/>
      <c r="AR292" s="107"/>
      <c r="AS292" s="107"/>
      <c r="AT292" s="9"/>
      <c r="AU292" s="107"/>
      <c r="AV292" s="107"/>
      <c r="AW292" s="107"/>
      <c r="AX292" s="107"/>
      <c r="AY292" s="107"/>
      <c r="AZ292" s="107"/>
      <c r="BA292" s="107"/>
      <c r="BB292" s="107"/>
      <c r="BC292" s="107"/>
      <c r="BD292" s="107"/>
      <c r="BE292" s="107"/>
      <c r="BF292" s="107"/>
      <c r="BG292" s="107"/>
      <c r="BH292" s="107"/>
      <c r="BI292" s="107"/>
      <c r="BJ292" s="107"/>
      <c r="BK292" s="107"/>
      <c r="BL292" s="107"/>
      <c r="BM292" s="107"/>
      <c r="BN292" s="107"/>
      <c r="BO292" s="107"/>
      <c r="BP292" s="9"/>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9"/>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c r="FB292" s="107"/>
      <c r="FC292" s="107"/>
      <c r="FD292" s="107"/>
      <c r="FE292" s="107"/>
      <c r="FF292" s="107"/>
      <c r="FG292" s="107"/>
      <c r="FH292" s="107"/>
      <c r="FI292" s="107"/>
      <c r="FJ292" s="107"/>
      <c r="FK292" s="107"/>
      <c r="FL292" s="107"/>
      <c r="FM292" s="107"/>
      <c r="FN292" s="107"/>
      <c r="FO292" s="107"/>
      <c r="FP292" s="107"/>
      <c r="FQ292" s="107"/>
      <c r="FR292" s="107"/>
      <c r="FS292" s="107"/>
      <c r="FT292" s="107"/>
      <c r="FU292" s="107"/>
      <c r="FV292" s="107"/>
      <c r="FW292" s="107"/>
      <c r="FX292" s="107"/>
      <c r="FY292" s="107"/>
    </row>
    <row r="293" spans="1:183" s="268" customFormat="1" x14ac:dyDescent="0.25">
      <c r="A293" s="107"/>
      <c r="B293" s="9"/>
      <c r="C293" s="9"/>
      <c r="D293" s="9"/>
      <c r="E293" s="9"/>
      <c r="F293" s="107"/>
      <c r="G293" s="107"/>
      <c r="H293" s="9"/>
      <c r="I293" s="107"/>
      <c r="J293" s="107"/>
      <c r="K293" s="107"/>
      <c r="L293" s="107"/>
      <c r="M293" s="107"/>
      <c r="N293" s="107"/>
      <c r="O293" s="107"/>
      <c r="P293" s="107"/>
      <c r="Q293" s="107"/>
      <c r="R293" s="107"/>
      <c r="S293" s="107"/>
      <c r="T293" s="107"/>
      <c r="U293" s="107"/>
      <c r="V293" s="9"/>
      <c r="W293" s="107"/>
      <c r="X293" s="107"/>
      <c r="Y293" s="9"/>
      <c r="Z293" s="107"/>
      <c r="AA293" s="107"/>
      <c r="AB293" s="107"/>
      <c r="AC293" s="107"/>
      <c r="AD293" s="9"/>
      <c r="AE293" s="107"/>
      <c r="AF293" s="107"/>
      <c r="AG293" s="107"/>
      <c r="AH293" s="107"/>
      <c r="AI293" s="107"/>
      <c r="AJ293" s="107"/>
      <c r="AK293" s="107"/>
      <c r="AL293" s="107"/>
      <c r="AM293" s="107"/>
      <c r="AN293" s="107"/>
      <c r="AO293" s="107"/>
      <c r="AP293" s="107"/>
      <c r="AQ293" s="107"/>
      <c r="AR293" s="107"/>
      <c r="AS293" s="107"/>
      <c r="AT293" s="9"/>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9"/>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9"/>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c r="FB293" s="107"/>
      <c r="FC293" s="107"/>
      <c r="FD293" s="107"/>
      <c r="FE293" s="107"/>
      <c r="FF293" s="107"/>
      <c r="FG293" s="107"/>
      <c r="FH293" s="107"/>
      <c r="FI293" s="107"/>
      <c r="FJ293" s="107"/>
      <c r="FK293" s="107"/>
      <c r="FL293" s="107"/>
      <c r="FM293" s="107"/>
      <c r="FN293" s="107"/>
      <c r="FO293" s="107"/>
      <c r="FP293" s="107"/>
      <c r="FQ293" s="107"/>
      <c r="FR293" s="107"/>
      <c r="FS293" s="107"/>
      <c r="FT293" s="107"/>
      <c r="FU293" s="107"/>
      <c r="FV293" s="107"/>
      <c r="FW293" s="107"/>
      <c r="FX293" s="107"/>
      <c r="FY293" s="107"/>
    </row>
    <row r="294" spans="1:183" s="268" customFormat="1" x14ac:dyDescent="0.25">
      <c r="A294" s="107"/>
      <c r="B294" s="9"/>
      <c r="C294" s="9"/>
      <c r="D294" s="9"/>
      <c r="E294" s="9"/>
      <c r="F294" s="107"/>
      <c r="G294" s="107"/>
      <c r="H294" s="9"/>
      <c r="I294" s="107"/>
      <c r="J294" s="107"/>
      <c r="K294" s="107"/>
      <c r="L294" s="107"/>
      <c r="M294" s="107"/>
      <c r="N294" s="107"/>
      <c r="O294" s="107"/>
      <c r="P294" s="107"/>
      <c r="Q294" s="107"/>
      <c r="R294" s="107"/>
      <c r="S294" s="107"/>
      <c r="T294" s="107"/>
      <c r="U294" s="107"/>
      <c r="V294" s="9"/>
      <c r="W294" s="107"/>
      <c r="X294" s="107"/>
      <c r="Y294" s="9"/>
      <c r="Z294" s="107"/>
      <c r="AA294" s="107"/>
      <c r="AB294" s="107"/>
      <c r="AC294" s="107"/>
      <c r="AD294" s="9"/>
      <c r="AE294" s="107"/>
      <c r="AF294" s="107"/>
      <c r="AG294" s="107"/>
      <c r="AH294" s="107"/>
      <c r="AI294" s="107"/>
      <c r="AJ294" s="107"/>
      <c r="AK294" s="107"/>
      <c r="AL294" s="107"/>
      <c r="AM294" s="107"/>
      <c r="AN294" s="107"/>
      <c r="AO294" s="107"/>
      <c r="AP294" s="107"/>
      <c r="AQ294" s="107"/>
      <c r="AR294" s="107"/>
      <c r="AS294" s="107"/>
      <c r="AT294" s="9"/>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9"/>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9"/>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c r="FB294" s="107"/>
      <c r="FC294" s="107"/>
      <c r="FD294" s="107"/>
      <c r="FE294" s="107"/>
      <c r="FF294" s="107"/>
      <c r="FG294" s="107"/>
      <c r="FH294" s="107"/>
      <c r="FI294" s="107"/>
      <c r="FJ294" s="107"/>
      <c r="FK294" s="107"/>
      <c r="FL294" s="107"/>
      <c r="FM294" s="107"/>
      <c r="FN294" s="107"/>
      <c r="FO294" s="107"/>
      <c r="FP294" s="107"/>
      <c r="FQ294" s="107"/>
      <c r="FR294" s="107"/>
      <c r="FS294" s="107"/>
      <c r="FT294" s="107"/>
      <c r="FU294" s="107"/>
      <c r="FV294" s="107"/>
      <c r="FW294" s="107"/>
      <c r="FX294" s="107"/>
      <c r="FY294" s="107"/>
    </row>
    <row r="295" spans="1:183" s="268" customFormat="1" x14ac:dyDescent="0.25">
      <c r="A295" s="107"/>
      <c r="B295" s="9"/>
      <c r="C295" s="9"/>
      <c r="D295" s="9"/>
      <c r="E295" s="9"/>
      <c r="F295" s="107"/>
      <c r="G295" s="107"/>
      <c r="H295" s="9"/>
      <c r="I295" s="107"/>
      <c r="J295" s="107"/>
      <c r="K295" s="107"/>
      <c r="L295" s="107"/>
      <c r="M295" s="107"/>
      <c r="N295" s="107"/>
      <c r="O295" s="107"/>
      <c r="P295" s="107"/>
      <c r="Q295" s="107"/>
      <c r="R295" s="107"/>
      <c r="S295" s="107"/>
      <c r="T295" s="107"/>
      <c r="U295" s="107"/>
      <c r="V295" s="9"/>
      <c r="W295" s="107"/>
      <c r="X295" s="107"/>
      <c r="Y295" s="9"/>
      <c r="Z295" s="107"/>
      <c r="AA295" s="107"/>
      <c r="AB295" s="107"/>
      <c r="AC295" s="107"/>
      <c r="AD295" s="9"/>
      <c r="AE295" s="107"/>
      <c r="AF295" s="107"/>
      <c r="AG295" s="107"/>
      <c r="AH295" s="107"/>
      <c r="AI295" s="107"/>
      <c r="AJ295" s="107"/>
      <c r="AK295" s="107"/>
      <c r="AL295" s="107"/>
      <c r="AM295" s="107"/>
      <c r="AN295" s="107"/>
      <c r="AO295" s="107"/>
      <c r="AP295" s="107"/>
      <c r="AQ295" s="107"/>
      <c r="AR295" s="107"/>
      <c r="AS295" s="107"/>
      <c r="AT295" s="9"/>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9"/>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9"/>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c r="FB295" s="107"/>
      <c r="FC295" s="107"/>
      <c r="FD295" s="107"/>
      <c r="FE295" s="107"/>
      <c r="FF295" s="107"/>
      <c r="FG295" s="107"/>
      <c r="FH295" s="107"/>
      <c r="FI295" s="107"/>
      <c r="FJ295" s="107"/>
      <c r="FK295" s="107"/>
      <c r="FL295" s="107"/>
      <c r="FM295" s="107"/>
      <c r="FN295" s="107"/>
      <c r="FO295" s="107"/>
      <c r="FP295" s="107"/>
      <c r="FQ295" s="107"/>
      <c r="FR295" s="107"/>
      <c r="FS295" s="107"/>
      <c r="FT295" s="107"/>
      <c r="FU295" s="107"/>
      <c r="FV295" s="107"/>
      <c r="FW295" s="107"/>
      <c r="FX295" s="107"/>
      <c r="FY295" s="107"/>
    </row>
    <row r="296" spans="1:183" s="268" customFormat="1" x14ac:dyDescent="0.25">
      <c r="A296" s="107"/>
      <c r="B296" s="9"/>
      <c r="C296" s="9"/>
      <c r="D296" s="9"/>
      <c r="E296" s="9"/>
      <c r="F296" s="107"/>
      <c r="G296" s="107"/>
      <c r="H296" s="9"/>
      <c r="I296" s="107"/>
      <c r="J296" s="107"/>
      <c r="K296" s="107"/>
      <c r="L296" s="107"/>
      <c r="M296" s="107"/>
      <c r="N296" s="107"/>
      <c r="O296" s="107"/>
      <c r="P296" s="107"/>
      <c r="Q296" s="107"/>
      <c r="R296" s="107"/>
      <c r="S296" s="107"/>
      <c r="T296" s="107"/>
      <c r="U296" s="107"/>
      <c r="V296" s="9"/>
      <c r="W296" s="107"/>
      <c r="X296" s="107"/>
      <c r="Y296" s="9"/>
      <c r="Z296" s="107"/>
      <c r="AA296" s="107"/>
      <c r="AB296" s="107"/>
      <c r="AC296" s="107"/>
      <c r="AD296" s="9"/>
      <c r="AE296" s="107"/>
      <c r="AF296" s="107"/>
      <c r="AG296" s="107"/>
      <c r="AH296" s="107"/>
      <c r="AI296" s="107"/>
      <c r="AJ296" s="107"/>
      <c r="AK296" s="107"/>
      <c r="AL296" s="107"/>
      <c r="AM296" s="107"/>
      <c r="AN296" s="107"/>
      <c r="AO296" s="107"/>
      <c r="AP296" s="107"/>
      <c r="AQ296" s="107"/>
      <c r="AR296" s="107"/>
      <c r="AS296" s="107"/>
      <c r="AT296" s="9"/>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9"/>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9"/>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c r="FB296" s="107"/>
      <c r="FC296" s="107"/>
      <c r="FD296" s="107"/>
      <c r="FE296" s="107"/>
      <c r="FF296" s="107"/>
      <c r="FG296" s="107"/>
      <c r="FH296" s="107"/>
      <c r="FI296" s="107"/>
      <c r="FJ296" s="107"/>
      <c r="FK296" s="107"/>
      <c r="FL296" s="107"/>
      <c r="FM296" s="107"/>
      <c r="FN296" s="107"/>
      <c r="FO296" s="107"/>
      <c r="FP296" s="107"/>
      <c r="FQ296" s="107"/>
      <c r="FR296" s="107"/>
      <c r="FS296" s="107"/>
      <c r="FT296" s="107"/>
      <c r="FU296" s="107"/>
      <c r="FV296" s="107"/>
      <c r="FW296" s="107"/>
      <c r="FX296" s="107"/>
      <c r="FY296" s="107"/>
    </row>
    <row r="297" spans="1:183" s="268" customFormat="1" x14ac:dyDescent="0.25">
      <c r="A297" s="107"/>
      <c r="B297" s="9"/>
      <c r="C297" s="9"/>
      <c r="D297" s="9"/>
      <c r="E297" s="9"/>
      <c r="F297" s="107"/>
      <c r="G297" s="107"/>
      <c r="H297" s="9"/>
      <c r="I297" s="107"/>
      <c r="J297" s="107"/>
      <c r="K297" s="107"/>
      <c r="L297" s="107"/>
      <c r="M297" s="107"/>
      <c r="N297" s="107"/>
      <c r="O297" s="107"/>
      <c r="P297" s="107"/>
      <c r="Q297" s="107"/>
      <c r="R297" s="107"/>
      <c r="S297" s="107"/>
      <c r="T297" s="107"/>
      <c r="U297" s="107"/>
      <c r="V297" s="9"/>
      <c r="W297" s="107"/>
      <c r="X297" s="107"/>
      <c r="Y297" s="9"/>
      <c r="Z297" s="107"/>
      <c r="AA297" s="107"/>
      <c r="AB297" s="107"/>
      <c r="AC297" s="107"/>
      <c r="AD297" s="9"/>
      <c r="AE297" s="107"/>
      <c r="AF297" s="107"/>
      <c r="AG297" s="107"/>
      <c r="AH297" s="107"/>
      <c r="AI297" s="107"/>
      <c r="AJ297" s="107"/>
      <c r="AK297" s="107"/>
      <c r="AL297" s="107"/>
      <c r="AM297" s="107"/>
      <c r="AN297" s="107"/>
      <c r="AO297" s="107"/>
      <c r="AP297" s="107"/>
      <c r="AQ297" s="107"/>
      <c r="AR297" s="107"/>
      <c r="AS297" s="107"/>
      <c r="AT297" s="9"/>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9"/>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9"/>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c r="FB297" s="107"/>
      <c r="FC297" s="107"/>
      <c r="FD297" s="107"/>
      <c r="FE297" s="107"/>
      <c r="FF297" s="107"/>
      <c r="FG297" s="107"/>
      <c r="FH297" s="107"/>
      <c r="FI297" s="107"/>
      <c r="FJ297" s="107"/>
      <c r="FK297" s="107"/>
      <c r="FL297" s="107"/>
      <c r="FM297" s="107"/>
      <c r="FN297" s="107"/>
      <c r="FO297" s="107"/>
      <c r="FP297" s="107"/>
      <c r="FQ297" s="107"/>
      <c r="FR297" s="107"/>
      <c r="FS297" s="107"/>
      <c r="FT297" s="107"/>
      <c r="FU297" s="107"/>
      <c r="FV297" s="107"/>
      <c r="FW297" s="107"/>
      <c r="FX297" s="107"/>
      <c r="FY297" s="107"/>
    </row>
    <row r="298" spans="1:183" s="268" customFormat="1" x14ac:dyDescent="0.25">
      <c r="A298" s="107"/>
      <c r="B298" s="9"/>
      <c r="C298" s="9"/>
      <c r="D298" s="9"/>
      <c r="E298" s="9"/>
      <c r="F298" s="107"/>
      <c r="G298" s="107"/>
      <c r="H298" s="9"/>
      <c r="I298" s="107"/>
      <c r="J298" s="107"/>
      <c r="K298" s="107"/>
      <c r="L298" s="107"/>
      <c r="M298" s="107"/>
      <c r="N298" s="107"/>
      <c r="O298" s="107"/>
      <c r="P298" s="107"/>
      <c r="Q298" s="107"/>
      <c r="R298" s="107"/>
      <c r="S298" s="107"/>
      <c r="T298" s="107"/>
      <c r="U298" s="107"/>
      <c r="V298" s="9"/>
      <c r="W298" s="107"/>
      <c r="X298" s="107"/>
      <c r="Y298" s="9"/>
      <c r="Z298" s="107"/>
      <c r="AA298" s="107"/>
      <c r="AB298" s="107"/>
      <c r="AC298" s="107"/>
      <c r="AD298" s="9"/>
      <c r="AE298" s="107"/>
      <c r="AF298" s="107"/>
      <c r="AG298" s="107"/>
      <c r="AH298" s="107"/>
      <c r="AI298" s="107"/>
      <c r="AJ298" s="107"/>
      <c r="AK298" s="107"/>
      <c r="AL298" s="107"/>
      <c r="AM298" s="107"/>
      <c r="AN298" s="107"/>
      <c r="AO298" s="107"/>
      <c r="AP298" s="107"/>
      <c r="AQ298" s="107"/>
      <c r="AR298" s="107"/>
      <c r="AS298" s="107"/>
      <c r="AT298" s="9"/>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9"/>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9"/>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c r="FB298" s="107"/>
      <c r="FC298" s="107"/>
      <c r="FD298" s="107"/>
      <c r="FE298" s="107"/>
      <c r="FF298" s="107"/>
      <c r="FG298" s="107"/>
      <c r="FH298" s="107"/>
      <c r="FI298" s="107"/>
      <c r="FJ298" s="107"/>
      <c r="FK298" s="107"/>
      <c r="FL298" s="107"/>
      <c r="FM298" s="107"/>
      <c r="FN298" s="107"/>
      <c r="FO298" s="107"/>
      <c r="FP298" s="107"/>
      <c r="FQ298" s="107"/>
      <c r="FR298" s="107"/>
      <c r="FS298" s="107"/>
      <c r="FT298" s="107"/>
      <c r="FU298" s="107"/>
      <c r="FV298" s="107"/>
      <c r="FW298" s="107"/>
      <c r="FX298" s="107"/>
      <c r="FY298" s="107"/>
    </row>
    <row r="299" spans="1:183" s="268" customFormat="1" x14ac:dyDescent="0.25">
      <c r="A299" s="107"/>
      <c r="B299" s="9"/>
      <c r="C299" s="9"/>
      <c r="D299" s="9"/>
      <c r="E299" s="9"/>
      <c r="F299" s="107"/>
      <c r="G299" s="107"/>
      <c r="H299" s="9"/>
      <c r="I299" s="107"/>
      <c r="J299" s="107"/>
      <c r="K299" s="107"/>
      <c r="L299" s="107"/>
      <c r="M299" s="107"/>
      <c r="N299" s="107"/>
      <c r="O299" s="107"/>
      <c r="P299" s="107"/>
      <c r="Q299" s="107"/>
      <c r="R299" s="107"/>
      <c r="S299" s="107"/>
      <c r="T299" s="107"/>
      <c r="U299" s="107"/>
      <c r="V299" s="9"/>
      <c r="W299" s="107"/>
      <c r="X299" s="107"/>
      <c r="Y299" s="9"/>
      <c r="Z299" s="107"/>
      <c r="AA299" s="107"/>
      <c r="AB299" s="107"/>
      <c r="AC299" s="107"/>
      <c r="AD299" s="9"/>
      <c r="AE299" s="107"/>
      <c r="AF299" s="107"/>
      <c r="AG299" s="107"/>
      <c r="AH299" s="107"/>
      <c r="AI299" s="107"/>
      <c r="AJ299" s="107"/>
      <c r="AK299" s="107"/>
      <c r="AL299" s="107"/>
      <c r="AM299" s="107"/>
      <c r="AN299" s="107"/>
      <c r="AO299" s="107"/>
      <c r="AP299" s="107"/>
      <c r="AQ299" s="107"/>
      <c r="AR299" s="107"/>
      <c r="AS299" s="107"/>
      <c r="AT299" s="9"/>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9"/>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9"/>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c r="FB299" s="107"/>
      <c r="FC299" s="107"/>
      <c r="FD299" s="107"/>
      <c r="FE299" s="107"/>
      <c r="FF299" s="107"/>
      <c r="FG299" s="107"/>
      <c r="FH299" s="107"/>
      <c r="FI299" s="107"/>
      <c r="FJ299" s="107"/>
      <c r="FK299" s="107"/>
      <c r="FL299" s="107"/>
      <c r="FM299" s="107"/>
      <c r="FN299" s="107"/>
      <c r="FO299" s="107"/>
      <c r="FP299" s="107"/>
      <c r="FQ299" s="107"/>
      <c r="FR299" s="107"/>
      <c r="FS299" s="107"/>
      <c r="FT299" s="107"/>
      <c r="FU299" s="107"/>
      <c r="FV299" s="107"/>
      <c r="FW299" s="107"/>
      <c r="FX299" s="107"/>
      <c r="FY299" s="107"/>
    </row>
    <row r="300" spans="1:183" s="268" customFormat="1" x14ac:dyDescent="0.25">
      <c r="A300" s="107"/>
      <c r="B300" s="9"/>
      <c r="C300" s="9"/>
      <c r="D300" s="9"/>
      <c r="E300" s="9"/>
      <c r="F300" s="107"/>
      <c r="G300" s="107"/>
      <c r="H300" s="9"/>
      <c r="I300" s="107"/>
      <c r="J300" s="107"/>
      <c r="K300" s="107"/>
      <c r="L300" s="107"/>
      <c r="M300" s="107"/>
      <c r="N300" s="107"/>
      <c r="O300" s="107"/>
      <c r="P300" s="107"/>
      <c r="Q300" s="107"/>
      <c r="R300" s="107"/>
      <c r="S300" s="107"/>
      <c r="T300" s="107"/>
      <c r="U300" s="107"/>
      <c r="V300" s="9"/>
      <c r="W300" s="107"/>
      <c r="X300" s="107"/>
      <c r="Y300" s="9"/>
      <c r="Z300" s="107"/>
      <c r="AA300" s="107"/>
      <c r="AB300" s="107"/>
      <c r="AC300" s="107"/>
      <c r="AD300" s="9"/>
      <c r="AE300" s="107"/>
      <c r="AF300" s="107"/>
      <c r="AG300" s="107"/>
      <c r="AH300" s="107"/>
      <c r="AI300" s="107"/>
      <c r="AJ300" s="107"/>
      <c r="AK300" s="107"/>
      <c r="AL300" s="107"/>
      <c r="AM300" s="107"/>
      <c r="AN300" s="107"/>
      <c r="AO300" s="107"/>
      <c r="AP300" s="107"/>
      <c r="AQ300" s="107"/>
      <c r="AR300" s="107"/>
      <c r="AS300" s="107"/>
      <c r="AT300" s="9"/>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9"/>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9"/>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c r="FB300" s="107"/>
      <c r="FC300" s="107"/>
      <c r="FD300" s="107"/>
      <c r="FE300" s="107"/>
      <c r="FF300" s="107"/>
      <c r="FG300" s="107"/>
      <c r="FH300" s="107"/>
      <c r="FI300" s="107"/>
      <c r="FJ300" s="107"/>
      <c r="FK300" s="107"/>
      <c r="FL300" s="107"/>
      <c r="FM300" s="107"/>
      <c r="FN300" s="107"/>
      <c r="FO300" s="107"/>
      <c r="FP300" s="107"/>
      <c r="FQ300" s="107"/>
      <c r="FR300" s="107"/>
      <c r="FS300" s="107"/>
      <c r="FT300" s="107"/>
      <c r="FU300" s="107"/>
      <c r="FV300" s="107"/>
      <c r="FW300" s="107"/>
      <c r="FX300" s="107"/>
      <c r="FY300" s="107"/>
    </row>
    <row r="301" spans="1:183" s="268" customFormat="1" x14ac:dyDescent="0.25">
      <c r="A301" s="107"/>
      <c r="B301" s="9"/>
      <c r="C301" s="9"/>
      <c r="D301" s="9"/>
      <c r="E301" s="9"/>
      <c r="F301" s="107"/>
      <c r="G301" s="107"/>
      <c r="H301" s="9"/>
      <c r="I301" s="107"/>
      <c r="J301" s="107"/>
      <c r="K301" s="107"/>
      <c r="L301" s="107"/>
      <c r="M301" s="107"/>
      <c r="N301" s="107"/>
      <c r="O301" s="107"/>
      <c r="P301" s="107"/>
      <c r="Q301" s="107"/>
      <c r="R301" s="107"/>
      <c r="S301" s="107"/>
      <c r="T301" s="107"/>
      <c r="U301" s="107"/>
      <c r="V301" s="9"/>
      <c r="W301" s="107"/>
      <c r="X301" s="107"/>
      <c r="Y301" s="9"/>
      <c r="Z301" s="107"/>
      <c r="AA301" s="107"/>
      <c r="AB301" s="107"/>
      <c r="AC301" s="107"/>
      <c r="AD301" s="9"/>
      <c r="AE301" s="107"/>
      <c r="AF301" s="107"/>
      <c r="AG301" s="107"/>
      <c r="AH301" s="107"/>
      <c r="AI301" s="107"/>
      <c r="AJ301" s="107"/>
      <c r="AK301" s="107"/>
      <c r="AL301" s="107"/>
      <c r="AM301" s="107"/>
      <c r="AN301" s="107"/>
      <c r="AO301" s="107"/>
      <c r="AP301" s="107"/>
      <c r="AQ301" s="107"/>
      <c r="AR301" s="107"/>
      <c r="AS301" s="107"/>
      <c r="AT301" s="9"/>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9"/>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9"/>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c r="FB301" s="107"/>
      <c r="FC301" s="107"/>
      <c r="FD301" s="107"/>
      <c r="FE301" s="107"/>
      <c r="FF301" s="107"/>
      <c r="FG301" s="107"/>
      <c r="FH301" s="107"/>
      <c r="FI301" s="107"/>
      <c r="FJ301" s="107"/>
      <c r="FK301" s="107"/>
      <c r="FL301" s="107"/>
      <c r="FM301" s="107"/>
      <c r="FN301" s="107"/>
      <c r="FO301" s="107"/>
      <c r="FP301" s="107"/>
      <c r="FQ301" s="107"/>
      <c r="FR301" s="107"/>
      <c r="FS301" s="107"/>
      <c r="FT301" s="107"/>
      <c r="FU301" s="107"/>
      <c r="FV301" s="107"/>
      <c r="FW301" s="107"/>
      <c r="FX301" s="107"/>
      <c r="FY301" s="107"/>
    </row>
    <row r="302" spans="1:183" s="268" customFormat="1" x14ac:dyDescent="0.25">
      <c r="A302" s="107"/>
      <c r="B302" s="7"/>
      <c r="C302" s="7"/>
      <c r="D302" s="7"/>
      <c r="E302" s="7"/>
      <c r="F302" s="10"/>
      <c r="G302" s="107"/>
      <c r="H302" s="7"/>
      <c r="I302" s="10"/>
      <c r="J302" s="10"/>
      <c r="K302" s="10"/>
      <c r="L302" s="10"/>
      <c r="M302" s="10"/>
      <c r="N302" s="10"/>
      <c r="O302" s="10"/>
      <c r="P302" s="8"/>
      <c r="Q302" s="8"/>
      <c r="R302" s="7"/>
      <c r="S302" s="7"/>
      <c r="T302" s="7"/>
      <c r="U302" s="107"/>
      <c r="V302" s="7"/>
      <c r="W302" s="10"/>
      <c r="X302" s="107"/>
      <c r="Y302" s="7"/>
      <c r="Z302" s="10"/>
      <c r="AA302" s="107"/>
      <c r="AB302" s="10"/>
      <c r="AC302" s="107"/>
      <c r="AD302" s="7"/>
      <c r="AE302" s="10"/>
      <c r="AF302" s="107"/>
      <c r="AG302" s="10"/>
      <c r="AH302" s="107"/>
      <c r="AI302" s="10"/>
      <c r="AJ302" s="107"/>
      <c r="AK302" s="10"/>
      <c r="AL302" s="107"/>
      <c r="AM302" s="10"/>
      <c r="AN302" s="10"/>
      <c r="AO302" s="10"/>
      <c r="AP302" s="8"/>
      <c r="AQ302" s="107"/>
      <c r="AR302" s="10"/>
      <c r="AS302" s="107"/>
      <c r="AT302" s="7"/>
      <c r="AU302" s="10"/>
      <c r="AV302" s="10"/>
      <c r="AW302" s="107"/>
      <c r="AX302" s="10"/>
      <c r="AY302" s="107"/>
      <c r="AZ302" s="10"/>
      <c r="BA302" s="107"/>
      <c r="BB302" s="107"/>
      <c r="BC302" s="107"/>
      <c r="BD302" s="10"/>
      <c r="BE302" s="107"/>
      <c r="BF302" s="10"/>
      <c r="BG302" s="10"/>
      <c r="BH302" s="10"/>
      <c r="BI302" s="107"/>
      <c r="BJ302" s="107"/>
      <c r="BK302" s="10"/>
      <c r="BL302" s="10"/>
      <c r="BM302" s="107"/>
      <c r="BN302" s="10"/>
      <c r="BO302" s="107"/>
      <c r="BP302" s="7"/>
      <c r="BQ302" s="10"/>
      <c r="BR302" s="107"/>
      <c r="BS302" s="10"/>
      <c r="BT302" s="107"/>
      <c r="BU302" s="107"/>
      <c r="BV302" s="107"/>
      <c r="BW302" s="107"/>
      <c r="BX302" s="107"/>
      <c r="BY302" s="10"/>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
      <c r="DL302" s="10"/>
      <c r="DM302" s="10"/>
      <c r="DN302" s="10"/>
      <c r="DO302" s="10"/>
      <c r="DP302" s="10"/>
      <c r="DQ302" s="10"/>
      <c r="DR302" s="10"/>
      <c r="DS302" s="10"/>
      <c r="DT302" s="10"/>
      <c r="DU302" s="10"/>
      <c r="DV302" s="10"/>
      <c r="DW302" s="10"/>
      <c r="DX302" s="10"/>
      <c r="DY302" s="10"/>
      <c r="DZ302" s="10"/>
      <c r="EA302" s="10"/>
      <c r="EB302" s="10"/>
      <c r="EC302" s="107"/>
      <c r="ED302" s="107"/>
      <c r="EE302" s="10"/>
      <c r="EF302" s="107"/>
      <c r="EG302" s="7"/>
      <c r="EH302" s="10"/>
      <c r="EI302" s="107"/>
      <c r="EJ302" s="107"/>
      <c r="EK302" s="107"/>
      <c r="EL302" s="107"/>
      <c r="EM302" s="107"/>
      <c r="EN302" s="107"/>
      <c r="EO302" s="107"/>
      <c r="EP302" s="107"/>
      <c r="EQ302" s="107"/>
      <c r="ER302" s="107"/>
      <c r="ES302" s="107"/>
      <c r="ET302" s="107"/>
      <c r="EU302" s="107"/>
      <c r="EV302" s="107"/>
      <c r="EW302" s="107"/>
      <c r="EX302" s="107"/>
      <c r="EY302" s="107"/>
      <c r="EZ302" s="107"/>
      <c r="FA302" s="107"/>
      <c r="FB302" s="107"/>
      <c r="FC302" s="107"/>
      <c r="FD302" s="107"/>
      <c r="FE302" s="107"/>
      <c r="FF302" s="107"/>
      <c r="FG302" s="107"/>
      <c r="FH302" s="107"/>
      <c r="FI302" s="107"/>
      <c r="FJ302" s="107"/>
      <c r="FK302" s="107"/>
      <c r="FL302" s="107"/>
      <c r="FM302" s="107"/>
      <c r="FN302" s="107"/>
      <c r="FO302" s="10"/>
      <c r="FP302" s="10"/>
      <c r="FQ302" s="10"/>
      <c r="FR302" s="10"/>
      <c r="FS302" s="10"/>
      <c r="FT302" s="10"/>
      <c r="FU302" s="10"/>
      <c r="FV302" s="10"/>
      <c r="FW302" s="10"/>
      <c r="FX302" s="10"/>
      <c r="FY302" s="8"/>
      <c r="FZ302" s="266"/>
      <c r="GA302" s="266"/>
    </row>
    <row r="303" spans="1:183" s="268" customFormat="1" x14ac:dyDescent="0.25">
      <c r="A303" s="107"/>
      <c r="B303" s="7"/>
      <c r="C303" s="7"/>
      <c r="D303" s="7"/>
      <c r="E303" s="7"/>
      <c r="F303" s="10"/>
      <c r="G303" s="107"/>
      <c r="H303" s="7"/>
      <c r="I303" s="10"/>
      <c r="J303" s="10"/>
      <c r="K303" s="10"/>
      <c r="L303" s="10"/>
      <c r="M303" s="10"/>
      <c r="N303" s="10"/>
      <c r="O303" s="10"/>
      <c r="P303" s="8"/>
      <c r="Q303" s="8"/>
      <c r="R303" s="7"/>
      <c r="S303" s="7"/>
      <c r="T303" s="7"/>
      <c r="U303" s="107"/>
      <c r="V303" s="7"/>
      <c r="W303" s="10"/>
      <c r="X303" s="107"/>
      <c r="Y303" s="7"/>
      <c r="Z303" s="10"/>
      <c r="AA303" s="107"/>
      <c r="AB303" s="10"/>
      <c r="AC303" s="107"/>
      <c r="AD303" s="7"/>
      <c r="AE303" s="10"/>
      <c r="AF303" s="107"/>
      <c r="AG303" s="10"/>
      <c r="AH303" s="107"/>
      <c r="AI303" s="10"/>
      <c r="AJ303" s="107"/>
      <c r="AK303" s="10"/>
      <c r="AL303" s="107"/>
      <c r="AM303" s="10"/>
      <c r="AN303" s="10"/>
      <c r="AO303" s="10"/>
      <c r="AP303" s="8"/>
      <c r="AQ303" s="107"/>
      <c r="AR303" s="10"/>
      <c r="AS303" s="107"/>
      <c r="AT303" s="7"/>
      <c r="AU303" s="10"/>
      <c r="AV303" s="10"/>
      <c r="AW303" s="107"/>
      <c r="AX303" s="10"/>
      <c r="AY303" s="107"/>
      <c r="AZ303" s="10"/>
      <c r="BA303" s="107"/>
      <c r="BB303" s="107"/>
      <c r="BC303" s="107"/>
      <c r="BD303" s="10"/>
      <c r="BE303" s="107"/>
      <c r="BF303" s="10"/>
      <c r="BG303" s="10"/>
      <c r="BH303" s="10"/>
      <c r="BI303" s="107"/>
      <c r="BJ303" s="107"/>
      <c r="BK303" s="10"/>
      <c r="BL303" s="10"/>
      <c r="BM303" s="107"/>
      <c r="BN303" s="10"/>
      <c r="BO303" s="107"/>
      <c r="BP303" s="7"/>
      <c r="BQ303" s="10"/>
      <c r="BR303" s="107"/>
      <c r="BS303" s="10"/>
      <c r="BT303" s="107"/>
      <c r="BU303" s="107"/>
      <c r="BV303" s="107"/>
      <c r="BW303" s="107"/>
      <c r="BX303" s="107"/>
      <c r="BY303" s="10"/>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
      <c r="DL303" s="10"/>
      <c r="DM303" s="10"/>
      <c r="DN303" s="10"/>
      <c r="DO303" s="10"/>
      <c r="DP303" s="10"/>
      <c r="DQ303" s="10"/>
      <c r="DR303" s="10"/>
      <c r="DS303" s="10"/>
      <c r="DT303" s="10"/>
      <c r="DU303" s="10"/>
      <c r="DV303" s="10"/>
      <c r="DW303" s="10"/>
      <c r="DX303" s="10"/>
      <c r="DY303" s="10"/>
      <c r="DZ303" s="10"/>
      <c r="EA303" s="10"/>
      <c r="EB303" s="10"/>
      <c r="EC303" s="107"/>
      <c r="ED303" s="107"/>
      <c r="EE303" s="10"/>
      <c r="EF303" s="107"/>
      <c r="EG303" s="7"/>
      <c r="EH303" s="10"/>
      <c r="EI303" s="107"/>
      <c r="EJ303" s="107"/>
      <c r="EK303" s="107"/>
      <c r="EL303" s="107"/>
      <c r="EM303" s="107"/>
      <c r="EN303" s="107"/>
      <c r="EO303" s="107"/>
      <c r="EP303" s="107"/>
      <c r="EQ303" s="107"/>
      <c r="ER303" s="107"/>
      <c r="ES303" s="107"/>
      <c r="ET303" s="107"/>
      <c r="EU303" s="107"/>
      <c r="EV303" s="107"/>
      <c r="EW303" s="107"/>
      <c r="EX303" s="107"/>
      <c r="EY303" s="107"/>
      <c r="EZ303" s="107"/>
      <c r="FA303" s="107"/>
      <c r="FB303" s="107"/>
      <c r="FC303" s="107"/>
      <c r="FD303" s="107"/>
      <c r="FE303" s="107"/>
      <c r="FF303" s="107"/>
      <c r="FG303" s="107"/>
      <c r="FH303" s="107"/>
      <c r="FI303" s="107"/>
      <c r="FJ303" s="107"/>
      <c r="FK303" s="107"/>
      <c r="FL303" s="107"/>
      <c r="FM303" s="107"/>
      <c r="FN303" s="107"/>
      <c r="FO303" s="10"/>
      <c r="FP303" s="10"/>
      <c r="FQ303" s="10"/>
      <c r="FR303" s="10"/>
      <c r="FS303" s="10"/>
      <c r="FT303" s="10"/>
      <c r="FU303" s="10"/>
      <c r="FV303" s="10"/>
      <c r="FW303" s="10"/>
      <c r="FX303" s="10"/>
      <c r="FY303" s="8"/>
      <c r="FZ303" s="266"/>
      <c r="GA303" s="266"/>
    </row>
    <row r="304" spans="1:183" s="268" customFormat="1" x14ac:dyDescent="0.25">
      <c r="A304" s="107"/>
      <c r="B304" s="7"/>
      <c r="C304" s="7"/>
      <c r="D304" s="7"/>
      <c r="E304" s="7"/>
      <c r="F304" s="10"/>
      <c r="G304" s="107"/>
      <c r="H304" s="7"/>
      <c r="I304" s="10"/>
      <c r="J304" s="10"/>
      <c r="K304" s="10"/>
      <c r="L304" s="10"/>
      <c r="M304" s="10"/>
      <c r="N304" s="10"/>
      <c r="O304" s="10"/>
      <c r="P304" s="8"/>
      <c r="Q304" s="8"/>
      <c r="R304" s="7"/>
      <c r="S304" s="7"/>
      <c r="T304" s="7"/>
      <c r="U304" s="107"/>
      <c r="V304" s="7"/>
      <c r="W304" s="10"/>
      <c r="X304" s="107"/>
      <c r="Y304" s="7"/>
      <c r="Z304" s="10"/>
      <c r="AA304" s="107"/>
      <c r="AB304" s="10"/>
      <c r="AC304" s="107"/>
      <c r="AD304" s="7"/>
      <c r="AE304" s="10"/>
      <c r="AF304" s="107"/>
      <c r="AG304" s="10"/>
      <c r="AH304" s="107"/>
      <c r="AI304" s="10"/>
      <c r="AJ304" s="107"/>
      <c r="AK304" s="10"/>
      <c r="AL304" s="107"/>
      <c r="AM304" s="10"/>
      <c r="AN304" s="10"/>
      <c r="AO304" s="10"/>
      <c r="AP304" s="8"/>
      <c r="AQ304" s="107"/>
      <c r="AR304" s="10"/>
      <c r="AS304" s="107"/>
      <c r="AT304" s="7"/>
      <c r="AU304" s="10"/>
      <c r="AV304" s="10"/>
      <c r="AW304" s="107"/>
      <c r="AX304" s="10"/>
      <c r="AY304" s="107"/>
      <c r="AZ304" s="10"/>
      <c r="BA304" s="107"/>
      <c r="BB304" s="107"/>
      <c r="BC304" s="107"/>
      <c r="BD304" s="10"/>
      <c r="BE304" s="107"/>
      <c r="BF304" s="10"/>
      <c r="BG304" s="10"/>
      <c r="BH304" s="10"/>
      <c r="BI304" s="107"/>
      <c r="BJ304" s="107"/>
      <c r="BK304" s="10"/>
      <c r="BL304" s="10"/>
      <c r="BM304" s="107"/>
      <c r="BN304" s="10"/>
      <c r="BO304" s="107"/>
      <c r="BP304" s="7"/>
      <c r="BQ304" s="10"/>
      <c r="BR304" s="107"/>
      <c r="BS304" s="10"/>
      <c r="BT304" s="107"/>
      <c r="BU304" s="107"/>
      <c r="BV304" s="107"/>
      <c r="BW304" s="107"/>
      <c r="BX304" s="107"/>
      <c r="BY304" s="10"/>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
      <c r="DL304" s="10"/>
      <c r="DM304" s="10"/>
      <c r="DN304" s="10"/>
      <c r="DO304" s="10"/>
      <c r="DP304" s="10"/>
      <c r="DQ304" s="10"/>
      <c r="DR304" s="10"/>
      <c r="DS304" s="10"/>
      <c r="DT304" s="10"/>
      <c r="DU304" s="10"/>
      <c r="DV304" s="10"/>
      <c r="DW304" s="10"/>
      <c r="DX304" s="10"/>
      <c r="DY304" s="10"/>
      <c r="DZ304" s="10"/>
      <c r="EA304" s="10"/>
      <c r="EB304" s="10"/>
      <c r="EC304" s="107"/>
      <c r="ED304" s="107"/>
      <c r="EE304" s="10"/>
      <c r="EF304" s="107"/>
      <c r="EG304" s="7"/>
      <c r="EH304" s="10"/>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
      <c r="FP304" s="10"/>
      <c r="FQ304" s="10"/>
      <c r="FR304" s="10"/>
      <c r="FS304" s="10"/>
      <c r="FT304" s="10"/>
      <c r="FU304" s="10"/>
      <c r="FV304" s="10"/>
      <c r="FW304" s="10"/>
      <c r="FX304" s="10"/>
      <c r="FY304" s="8"/>
      <c r="FZ304" s="266"/>
      <c r="GA304" s="266"/>
    </row>
    <row r="305" spans="1:183" s="268" customFormat="1" x14ac:dyDescent="0.25">
      <c r="A305" s="107"/>
      <c r="B305" s="7"/>
      <c r="C305" s="7"/>
      <c r="D305" s="7"/>
      <c r="E305" s="7"/>
      <c r="F305" s="10"/>
      <c r="G305" s="107"/>
      <c r="H305" s="7"/>
      <c r="I305" s="10"/>
      <c r="J305" s="10"/>
      <c r="K305" s="10"/>
      <c r="L305" s="10"/>
      <c r="M305" s="10"/>
      <c r="N305" s="10"/>
      <c r="O305" s="10"/>
      <c r="P305" s="8"/>
      <c r="Q305" s="8"/>
      <c r="R305" s="7"/>
      <c r="S305" s="7"/>
      <c r="T305" s="7"/>
      <c r="U305" s="107"/>
      <c r="V305" s="7"/>
      <c r="W305" s="10"/>
      <c r="X305" s="107"/>
      <c r="Y305" s="7"/>
      <c r="Z305" s="10"/>
      <c r="AA305" s="107"/>
      <c r="AB305" s="10"/>
      <c r="AC305" s="107"/>
      <c r="AD305" s="7"/>
      <c r="AE305" s="10"/>
      <c r="AF305" s="107"/>
      <c r="AG305" s="10"/>
      <c r="AH305" s="107"/>
      <c r="AI305" s="10"/>
      <c r="AJ305" s="107"/>
      <c r="AK305" s="10"/>
      <c r="AL305" s="107"/>
      <c r="AM305" s="10"/>
      <c r="AN305" s="10"/>
      <c r="AO305" s="10"/>
      <c r="AP305" s="8"/>
      <c r="AQ305" s="107"/>
      <c r="AR305" s="10"/>
      <c r="AS305" s="107"/>
      <c r="AT305" s="7"/>
      <c r="AU305" s="10"/>
      <c r="AV305" s="10"/>
      <c r="AW305" s="107"/>
      <c r="AX305" s="10"/>
      <c r="AY305" s="107"/>
      <c r="AZ305" s="10"/>
      <c r="BA305" s="107"/>
      <c r="BB305" s="107"/>
      <c r="BC305" s="107"/>
      <c r="BD305" s="10"/>
      <c r="BE305" s="107"/>
      <c r="BF305" s="10"/>
      <c r="BG305" s="10"/>
      <c r="BH305" s="10"/>
      <c r="BI305" s="107"/>
      <c r="BJ305" s="107"/>
      <c r="BK305" s="10"/>
      <c r="BL305" s="10"/>
      <c r="BM305" s="107"/>
      <c r="BN305" s="10"/>
      <c r="BO305" s="107"/>
      <c r="BP305" s="7"/>
      <c r="BQ305" s="10"/>
      <c r="BR305" s="107"/>
      <c r="BS305" s="10"/>
      <c r="BT305" s="107"/>
      <c r="BU305" s="107"/>
      <c r="BV305" s="107"/>
      <c r="BW305" s="107"/>
      <c r="BX305" s="107"/>
      <c r="BY305" s="10"/>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
      <c r="DL305" s="10"/>
      <c r="DM305" s="10"/>
      <c r="DN305" s="10"/>
      <c r="DO305" s="10"/>
      <c r="DP305" s="10"/>
      <c r="DQ305" s="10"/>
      <c r="DR305" s="10"/>
      <c r="DS305" s="10"/>
      <c r="DT305" s="10"/>
      <c r="DU305" s="10"/>
      <c r="DV305" s="10"/>
      <c r="DW305" s="10"/>
      <c r="DX305" s="10"/>
      <c r="DY305" s="10"/>
      <c r="DZ305" s="10"/>
      <c r="EA305" s="10"/>
      <c r="EB305" s="10"/>
      <c r="EC305" s="107"/>
      <c r="ED305" s="107"/>
      <c r="EE305" s="10"/>
      <c r="EF305" s="107"/>
      <c r="EG305" s="7"/>
      <c r="EH305" s="10"/>
      <c r="EI305" s="107"/>
      <c r="EJ305" s="107"/>
      <c r="EK305" s="107"/>
      <c r="EL305" s="107"/>
      <c r="EM305" s="107"/>
      <c r="EN305" s="107"/>
      <c r="EO305" s="107"/>
      <c r="EP305" s="107"/>
      <c r="EQ305" s="107"/>
      <c r="ER305" s="107"/>
      <c r="ES305" s="107"/>
      <c r="ET305" s="107"/>
      <c r="EU305" s="107"/>
      <c r="EV305" s="107"/>
      <c r="EW305" s="107"/>
      <c r="EX305" s="107"/>
      <c r="EY305" s="107"/>
      <c r="EZ305" s="107"/>
      <c r="FA305" s="107"/>
      <c r="FB305" s="107"/>
      <c r="FC305" s="107"/>
      <c r="FD305" s="107"/>
      <c r="FE305" s="107"/>
      <c r="FF305" s="107"/>
      <c r="FG305" s="107"/>
      <c r="FH305" s="107"/>
      <c r="FI305" s="107"/>
      <c r="FJ305" s="107"/>
      <c r="FK305" s="107"/>
      <c r="FL305" s="107"/>
      <c r="FM305" s="107"/>
      <c r="FN305" s="107"/>
      <c r="FO305" s="10"/>
      <c r="FP305" s="10"/>
      <c r="FQ305" s="10"/>
      <c r="FR305" s="10"/>
      <c r="FS305" s="10"/>
      <c r="FT305" s="10"/>
      <c r="FU305" s="10"/>
      <c r="FV305" s="10"/>
      <c r="FW305" s="10"/>
      <c r="FX305" s="10"/>
      <c r="FY305" s="8"/>
      <c r="FZ305" s="266"/>
      <c r="GA305" s="266"/>
    </row>
    <row r="306" spans="1:183" s="268" customFormat="1" x14ac:dyDescent="0.25">
      <c r="A306" s="107"/>
      <c r="B306" s="7"/>
      <c r="C306" s="7"/>
      <c r="D306" s="7"/>
      <c r="E306" s="7"/>
      <c r="F306" s="10"/>
      <c r="G306" s="107"/>
      <c r="H306" s="7"/>
      <c r="I306" s="10"/>
      <c r="J306" s="10"/>
      <c r="K306" s="10"/>
      <c r="L306" s="10"/>
      <c r="M306" s="10"/>
      <c r="N306" s="10"/>
      <c r="O306" s="10"/>
      <c r="P306" s="8"/>
      <c r="Q306" s="8"/>
      <c r="R306" s="7"/>
      <c r="S306" s="7"/>
      <c r="T306" s="7"/>
      <c r="U306" s="107"/>
      <c r="V306" s="7"/>
      <c r="W306" s="10"/>
      <c r="X306" s="107"/>
      <c r="Y306" s="7"/>
      <c r="Z306" s="10"/>
      <c r="AA306" s="107"/>
      <c r="AB306" s="10"/>
      <c r="AC306" s="107"/>
      <c r="AD306" s="7"/>
      <c r="AE306" s="10"/>
      <c r="AF306" s="107"/>
      <c r="AG306" s="10"/>
      <c r="AH306" s="107"/>
      <c r="AI306" s="10"/>
      <c r="AJ306" s="107"/>
      <c r="AK306" s="10"/>
      <c r="AL306" s="107"/>
      <c r="AM306" s="10"/>
      <c r="AN306" s="10"/>
      <c r="AO306" s="10"/>
      <c r="AP306" s="8"/>
      <c r="AQ306" s="107"/>
      <c r="AR306" s="10"/>
      <c r="AS306" s="107"/>
      <c r="AT306" s="7"/>
      <c r="AU306" s="10"/>
      <c r="AV306" s="10"/>
      <c r="AW306" s="107"/>
      <c r="AX306" s="10"/>
      <c r="AY306" s="107"/>
      <c r="AZ306" s="10"/>
      <c r="BA306" s="107"/>
      <c r="BB306" s="107"/>
      <c r="BC306" s="107"/>
      <c r="BD306" s="10"/>
      <c r="BE306" s="107"/>
      <c r="BF306" s="10"/>
      <c r="BG306" s="10"/>
      <c r="BH306" s="10"/>
      <c r="BI306" s="107"/>
      <c r="BJ306" s="107"/>
      <c r="BK306" s="10"/>
      <c r="BL306" s="10"/>
      <c r="BM306" s="107"/>
      <c r="BN306" s="10"/>
      <c r="BO306" s="107"/>
      <c r="BP306" s="7"/>
      <c r="BQ306" s="10"/>
      <c r="BR306" s="107"/>
      <c r="BS306" s="10"/>
      <c r="BT306" s="107"/>
      <c r="BU306" s="107"/>
      <c r="BV306" s="107"/>
      <c r="BW306" s="107"/>
      <c r="BX306" s="107"/>
      <c r="BY306" s="10"/>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
      <c r="DL306" s="10"/>
      <c r="DM306" s="10"/>
      <c r="DN306" s="10"/>
      <c r="DO306" s="10"/>
      <c r="DP306" s="10"/>
      <c r="DQ306" s="10"/>
      <c r="DR306" s="10"/>
      <c r="DS306" s="10"/>
      <c r="DT306" s="10"/>
      <c r="DU306" s="10"/>
      <c r="DV306" s="10"/>
      <c r="DW306" s="10"/>
      <c r="DX306" s="10"/>
      <c r="DY306" s="10"/>
      <c r="DZ306" s="10"/>
      <c r="EA306" s="10"/>
      <c r="EB306" s="10"/>
      <c r="EC306" s="107"/>
      <c r="ED306" s="107"/>
      <c r="EE306" s="10"/>
      <c r="EF306" s="107"/>
      <c r="EG306" s="7"/>
      <c r="EH306" s="10"/>
      <c r="EI306" s="107"/>
      <c r="EJ306" s="107"/>
      <c r="EK306" s="107"/>
      <c r="EL306" s="107"/>
      <c r="EM306" s="107"/>
      <c r="EN306" s="107"/>
      <c r="EO306" s="107"/>
      <c r="EP306" s="107"/>
      <c r="EQ306" s="107"/>
      <c r="ER306" s="107"/>
      <c r="ES306" s="107"/>
      <c r="ET306" s="107"/>
      <c r="EU306" s="107"/>
      <c r="EV306" s="107"/>
      <c r="EW306" s="107"/>
      <c r="EX306" s="107"/>
      <c r="EY306" s="107"/>
      <c r="EZ306" s="107"/>
      <c r="FA306" s="107"/>
      <c r="FB306" s="107"/>
      <c r="FC306" s="107"/>
      <c r="FD306" s="107"/>
      <c r="FE306" s="107"/>
      <c r="FF306" s="107"/>
      <c r="FG306" s="107"/>
      <c r="FH306" s="107"/>
      <c r="FI306" s="107"/>
      <c r="FJ306" s="107"/>
      <c r="FK306" s="107"/>
      <c r="FL306" s="107"/>
      <c r="FM306" s="107"/>
      <c r="FN306" s="107"/>
      <c r="FO306" s="10"/>
      <c r="FP306" s="10"/>
      <c r="FQ306" s="10"/>
      <c r="FR306" s="10"/>
      <c r="FS306" s="10"/>
      <c r="FT306" s="10"/>
      <c r="FU306" s="10"/>
      <c r="FV306" s="10"/>
      <c r="FW306" s="10"/>
      <c r="FX306" s="10"/>
      <c r="FY306" s="8"/>
      <c r="FZ306" s="266"/>
      <c r="GA306" s="266"/>
    </row>
    <row r="307" spans="1:183" s="268" customFormat="1" x14ac:dyDescent="0.25">
      <c r="A307" s="107"/>
      <c r="B307" s="7"/>
      <c r="C307" s="7"/>
      <c r="D307" s="7"/>
      <c r="E307" s="7"/>
      <c r="F307" s="10"/>
      <c r="G307" s="107"/>
      <c r="H307" s="7"/>
      <c r="I307" s="10"/>
      <c r="J307" s="10"/>
      <c r="K307" s="10"/>
      <c r="L307" s="10"/>
      <c r="M307" s="10"/>
      <c r="N307" s="10"/>
      <c r="O307" s="10"/>
      <c r="P307" s="8"/>
      <c r="Q307" s="8"/>
      <c r="R307" s="7"/>
      <c r="S307" s="7"/>
      <c r="T307" s="7"/>
      <c r="U307" s="107"/>
      <c r="V307" s="7"/>
      <c r="W307" s="10"/>
      <c r="X307" s="107"/>
      <c r="Y307" s="7"/>
      <c r="Z307" s="10"/>
      <c r="AA307" s="107"/>
      <c r="AB307" s="10"/>
      <c r="AC307" s="107"/>
      <c r="AD307" s="7"/>
      <c r="AE307" s="10"/>
      <c r="AF307" s="107"/>
      <c r="AG307" s="10"/>
      <c r="AH307" s="107"/>
      <c r="AI307" s="10"/>
      <c r="AJ307" s="107"/>
      <c r="AK307" s="10"/>
      <c r="AL307" s="107"/>
      <c r="AM307" s="10"/>
      <c r="AN307" s="10"/>
      <c r="AO307" s="10"/>
      <c r="AP307" s="8"/>
      <c r="AQ307" s="107"/>
      <c r="AR307" s="10"/>
      <c r="AS307" s="107"/>
      <c r="AT307" s="7"/>
      <c r="AU307" s="10"/>
      <c r="AV307" s="10"/>
      <c r="AW307" s="107"/>
      <c r="AX307" s="10"/>
      <c r="AY307" s="107"/>
      <c r="AZ307" s="10"/>
      <c r="BA307" s="107"/>
      <c r="BB307" s="107"/>
      <c r="BC307" s="107"/>
      <c r="BD307" s="10"/>
      <c r="BE307" s="107"/>
      <c r="BF307" s="10"/>
      <c r="BG307" s="10"/>
      <c r="BH307" s="10"/>
      <c r="BI307" s="107"/>
      <c r="BJ307" s="107"/>
      <c r="BK307" s="10"/>
      <c r="BL307" s="10"/>
      <c r="BM307" s="107"/>
      <c r="BN307" s="10"/>
      <c r="BO307" s="107"/>
      <c r="BP307" s="7"/>
      <c r="BQ307" s="10"/>
      <c r="BR307" s="107"/>
      <c r="BS307" s="10"/>
      <c r="BT307" s="107"/>
      <c r="BU307" s="107"/>
      <c r="BV307" s="107"/>
      <c r="BW307" s="107"/>
      <c r="BX307" s="107"/>
      <c r="BY307" s="10"/>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
      <c r="DL307" s="10"/>
      <c r="DM307" s="10"/>
      <c r="DN307" s="10"/>
      <c r="DO307" s="10"/>
      <c r="DP307" s="10"/>
      <c r="DQ307" s="10"/>
      <c r="DR307" s="10"/>
      <c r="DS307" s="10"/>
      <c r="DT307" s="10"/>
      <c r="DU307" s="10"/>
      <c r="DV307" s="10"/>
      <c r="DW307" s="10"/>
      <c r="DX307" s="10"/>
      <c r="DY307" s="10"/>
      <c r="DZ307" s="10"/>
      <c r="EA307" s="10"/>
      <c r="EB307" s="10"/>
      <c r="EC307" s="107"/>
      <c r="ED307" s="107"/>
      <c r="EE307" s="10"/>
      <c r="EF307" s="107"/>
      <c r="EG307" s="7"/>
      <c r="EH307" s="10"/>
      <c r="EI307" s="107"/>
      <c r="EJ307" s="107"/>
      <c r="EK307" s="107"/>
      <c r="EL307" s="107"/>
      <c r="EM307" s="107"/>
      <c r="EN307" s="107"/>
      <c r="EO307" s="107"/>
      <c r="EP307" s="107"/>
      <c r="EQ307" s="107"/>
      <c r="ER307" s="107"/>
      <c r="ES307" s="107"/>
      <c r="ET307" s="107"/>
      <c r="EU307" s="107"/>
      <c r="EV307" s="107"/>
      <c r="EW307" s="107"/>
      <c r="EX307" s="107"/>
      <c r="EY307" s="107"/>
      <c r="EZ307" s="107"/>
      <c r="FA307" s="107"/>
      <c r="FB307" s="107"/>
      <c r="FC307" s="107"/>
      <c r="FD307" s="107"/>
      <c r="FE307" s="107"/>
      <c r="FF307" s="107"/>
      <c r="FG307" s="107"/>
      <c r="FH307" s="107"/>
      <c r="FI307" s="107"/>
      <c r="FJ307" s="107"/>
      <c r="FK307" s="107"/>
      <c r="FL307" s="107"/>
      <c r="FM307" s="107"/>
      <c r="FN307" s="107"/>
      <c r="FO307" s="10"/>
      <c r="FP307" s="10"/>
      <c r="FQ307" s="10"/>
      <c r="FR307" s="10"/>
      <c r="FS307" s="10"/>
      <c r="FT307" s="10"/>
      <c r="FU307" s="10"/>
      <c r="FV307" s="10"/>
      <c r="FW307" s="10"/>
      <c r="FX307" s="10"/>
      <c r="FY307" s="8"/>
      <c r="FZ307" s="266"/>
      <c r="GA307" s="266"/>
    </row>
    <row r="308" spans="1:183" s="268" customFormat="1" x14ac:dyDescent="0.25">
      <c r="A308" s="107"/>
      <c r="B308" s="7"/>
      <c r="C308" s="7"/>
      <c r="D308" s="7"/>
      <c r="E308" s="7"/>
      <c r="F308" s="10"/>
      <c r="G308" s="107"/>
      <c r="H308" s="7"/>
      <c r="I308" s="10"/>
      <c r="J308" s="10"/>
      <c r="K308" s="10"/>
      <c r="L308" s="10"/>
      <c r="M308" s="10"/>
      <c r="N308" s="10"/>
      <c r="O308" s="10"/>
      <c r="P308" s="8"/>
      <c r="Q308" s="8"/>
      <c r="R308" s="7"/>
      <c r="S308" s="7"/>
      <c r="T308" s="7"/>
      <c r="U308" s="107"/>
      <c r="V308" s="7"/>
      <c r="W308" s="10"/>
      <c r="X308" s="107"/>
      <c r="Y308" s="7"/>
      <c r="Z308" s="10"/>
      <c r="AA308" s="107"/>
      <c r="AB308" s="10"/>
      <c r="AC308" s="107"/>
      <c r="AD308" s="7"/>
      <c r="AE308" s="10"/>
      <c r="AF308" s="107"/>
      <c r="AG308" s="10"/>
      <c r="AH308" s="107"/>
      <c r="AI308" s="10"/>
      <c r="AJ308" s="107"/>
      <c r="AK308" s="10"/>
      <c r="AL308" s="107"/>
      <c r="AM308" s="10"/>
      <c r="AN308" s="10"/>
      <c r="AO308" s="10"/>
      <c r="AP308" s="8"/>
      <c r="AQ308" s="107"/>
      <c r="AR308" s="10"/>
      <c r="AS308" s="107"/>
      <c r="AT308" s="7"/>
      <c r="AU308" s="10"/>
      <c r="AV308" s="10"/>
      <c r="AW308" s="107"/>
      <c r="AX308" s="10"/>
      <c r="AY308" s="107"/>
      <c r="AZ308" s="10"/>
      <c r="BA308" s="107"/>
      <c r="BB308" s="107"/>
      <c r="BC308" s="107"/>
      <c r="BD308" s="10"/>
      <c r="BE308" s="107"/>
      <c r="BF308" s="10"/>
      <c r="BG308" s="10"/>
      <c r="BH308" s="10"/>
      <c r="BI308" s="107"/>
      <c r="BJ308" s="107"/>
      <c r="BK308" s="10"/>
      <c r="BL308" s="10"/>
      <c r="BM308" s="107"/>
      <c r="BN308" s="10"/>
      <c r="BO308" s="107"/>
      <c r="BP308" s="7"/>
      <c r="BQ308" s="10"/>
      <c r="BR308" s="107"/>
      <c r="BS308" s="10"/>
      <c r="BT308" s="107"/>
      <c r="BU308" s="107"/>
      <c r="BV308" s="107"/>
      <c r="BW308" s="107"/>
      <c r="BX308" s="107"/>
      <c r="BY308" s="10"/>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
      <c r="DL308" s="10"/>
      <c r="DM308" s="10"/>
      <c r="DN308" s="10"/>
      <c r="DO308" s="10"/>
      <c r="DP308" s="10"/>
      <c r="DQ308" s="10"/>
      <c r="DR308" s="10"/>
      <c r="DS308" s="10"/>
      <c r="DT308" s="10"/>
      <c r="DU308" s="10"/>
      <c r="DV308" s="10"/>
      <c r="DW308" s="10"/>
      <c r="DX308" s="10"/>
      <c r="DY308" s="10"/>
      <c r="DZ308" s="10"/>
      <c r="EA308" s="10"/>
      <c r="EB308" s="10"/>
      <c r="EC308" s="107"/>
      <c r="ED308" s="107"/>
      <c r="EE308" s="10"/>
      <c r="EF308" s="107"/>
      <c r="EG308" s="7"/>
      <c r="EH308" s="10"/>
      <c r="EI308" s="107"/>
      <c r="EJ308" s="107"/>
      <c r="EK308" s="107"/>
      <c r="EL308" s="107"/>
      <c r="EM308" s="107"/>
      <c r="EN308" s="107"/>
      <c r="EO308" s="107"/>
      <c r="EP308" s="107"/>
      <c r="EQ308" s="107"/>
      <c r="ER308" s="107"/>
      <c r="ES308" s="107"/>
      <c r="ET308" s="107"/>
      <c r="EU308" s="107"/>
      <c r="EV308" s="107"/>
      <c r="EW308" s="107"/>
      <c r="EX308" s="107"/>
      <c r="EY308" s="107"/>
      <c r="EZ308" s="107"/>
      <c r="FA308" s="107"/>
      <c r="FB308" s="107"/>
      <c r="FC308" s="107"/>
      <c r="FD308" s="107"/>
      <c r="FE308" s="107"/>
      <c r="FF308" s="107"/>
      <c r="FG308" s="107"/>
      <c r="FH308" s="107"/>
      <c r="FI308" s="107"/>
      <c r="FJ308" s="107"/>
      <c r="FK308" s="107"/>
      <c r="FL308" s="107"/>
      <c r="FM308" s="107"/>
      <c r="FN308" s="107"/>
      <c r="FO308" s="10"/>
      <c r="FP308" s="10"/>
      <c r="FQ308" s="10"/>
      <c r="FR308" s="10"/>
      <c r="FS308" s="10"/>
      <c r="FT308" s="10"/>
      <c r="FU308" s="10"/>
      <c r="FV308" s="10"/>
      <c r="FW308" s="10"/>
      <c r="FX308" s="10"/>
      <c r="FY308" s="8"/>
      <c r="FZ308" s="266"/>
      <c r="GA308" s="266"/>
    </row>
    <row r="309" spans="1:183" s="268" customFormat="1" x14ac:dyDescent="0.25">
      <c r="A309" s="107"/>
      <c r="B309" s="7"/>
      <c r="C309" s="7"/>
      <c r="D309" s="7"/>
      <c r="E309" s="7"/>
      <c r="F309" s="10"/>
      <c r="G309" s="107"/>
      <c r="H309" s="7"/>
      <c r="I309" s="10"/>
      <c r="J309" s="10"/>
      <c r="K309" s="10"/>
      <c r="L309" s="10"/>
      <c r="M309" s="10"/>
      <c r="N309" s="10"/>
      <c r="O309" s="10"/>
      <c r="P309" s="8"/>
      <c r="Q309" s="8"/>
      <c r="R309" s="7"/>
      <c r="S309" s="7"/>
      <c r="T309" s="7"/>
      <c r="U309" s="107"/>
      <c r="V309" s="7"/>
      <c r="W309" s="10"/>
      <c r="X309" s="107"/>
      <c r="Y309" s="7"/>
      <c r="Z309" s="10"/>
      <c r="AA309" s="107"/>
      <c r="AB309" s="10"/>
      <c r="AC309" s="107"/>
      <c r="AD309" s="7"/>
      <c r="AE309" s="10"/>
      <c r="AF309" s="107"/>
      <c r="AG309" s="10"/>
      <c r="AH309" s="107"/>
      <c r="AI309" s="10"/>
      <c r="AJ309" s="107"/>
      <c r="AK309" s="10"/>
      <c r="AL309" s="107"/>
      <c r="AM309" s="10"/>
      <c r="AN309" s="10"/>
      <c r="AO309" s="10"/>
      <c r="AP309" s="8"/>
      <c r="AQ309" s="107"/>
      <c r="AR309" s="10"/>
      <c r="AS309" s="107"/>
      <c r="AT309" s="7"/>
      <c r="AU309" s="10"/>
      <c r="AV309" s="10"/>
      <c r="AW309" s="107"/>
      <c r="AX309" s="10"/>
      <c r="AY309" s="107"/>
      <c r="AZ309" s="10"/>
      <c r="BA309" s="107"/>
      <c r="BB309" s="107"/>
      <c r="BC309" s="107"/>
      <c r="BD309" s="10"/>
      <c r="BE309" s="107"/>
      <c r="BF309" s="10"/>
      <c r="BG309" s="10"/>
      <c r="BH309" s="10"/>
      <c r="BI309" s="107"/>
      <c r="BJ309" s="107"/>
      <c r="BK309" s="10"/>
      <c r="BL309" s="10"/>
      <c r="BM309" s="107"/>
      <c r="BN309" s="10"/>
      <c r="BO309" s="107"/>
      <c r="BP309" s="7"/>
      <c r="BQ309" s="10"/>
      <c r="BR309" s="107"/>
      <c r="BS309" s="10"/>
      <c r="BT309" s="107"/>
      <c r="BU309" s="107"/>
      <c r="BV309" s="107"/>
      <c r="BW309" s="107"/>
      <c r="BX309" s="107"/>
      <c r="BY309" s="10"/>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
      <c r="DL309" s="10"/>
      <c r="DM309" s="10"/>
      <c r="DN309" s="10"/>
      <c r="DO309" s="10"/>
      <c r="DP309" s="10"/>
      <c r="DQ309" s="10"/>
      <c r="DR309" s="10"/>
      <c r="DS309" s="10"/>
      <c r="DT309" s="10"/>
      <c r="DU309" s="10"/>
      <c r="DV309" s="10"/>
      <c r="DW309" s="10"/>
      <c r="DX309" s="10"/>
      <c r="DY309" s="10"/>
      <c r="DZ309" s="10"/>
      <c r="EA309" s="10"/>
      <c r="EB309" s="10"/>
      <c r="EC309" s="107"/>
      <c r="ED309" s="107"/>
      <c r="EE309" s="10"/>
      <c r="EF309" s="107"/>
      <c r="EG309" s="7"/>
      <c r="EH309" s="10"/>
      <c r="EI309" s="107"/>
      <c r="EJ309" s="107"/>
      <c r="EK309" s="107"/>
      <c r="EL309" s="107"/>
      <c r="EM309" s="107"/>
      <c r="EN309" s="107"/>
      <c r="EO309" s="107"/>
      <c r="EP309" s="107"/>
      <c r="EQ309" s="107"/>
      <c r="ER309" s="107"/>
      <c r="ES309" s="107"/>
      <c r="ET309" s="107"/>
      <c r="EU309" s="107"/>
      <c r="EV309" s="107"/>
      <c r="EW309" s="107"/>
      <c r="EX309" s="107"/>
      <c r="EY309" s="107"/>
      <c r="EZ309" s="107"/>
      <c r="FA309" s="107"/>
      <c r="FB309" s="107"/>
      <c r="FC309" s="107"/>
      <c r="FD309" s="107"/>
      <c r="FE309" s="107"/>
      <c r="FF309" s="107"/>
      <c r="FG309" s="107"/>
      <c r="FH309" s="107"/>
      <c r="FI309" s="107"/>
      <c r="FJ309" s="107"/>
      <c r="FK309" s="107"/>
      <c r="FL309" s="107"/>
      <c r="FM309" s="107"/>
      <c r="FN309" s="107"/>
      <c r="FO309" s="10"/>
      <c r="FP309" s="10"/>
      <c r="FQ309" s="10"/>
      <c r="FR309" s="10"/>
      <c r="FS309" s="10"/>
      <c r="FT309" s="10"/>
      <c r="FU309" s="10"/>
      <c r="FV309" s="10"/>
      <c r="FW309" s="10"/>
      <c r="FX309" s="10"/>
      <c r="FY309" s="8"/>
      <c r="FZ309" s="266"/>
      <c r="GA309" s="266"/>
    </row>
    <row r="310" spans="1:183" s="268" customFormat="1" x14ac:dyDescent="0.25">
      <c r="A310" s="107"/>
      <c r="B310" s="7"/>
      <c r="C310" s="7"/>
      <c r="D310" s="7"/>
      <c r="E310" s="7"/>
      <c r="F310" s="10"/>
      <c r="G310" s="107"/>
      <c r="H310" s="7"/>
      <c r="I310" s="10"/>
      <c r="J310" s="10"/>
      <c r="K310" s="10"/>
      <c r="L310" s="10"/>
      <c r="M310" s="10"/>
      <c r="N310" s="10"/>
      <c r="O310" s="10"/>
      <c r="P310" s="8"/>
      <c r="Q310" s="8"/>
      <c r="R310" s="7"/>
      <c r="S310" s="7"/>
      <c r="T310" s="7"/>
      <c r="U310" s="107"/>
      <c r="V310" s="7"/>
      <c r="W310" s="10"/>
      <c r="X310" s="107"/>
      <c r="Y310" s="7"/>
      <c r="Z310" s="10"/>
      <c r="AA310" s="107"/>
      <c r="AB310" s="10"/>
      <c r="AC310" s="107"/>
      <c r="AD310" s="7"/>
      <c r="AE310" s="10"/>
      <c r="AF310" s="107"/>
      <c r="AG310" s="10"/>
      <c r="AH310" s="107"/>
      <c r="AI310" s="10"/>
      <c r="AJ310" s="107"/>
      <c r="AK310" s="10"/>
      <c r="AL310" s="107"/>
      <c r="AM310" s="10"/>
      <c r="AN310" s="10"/>
      <c r="AO310" s="10"/>
      <c r="AP310" s="8"/>
      <c r="AQ310" s="107"/>
      <c r="AR310" s="10"/>
      <c r="AS310" s="107"/>
      <c r="AT310" s="7"/>
      <c r="AU310" s="10"/>
      <c r="AV310" s="10"/>
      <c r="AW310" s="107"/>
      <c r="AX310" s="10"/>
      <c r="AY310" s="107"/>
      <c r="AZ310" s="10"/>
      <c r="BA310" s="107"/>
      <c r="BB310" s="107"/>
      <c r="BC310" s="107"/>
      <c r="BD310" s="10"/>
      <c r="BE310" s="107"/>
      <c r="BF310" s="10"/>
      <c r="BG310" s="10"/>
      <c r="BH310" s="10"/>
      <c r="BI310" s="107"/>
      <c r="BJ310" s="107"/>
      <c r="BK310" s="10"/>
      <c r="BL310" s="10"/>
      <c r="BM310" s="107"/>
      <c r="BN310" s="10"/>
      <c r="BO310" s="107"/>
      <c r="BP310" s="7"/>
      <c r="BQ310" s="10"/>
      <c r="BR310" s="107"/>
      <c r="BS310" s="10"/>
      <c r="BT310" s="107"/>
      <c r="BU310" s="107"/>
      <c r="BV310" s="107"/>
      <c r="BW310" s="107"/>
      <c r="BX310" s="107"/>
      <c r="BY310" s="10"/>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
      <c r="DL310" s="10"/>
      <c r="DM310" s="10"/>
      <c r="DN310" s="10"/>
      <c r="DO310" s="10"/>
      <c r="DP310" s="10"/>
      <c r="DQ310" s="10"/>
      <c r="DR310" s="10"/>
      <c r="DS310" s="10"/>
      <c r="DT310" s="10"/>
      <c r="DU310" s="10"/>
      <c r="DV310" s="10"/>
      <c r="DW310" s="10"/>
      <c r="DX310" s="10"/>
      <c r="DY310" s="10"/>
      <c r="DZ310" s="10"/>
      <c r="EA310" s="10"/>
      <c r="EB310" s="10"/>
      <c r="EC310" s="107"/>
      <c r="ED310" s="107"/>
      <c r="EE310" s="10"/>
      <c r="EF310" s="107"/>
      <c r="EG310" s="7"/>
      <c r="EH310" s="10"/>
      <c r="EI310" s="107"/>
      <c r="EJ310" s="107"/>
      <c r="EK310" s="107"/>
      <c r="EL310" s="107"/>
      <c r="EM310" s="107"/>
      <c r="EN310" s="107"/>
      <c r="EO310" s="107"/>
      <c r="EP310" s="107"/>
      <c r="EQ310" s="107"/>
      <c r="ER310" s="107"/>
      <c r="ES310" s="107"/>
      <c r="ET310" s="107"/>
      <c r="EU310" s="107"/>
      <c r="EV310" s="107"/>
      <c r="EW310" s="107"/>
      <c r="EX310" s="107"/>
      <c r="EY310" s="107"/>
      <c r="EZ310" s="107"/>
      <c r="FA310" s="107"/>
      <c r="FB310" s="107"/>
      <c r="FC310" s="107"/>
      <c r="FD310" s="107"/>
      <c r="FE310" s="107"/>
      <c r="FF310" s="107"/>
      <c r="FG310" s="107"/>
      <c r="FH310" s="107"/>
      <c r="FI310" s="107"/>
      <c r="FJ310" s="107"/>
      <c r="FK310" s="107"/>
      <c r="FL310" s="107"/>
      <c r="FM310" s="107"/>
      <c r="FN310" s="107"/>
      <c r="FO310" s="10"/>
      <c r="FP310" s="10"/>
      <c r="FQ310" s="10"/>
      <c r="FR310" s="10"/>
      <c r="FS310" s="10"/>
      <c r="FT310" s="10"/>
      <c r="FU310" s="10"/>
      <c r="FV310" s="10"/>
      <c r="FW310" s="10"/>
      <c r="FX310" s="10"/>
      <c r="FY310" s="8"/>
      <c r="FZ310" s="266"/>
      <c r="GA310" s="266"/>
    </row>
    <row r="311" spans="1:183" s="268" customFormat="1" x14ac:dyDescent="0.25">
      <c r="A311" s="107"/>
      <c r="B311" s="7"/>
      <c r="C311" s="7"/>
      <c r="D311" s="7"/>
      <c r="E311" s="7"/>
      <c r="F311" s="10"/>
      <c r="G311" s="107"/>
      <c r="H311" s="7"/>
      <c r="I311" s="10"/>
      <c r="J311" s="10"/>
      <c r="K311" s="10"/>
      <c r="L311" s="10"/>
      <c r="M311" s="10"/>
      <c r="N311" s="10"/>
      <c r="O311" s="10"/>
      <c r="P311" s="8"/>
      <c r="Q311" s="8"/>
      <c r="R311" s="7"/>
      <c r="S311" s="7"/>
      <c r="T311" s="7"/>
      <c r="U311" s="107"/>
      <c r="V311" s="7"/>
      <c r="W311" s="10"/>
      <c r="X311" s="107"/>
      <c r="Y311" s="7"/>
      <c r="Z311" s="10"/>
      <c r="AA311" s="107"/>
      <c r="AB311" s="10"/>
      <c r="AC311" s="107"/>
      <c r="AD311" s="7"/>
      <c r="AE311" s="10"/>
      <c r="AF311" s="107"/>
      <c r="AG311" s="10"/>
      <c r="AH311" s="107"/>
      <c r="AI311" s="10"/>
      <c r="AJ311" s="107"/>
      <c r="AK311" s="10"/>
      <c r="AL311" s="107"/>
      <c r="AM311" s="10"/>
      <c r="AN311" s="10"/>
      <c r="AO311" s="10"/>
      <c r="AP311" s="8"/>
      <c r="AQ311" s="107"/>
      <c r="AR311" s="10"/>
      <c r="AS311" s="107"/>
      <c r="AT311" s="7"/>
      <c r="AU311" s="10"/>
      <c r="AV311" s="10"/>
      <c r="AW311" s="107"/>
      <c r="AX311" s="10"/>
      <c r="AY311" s="107"/>
      <c r="AZ311" s="10"/>
      <c r="BA311" s="107"/>
      <c r="BB311" s="107"/>
      <c r="BC311" s="107"/>
      <c r="BD311" s="10"/>
      <c r="BE311" s="107"/>
      <c r="BF311" s="10"/>
      <c r="BG311" s="10"/>
      <c r="BH311" s="10"/>
      <c r="BI311" s="107"/>
      <c r="BJ311" s="107"/>
      <c r="BK311" s="10"/>
      <c r="BL311" s="10"/>
      <c r="BM311" s="107"/>
      <c r="BN311" s="10"/>
      <c r="BO311" s="107"/>
      <c r="BP311" s="7"/>
      <c r="BQ311" s="10"/>
      <c r="BR311" s="107"/>
      <c r="BS311" s="10"/>
      <c r="BT311" s="107"/>
      <c r="BU311" s="107"/>
      <c r="BV311" s="107"/>
      <c r="BW311" s="107"/>
      <c r="BX311" s="107"/>
      <c r="BY311" s="10"/>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
      <c r="DL311" s="10"/>
      <c r="DM311" s="10"/>
      <c r="DN311" s="10"/>
      <c r="DO311" s="10"/>
      <c r="DP311" s="10"/>
      <c r="DQ311" s="10"/>
      <c r="DR311" s="10"/>
      <c r="DS311" s="10"/>
      <c r="DT311" s="10"/>
      <c r="DU311" s="10"/>
      <c r="DV311" s="10"/>
      <c r="DW311" s="10"/>
      <c r="DX311" s="10"/>
      <c r="DY311" s="10"/>
      <c r="DZ311" s="10"/>
      <c r="EA311" s="10"/>
      <c r="EB311" s="10"/>
      <c r="EC311" s="107"/>
      <c r="ED311" s="107"/>
      <c r="EE311" s="10"/>
      <c r="EF311" s="107"/>
      <c r="EG311" s="7"/>
      <c r="EH311" s="10"/>
      <c r="EI311" s="107"/>
      <c r="EJ311" s="107"/>
      <c r="EK311" s="107"/>
      <c r="EL311" s="107"/>
      <c r="EM311" s="107"/>
      <c r="EN311" s="107"/>
      <c r="EO311" s="107"/>
      <c r="EP311" s="107"/>
      <c r="EQ311" s="107"/>
      <c r="ER311" s="107"/>
      <c r="ES311" s="107"/>
      <c r="ET311" s="107"/>
      <c r="EU311" s="107"/>
      <c r="EV311" s="107"/>
      <c r="EW311" s="107"/>
      <c r="EX311" s="107"/>
      <c r="EY311" s="107"/>
      <c r="EZ311" s="107"/>
      <c r="FA311" s="107"/>
      <c r="FB311" s="107"/>
      <c r="FC311" s="107"/>
      <c r="FD311" s="107"/>
      <c r="FE311" s="107"/>
      <c r="FF311" s="107"/>
      <c r="FG311" s="107"/>
      <c r="FH311" s="107"/>
      <c r="FI311" s="107"/>
      <c r="FJ311" s="107"/>
      <c r="FK311" s="107"/>
      <c r="FL311" s="107"/>
      <c r="FM311" s="107"/>
      <c r="FN311" s="107"/>
      <c r="FO311" s="10"/>
      <c r="FP311" s="10"/>
      <c r="FQ311" s="10"/>
      <c r="FR311" s="10"/>
      <c r="FS311" s="10"/>
      <c r="FT311" s="10"/>
      <c r="FU311" s="10"/>
      <c r="FV311" s="10"/>
      <c r="FW311" s="10"/>
      <c r="FX311" s="10"/>
      <c r="FY311" s="8"/>
      <c r="FZ311" s="266"/>
      <c r="GA311" s="266"/>
    </row>
    <row r="312" spans="1:183" s="268" customFormat="1" x14ac:dyDescent="0.25">
      <c r="A312" s="107"/>
      <c r="B312" s="7"/>
      <c r="C312" s="7"/>
      <c r="D312" s="7"/>
      <c r="E312" s="7"/>
      <c r="F312" s="10"/>
      <c r="G312" s="107"/>
      <c r="H312" s="7"/>
      <c r="I312" s="10"/>
      <c r="J312" s="10"/>
      <c r="K312" s="10"/>
      <c r="L312" s="10"/>
      <c r="M312" s="10"/>
      <c r="N312" s="10"/>
      <c r="O312" s="10"/>
      <c r="P312" s="8"/>
      <c r="Q312" s="8"/>
      <c r="R312" s="7"/>
      <c r="S312" s="7"/>
      <c r="T312" s="7"/>
      <c r="U312" s="107"/>
      <c r="V312" s="7"/>
      <c r="W312" s="10"/>
      <c r="X312" s="107"/>
      <c r="Y312" s="7"/>
      <c r="Z312" s="10"/>
      <c r="AA312" s="107"/>
      <c r="AB312" s="10"/>
      <c r="AC312" s="107"/>
      <c r="AD312" s="7"/>
      <c r="AE312" s="10"/>
      <c r="AF312" s="107"/>
      <c r="AG312" s="10"/>
      <c r="AH312" s="107"/>
      <c r="AI312" s="10"/>
      <c r="AJ312" s="107"/>
      <c r="AK312" s="10"/>
      <c r="AL312" s="107"/>
      <c r="AM312" s="10"/>
      <c r="AN312" s="10"/>
      <c r="AO312" s="10"/>
      <c r="AP312" s="8"/>
      <c r="AQ312" s="107"/>
      <c r="AR312" s="10"/>
      <c r="AS312" s="107"/>
      <c r="AT312" s="7"/>
      <c r="AU312" s="10"/>
      <c r="AV312" s="10"/>
      <c r="AW312" s="107"/>
      <c r="AX312" s="10"/>
      <c r="AY312" s="107"/>
      <c r="AZ312" s="10"/>
      <c r="BA312" s="107"/>
      <c r="BB312" s="107"/>
      <c r="BC312" s="107"/>
      <c r="BD312" s="10"/>
      <c r="BE312" s="107"/>
      <c r="BF312" s="10"/>
      <c r="BG312" s="10"/>
      <c r="BH312" s="10"/>
      <c r="BI312" s="107"/>
      <c r="BJ312" s="107"/>
      <c r="BK312" s="10"/>
      <c r="BL312" s="10"/>
      <c r="BM312" s="107"/>
      <c r="BN312" s="10"/>
      <c r="BO312" s="107"/>
      <c r="BP312" s="7"/>
      <c r="BQ312" s="10"/>
      <c r="BR312" s="107"/>
      <c r="BS312" s="10"/>
      <c r="BT312" s="107"/>
      <c r="BU312" s="107"/>
      <c r="BV312" s="107"/>
      <c r="BW312" s="107"/>
      <c r="BX312" s="107"/>
      <c r="BY312" s="10"/>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
      <c r="DL312" s="10"/>
      <c r="DM312" s="10"/>
      <c r="DN312" s="10"/>
      <c r="DO312" s="10"/>
      <c r="DP312" s="10"/>
      <c r="DQ312" s="10"/>
      <c r="DR312" s="10"/>
      <c r="DS312" s="10"/>
      <c r="DT312" s="10"/>
      <c r="DU312" s="10"/>
      <c r="DV312" s="10"/>
      <c r="DW312" s="10"/>
      <c r="DX312" s="10"/>
      <c r="DY312" s="10"/>
      <c r="DZ312" s="10"/>
      <c r="EA312" s="10"/>
      <c r="EB312" s="10"/>
      <c r="EC312" s="107"/>
      <c r="ED312" s="107"/>
      <c r="EE312" s="10"/>
      <c r="EF312" s="107"/>
      <c r="EG312" s="7"/>
      <c r="EH312" s="10"/>
      <c r="EI312" s="107"/>
      <c r="EJ312" s="107"/>
      <c r="EK312" s="107"/>
      <c r="EL312" s="107"/>
      <c r="EM312" s="107"/>
      <c r="EN312" s="107"/>
      <c r="EO312" s="107"/>
      <c r="EP312" s="107"/>
      <c r="EQ312" s="107"/>
      <c r="ER312" s="107"/>
      <c r="ES312" s="107"/>
      <c r="ET312" s="107"/>
      <c r="EU312" s="107"/>
      <c r="EV312" s="107"/>
      <c r="EW312" s="107"/>
      <c r="EX312" s="107"/>
      <c r="EY312" s="107"/>
      <c r="EZ312" s="107"/>
      <c r="FA312" s="107"/>
      <c r="FB312" s="107"/>
      <c r="FC312" s="107"/>
      <c r="FD312" s="107"/>
      <c r="FE312" s="107"/>
      <c r="FF312" s="107"/>
      <c r="FG312" s="107"/>
      <c r="FH312" s="107"/>
      <c r="FI312" s="107"/>
      <c r="FJ312" s="107"/>
      <c r="FK312" s="107"/>
      <c r="FL312" s="107"/>
      <c r="FM312" s="107"/>
      <c r="FN312" s="107"/>
      <c r="FO312" s="10"/>
      <c r="FP312" s="10"/>
      <c r="FQ312" s="10"/>
      <c r="FR312" s="10"/>
      <c r="FS312" s="10"/>
      <c r="FT312" s="10"/>
      <c r="FU312" s="10"/>
      <c r="FV312" s="10"/>
      <c r="FW312" s="10"/>
      <c r="FX312" s="10"/>
      <c r="FY312" s="8"/>
      <c r="FZ312" s="266"/>
      <c r="GA312" s="266"/>
    </row>
    <row r="313" spans="1:183" s="268" customFormat="1" x14ac:dyDescent="0.25">
      <c r="A313" s="107"/>
      <c r="B313" s="7"/>
      <c r="C313" s="7"/>
      <c r="D313" s="7"/>
      <c r="E313" s="7"/>
      <c r="F313" s="10"/>
      <c r="G313" s="107"/>
      <c r="H313" s="7"/>
      <c r="I313" s="10"/>
      <c r="J313" s="10"/>
      <c r="K313" s="10"/>
      <c r="L313" s="10"/>
      <c r="M313" s="10"/>
      <c r="N313" s="10"/>
      <c r="O313" s="10"/>
      <c r="P313" s="8"/>
      <c r="Q313" s="8"/>
      <c r="R313" s="7"/>
      <c r="S313" s="7"/>
      <c r="T313" s="7"/>
      <c r="U313" s="107"/>
      <c r="V313" s="7"/>
      <c r="W313" s="10"/>
      <c r="X313" s="107"/>
      <c r="Y313" s="7"/>
      <c r="Z313" s="10"/>
      <c r="AA313" s="107"/>
      <c r="AB313" s="10"/>
      <c r="AC313" s="107"/>
      <c r="AD313" s="7"/>
      <c r="AE313" s="10"/>
      <c r="AF313" s="107"/>
      <c r="AG313" s="10"/>
      <c r="AH313" s="107"/>
      <c r="AI313" s="10"/>
      <c r="AJ313" s="107"/>
      <c r="AK313" s="10"/>
      <c r="AL313" s="107"/>
      <c r="AM313" s="10"/>
      <c r="AN313" s="10"/>
      <c r="AO313" s="10"/>
      <c r="AP313" s="8"/>
      <c r="AQ313" s="107"/>
      <c r="AR313" s="10"/>
      <c r="AS313" s="107"/>
      <c r="AT313" s="7"/>
      <c r="AU313" s="10"/>
      <c r="AV313" s="10"/>
      <c r="AW313" s="107"/>
      <c r="AX313" s="10"/>
      <c r="AY313" s="107"/>
      <c r="AZ313" s="10"/>
      <c r="BA313" s="107"/>
      <c r="BB313" s="107"/>
      <c r="BC313" s="107"/>
      <c r="BD313" s="10"/>
      <c r="BE313" s="107"/>
      <c r="BF313" s="10"/>
      <c r="BG313" s="10"/>
      <c r="BH313" s="10"/>
      <c r="BI313" s="107"/>
      <c r="BJ313" s="107"/>
      <c r="BK313" s="10"/>
      <c r="BL313" s="10"/>
      <c r="BM313" s="107"/>
      <c r="BN313" s="10"/>
      <c r="BO313" s="107"/>
      <c r="BP313" s="7"/>
      <c r="BQ313" s="10"/>
      <c r="BR313" s="107"/>
      <c r="BS313" s="10"/>
      <c r="BT313" s="107"/>
      <c r="BU313" s="107"/>
      <c r="BV313" s="107"/>
      <c r="BW313" s="107"/>
      <c r="BX313" s="107"/>
      <c r="BY313" s="10"/>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
      <c r="DL313" s="10"/>
      <c r="DM313" s="10"/>
      <c r="DN313" s="10"/>
      <c r="DO313" s="10"/>
      <c r="DP313" s="10"/>
      <c r="DQ313" s="10"/>
      <c r="DR313" s="10"/>
      <c r="DS313" s="10"/>
      <c r="DT313" s="10"/>
      <c r="DU313" s="10"/>
      <c r="DV313" s="10"/>
      <c r="DW313" s="10"/>
      <c r="DX313" s="10"/>
      <c r="DY313" s="10"/>
      <c r="DZ313" s="10"/>
      <c r="EA313" s="10"/>
      <c r="EB313" s="10"/>
      <c r="EC313" s="107"/>
      <c r="ED313" s="107"/>
      <c r="EE313" s="10"/>
      <c r="EF313" s="107"/>
      <c r="EG313" s="7"/>
      <c r="EH313" s="10"/>
      <c r="EI313" s="107"/>
      <c r="EJ313" s="107"/>
      <c r="EK313" s="107"/>
      <c r="EL313" s="107"/>
      <c r="EM313" s="107"/>
      <c r="EN313" s="107"/>
      <c r="EO313" s="107"/>
      <c r="EP313" s="107"/>
      <c r="EQ313" s="107"/>
      <c r="ER313" s="107"/>
      <c r="ES313" s="107"/>
      <c r="ET313" s="107"/>
      <c r="EU313" s="107"/>
      <c r="EV313" s="107"/>
      <c r="EW313" s="107"/>
      <c r="EX313" s="107"/>
      <c r="EY313" s="107"/>
      <c r="EZ313" s="107"/>
      <c r="FA313" s="107"/>
      <c r="FB313" s="107"/>
      <c r="FC313" s="107"/>
      <c r="FD313" s="107"/>
      <c r="FE313" s="107"/>
      <c r="FF313" s="107"/>
      <c r="FG313" s="107"/>
      <c r="FH313" s="107"/>
      <c r="FI313" s="107"/>
      <c r="FJ313" s="107"/>
      <c r="FK313" s="107"/>
      <c r="FL313" s="107"/>
      <c r="FM313" s="107"/>
      <c r="FN313" s="107"/>
      <c r="FO313" s="10"/>
      <c r="FP313" s="10"/>
      <c r="FQ313" s="10"/>
      <c r="FR313" s="10"/>
      <c r="FS313" s="10"/>
      <c r="FT313" s="10"/>
      <c r="FU313" s="10"/>
      <c r="FV313" s="10"/>
      <c r="FW313" s="10"/>
      <c r="FX313" s="10"/>
      <c r="FY313" s="8"/>
      <c r="FZ313" s="266"/>
      <c r="GA313" s="266"/>
    </row>
    <row r="314" spans="1:183" s="268" customFormat="1" x14ac:dyDescent="0.25">
      <c r="A314" s="107"/>
      <c r="B314" s="7"/>
      <c r="C314" s="7"/>
      <c r="D314" s="7"/>
      <c r="E314" s="7"/>
      <c r="F314" s="10"/>
      <c r="G314" s="107"/>
      <c r="H314" s="7"/>
      <c r="I314" s="10"/>
      <c r="J314" s="10"/>
      <c r="K314" s="10"/>
      <c r="L314" s="10"/>
      <c r="M314" s="10"/>
      <c r="N314" s="10"/>
      <c r="O314" s="10"/>
      <c r="P314" s="8"/>
      <c r="Q314" s="8"/>
      <c r="R314" s="7"/>
      <c r="S314" s="7"/>
      <c r="T314" s="7"/>
      <c r="U314" s="107"/>
      <c r="V314" s="7"/>
      <c r="W314" s="10"/>
      <c r="X314" s="107"/>
      <c r="Y314" s="7"/>
      <c r="Z314" s="10"/>
      <c r="AA314" s="107"/>
      <c r="AB314" s="10"/>
      <c r="AC314" s="107"/>
      <c r="AD314" s="7"/>
      <c r="AE314" s="10"/>
      <c r="AF314" s="107"/>
      <c r="AG314" s="10"/>
      <c r="AH314" s="107"/>
      <c r="AI314" s="10"/>
      <c r="AJ314" s="107"/>
      <c r="AK314" s="10"/>
      <c r="AL314" s="107"/>
      <c r="AM314" s="10"/>
      <c r="AN314" s="10"/>
      <c r="AO314" s="10"/>
      <c r="AP314" s="8"/>
      <c r="AQ314" s="107"/>
      <c r="AR314" s="10"/>
      <c r="AS314" s="107"/>
      <c r="AT314" s="7"/>
      <c r="AU314" s="10"/>
      <c r="AV314" s="10"/>
      <c r="AW314" s="107"/>
      <c r="AX314" s="10"/>
      <c r="AY314" s="107"/>
      <c r="AZ314" s="10"/>
      <c r="BA314" s="107"/>
      <c r="BB314" s="107"/>
      <c r="BC314" s="107"/>
      <c r="BD314" s="10"/>
      <c r="BE314" s="107"/>
      <c r="BF314" s="10"/>
      <c r="BG314" s="10"/>
      <c r="BH314" s="10"/>
      <c r="BI314" s="107"/>
      <c r="BJ314" s="107"/>
      <c r="BK314" s="10"/>
      <c r="BL314" s="10"/>
      <c r="BM314" s="107"/>
      <c r="BN314" s="10"/>
      <c r="BO314" s="107"/>
      <c r="BP314" s="7"/>
      <c r="BQ314" s="10"/>
      <c r="BR314" s="107"/>
      <c r="BS314" s="10"/>
      <c r="BT314" s="107"/>
      <c r="BU314" s="107"/>
      <c r="BV314" s="107"/>
      <c r="BW314" s="107"/>
      <c r="BX314" s="107"/>
      <c r="BY314" s="10"/>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
      <c r="DL314" s="10"/>
      <c r="DM314" s="10"/>
      <c r="DN314" s="10"/>
      <c r="DO314" s="10"/>
      <c r="DP314" s="10"/>
      <c r="DQ314" s="10"/>
      <c r="DR314" s="10"/>
      <c r="DS314" s="10"/>
      <c r="DT314" s="10"/>
      <c r="DU314" s="10"/>
      <c r="DV314" s="10"/>
      <c r="DW314" s="10"/>
      <c r="DX314" s="10"/>
      <c r="DY314" s="10"/>
      <c r="DZ314" s="10"/>
      <c r="EA314" s="10"/>
      <c r="EB314" s="10"/>
      <c r="EC314" s="107"/>
      <c r="ED314" s="107"/>
      <c r="EE314" s="10"/>
      <c r="EF314" s="107"/>
      <c r="EG314" s="7"/>
      <c r="EH314" s="10"/>
      <c r="EI314" s="107"/>
      <c r="EJ314" s="107"/>
      <c r="EK314" s="107"/>
      <c r="EL314" s="107"/>
      <c r="EM314" s="107"/>
      <c r="EN314" s="107"/>
      <c r="EO314" s="107"/>
      <c r="EP314" s="107"/>
      <c r="EQ314" s="107"/>
      <c r="ER314" s="107"/>
      <c r="ES314" s="107"/>
      <c r="ET314" s="107"/>
      <c r="EU314" s="107"/>
      <c r="EV314" s="107"/>
      <c r="EW314" s="107"/>
      <c r="EX314" s="107"/>
      <c r="EY314" s="107"/>
      <c r="EZ314" s="107"/>
      <c r="FA314" s="107"/>
      <c r="FB314" s="107"/>
      <c r="FC314" s="107"/>
      <c r="FD314" s="107"/>
      <c r="FE314" s="107"/>
      <c r="FF314" s="107"/>
      <c r="FG314" s="107"/>
      <c r="FH314" s="107"/>
      <c r="FI314" s="107"/>
      <c r="FJ314" s="107"/>
      <c r="FK314" s="107"/>
      <c r="FL314" s="107"/>
      <c r="FM314" s="107"/>
      <c r="FN314" s="107"/>
      <c r="FO314" s="10"/>
      <c r="FP314" s="10"/>
      <c r="FQ314" s="10"/>
      <c r="FR314" s="10"/>
      <c r="FS314" s="10"/>
      <c r="FT314" s="10"/>
      <c r="FU314" s="10"/>
      <c r="FV314" s="10"/>
      <c r="FW314" s="10"/>
      <c r="FX314" s="10"/>
      <c r="FY314" s="8"/>
      <c r="FZ314" s="266"/>
      <c r="GA314" s="266"/>
    </row>
    <row r="315" spans="1:183" s="268" customFormat="1" x14ac:dyDescent="0.25">
      <c r="A315" s="107"/>
      <c r="B315" s="7"/>
      <c r="C315" s="7"/>
      <c r="D315" s="7"/>
      <c r="E315" s="7"/>
      <c r="F315" s="10"/>
      <c r="G315" s="107"/>
      <c r="H315" s="7"/>
      <c r="I315" s="10"/>
      <c r="J315" s="10"/>
      <c r="K315" s="10"/>
      <c r="L315" s="10"/>
      <c r="M315" s="10"/>
      <c r="N315" s="10"/>
      <c r="O315" s="10"/>
      <c r="P315" s="8"/>
      <c r="Q315" s="8"/>
      <c r="R315" s="7"/>
      <c r="S315" s="7"/>
      <c r="T315" s="7"/>
      <c r="U315" s="107"/>
      <c r="V315" s="7"/>
      <c r="W315" s="10"/>
      <c r="X315" s="107"/>
      <c r="Y315" s="7"/>
      <c r="Z315" s="10"/>
      <c r="AA315" s="107"/>
      <c r="AB315" s="10"/>
      <c r="AC315" s="107"/>
      <c r="AD315" s="7"/>
      <c r="AE315" s="10"/>
      <c r="AF315" s="107"/>
      <c r="AG315" s="10"/>
      <c r="AH315" s="107"/>
      <c r="AI315" s="10"/>
      <c r="AJ315" s="107"/>
      <c r="AK315" s="10"/>
      <c r="AL315" s="107"/>
      <c r="AM315" s="10"/>
      <c r="AN315" s="10"/>
      <c r="AO315" s="10"/>
      <c r="AP315" s="8"/>
      <c r="AQ315" s="107"/>
      <c r="AR315" s="10"/>
      <c r="AS315" s="107"/>
      <c r="AT315" s="7"/>
      <c r="AU315" s="10"/>
      <c r="AV315" s="10"/>
      <c r="AW315" s="107"/>
      <c r="AX315" s="10"/>
      <c r="AY315" s="107"/>
      <c r="AZ315" s="10"/>
      <c r="BA315" s="107"/>
      <c r="BB315" s="107"/>
      <c r="BC315" s="107"/>
      <c r="BD315" s="10"/>
      <c r="BE315" s="107"/>
      <c r="BF315" s="10"/>
      <c r="BG315" s="10"/>
      <c r="BH315" s="10"/>
      <c r="BI315" s="107"/>
      <c r="BJ315" s="107"/>
      <c r="BK315" s="10"/>
      <c r="BL315" s="10"/>
      <c r="BM315" s="107"/>
      <c r="BN315" s="10"/>
      <c r="BO315" s="107"/>
      <c r="BP315" s="7"/>
      <c r="BQ315" s="10"/>
      <c r="BR315" s="107"/>
      <c r="BS315" s="10"/>
      <c r="BT315" s="107"/>
      <c r="BU315" s="107"/>
      <c r="BV315" s="107"/>
      <c r="BW315" s="107"/>
      <c r="BX315" s="107"/>
      <c r="BY315" s="10"/>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
      <c r="DL315" s="10"/>
      <c r="DM315" s="10"/>
      <c r="DN315" s="10"/>
      <c r="DO315" s="10"/>
      <c r="DP315" s="10"/>
      <c r="DQ315" s="10"/>
      <c r="DR315" s="10"/>
      <c r="DS315" s="10"/>
      <c r="DT315" s="10"/>
      <c r="DU315" s="10"/>
      <c r="DV315" s="10"/>
      <c r="DW315" s="10"/>
      <c r="DX315" s="10"/>
      <c r="DY315" s="10"/>
      <c r="DZ315" s="10"/>
      <c r="EA315" s="10"/>
      <c r="EB315" s="10"/>
      <c r="EC315" s="107"/>
      <c r="ED315" s="107"/>
      <c r="EE315" s="10"/>
      <c r="EF315" s="107"/>
      <c r="EG315" s="7"/>
      <c r="EH315" s="10"/>
      <c r="EI315" s="107"/>
      <c r="EJ315" s="107"/>
      <c r="EK315" s="107"/>
      <c r="EL315" s="107"/>
      <c r="EM315" s="107"/>
      <c r="EN315" s="107"/>
      <c r="EO315" s="107"/>
      <c r="EP315" s="107"/>
      <c r="EQ315" s="107"/>
      <c r="ER315" s="107"/>
      <c r="ES315" s="107"/>
      <c r="ET315" s="107"/>
      <c r="EU315" s="107"/>
      <c r="EV315" s="107"/>
      <c r="EW315" s="107"/>
      <c r="EX315" s="107"/>
      <c r="EY315" s="107"/>
      <c r="EZ315" s="107"/>
      <c r="FA315" s="107"/>
      <c r="FB315" s="107"/>
      <c r="FC315" s="107"/>
      <c r="FD315" s="107"/>
      <c r="FE315" s="107"/>
      <c r="FF315" s="107"/>
      <c r="FG315" s="107"/>
      <c r="FH315" s="107"/>
      <c r="FI315" s="107"/>
      <c r="FJ315" s="107"/>
      <c r="FK315" s="107"/>
      <c r="FL315" s="107"/>
      <c r="FM315" s="107"/>
      <c r="FN315" s="107"/>
      <c r="FO315" s="10"/>
      <c r="FP315" s="10"/>
      <c r="FQ315" s="10"/>
      <c r="FR315" s="10"/>
      <c r="FS315" s="10"/>
      <c r="FT315" s="10"/>
      <c r="FU315" s="10"/>
      <c r="FV315" s="10"/>
      <c r="FW315" s="10"/>
      <c r="FX315" s="10"/>
      <c r="FY315" s="8"/>
      <c r="FZ315" s="266"/>
      <c r="GA315" s="266"/>
    </row>
    <row r="316" spans="1:183" s="268" customFormat="1" x14ac:dyDescent="0.25">
      <c r="A316" s="107"/>
      <c r="B316" s="7"/>
      <c r="C316" s="7"/>
      <c r="D316" s="7"/>
      <c r="E316" s="7"/>
      <c r="F316" s="10"/>
      <c r="G316" s="107"/>
      <c r="H316" s="7"/>
      <c r="I316" s="10"/>
      <c r="J316" s="10"/>
      <c r="K316" s="10"/>
      <c r="L316" s="10"/>
      <c r="M316" s="10"/>
      <c r="N316" s="10"/>
      <c r="O316" s="10"/>
      <c r="P316" s="8"/>
      <c r="Q316" s="8"/>
      <c r="R316" s="7"/>
      <c r="S316" s="7"/>
      <c r="T316" s="7"/>
      <c r="U316" s="107"/>
      <c r="V316" s="7"/>
      <c r="W316" s="10"/>
      <c r="X316" s="107"/>
      <c r="Y316" s="7"/>
      <c r="Z316" s="10"/>
      <c r="AA316" s="107"/>
      <c r="AB316" s="10"/>
      <c r="AC316" s="107"/>
      <c r="AD316" s="7"/>
      <c r="AE316" s="10"/>
      <c r="AF316" s="107"/>
      <c r="AG316" s="10"/>
      <c r="AH316" s="107"/>
      <c r="AI316" s="10"/>
      <c r="AJ316" s="107"/>
      <c r="AK316" s="10"/>
      <c r="AL316" s="107"/>
      <c r="AM316" s="10"/>
      <c r="AN316" s="10"/>
      <c r="AO316" s="10"/>
      <c r="AP316" s="8"/>
      <c r="AQ316" s="107"/>
      <c r="AR316" s="10"/>
      <c r="AS316" s="107"/>
      <c r="AT316" s="7"/>
      <c r="AU316" s="10"/>
      <c r="AV316" s="10"/>
      <c r="AW316" s="107"/>
      <c r="AX316" s="10"/>
      <c r="AY316" s="107"/>
      <c r="AZ316" s="10"/>
      <c r="BA316" s="107"/>
      <c r="BB316" s="107"/>
      <c r="BC316" s="107"/>
      <c r="BD316" s="10"/>
      <c r="BE316" s="107"/>
      <c r="BF316" s="10"/>
      <c r="BG316" s="10"/>
      <c r="BH316" s="10"/>
      <c r="BI316" s="107"/>
      <c r="BJ316" s="107"/>
      <c r="BK316" s="10"/>
      <c r="BL316" s="10"/>
      <c r="BM316" s="107"/>
      <c r="BN316" s="10"/>
      <c r="BO316" s="107"/>
      <c r="BP316" s="7"/>
      <c r="BQ316" s="10"/>
      <c r="BR316" s="107"/>
      <c r="BS316" s="10"/>
      <c r="BT316" s="107"/>
      <c r="BU316" s="107"/>
      <c r="BV316" s="107"/>
      <c r="BW316" s="107"/>
      <c r="BX316" s="107"/>
      <c r="BY316" s="10"/>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
      <c r="DL316" s="10"/>
      <c r="DM316" s="10"/>
      <c r="DN316" s="10"/>
      <c r="DO316" s="10"/>
      <c r="DP316" s="10"/>
      <c r="DQ316" s="10"/>
      <c r="DR316" s="10"/>
      <c r="DS316" s="10"/>
      <c r="DT316" s="10"/>
      <c r="DU316" s="10"/>
      <c r="DV316" s="10"/>
      <c r="DW316" s="10"/>
      <c r="DX316" s="10"/>
      <c r="DY316" s="10"/>
      <c r="DZ316" s="10"/>
      <c r="EA316" s="10"/>
      <c r="EB316" s="10"/>
      <c r="EC316" s="107"/>
      <c r="ED316" s="107"/>
      <c r="EE316" s="10"/>
      <c r="EF316" s="107"/>
      <c r="EG316" s="7"/>
      <c r="EH316" s="10"/>
      <c r="EI316" s="107"/>
      <c r="EJ316" s="107"/>
      <c r="EK316" s="107"/>
      <c r="EL316" s="107"/>
      <c r="EM316" s="107"/>
      <c r="EN316" s="107"/>
      <c r="EO316" s="107"/>
      <c r="EP316" s="107"/>
      <c r="EQ316" s="107"/>
      <c r="ER316" s="107"/>
      <c r="ES316" s="107"/>
      <c r="ET316" s="107"/>
      <c r="EU316" s="107"/>
      <c r="EV316" s="107"/>
      <c r="EW316" s="107"/>
      <c r="EX316" s="107"/>
      <c r="EY316" s="107"/>
      <c r="EZ316" s="107"/>
      <c r="FA316" s="107"/>
      <c r="FB316" s="107"/>
      <c r="FC316" s="107"/>
      <c r="FD316" s="107"/>
      <c r="FE316" s="107"/>
      <c r="FF316" s="107"/>
      <c r="FG316" s="107"/>
      <c r="FH316" s="107"/>
      <c r="FI316" s="107"/>
      <c r="FJ316" s="107"/>
      <c r="FK316" s="107"/>
      <c r="FL316" s="107"/>
      <c r="FM316" s="107"/>
      <c r="FN316" s="107"/>
      <c r="FO316" s="10"/>
      <c r="FP316" s="10"/>
      <c r="FQ316" s="10"/>
      <c r="FR316" s="10"/>
      <c r="FS316" s="10"/>
      <c r="FT316" s="10"/>
      <c r="FU316" s="10"/>
      <c r="FV316" s="10"/>
      <c r="FW316" s="10"/>
      <c r="FX316" s="10"/>
      <c r="FY316" s="8"/>
      <c r="FZ316" s="266"/>
      <c r="GA316" s="266"/>
    </row>
    <row r="317" spans="1:183" s="268" customFormat="1" x14ac:dyDescent="0.25">
      <c r="A317" s="107"/>
      <c r="B317" s="7"/>
      <c r="C317" s="7"/>
      <c r="D317" s="7"/>
      <c r="E317" s="7"/>
      <c r="F317" s="10"/>
      <c r="G317" s="107"/>
      <c r="H317" s="7"/>
      <c r="I317" s="10"/>
      <c r="J317" s="10"/>
      <c r="K317" s="10"/>
      <c r="L317" s="10"/>
      <c r="M317" s="10"/>
      <c r="N317" s="10"/>
      <c r="O317" s="10"/>
      <c r="P317" s="8"/>
      <c r="Q317" s="8"/>
      <c r="R317" s="7"/>
      <c r="S317" s="7"/>
      <c r="T317" s="7"/>
      <c r="U317" s="107"/>
      <c r="V317" s="7"/>
      <c r="W317" s="10"/>
      <c r="X317" s="107"/>
      <c r="Y317" s="7"/>
      <c r="Z317" s="10"/>
      <c r="AA317" s="107"/>
      <c r="AB317" s="10"/>
      <c r="AC317" s="107"/>
      <c r="AD317" s="7"/>
      <c r="AE317" s="10"/>
      <c r="AF317" s="107"/>
      <c r="AG317" s="10"/>
      <c r="AH317" s="107"/>
      <c r="AI317" s="10"/>
      <c r="AJ317" s="107"/>
      <c r="AK317" s="10"/>
      <c r="AL317" s="107"/>
      <c r="AM317" s="10"/>
      <c r="AN317" s="10"/>
      <c r="AO317" s="10"/>
      <c r="AP317" s="8"/>
      <c r="AQ317" s="107"/>
      <c r="AR317" s="10"/>
      <c r="AS317" s="107"/>
      <c r="AT317" s="7"/>
      <c r="AU317" s="10"/>
      <c r="AV317" s="10"/>
      <c r="AW317" s="107"/>
      <c r="AX317" s="10"/>
      <c r="AY317" s="107"/>
      <c r="AZ317" s="10"/>
      <c r="BA317" s="107"/>
      <c r="BB317" s="107"/>
      <c r="BC317" s="107"/>
      <c r="BD317" s="10"/>
      <c r="BE317" s="107"/>
      <c r="BF317" s="10"/>
      <c r="BG317" s="10"/>
      <c r="BH317" s="10"/>
      <c r="BI317" s="107"/>
      <c r="BJ317" s="107"/>
      <c r="BK317" s="10"/>
      <c r="BL317" s="10"/>
      <c r="BM317" s="107"/>
      <c r="BN317" s="10"/>
      <c r="BO317" s="107"/>
      <c r="BP317" s="7"/>
      <c r="BQ317" s="10"/>
      <c r="BR317" s="107"/>
      <c r="BS317" s="10"/>
      <c r="BT317" s="107"/>
      <c r="BU317" s="107"/>
      <c r="BV317" s="107"/>
      <c r="BW317" s="107"/>
      <c r="BX317" s="107"/>
      <c r="BY317" s="10"/>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
      <c r="DL317" s="10"/>
      <c r="DM317" s="10"/>
      <c r="DN317" s="10"/>
      <c r="DO317" s="10"/>
      <c r="DP317" s="10"/>
      <c r="DQ317" s="10"/>
      <c r="DR317" s="10"/>
      <c r="DS317" s="10"/>
      <c r="DT317" s="10"/>
      <c r="DU317" s="10"/>
      <c r="DV317" s="10"/>
      <c r="DW317" s="10"/>
      <c r="DX317" s="10"/>
      <c r="DY317" s="10"/>
      <c r="DZ317" s="10"/>
      <c r="EA317" s="10"/>
      <c r="EB317" s="10"/>
      <c r="EC317" s="107"/>
      <c r="ED317" s="107"/>
      <c r="EE317" s="10"/>
      <c r="EF317" s="107"/>
      <c r="EG317" s="7"/>
      <c r="EH317" s="10"/>
      <c r="EI317" s="107"/>
      <c r="EJ317" s="107"/>
      <c r="EK317" s="107"/>
      <c r="EL317" s="107"/>
      <c r="EM317" s="107"/>
      <c r="EN317" s="107"/>
      <c r="EO317" s="107"/>
      <c r="EP317" s="107"/>
      <c r="EQ317" s="107"/>
      <c r="ER317" s="107"/>
      <c r="ES317" s="107"/>
      <c r="ET317" s="107"/>
      <c r="EU317" s="107"/>
      <c r="EV317" s="107"/>
      <c r="EW317" s="107"/>
      <c r="EX317" s="107"/>
      <c r="EY317" s="107"/>
      <c r="EZ317" s="107"/>
      <c r="FA317" s="107"/>
      <c r="FB317" s="107"/>
      <c r="FC317" s="107"/>
      <c r="FD317" s="107"/>
      <c r="FE317" s="107"/>
      <c r="FF317" s="107"/>
      <c r="FG317" s="107"/>
      <c r="FH317" s="107"/>
      <c r="FI317" s="107"/>
      <c r="FJ317" s="107"/>
      <c r="FK317" s="107"/>
      <c r="FL317" s="107"/>
      <c r="FM317" s="107"/>
      <c r="FN317" s="107"/>
      <c r="FO317" s="10"/>
      <c r="FP317" s="10"/>
      <c r="FQ317" s="10"/>
      <c r="FR317" s="10"/>
      <c r="FS317" s="10"/>
      <c r="FT317" s="10"/>
      <c r="FU317" s="10"/>
      <c r="FV317" s="10"/>
      <c r="FW317" s="10"/>
      <c r="FX317" s="10"/>
      <c r="FY317" s="8"/>
      <c r="FZ317" s="266"/>
      <c r="GA317" s="266"/>
    </row>
    <row r="318" spans="1:183" s="268" customFormat="1" x14ac:dyDescent="0.25">
      <c r="A318" s="107"/>
      <c r="B318" s="7"/>
      <c r="C318" s="7"/>
      <c r="D318" s="7"/>
      <c r="E318" s="7"/>
      <c r="F318" s="10"/>
      <c r="G318" s="107"/>
      <c r="H318" s="7"/>
      <c r="I318" s="10"/>
      <c r="J318" s="10"/>
      <c r="K318" s="10"/>
      <c r="L318" s="10"/>
      <c r="M318" s="10"/>
      <c r="N318" s="10"/>
      <c r="O318" s="10"/>
      <c r="P318" s="8"/>
      <c r="Q318" s="8"/>
      <c r="R318" s="7"/>
      <c r="S318" s="7"/>
      <c r="T318" s="7"/>
      <c r="U318" s="107"/>
      <c r="V318" s="7"/>
      <c r="W318" s="10"/>
      <c r="X318" s="107"/>
      <c r="Y318" s="7"/>
      <c r="Z318" s="10"/>
      <c r="AA318" s="107"/>
      <c r="AB318" s="10"/>
      <c r="AC318" s="107"/>
      <c r="AD318" s="7"/>
      <c r="AE318" s="10"/>
      <c r="AF318" s="107"/>
      <c r="AG318" s="10"/>
      <c r="AH318" s="107"/>
      <c r="AI318" s="10"/>
      <c r="AJ318" s="107"/>
      <c r="AK318" s="10"/>
      <c r="AL318" s="107"/>
      <c r="AM318" s="10"/>
      <c r="AN318" s="10"/>
      <c r="AO318" s="10"/>
      <c r="AP318" s="8"/>
      <c r="AQ318" s="107"/>
      <c r="AR318" s="10"/>
      <c r="AS318" s="107"/>
      <c r="AT318" s="7"/>
      <c r="AU318" s="10"/>
      <c r="AV318" s="10"/>
      <c r="AW318" s="107"/>
      <c r="AX318" s="10"/>
      <c r="AY318" s="107"/>
      <c r="AZ318" s="10"/>
      <c r="BA318" s="107"/>
      <c r="BB318" s="107"/>
      <c r="BC318" s="107"/>
      <c r="BD318" s="10"/>
      <c r="BE318" s="107"/>
      <c r="BF318" s="10"/>
      <c r="BG318" s="10"/>
      <c r="BH318" s="10"/>
      <c r="BI318" s="107"/>
      <c r="BJ318" s="107"/>
      <c r="BK318" s="10"/>
      <c r="BL318" s="10"/>
      <c r="BM318" s="107"/>
      <c r="BN318" s="10"/>
      <c r="BO318" s="107"/>
      <c r="BP318" s="7"/>
      <c r="BQ318" s="10"/>
      <c r="BR318" s="107"/>
      <c r="BS318" s="10"/>
      <c r="BT318" s="107"/>
      <c r="BU318" s="107"/>
      <c r="BV318" s="107"/>
      <c r="BW318" s="107"/>
      <c r="BX318" s="107"/>
      <c r="BY318" s="10"/>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
      <c r="DL318" s="10"/>
      <c r="DM318" s="10"/>
      <c r="DN318" s="10"/>
      <c r="DO318" s="10"/>
      <c r="DP318" s="10"/>
      <c r="DQ318" s="10"/>
      <c r="DR318" s="10"/>
      <c r="DS318" s="10"/>
      <c r="DT318" s="10"/>
      <c r="DU318" s="10"/>
      <c r="DV318" s="10"/>
      <c r="DW318" s="10"/>
      <c r="DX318" s="10"/>
      <c r="DY318" s="10"/>
      <c r="DZ318" s="10"/>
      <c r="EA318" s="10"/>
      <c r="EB318" s="10"/>
      <c r="EC318" s="107"/>
      <c r="ED318" s="107"/>
      <c r="EE318" s="10"/>
      <c r="EF318" s="107"/>
      <c r="EG318" s="7"/>
      <c r="EH318" s="10"/>
      <c r="EI318" s="107"/>
      <c r="EJ318" s="107"/>
      <c r="EK318" s="107"/>
      <c r="EL318" s="107"/>
      <c r="EM318" s="107"/>
      <c r="EN318" s="107"/>
      <c r="EO318" s="107"/>
      <c r="EP318" s="107"/>
      <c r="EQ318" s="107"/>
      <c r="ER318" s="107"/>
      <c r="ES318" s="107"/>
      <c r="ET318" s="107"/>
      <c r="EU318" s="107"/>
      <c r="EV318" s="107"/>
      <c r="EW318" s="107"/>
      <c r="EX318" s="107"/>
      <c r="EY318" s="107"/>
      <c r="EZ318" s="107"/>
      <c r="FA318" s="107"/>
      <c r="FB318" s="107"/>
      <c r="FC318" s="107"/>
      <c r="FD318" s="107"/>
      <c r="FE318" s="107"/>
      <c r="FF318" s="107"/>
      <c r="FG318" s="107"/>
      <c r="FH318" s="107"/>
      <c r="FI318" s="107"/>
      <c r="FJ318" s="107"/>
      <c r="FK318" s="107"/>
      <c r="FL318" s="107"/>
      <c r="FM318" s="107"/>
      <c r="FN318" s="107"/>
      <c r="FO318" s="10"/>
      <c r="FP318" s="10"/>
      <c r="FQ318" s="10"/>
      <c r="FR318" s="10"/>
      <c r="FS318" s="10"/>
      <c r="FT318" s="10"/>
      <c r="FU318" s="10"/>
      <c r="FV318" s="10"/>
      <c r="FW318" s="10"/>
      <c r="FX318" s="10"/>
      <c r="FY318" s="8"/>
      <c r="FZ318" s="266"/>
      <c r="GA318" s="266"/>
    </row>
    <row r="319" spans="1:183" s="268" customFormat="1" x14ac:dyDescent="0.25">
      <c r="A319" s="107"/>
      <c r="B319" s="7"/>
      <c r="C319" s="7"/>
      <c r="D319" s="7"/>
      <c r="E319" s="7"/>
      <c r="F319" s="10"/>
      <c r="G319" s="107"/>
      <c r="H319" s="7"/>
      <c r="I319" s="10"/>
      <c r="J319" s="10"/>
      <c r="K319" s="10"/>
      <c r="L319" s="10"/>
      <c r="M319" s="10"/>
      <c r="N319" s="10"/>
      <c r="O319" s="10"/>
      <c r="P319" s="8"/>
      <c r="Q319" s="8"/>
      <c r="R319" s="7"/>
      <c r="S319" s="7"/>
      <c r="T319" s="7"/>
      <c r="U319" s="107"/>
      <c r="V319" s="7"/>
      <c r="W319" s="10"/>
      <c r="X319" s="107"/>
      <c r="Y319" s="7"/>
      <c r="Z319" s="10"/>
      <c r="AA319" s="107"/>
      <c r="AB319" s="10"/>
      <c r="AC319" s="107"/>
      <c r="AD319" s="7"/>
      <c r="AE319" s="10"/>
      <c r="AF319" s="107"/>
      <c r="AG319" s="10"/>
      <c r="AH319" s="107"/>
      <c r="AI319" s="10"/>
      <c r="AJ319" s="107"/>
      <c r="AK319" s="10"/>
      <c r="AL319" s="107"/>
      <c r="AM319" s="10"/>
      <c r="AN319" s="10"/>
      <c r="AO319" s="10"/>
      <c r="AP319" s="8"/>
      <c r="AQ319" s="107"/>
      <c r="AR319" s="10"/>
      <c r="AS319" s="107"/>
      <c r="AT319" s="7"/>
      <c r="AU319" s="10"/>
      <c r="AV319" s="10"/>
      <c r="AW319" s="107"/>
      <c r="AX319" s="10"/>
      <c r="AY319" s="107"/>
      <c r="AZ319" s="10"/>
      <c r="BA319" s="107"/>
      <c r="BB319" s="107"/>
      <c r="BC319" s="107"/>
      <c r="BD319" s="10"/>
      <c r="BE319" s="107"/>
      <c r="BF319" s="10"/>
      <c r="BG319" s="10"/>
      <c r="BH319" s="10"/>
      <c r="BI319" s="107"/>
      <c r="BJ319" s="107"/>
      <c r="BK319" s="10"/>
      <c r="BL319" s="10"/>
      <c r="BM319" s="107"/>
      <c r="BN319" s="10"/>
      <c r="BO319" s="107"/>
      <c r="BP319" s="7"/>
      <c r="BQ319" s="10"/>
      <c r="BR319" s="107"/>
      <c r="BS319" s="10"/>
      <c r="BT319" s="107"/>
      <c r="BU319" s="107"/>
      <c r="BV319" s="107"/>
      <c r="BW319" s="107"/>
      <c r="BX319" s="107"/>
      <c r="BY319" s="10"/>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
      <c r="DL319" s="10"/>
      <c r="DM319" s="10"/>
      <c r="DN319" s="10"/>
      <c r="DO319" s="10"/>
      <c r="DP319" s="10"/>
      <c r="DQ319" s="10"/>
      <c r="DR319" s="10"/>
      <c r="DS319" s="10"/>
      <c r="DT319" s="10"/>
      <c r="DU319" s="10"/>
      <c r="DV319" s="10"/>
      <c r="DW319" s="10"/>
      <c r="DX319" s="10"/>
      <c r="DY319" s="10"/>
      <c r="DZ319" s="10"/>
      <c r="EA319" s="10"/>
      <c r="EB319" s="10"/>
      <c r="EC319" s="107"/>
      <c r="ED319" s="107"/>
      <c r="EE319" s="10"/>
      <c r="EF319" s="107"/>
      <c r="EG319" s="7"/>
      <c r="EH319" s="10"/>
      <c r="EI319" s="107"/>
      <c r="EJ319" s="107"/>
      <c r="EK319" s="107"/>
      <c r="EL319" s="107"/>
      <c r="EM319" s="107"/>
      <c r="EN319" s="107"/>
      <c r="EO319" s="107"/>
      <c r="EP319" s="107"/>
      <c r="EQ319" s="107"/>
      <c r="ER319" s="107"/>
      <c r="ES319" s="107"/>
      <c r="ET319" s="107"/>
      <c r="EU319" s="107"/>
      <c r="EV319" s="107"/>
      <c r="EW319" s="107"/>
      <c r="EX319" s="107"/>
      <c r="EY319" s="107"/>
      <c r="EZ319" s="107"/>
      <c r="FA319" s="107"/>
      <c r="FB319" s="107"/>
      <c r="FC319" s="107"/>
      <c r="FD319" s="107"/>
      <c r="FE319" s="107"/>
      <c r="FF319" s="107"/>
      <c r="FG319" s="107"/>
      <c r="FH319" s="107"/>
      <c r="FI319" s="107"/>
      <c r="FJ319" s="107"/>
      <c r="FK319" s="107"/>
      <c r="FL319" s="107"/>
      <c r="FM319" s="107"/>
      <c r="FN319" s="107"/>
      <c r="FO319" s="10"/>
      <c r="FP319" s="10"/>
      <c r="FQ319" s="10"/>
      <c r="FR319" s="10"/>
      <c r="FS319" s="10"/>
      <c r="FT319" s="10"/>
      <c r="FU319" s="10"/>
      <c r="FV319" s="10"/>
      <c r="FW319" s="10"/>
      <c r="FX319" s="10"/>
      <c r="FY319" s="8"/>
      <c r="FZ319" s="266"/>
      <c r="GA319" s="266"/>
    </row>
    <row r="320" spans="1:183" s="268" customFormat="1" x14ac:dyDescent="0.25">
      <c r="A320" s="107"/>
      <c r="B320" s="7"/>
      <c r="C320" s="7"/>
      <c r="D320" s="7"/>
      <c r="E320" s="7"/>
      <c r="F320" s="10"/>
      <c r="G320" s="107"/>
      <c r="H320" s="7"/>
      <c r="I320" s="10"/>
      <c r="J320" s="10"/>
      <c r="K320" s="10"/>
      <c r="L320" s="10"/>
      <c r="M320" s="10"/>
      <c r="N320" s="10"/>
      <c r="O320" s="10"/>
      <c r="P320" s="8"/>
      <c r="Q320" s="8"/>
      <c r="R320" s="7"/>
      <c r="S320" s="7"/>
      <c r="T320" s="7"/>
      <c r="U320" s="107"/>
      <c r="V320" s="7"/>
      <c r="W320" s="10"/>
      <c r="X320" s="107"/>
      <c r="Y320" s="7"/>
      <c r="Z320" s="10"/>
      <c r="AA320" s="107"/>
      <c r="AB320" s="10"/>
      <c r="AC320" s="107"/>
      <c r="AD320" s="7"/>
      <c r="AE320" s="10"/>
      <c r="AF320" s="107"/>
      <c r="AG320" s="10"/>
      <c r="AH320" s="107"/>
      <c r="AI320" s="10"/>
      <c r="AJ320" s="107"/>
      <c r="AK320" s="10"/>
      <c r="AL320" s="107"/>
      <c r="AM320" s="10"/>
      <c r="AN320" s="10"/>
      <c r="AO320" s="10"/>
      <c r="AP320" s="8"/>
      <c r="AQ320" s="107"/>
      <c r="AR320" s="10"/>
      <c r="AS320" s="107"/>
      <c r="AT320" s="7"/>
      <c r="AU320" s="10"/>
      <c r="AV320" s="10"/>
      <c r="AW320" s="107"/>
      <c r="AX320" s="10"/>
      <c r="AY320" s="107"/>
      <c r="AZ320" s="10"/>
      <c r="BA320" s="107"/>
      <c r="BB320" s="107"/>
      <c r="BC320" s="107"/>
      <c r="BD320" s="10"/>
      <c r="BE320" s="107"/>
      <c r="BF320" s="10"/>
      <c r="BG320" s="10"/>
      <c r="BH320" s="10"/>
      <c r="BI320" s="107"/>
      <c r="BJ320" s="107"/>
      <c r="BK320" s="10"/>
      <c r="BL320" s="10"/>
      <c r="BM320" s="107"/>
      <c r="BN320" s="10"/>
      <c r="BO320" s="107"/>
      <c r="BP320" s="7"/>
      <c r="BQ320" s="10"/>
      <c r="BR320" s="107"/>
      <c r="BS320" s="10"/>
      <c r="BT320" s="107"/>
      <c r="BU320" s="107"/>
      <c r="BV320" s="107"/>
      <c r="BW320" s="107"/>
      <c r="BX320" s="107"/>
      <c r="BY320" s="10"/>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
      <c r="DL320" s="10"/>
      <c r="DM320" s="10"/>
      <c r="DN320" s="10"/>
      <c r="DO320" s="10"/>
      <c r="DP320" s="10"/>
      <c r="DQ320" s="10"/>
      <c r="DR320" s="10"/>
      <c r="DS320" s="10"/>
      <c r="DT320" s="10"/>
      <c r="DU320" s="10"/>
      <c r="DV320" s="10"/>
      <c r="DW320" s="10"/>
      <c r="DX320" s="10"/>
      <c r="DY320" s="10"/>
      <c r="DZ320" s="10"/>
      <c r="EA320" s="10"/>
      <c r="EB320" s="10"/>
      <c r="EC320" s="107"/>
      <c r="ED320" s="107"/>
      <c r="EE320" s="10"/>
      <c r="EF320" s="107"/>
      <c r="EG320" s="7"/>
      <c r="EH320" s="10"/>
      <c r="EI320" s="107"/>
      <c r="EJ320" s="107"/>
      <c r="EK320" s="107"/>
      <c r="EL320" s="107"/>
      <c r="EM320" s="107"/>
      <c r="EN320" s="107"/>
      <c r="EO320" s="107"/>
      <c r="EP320" s="107"/>
      <c r="EQ320" s="107"/>
      <c r="ER320" s="107"/>
      <c r="ES320" s="107"/>
      <c r="ET320" s="107"/>
      <c r="EU320" s="107"/>
      <c r="EV320" s="107"/>
      <c r="EW320" s="107"/>
      <c r="EX320" s="107"/>
      <c r="EY320" s="107"/>
      <c r="EZ320" s="107"/>
      <c r="FA320" s="107"/>
      <c r="FB320" s="107"/>
      <c r="FC320" s="107"/>
      <c r="FD320" s="107"/>
      <c r="FE320" s="107"/>
      <c r="FF320" s="107"/>
      <c r="FG320" s="107"/>
      <c r="FH320" s="107"/>
      <c r="FI320" s="107"/>
      <c r="FJ320" s="107"/>
      <c r="FK320" s="107"/>
      <c r="FL320" s="107"/>
      <c r="FM320" s="107"/>
      <c r="FN320" s="107"/>
      <c r="FO320" s="10"/>
      <c r="FP320" s="10"/>
      <c r="FQ320" s="10"/>
      <c r="FR320" s="10"/>
      <c r="FS320" s="10"/>
      <c r="FT320" s="10"/>
      <c r="FU320" s="10"/>
      <c r="FV320" s="10"/>
      <c r="FW320" s="10"/>
      <c r="FX320" s="10"/>
      <c r="FY320" s="8"/>
      <c r="FZ320" s="266"/>
      <c r="GA320" s="266"/>
    </row>
    <row r="321" spans="1:183" s="268" customFormat="1" x14ac:dyDescent="0.25">
      <c r="A321" s="107"/>
      <c r="B321" s="7"/>
      <c r="C321" s="7"/>
      <c r="D321" s="7"/>
      <c r="E321" s="7"/>
      <c r="F321" s="10"/>
      <c r="G321" s="107"/>
      <c r="H321" s="7"/>
      <c r="I321" s="10"/>
      <c r="J321" s="10"/>
      <c r="K321" s="10"/>
      <c r="L321" s="10"/>
      <c r="M321" s="10"/>
      <c r="N321" s="10"/>
      <c r="O321" s="10"/>
      <c r="P321" s="8"/>
      <c r="Q321" s="8"/>
      <c r="R321" s="7"/>
      <c r="S321" s="7"/>
      <c r="T321" s="7"/>
      <c r="U321" s="107"/>
      <c r="V321" s="7"/>
      <c r="W321" s="10"/>
      <c r="X321" s="107"/>
      <c r="Y321" s="7"/>
      <c r="Z321" s="10"/>
      <c r="AA321" s="107"/>
      <c r="AB321" s="10"/>
      <c r="AC321" s="107"/>
      <c r="AD321" s="7"/>
      <c r="AE321" s="10"/>
      <c r="AF321" s="107"/>
      <c r="AG321" s="10"/>
      <c r="AH321" s="107"/>
      <c r="AI321" s="10"/>
      <c r="AJ321" s="107"/>
      <c r="AK321" s="10"/>
      <c r="AL321" s="107"/>
      <c r="AM321" s="10"/>
      <c r="AN321" s="10"/>
      <c r="AO321" s="10"/>
      <c r="AP321" s="8"/>
      <c r="AQ321" s="107"/>
      <c r="AR321" s="10"/>
      <c r="AS321" s="107"/>
      <c r="AT321" s="7"/>
      <c r="AU321" s="10"/>
      <c r="AV321" s="10"/>
      <c r="AW321" s="107"/>
      <c r="AX321" s="10"/>
      <c r="AY321" s="107"/>
      <c r="AZ321" s="10"/>
      <c r="BA321" s="107"/>
      <c r="BB321" s="107"/>
      <c r="BC321" s="107"/>
      <c r="BD321" s="10"/>
      <c r="BE321" s="107"/>
      <c r="BF321" s="10"/>
      <c r="BG321" s="10"/>
      <c r="BH321" s="10"/>
      <c r="BI321" s="107"/>
      <c r="BJ321" s="107"/>
      <c r="BK321" s="10"/>
      <c r="BL321" s="10"/>
      <c r="BM321" s="107"/>
      <c r="BN321" s="10"/>
      <c r="BO321" s="107"/>
      <c r="BP321" s="7"/>
      <c r="BQ321" s="10"/>
      <c r="BR321" s="107"/>
      <c r="BS321" s="10"/>
      <c r="BT321" s="107"/>
      <c r="BU321" s="107"/>
      <c r="BV321" s="107"/>
      <c r="BW321" s="107"/>
      <c r="BX321" s="107"/>
      <c r="BY321" s="10"/>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
      <c r="DL321" s="10"/>
      <c r="DM321" s="10"/>
      <c r="DN321" s="10"/>
      <c r="DO321" s="10"/>
      <c r="DP321" s="10"/>
      <c r="DQ321" s="10"/>
      <c r="DR321" s="10"/>
      <c r="DS321" s="10"/>
      <c r="DT321" s="10"/>
      <c r="DU321" s="10"/>
      <c r="DV321" s="10"/>
      <c r="DW321" s="10"/>
      <c r="DX321" s="10"/>
      <c r="DY321" s="10"/>
      <c r="DZ321" s="10"/>
      <c r="EA321" s="10"/>
      <c r="EB321" s="10"/>
      <c r="EC321" s="107"/>
      <c r="ED321" s="107"/>
      <c r="EE321" s="10"/>
      <c r="EF321" s="107"/>
      <c r="EG321" s="7"/>
      <c r="EH321" s="10"/>
      <c r="EI321" s="107"/>
      <c r="EJ321" s="107"/>
      <c r="EK321" s="107"/>
      <c r="EL321" s="107"/>
      <c r="EM321" s="107"/>
      <c r="EN321" s="107"/>
      <c r="EO321" s="107"/>
      <c r="EP321" s="107"/>
      <c r="EQ321" s="107"/>
      <c r="ER321" s="107"/>
      <c r="ES321" s="107"/>
      <c r="ET321" s="107"/>
      <c r="EU321" s="107"/>
      <c r="EV321" s="107"/>
      <c r="EW321" s="107"/>
      <c r="EX321" s="107"/>
      <c r="EY321" s="107"/>
      <c r="EZ321" s="107"/>
      <c r="FA321" s="107"/>
      <c r="FB321" s="107"/>
      <c r="FC321" s="107"/>
      <c r="FD321" s="107"/>
      <c r="FE321" s="107"/>
      <c r="FF321" s="107"/>
      <c r="FG321" s="107"/>
      <c r="FH321" s="107"/>
      <c r="FI321" s="107"/>
      <c r="FJ321" s="107"/>
      <c r="FK321" s="107"/>
      <c r="FL321" s="107"/>
      <c r="FM321" s="107"/>
      <c r="FN321" s="107"/>
      <c r="FO321" s="10"/>
      <c r="FP321" s="10"/>
      <c r="FQ321" s="10"/>
      <c r="FR321" s="10"/>
      <c r="FS321" s="10"/>
      <c r="FT321" s="10"/>
      <c r="FU321" s="10"/>
      <c r="FV321" s="10"/>
      <c r="FW321" s="10"/>
      <c r="FX321" s="10"/>
      <c r="FY321" s="8"/>
      <c r="FZ321" s="266"/>
      <c r="GA321" s="266"/>
    </row>
    <row r="322" spans="1:183" s="268" customFormat="1" x14ac:dyDescent="0.25">
      <c r="A322" s="107"/>
      <c r="B322" s="7"/>
      <c r="C322" s="7"/>
      <c r="D322" s="7"/>
      <c r="E322" s="7"/>
      <c r="F322" s="10"/>
      <c r="G322" s="107"/>
      <c r="H322" s="7"/>
      <c r="I322" s="10"/>
      <c r="J322" s="10"/>
      <c r="K322" s="10"/>
      <c r="L322" s="10"/>
      <c r="M322" s="10"/>
      <c r="N322" s="10"/>
      <c r="O322" s="10"/>
      <c r="P322" s="8"/>
      <c r="Q322" s="8"/>
      <c r="R322" s="7"/>
      <c r="S322" s="7"/>
      <c r="T322" s="7"/>
      <c r="U322" s="107"/>
      <c r="V322" s="7"/>
      <c r="W322" s="10"/>
      <c r="X322" s="107"/>
      <c r="Y322" s="7"/>
      <c r="Z322" s="10"/>
      <c r="AA322" s="107"/>
      <c r="AB322" s="10"/>
      <c r="AC322" s="107"/>
      <c r="AD322" s="7"/>
      <c r="AE322" s="10"/>
      <c r="AF322" s="107"/>
      <c r="AG322" s="10"/>
      <c r="AH322" s="107"/>
      <c r="AI322" s="10"/>
      <c r="AJ322" s="107"/>
      <c r="AK322" s="10"/>
      <c r="AL322" s="107"/>
      <c r="AM322" s="10"/>
      <c r="AN322" s="10"/>
      <c r="AO322" s="10"/>
      <c r="AP322" s="8"/>
      <c r="AQ322" s="107"/>
      <c r="AR322" s="10"/>
      <c r="AS322" s="107"/>
      <c r="AT322" s="7"/>
      <c r="AU322" s="10"/>
      <c r="AV322" s="10"/>
      <c r="AW322" s="107"/>
      <c r="AX322" s="10"/>
      <c r="AY322" s="107"/>
      <c r="AZ322" s="10"/>
      <c r="BA322" s="107"/>
      <c r="BB322" s="107"/>
      <c r="BC322" s="107"/>
      <c r="BD322" s="10"/>
      <c r="BE322" s="107"/>
      <c r="BF322" s="10"/>
      <c r="BG322" s="10"/>
      <c r="BH322" s="10"/>
      <c r="BI322" s="107"/>
      <c r="BJ322" s="107"/>
      <c r="BK322" s="10"/>
      <c r="BL322" s="10"/>
      <c r="BM322" s="107"/>
      <c r="BN322" s="10"/>
      <c r="BO322" s="107"/>
      <c r="BP322" s="7"/>
      <c r="BQ322" s="10"/>
      <c r="BR322" s="107"/>
      <c r="BS322" s="10"/>
      <c r="BT322" s="107"/>
      <c r="BU322" s="107"/>
      <c r="BV322" s="107"/>
      <c r="BW322" s="107"/>
      <c r="BX322" s="107"/>
      <c r="BY322" s="10"/>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
      <c r="DL322" s="10"/>
      <c r="DM322" s="10"/>
      <c r="DN322" s="10"/>
      <c r="DO322" s="10"/>
      <c r="DP322" s="10"/>
      <c r="DQ322" s="10"/>
      <c r="DR322" s="10"/>
      <c r="DS322" s="10"/>
      <c r="DT322" s="10"/>
      <c r="DU322" s="10"/>
      <c r="DV322" s="10"/>
      <c r="DW322" s="10"/>
      <c r="DX322" s="10"/>
      <c r="DY322" s="10"/>
      <c r="DZ322" s="10"/>
      <c r="EA322" s="10"/>
      <c r="EB322" s="10"/>
      <c r="EC322" s="107"/>
      <c r="ED322" s="107"/>
      <c r="EE322" s="10"/>
      <c r="EF322" s="107"/>
      <c r="EG322" s="7"/>
      <c r="EH322" s="10"/>
      <c r="EI322" s="107"/>
      <c r="EJ322" s="107"/>
      <c r="EK322" s="107"/>
      <c r="EL322" s="107"/>
      <c r="EM322" s="107"/>
      <c r="EN322" s="107"/>
      <c r="EO322" s="107"/>
      <c r="EP322" s="107"/>
      <c r="EQ322" s="107"/>
      <c r="ER322" s="107"/>
      <c r="ES322" s="107"/>
      <c r="ET322" s="107"/>
      <c r="EU322" s="107"/>
      <c r="EV322" s="107"/>
      <c r="EW322" s="107"/>
      <c r="EX322" s="107"/>
      <c r="EY322" s="107"/>
      <c r="EZ322" s="107"/>
      <c r="FA322" s="107"/>
      <c r="FB322" s="107"/>
      <c r="FC322" s="107"/>
      <c r="FD322" s="107"/>
      <c r="FE322" s="107"/>
      <c r="FF322" s="107"/>
      <c r="FG322" s="107"/>
      <c r="FH322" s="107"/>
      <c r="FI322" s="107"/>
      <c r="FJ322" s="107"/>
      <c r="FK322" s="107"/>
      <c r="FL322" s="107"/>
      <c r="FM322" s="107"/>
      <c r="FN322" s="107"/>
      <c r="FO322" s="10"/>
      <c r="FP322" s="10"/>
      <c r="FQ322" s="10"/>
      <c r="FR322" s="10"/>
      <c r="FS322" s="10"/>
      <c r="FT322" s="10"/>
      <c r="FU322" s="10"/>
      <c r="FV322" s="10"/>
      <c r="FW322" s="10"/>
      <c r="FX322" s="10"/>
      <c r="FY322" s="8"/>
      <c r="FZ322" s="266"/>
      <c r="GA322" s="266"/>
    </row>
    <row r="323" spans="1:183" s="268" customFormat="1" x14ac:dyDescent="0.25">
      <c r="A323" s="107"/>
      <c r="B323" s="7"/>
      <c r="C323" s="7"/>
      <c r="D323" s="7"/>
      <c r="E323" s="7"/>
      <c r="F323" s="10"/>
      <c r="G323" s="107"/>
      <c r="H323" s="7"/>
      <c r="I323" s="10"/>
      <c r="J323" s="10"/>
      <c r="K323" s="10"/>
      <c r="L323" s="10"/>
      <c r="M323" s="10"/>
      <c r="N323" s="10"/>
      <c r="O323" s="10"/>
      <c r="P323" s="8"/>
      <c r="Q323" s="8"/>
      <c r="R323" s="7"/>
      <c r="S323" s="7"/>
      <c r="T323" s="7"/>
      <c r="U323" s="107"/>
      <c r="V323" s="7"/>
      <c r="W323" s="10"/>
      <c r="X323" s="107"/>
      <c r="Y323" s="7"/>
      <c r="Z323" s="10"/>
      <c r="AA323" s="107"/>
      <c r="AB323" s="10"/>
      <c r="AC323" s="107"/>
      <c r="AD323" s="7"/>
      <c r="AE323" s="10"/>
      <c r="AF323" s="107"/>
      <c r="AG323" s="10"/>
      <c r="AH323" s="107"/>
      <c r="AI323" s="10"/>
      <c r="AJ323" s="107"/>
      <c r="AK323" s="10"/>
      <c r="AL323" s="107"/>
      <c r="AM323" s="10"/>
      <c r="AN323" s="10"/>
      <c r="AO323" s="10"/>
      <c r="AP323" s="8"/>
      <c r="AQ323" s="107"/>
      <c r="AR323" s="10"/>
      <c r="AS323" s="107"/>
      <c r="AT323" s="7"/>
      <c r="AU323" s="10"/>
      <c r="AV323" s="10"/>
      <c r="AW323" s="107"/>
      <c r="AX323" s="10"/>
      <c r="AY323" s="107"/>
      <c r="AZ323" s="10"/>
      <c r="BA323" s="107"/>
      <c r="BB323" s="107"/>
      <c r="BC323" s="107"/>
      <c r="BD323" s="10"/>
      <c r="BE323" s="107"/>
      <c r="BF323" s="10"/>
      <c r="BG323" s="10"/>
      <c r="BH323" s="10"/>
      <c r="BI323" s="107"/>
      <c r="BJ323" s="107"/>
      <c r="BK323" s="10"/>
      <c r="BL323" s="10"/>
      <c r="BM323" s="107"/>
      <c r="BN323" s="10"/>
      <c r="BO323" s="107"/>
      <c r="BP323" s="7"/>
      <c r="BQ323" s="10"/>
      <c r="BR323" s="107"/>
      <c r="BS323" s="10"/>
      <c r="BT323" s="107"/>
      <c r="BU323" s="107"/>
      <c r="BV323" s="107"/>
      <c r="BW323" s="107"/>
      <c r="BX323" s="107"/>
      <c r="BY323" s="10"/>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
      <c r="DL323" s="10"/>
      <c r="DM323" s="10"/>
      <c r="DN323" s="10"/>
      <c r="DO323" s="10"/>
      <c r="DP323" s="10"/>
      <c r="DQ323" s="10"/>
      <c r="DR323" s="10"/>
      <c r="DS323" s="10"/>
      <c r="DT323" s="10"/>
      <c r="DU323" s="10"/>
      <c r="DV323" s="10"/>
      <c r="DW323" s="10"/>
      <c r="DX323" s="10"/>
      <c r="DY323" s="10"/>
      <c r="DZ323" s="10"/>
      <c r="EA323" s="10"/>
      <c r="EB323" s="10"/>
      <c r="EC323" s="107"/>
      <c r="ED323" s="107"/>
      <c r="EE323" s="10"/>
      <c r="EF323" s="107"/>
      <c r="EG323" s="7"/>
      <c r="EH323" s="10"/>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107"/>
      <c r="FO323" s="10"/>
      <c r="FP323" s="10"/>
      <c r="FQ323" s="10"/>
      <c r="FR323" s="10"/>
      <c r="FS323" s="10"/>
      <c r="FT323" s="10"/>
      <c r="FU323" s="10"/>
      <c r="FV323" s="10"/>
      <c r="FW323" s="10"/>
      <c r="FX323" s="10"/>
      <c r="FY323" s="8"/>
      <c r="FZ323" s="266"/>
      <c r="GA323" s="266"/>
    </row>
    <row r="324" spans="1:183" s="268" customFormat="1" x14ac:dyDescent="0.25">
      <c r="A324" s="107"/>
      <c r="B324" s="7"/>
      <c r="C324" s="7"/>
      <c r="D324" s="7"/>
      <c r="E324" s="7"/>
      <c r="F324" s="10"/>
      <c r="G324" s="107"/>
      <c r="H324" s="7"/>
      <c r="I324" s="10"/>
      <c r="J324" s="10"/>
      <c r="K324" s="10"/>
      <c r="L324" s="10"/>
      <c r="M324" s="10"/>
      <c r="N324" s="10"/>
      <c r="O324" s="10"/>
      <c r="P324" s="8"/>
      <c r="Q324" s="8"/>
      <c r="R324" s="7"/>
      <c r="S324" s="7"/>
      <c r="T324" s="7"/>
      <c r="U324" s="107"/>
      <c r="V324" s="7"/>
      <c r="W324" s="10"/>
      <c r="X324" s="107"/>
      <c r="Y324" s="7"/>
      <c r="Z324" s="10"/>
      <c r="AA324" s="107"/>
      <c r="AB324" s="10"/>
      <c r="AC324" s="107"/>
      <c r="AD324" s="7"/>
      <c r="AE324" s="10"/>
      <c r="AF324" s="107"/>
      <c r="AG324" s="10"/>
      <c r="AH324" s="107"/>
      <c r="AI324" s="10"/>
      <c r="AJ324" s="107"/>
      <c r="AK324" s="10"/>
      <c r="AL324" s="107"/>
      <c r="AM324" s="10"/>
      <c r="AN324" s="10"/>
      <c r="AO324" s="10"/>
      <c r="AP324" s="8"/>
      <c r="AQ324" s="107"/>
      <c r="AR324" s="10"/>
      <c r="AS324" s="107"/>
      <c r="AT324" s="7"/>
      <c r="AU324" s="10"/>
      <c r="AV324" s="10"/>
      <c r="AW324" s="107"/>
      <c r="AX324" s="10"/>
      <c r="AY324" s="107"/>
      <c r="AZ324" s="10"/>
      <c r="BA324" s="107"/>
      <c r="BB324" s="107"/>
      <c r="BC324" s="107"/>
      <c r="BD324" s="10"/>
      <c r="BE324" s="107"/>
      <c r="BF324" s="10"/>
      <c r="BG324" s="10"/>
      <c r="BH324" s="10"/>
      <c r="BI324" s="107"/>
      <c r="BJ324" s="107"/>
      <c r="BK324" s="10"/>
      <c r="BL324" s="10"/>
      <c r="BM324" s="107"/>
      <c r="BN324" s="10"/>
      <c r="BO324" s="107"/>
      <c r="BP324" s="7"/>
      <c r="BQ324" s="10"/>
      <c r="BR324" s="107"/>
      <c r="BS324" s="10"/>
      <c r="BT324" s="107"/>
      <c r="BU324" s="107"/>
      <c r="BV324" s="107"/>
      <c r="BW324" s="107"/>
      <c r="BX324" s="107"/>
      <c r="BY324" s="10"/>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
      <c r="DL324" s="10"/>
      <c r="DM324" s="10"/>
      <c r="DN324" s="10"/>
      <c r="DO324" s="10"/>
      <c r="DP324" s="10"/>
      <c r="DQ324" s="10"/>
      <c r="DR324" s="10"/>
      <c r="DS324" s="10"/>
      <c r="DT324" s="10"/>
      <c r="DU324" s="10"/>
      <c r="DV324" s="10"/>
      <c r="DW324" s="10"/>
      <c r="DX324" s="10"/>
      <c r="DY324" s="10"/>
      <c r="DZ324" s="10"/>
      <c r="EA324" s="10"/>
      <c r="EB324" s="10"/>
      <c r="EC324" s="107"/>
      <c r="ED324" s="107"/>
      <c r="EE324" s="10"/>
      <c r="EF324" s="107"/>
      <c r="EG324" s="7"/>
      <c r="EH324" s="10"/>
      <c r="EI324" s="107"/>
      <c r="EJ324" s="107"/>
      <c r="EK324" s="107"/>
      <c r="EL324" s="107"/>
      <c r="EM324" s="107"/>
      <c r="EN324" s="107"/>
      <c r="EO324" s="107"/>
      <c r="EP324" s="107"/>
      <c r="EQ324" s="107"/>
      <c r="ER324" s="107"/>
      <c r="ES324" s="107"/>
      <c r="ET324" s="107"/>
      <c r="EU324" s="107"/>
      <c r="EV324" s="107"/>
      <c r="EW324" s="107"/>
      <c r="EX324" s="107"/>
      <c r="EY324" s="107"/>
      <c r="EZ324" s="107"/>
      <c r="FA324" s="107"/>
      <c r="FB324" s="107"/>
      <c r="FC324" s="107"/>
      <c r="FD324" s="107"/>
      <c r="FE324" s="107"/>
      <c r="FF324" s="107"/>
      <c r="FG324" s="107"/>
      <c r="FH324" s="107"/>
      <c r="FI324" s="107"/>
      <c r="FJ324" s="107"/>
      <c r="FK324" s="107"/>
      <c r="FL324" s="107"/>
      <c r="FM324" s="107"/>
      <c r="FN324" s="107"/>
      <c r="FO324" s="10"/>
      <c r="FP324" s="10"/>
      <c r="FQ324" s="10"/>
      <c r="FR324" s="10"/>
      <c r="FS324" s="10"/>
      <c r="FT324" s="10"/>
      <c r="FU324" s="10"/>
      <c r="FV324" s="10"/>
      <c r="FW324" s="10"/>
      <c r="FX324" s="10"/>
      <c r="FY324" s="8"/>
      <c r="FZ324" s="266"/>
      <c r="GA324" s="266"/>
    </row>
    <row r="325" spans="1:183" s="268" customFormat="1" x14ac:dyDescent="0.25">
      <c r="A325" s="107"/>
      <c r="B325" s="7"/>
      <c r="C325" s="7"/>
      <c r="D325" s="7"/>
      <c r="E325" s="7"/>
      <c r="F325" s="10"/>
      <c r="G325" s="107"/>
      <c r="H325" s="7"/>
      <c r="I325" s="10"/>
      <c r="J325" s="10"/>
      <c r="K325" s="10"/>
      <c r="L325" s="10"/>
      <c r="M325" s="10"/>
      <c r="N325" s="10"/>
      <c r="O325" s="10"/>
      <c r="P325" s="8"/>
      <c r="Q325" s="8"/>
      <c r="R325" s="7"/>
      <c r="S325" s="7"/>
      <c r="T325" s="7"/>
      <c r="U325" s="107"/>
      <c r="V325" s="7"/>
      <c r="W325" s="10"/>
      <c r="X325" s="107"/>
      <c r="Y325" s="7"/>
      <c r="Z325" s="10"/>
      <c r="AA325" s="107"/>
      <c r="AB325" s="10"/>
      <c r="AC325" s="107"/>
      <c r="AD325" s="7"/>
      <c r="AE325" s="10"/>
      <c r="AF325" s="107"/>
      <c r="AG325" s="10"/>
      <c r="AH325" s="107"/>
      <c r="AI325" s="10"/>
      <c r="AJ325" s="107"/>
      <c r="AK325" s="10"/>
      <c r="AL325" s="107"/>
      <c r="AM325" s="10"/>
      <c r="AN325" s="10"/>
      <c r="AO325" s="10"/>
      <c r="AP325" s="8"/>
      <c r="AQ325" s="107"/>
      <c r="AR325" s="10"/>
      <c r="AS325" s="107"/>
      <c r="AT325" s="7"/>
      <c r="AU325" s="10"/>
      <c r="AV325" s="10"/>
      <c r="AW325" s="107"/>
      <c r="AX325" s="10"/>
      <c r="AY325" s="107"/>
      <c r="AZ325" s="10"/>
      <c r="BA325" s="107"/>
      <c r="BB325" s="107"/>
      <c r="BC325" s="107"/>
      <c r="BD325" s="10"/>
      <c r="BE325" s="107"/>
      <c r="BF325" s="10"/>
      <c r="BG325" s="10"/>
      <c r="BH325" s="10"/>
      <c r="BI325" s="107"/>
      <c r="BJ325" s="107"/>
      <c r="BK325" s="10"/>
      <c r="BL325" s="10"/>
      <c r="BM325" s="107"/>
      <c r="BN325" s="10"/>
      <c r="BO325" s="107"/>
      <c r="BP325" s="7"/>
      <c r="BQ325" s="10"/>
      <c r="BR325" s="107"/>
      <c r="BS325" s="10"/>
      <c r="BT325" s="107"/>
      <c r="BU325" s="107"/>
      <c r="BV325" s="107"/>
      <c r="BW325" s="107"/>
      <c r="BX325" s="107"/>
      <c r="BY325" s="10"/>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
      <c r="DL325" s="10"/>
      <c r="DM325" s="10"/>
      <c r="DN325" s="10"/>
      <c r="DO325" s="10"/>
      <c r="DP325" s="10"/>
      <c r="DQ325" s="10"/>
      <c r="DR325" s="10"/>
      <c r="DS325" s="10"/>
      <c r="DT325" s="10"/>
      <c r="DU325" s="10"/>
      <c r="DV325" s="10"/>
      <c r="DW325" s="10"/>
      <c r="DX325" s="10"/>
      <c r="DY325" s="10"/>
      <c r="DZ325" s="10"/>
      <c r="EA325" s="10"/>
      <c r="EB325" s="10"/>
      <c r="EC325" s="107"/>
      <c r="ED325" s="107"/>
      <c r="EE325" s="10"/>
      <c r="EF325" s="107"/>
      <c r="EG325" s="7"/>
      <c r="EH325" s="10"/>
      <c r="EI325" s="107"/>
      <c r="EJ325" s="107"/>
      <c r="EK325" s="107"/>
      <c r="EL325" s="107"/>
      <c r="EM325" s="107"/>
      <c r="EN325" s="107"/>
      <c r="EO325" s="107"/>
      <c r="EP325" s="107"/>
      <c r="EQ325" s="107"/>
      <c r="ER325" s="107"/>
      <c r="ES325" s="107"/>
      <c r="ET325" s="107"/>
      <c r="EU325" s="107"/>
      <c r="EV325" s="107"/>
      <c r="EW325" s="107"/>
      <c r="EX325" s="107"/>
      <c r="EY325" s="107"/>
      <c r="EZ325" s="107"/>
      <c r="FA325" s="107"/>
      <c r="FB325" s="107"/>
      <c r="FC325" s="107"/>
      <c r="FD325" s="107"/>
      <c r="FE325" s="107"/>
      <c r="FF325" s="107"/>
      <c r="FG325" s="107"/>
      <c r="FH325" s="107"/>
      <c r="FI325" s="107"/>
      <c r="FJ325" s="107"/>
      <c r="FK325" s="107"/>
      <c r="FL325" s="107"/>
      <c r="FM325" s="107"/>
      <c r="FN325" s="107"/>
      <c r="FO325" s="10"/>
      <c r="FP325" s="10"/>
      <c r="FQ325" s="10"/>
      <c r="FR325" s="10"/>
      <c r="FS325" s="10"/>
      <c r="FT325" s="10"/>
      <c r="FU325" s="10"/>
      <c r="FV325" s="10"/>
      <c r="FW325" s="10"/>
      <c r="FX325" s="10"/>
      <c r="FY325" s="8"/>
      <c r="FZ325" s="266"/>
      <c r="GA325" s="266"/>
    </row>
    <row r="326" spans="1:183" s="268" customFormat="1" x14ac:dyDescent="0.25">
      <c r="A326" s="107"/>
      <c r="B326" s="7"/>
      <c r="C326" s="7"/>
      <c r="D326" s="7"/>
      <c r="E326" s="7"/>
      <c r="F326" s="10"/>
      <c r="G326" s="107"/>
      <c r="H326" s="7"/>
      <c r="I326" s="10"/>
      <c r="J326" s="10"/>
      <c r="K326" s="10"/>
      <c r="L326" s="10"/>
      <c r="M326" s="10"/>
      <c r="N326" s="10"/>
      <c r="O326" s="10"/>
      <c r="P326" s="8"/>
      <c r="Q326" s="8"/>
      <c r="R326" s="7"/>
      <c r="S326" s="7"/>
      <c r="T326" s="7"/>
      <c r="U326" s="107"/>
      <c r="V326" s="7"/>
      <c r="W326" s="10"/>
      <c r="X326" s="107"/>
      <c r="Y326" s="7"/>
      <c r="Z326" s="10"/>
      <c r="AA326" s="107"/>
      <c r="AB326" s="10"/>
      <c r="AC326" s="107"/>
      <c r="AD326" s="7"/>
      <c r="AE326" s="10"/>
      <c r="AF326" s="107"/>
      <c r="AG326" s="10"/>
      <c r="AH326" s="107"/>
      <c r="AI326" s="10"/>
      <c r="AJ326" s="107"/>
      <c r="AK326" s="10"/>
      <c r="AL326" s="107"/>
      <c r="AM326" s="10"/>
      <c r="AN326" s="10"/>
      <c r="AO326" s="10"/>
      <c r="AP326" s="8"/>
      <c r="AQ326" s="107"/>
      <c r="AR326" s="10"/>
      <c r="AS326" s="107"/>
      <c r="AT326" s="7"/>
      <c r="AU326" s="10"/>
      <c r="AV326" s="10"/>
      <c r="AW326" s="107"/>
      <c r="AX326" s="10"/>
      <c r="AY326" s="107"/>
      <c r="AZ326" s="10"/>
      <c r="BA326" s="107"/>
      <c r="BB326" s="107"/>
      <c r="BC326" s="107"/>
      <c r="BD326" s="10"/>
      <c r="BE326" s="107"/>
      <c r="BF326" s="10"/>
      <c r="BG326" s="10"/>
      <c r="BH326" s="10"/>
      <c r="BI326" s="107"/>
      <c r="BJ326" s="107"/>
      <c r="BK326" s="10"/>
      <c r="BL326" s="10"/>
      <c r="BM326" s="107"/>
      <c r="BN326" s="10"/>
      <c r="BO326" s="107"/>
      <c r="BP326" s="7"/>
      <c r="BQ326" s="10"/>
      <c r="BR326" s="107"/>
      <c r="BS326" s="10"/>
      <c r="BT326" s="107"/>
      <c r="BU326" s="107"/>
      <c r="BV326" s="107"/>
      <c r="BW326" s="107"/>
      <c r="BX326" s="107"/>
      <c r="BY326" s="10"/>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
      <c r="DL326" s="10"/>
      <c r="DM326" s="10"/>
      <c r="DN326" s="10"/>
      <c r="DO326" s="10"/>
      <c r="DP326" s="10"/>
      <c r="DQ326" s="10"/>
      <c r="DR326" s="10"/>
      <c r="DS326" s="10"/>
      <c r="DT326" s="10"/>
      <c r="DU326" s="10"/>
      <c r="DV326" s="10"/>
      <c r="DW326" s="10"/>
      <c r="DX326" s="10"/>
      <c r="DY326" s="10"/>
      <c r="DZ326" s="10"/>
      <c r="EA326" s="10"/>
      <c r="EB326" s="10"/>
      <c r="EC326" s="107"/>
      <c r="ED326" s="107"/>
      <c r="EE326" s="10"/>
      <c r="EF326" s="107"/>
      <c r="EG326" s="7"/>
      <c r="EH326" s="10"/>
      <c r="EI326" s="107"/>
      <c r="EJ326" s="107"/>
      <c r="EK326" s="107"/>
      <c r="EL326" s="107"/>
      <c r="EM326" s="107"/>
      <c r="EN326" s="107"/>
      <c r="EO326" s="107"/>
      <c r="EP326" s="107"/>
      <c r="EQ326" s="107"/>
      <c r="ER326" s="107"/>
      <c r="ES326" s="107"/>
      <c r="ET326" s="107"/>
      <c r="EU326" s="107"/>
      <c r="EV326" s="107"/>
      <c r="EW326" s="107"/>
      <c r="EX326" s="107"/>
      <c r="EY326" s="107"/>
      <c r="EZ326" s="107"/>
      <c r="FA326" s="107"/>
      <c r="FB326" s="107"/>
      <c r="FC326" s="107"/>
      <c r="FD326" s="107"/>
      <c r="FE326" s="107"/>
      <c r="FF326" s="107"/>
      <c r="FG326" s="107"/>
      <c r="FH326" s="107"/>
      <c r="FI326" s="107"/>
      <c r="FJ326" s="107"/>
      <c r="FK326" s="107"/>
      <c r="FL326" s="107"/>
      <c r="FM326" s="107"/>
      <c r="FN326" s="107"/>
      <c r="FO326" s="10"/>
      <c r="FP326" s="10"/>
      <c r="FQ326" s="10"/>
      <c r="FR326" s="10"/>
      <c r="FS326" s="10"/>
      <c r="FT326" s="10"/>
      <c r="FU326" s="10"/>
      <c r="FV326" s="10"/>
      <c r="FW326" s="10"/>
      <c r="FX326" s="10"/>
      <c r="FY326" s="8"/>
      <c r="FZ326" s="266"/>
      <c r="GA326" s="266"/>
    </row>
    <row r="327" spans="1:183" s="268" customFormat="1" x14ac:dyDescent="0.25">
      <c r="A327" s="107"/>
      <c r="B327" s="7"/>
      <c r="C327" s="7"/>
      <c r="D327" s="7"/>
      <c r="E327" s="7"/>
      <c r="F327" s="10"/>
      <c r="G327" s="107"/>
      <c r="H327" s="7"/>
      <c r="I327" s="10"/>
      <c r="J327" s="10"/>
      <c r="K327" s="10"/>
      <c r="L327" s="10"/>
      <c r="M327" s="10"/>
      <c r="N327" s="10"/>
      <c r="O327" s="10"/>
      <c r="P327" s="8"/>
      <c r="Q327" s="8"/>
      <c r="R327" s="7"/>
      <c r="S327" s="7"/>
      <c r="T327" s="7"/>
      <c r="U327" s="107"/>
      <c r="V327" s="7"/>
      <c r="W327" s="10"/>
      <c r="X327" s="107"/>
      <c r="Y327" s="7"/>
      <c r="Z327" s="10"/>
      <c r="AA327" s="107"/>
      <c r="AB327" s="10"/>
      <c r="AC327" s="107"/>
      <c r="AD327" s="7"/>
      <c r="AE327" s="10"/>
      <c r="AF327" s="107"/>
      <c r="AG327" s="10"/>
      <c r="AH327" s="107"/>
      <c r="AI327" s="10"/>
      <c r="AJ327" s="107"/>
      <c r="AK327" s="10"/>
      <c r="AL327" s="107"/>
      <c r="AM327" s="10"/>
      <c r="AN327" s="10"/>
      <c r="AO327" s="10"/>
      <c r="AP327" s="8"/>
      <c r="AQ327" s="107"/>
      <c r="AR327" s="10"/>
      <c r="AS327" s="107"/>
      <c r="AT327" s="7"/>
      <c r="AU327" s="10"/>
      <c r="AV327" s="10"/>
      <c r="AW327" s="107"/>
      <c r="AX327" s="10"/>
      <c r="AY327" s="107"/>
      <c r="AZ327" s="10"/>
      <c r="BA327" s="107"/>
      <c r="BB327" s="107"/>
      <c r="BC327" s="107"/>
      <c r="BD327" s="10"/>
      <c r="BE327" s="107"/>
      <c r="BF327" s="10"/>
      <c r="BG327" s="10"/>
      <c r="BH327" s="10"/>
      <c r="BI327" s="107"/>
      <c r="BJ327" s="107"/>
      <c r="BK327" s="10"/>
      <c r="BL327" s="10"/>
      <c r="BM327" s="107"/>
      <c r="BN327" s="10"/>
      <c r="BO327" s="107"/>
      <c r="BP327" s="7"/>
      <c r="BQ327" s="10"/>
      <c r="BR327" s="107"/>
      <c r="BS327" s="10"/>
      <c r="BT327" s="107"/>
      <c r="BU327" s="107"/>
      <c r="BV327" s="107"/>
      <c r="BW327" s="107"/>
      <c r="BX327" s="107"/>
      <c r="BY327" s="10"/>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
      <c r="DL327" s="10"/>
      <c r="DM327" s="10"/>
      <c r="DN327" s="10"/>
      <c r="DO327" s="10"/>
      <c r="DP327" s="10"/>
      <c r="DQ327" s="10"/>
      <c r="DR327" s="10"/>
      <c r="DS327" s="10"/>
      <c r="DT327" s="10"/>
      <c r="DU327" s="10"/>
      <c r="DV327" s="10"/>
      <c r="DW327" s="10"/>
      <c r="DX327" s="10"/>
      <c r="DY327" s="10"/>
      <c r="DZ327" s="10"/>
      <c r="EA327" s="10"/>
      <c r="EB327" s="10"/>
      <c r="EC327" s="107"/>
      <c r="ED327" s="107"/>
      <c r="EE327" s="10"/>
      <c r="EF327" s="107"/>
      <c r="EG327" s="7"/>
      <c r="EH327" s="10"/>
      <c r="EI327" s="107"/>
      <c r="EJ327" s="107"/>
      <c r="EK327" s="107"/>
      <c r="EL327" s="107"/>
      <c r="EM327" s="107"/>
      <c r="EN327" s="107"/>
      <c r="EO327" s="107"/>
      <c r="EP327" s="107"/>
      <c r="EQ327" s="107"/>
      <c r="ER327" s="107"/>
      <c r="ES327" s="107"/>
      <c r="ET327" s="107"/>
      <c r="EU327" s="107"/>
      <c r="EV327" s="107"/>
      <c r="EW327" s="107"/>
      <c r="EX327" s="107"/>
      <c r="EY327" s="107"/>
      <c r="EZ327" s="107"/>
      <c r="FA327" s="107"/>
      <c r="FB327" s="107"/>
      <c r="FC327" s="107"/>
      <c r="FD327" s="107"/>
      <c r="FE327" s="107"/>
      <c r="FF327" s="107"/>
      <c r="FG327" s="107"/>
      <c r="FH327" s="107"/>
      <c r="FI327" s="107"/>
      <c r="FJ327" s="107"/>
      <c r="FK327" s="107"/>
      <c r="FL327" s="107"/>
      <c r="FM327" s="107"/>
      <c r="FN327" s="107"/>
      <c r="FO327" s="10"/>
      <c r="FP327" s="10"/>
      <c r="FQ327" s="10"/>
      <c r="FR327" s="10"/>
      <c r="FS327" s="10"/>
      <c r="FT327" s="10"/>
      <c r="FU327" s="10"/>
      <c r="FV327" s="10"/>
      <c r="FW327" s="10"/>
      <c r="FX327" s="10"/>
      <c r="FY327" s="8"/>
      <c r="FZ327" s="266"/>
      <c r="GA327" s="266"/>
    </row>
    <row r="328" spans="1:183" s="268" customFormat="1" x14ac:dyDescent="0.25">
      <c r="A328" s="107"/>
      <c r="B328" s="7"/>
      <c r="C328" s="7"/>
      <c r="D328" s="7"/>
      <c r="E328" s="7"/>
      <c r="F328" s="10"/>
      <c r="G328" s="107"/>
      <c r="H328" s="7"/>
      <c r="I328" s="10"/>
      <c r="J328" s="10"/>
      <c r="K328" s="10"/>
      <c r="L328" s="10"/>
      <c r="M328" s="10"/>
      <c r="N328" s="10"/>
      <c r="O328" s="10"/>
      <c r="P328" s="8"/>
      <c r="Q328" s="8"/>
      <c r="R328" s="7"/>
      <c r="S328" s="7"/>
      <c r="T328" s="7"/>
      <c r="U328" s="107"/>
      <c r="V328" s="7"/>
      <c r="W328" s="10"/>
      <c r="X328" s="107"/>
      <c r="Y328" s="7"/>
      <c r="Z328" s="10"/>
      <c r="AA328" s="107"/>
      <c r="AB328" s="10"/>
      <c r="AC328" s="107"/>
      <c r="AD328" s="7"/>
      <c r="AE328" s="10"/>
      <c r="AF328" s="107"/>
      <c r="AG328" s="10"/>
      <c r="AH328" s="107"/>
      <c r="AI328" s="10"/>
      <c r="AJ328" s="107"/>
      <c r="AK328" s="10"/>
      <c r="AL328" s="107"/>
      <c r="AM328" s="10"/>
      <c r="AN328" s="10"/>
      <c r="AO328" s="10"/>
      <c r="AP328" s="8"/>
      <c r="AQ328" s="107"/>
      <c r="AR328" s="10"/>
      <c r="AS328" s="107"/>
      <c r="AT328" s="7"/>
      <c r="AU328" s="10"/>
      <c r="AV328" s="10"/>
      <c r="AW328" s="107"/>
      <c r="AX328" s="10"/>
      <c r="AY328" s="107"/>
      <c r="AZ328" s="10"/>
      <c r="BA328" s="107"/>
      <c r="BB328" s="107"/>
      <c r="BC328" s="107"/>
      <c r="BD328" s="10"/>
      <c r="BE328" s="107"/>
      <c r="BF328" s="10"/>
      <c r="BG328" s="10"/>
      <c r="BH328" s="10"/>
      <c r="BI328" s="107"/>
      <c r="BJ328" s="107"/>
      <c r="BK328" s="10"/>
      <c r="BL328" s="10"/>
      <c r="BM328" s="107"/>
      <c r="BN328" s="10"/>
      <c r="BO328" s="107"/>
      <c r="BP328" s="7"/>
      <c r="BQ328" s="10"/>
      <c r="BR328" s="107"/>
      <c r="BS328" s="10"/>
      <c r="BT328" s="107"/>
      <c r="BU328" s="107"/>
      <c r="BV328" s="107"/>
      <c r="BW328" s="107"/>
      <c r="BX328" s="107"/>
      <c r="BY328" s="10"/>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
      <c r="DL328" s="10"/>
      <c r="DM328" s="10"/>
      <c r="DN328" s="10"/>
      <c r="DO328" s="10"/>
      <c r="DP328" s="10"/>
      <c r="DQ328" s="10"/>
      <c r="DR328" s="10"/>
      <c r="DS328" s="10"/>
      <c r="DT328" s="10"/>
      <c r="DU328" s="10"/>
      <c r="DV328" s="10"/>
      <c r="DW328" s="10"/>
      <c r="DX328" s="10"/>
      <c r="DY328" s="10"/>
      <c r="DZ328" s="10"/>
      <c r="EA328" s="10"/>
      <c r="EB328" s="10"/>
      <c r="EC328" s="107"/>
      <c r="ED328" s="107"/>
      <c r="EE328" s="10"/>
      <c r="EF328" s="107"/>
      <c r="EG328" s="7"/>
      <c r="EH328" s="10"/>
      <c r="EI328" s="107"/>
      <c r="EJ328" s="107"/>
      <c r="EK328" s="107"/>
      <c r="EL328" s="107"/>
      <c r="EM328" s="107"/>
      <c r="EN328" s="107"/>
      <c r="EO328" s="107"/>
      <c r="EP328" s="107"/>
      <c r="EQ328" s="107"/>
      <c r="ER328" s="107"/>
      <c r="ES328" s="107"/>
      <c r="ET328" s="107"/>
      <c r="EU328" s="107"/>
      <c r="EV328" s="107"/>
      <c r="EW328" s="107"/>
      <c r="EX328" s="107"/>
      <c r="EY328" s="107"/>
      <c r="EZ328" s="107"/>
      <c r="FA328" s="107"/>
      <c r="FB328" s="107"/>
      <c r="FC328" s="107"/>
      <c r="FD328" s="107"/>
      <c r="FE328" s="107"/>
      <c r="FF328" s="107"/>
      <c r="FG328" s="107"/>
      <c r="FH328" s="107"/>
      <c r="FI328" s="107"/>
      <c r="FJ328" s="107"/>
      <c r="FK328" s="107"/>
      <c r="FL328" s="107"/>
      <c r="FM328" s="107"/>
      <c r="FN328" s="107"/>
      <c r="FO328" s="10"/>
      <c r="FP328" s="10"/>
      <c r="FQ328" s="10"/>
      <c r="FR328" s="10"/>
      <c r="FS328" s="10"/>
      <c r="FT328" s="10"/>
      <c r="FU328" s="10"/>
      <c r="FV328" s="10"/>
      <c r="FW328" s="10"/>
      <c r="FX328" s="10"/>
      <c r="FY328" s="8"/>
      <c r="FZ328" s="266"/>
      <c r="GA328" s="266"/>
    </row>
    <row r="329" spans="1:183" s="268" customFormat="1" x14ac:dyDescent="0.25">
      <c r="A329" s="107"/>
      <c r="B329" s="7"/>
      <c r="C329" s="7"/>
      <c r="D329" s="7"/>
      <c r="E329" s="7"/>
      <c r="F329" s="10"/>
      <c r="G329" s="107"/>
      <c r="H329" s="7"/>
      <c r="I329" s="10"/>
      <c r="J329" s="10"/>
      <c r="K329" s="10"/>
      <c r="L329" s="10"/>
      <c r="M329" s="10"/>
      <c r="N329" s="10"/>
      <c r="O329" s="10"/>
      <c r="P329" s="8"/>
      <c r="Q329" s="8"/>
      <c r="R329" s="7"/>
      <c r="S329" s="7"/>
      <c r="T329" s="7"/>
      <c r="U329" s="107"/>
      <c r="V329" s="7"/>
      <c r="W329" s="10"/>
      <c r="X329" s="107"/>
      <c r="Y329" s="7"/>
      <c r="Z329" s="10"/>
      <c r="AA329" s="107"/>
      <c r="AB329" s="10"/>
      <c r="AC329" s="107"/>
      <c r="AD329" s="7"/>
      <c r="AE329" s="10"/>
      <c r="AF329" s="107"/>
      <c r="AG329" s="10"/>
      <c r="AH329" s="107"/>
      <c r="AI329" s="10"/>
      <c r="AJ329" s="107"/>
      <c r="AK329" s="10"/>
      <c r="AL329" s="107"/>
      <c r="AM329" s="10"/>
      <c r="AN329" s="10"/>
      <c r="AO329" s="10"/>
      <c r="AP329" s="8"/>
      <c r="AQ329" s="107"/>
      <c r="AR329" s="10"/>
      <c r="AS329" s="107"/>
      <c r="AT329" s="7"/>
      <c r="AU329" s="10"/>
      <c r="AV329" s="10"/>
      <c r="AW329" s="107"/>
      <c r="AX329" s="10"/>
      <c r="AY329" s="107"/>
      <c r="AZ329" s="10"/>
      <c r="BA329" s="107"/>
      <c r="BB329" s="107"/>
      <c r="BC329" s="107"/>
      <c r="BD329" s="10"/>
      <c r="BE329" s="107"/>
      <c r="BF329" s="10"/>
      <c r="BG329" s="10"/>
      <c r="BH329" s="10"/>
      <c r="BI329" s="107"/>
      <c r="BJ329" s="107"/>
      <c r="BK329" s="10"/>
      <c r="BL329" s="10"/>
      <c r="BM329" s="107"/>
      <c r="BN329" s="10"/>
      <c r="BO329" s="107"/>
      <c r="BP329" s="7"/>
      <c r="BQ329" s="10"/>
      <c r="BR329" s="107"/>
      <c r="BS329" s="10"/>
      <c r="BT329" s="107"/>
      <c r="BU329" s="107"/>
      <c r="BV329" s="107"/>
      <c r="BW329" s="107"/>
      <c r="BX329" s="107"/>
      <c r="BY329" s="10"/>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c r="CW329" s="107"/>
      <c r="CX329" s="107"/>
      <c r="CY329" s="107"/>
      <c r="CZ329" s="107"/>
      <c r="DA329" s="107"/>
      <c r="DB329" s="107"/>
      <c r="DC329" s="107"/>
      <c r="DD329" s="107"/>
      <c r="DE329" s="107"/>
      <c r="DF329" s="107"/>
      <c r="DG329" s="107"/>
      <c r="DH329" s="107"/>
      <c r="DI329" s="107"/>
      <c r="DJ329" s="107"/>
      <c r="DK329" s="10"/>
      <c r="DL329" s="10"/>
      <c r="DM329" s="10"/>
      <c r="DN329" s="10"/>
      <c r="DO329" s="10"/>
      <c r="DP329" s="10"/>
      <c r="DQ329" s="10"/>
      <c r="DR329" s="10"/>
      <c r="DS329" s="10"/>
      <c r="DT329" s="10"/>
      <c r="DU329" s="10"/>
      <c r="DV329" s="10"/>
      <c r="DW329" s="10"/>
      <c r="DX329" s="10"/>
      <c r="DY329" s="10"/>
      <c r="DZ329" s="10"/>
      <c r="EA329" s="10"/>
      <c r="EB329" s="10"/>
      <c r="EC329" s="107"/>
      <c r="ED329" s="107"/>
      <c r="EE329" s="10"/>
      <c r="EF329" s="107"/>
      <c r="EG329" s="7"/>
      <c r="EH329" s="10"/>
      <c r="EI329" s="107"/>
      <c r="EJ329" s="107"/>
      <c r="EK329" s="107"/>
      <c r="EL329" s="107"/>
      <c r="EM329" s="107"/>
      <c r="EN329" s="107"/>
      <c r="EO329" s="107"/>
      <c r="EP329" s="107"/>
      <c r="EQ329" s="107"/>
      <c r="ER329" s="107"/>
      <c r="ES329" s="107"/>
      <c r="ET329" s="107"/>
      <c r="EU329" s="107"/>
      <c r="EV329" s="107"/>
      <c r="EW329" s="107"/>
      <c r="EX329" s="107"/>
      <c r="EY329" s="107"/>
      <c r="EZ329" s="107"/>
      <c r="FA329" s="107"/>
      <c r="FB329" s="107"/>
      <c r="FC329" s="107"/>
      <c r="FD329" s="107"/>
      <c r="FE329" s="107"/>
      <c r="FF329" s="107"/>
      <c r="FG329" s="107"/>
      <c r="FH329" s="107"/>
      <c r="FI329" s="107"/>
      <c r="FJ329" s="107"/>
      <c r="FK329" s="107"/>
      <c r="FL329" s="107"/>
      <c r="FM329" s="107"/>
      <c r="FN329" s="107"/>
      <c r="FO329" s="10"/>
      <c r="FP329" s="10"/>
      <c r="FQ329" s="10"/>
      <c r="FR329" s="10"/>
      <c r="FS329" s="10"/>
      <c r="FT329" s="10"/>
      <c r="FU329" s="10"/>
      <c r="FV329" s="10"/>
      <c r="FW329" s="10"/>
      <c r="FX329" s="10"/>
      <c r="FY329" s="8"/>
      <c r="FZ329" s="266"/>
      <c r="GA329" s="266"/>
    </row>
    <row r="330" spans="1:183" s="268" customFormat="1" x14ac:dyDescent="0.25">
      <c r="A330" s="107"/>
      <c r="B330" s="7"/>
      <c r="C330" s="7"/>
      <c r="D330" s="7"/>
      <c r="E330" s="7"/>
      <c r="F330" s="10"/>
      <c r="G330" s="107"/>
      <c r="H330" s="7"/>
      <c r="I330" s="10"/>
      <c r="J330" s="10"/>
      <c r="K330" s="10"/>
      <c r="L330" s="10"/>
      <c r="M330" s="10"/>
      <c r="N330" s="10"/>
      <c r="O330" s="10"/>
      <c r="P330" s="8"/>
      <c r="Q330" s="8"/>
      <c r="R330" s="7"/>
      <c r="S330" s="7"/>
      <c r="T330" s="7"/>
      <c r="U330" s="107"/>
      <c r="V330" s="7"/>
      <c r="W330" s="10"/>
      <c r="X330" s="107"/>
      <c r="Y330" s="7"/>
      <c r="Z330" s="10"/>
      <c r="AA330" s="107"/>
      <c r="AB330" s="10"/>
      <c r="AC330" s="107"/>
      <c r="AD330" s="7"/>
      <c r="AE330" s="10"/>
      <c r="AF330" s="107"/>
      <c r="AG330" s="10"/>
      <c r="AH330" s="107"/>
      <c r="AI330" s="10"/>
      <c r="AJ330" s="107"/>
      <c r="AK330" s="10"/>
      <c r="AL330" s="107"/>
      <c r="AM330" s="10"/>
      <c r="AN330" s="10"/>
      <c r="AO330" s="10"/>
      <c r="AP330" s="8"/>
      <c r="AQ330" s="107"/>
      <c r="AR330" s="10"/>
      <c r="AS330" s="107"/>
      <c r="AT330" s="7"/>
      <c r="AU330" s="10"/>
      <c r="AV330" s="10"/>
      <c r="AW330" s="107"/>
      <c r="AX330" s="10"/>
      <c r="AY330" s="107"/>
      <c r="AZ330" s="10"/>
      <c r="BA330" s="107"/>
      <c r="BB330" s="107"/>
      <c r="BC330" s="107"/>
      <c r="BD330" s="10"/>
      <c r="BE330" s="107"/>
      <c r="BF330" s="10"/>
      <c r="BG330" s="10"/>
      <c r="BH330" s="10"/>
      <c r="BI330" s="107"/>
      <c r="BJ330" s="107"/>
      <c r="BK330" s="10"/>
      <c r="BL330" s="10"/>
      <c r="BM330" s="107"/>
      <c r="BN330" s="10"/>
      <c r="BO330" s="107"/>
      <c r="BP330" s="7"/>
      <c r="BQ330" s="10"/>
      <c r="BR330" s="107"/>
      <c r="BS330" s="10"/>
      <c r="BT330" s="107"/>
      <c r="BU330" s="107"/>
      <c r="BV330" s="107"/>
      <c r="BW330" s="107"/>
      <c r="BX330" s="107"/>
      <c r="BY330" s="10"/>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c r="CW330" s="107"/>
      <c r="CX330" s="107"/>
      <c r="CY330" s="107"/>
      <c r="CZ330" s="107"/>
      <c r="DA330" s="107"/>
      <c r="DB330" s="107"/>
      <c r="DC330" s="107"/>
      <c r="DD330" s="107"/>
      <c r="DE330" s="107"/>
      <c r="DF330" s="107"/>
      <c r="DG330" s="107"/>
      <c r="DH330" s="107"/>
      <c r="DI330" s="107"/>
      <c r="DJ330" s="107"/>
      <c r="DK330" s="10"/>
      <c r="DL330" s="10"/>
      <c r="DM330" s="10"/>
      <c r="DN330" s="10"/>
      <c r="DO330" s="10"/>
      <c r="DP330" s="10"/>
      <c r="DQ330" s="10"/>
      <c r="DR330" s="10"/>
      <c r="DS330" s="10"/>
      <c r="DT330" s="10"/>
      <c r="DU330" s="10"/>
      <c r="DV330" s="10"/>
      <c r="DW330" s="10"/>
      <c r="DX330" s="10"/>
      <c r="DY330" s="10"/>
      <c r="DZ330" s="10"/>
      <c r="EA330" s="10"/>
      <c r="EB330" s="10"/>
      <c r="EC330" s="107"/>
      <c r="ED330" s="107"/>
      <c r="EE330" s="10"/>
      <c r="EF330" s="107"/>
      <c r="EG330" s="7"/>
      <c r="EH330" s="10"/>
      <c r="EI330" s="107"/>
      <c r="EJ330" s="107"/>
      <c r="EK330" s="107"/>
      <c r="EL330" s="107"/>
      <c r="EM330" s="107"/>
      <c r="EN330" s="107"/>
      <c r="EO330" s="107"/>
      <c r="EP330" s="107"/>
      <c r="EQ330" s="107"/>
      <c r="ER330" s="107"/>
      <c r="ES330" s="107"/>
      <c r="ET330" s="107"/>
      <c r="EU330" s="107"/>
      <c r="EV330" s="107"/>
      <c r="EW330" s="107"/>
      <c r="EX330" s="107"/>
      <c r="EY330" s="107"/>
      <c r="EZ330" s="107"/>
      <c r="FA330" s="107"/>
      <c r="FB330" s="107"/>
      <c r="FC330" s="107"/>
      <c r="FD330" s="107"/>
      <c r="FE330" s="107"/>
      <c r="FF330" s="107"/>
      <c r="FG330" s="107"/>
      <c r="FH330" s="107"/>
      <c r="FI330" s="107"/>
      <c r="FJ330" s="107"/>
      <c r="FK330" s="107"/>
      <c r="FL330" s="107"/>
      <c r="FM330" s="107"/>
      <c r="FN330" s="107"/>
      <c r="FO330" s="10"/>
      <c r="FP330" s="10"/>
      <c r="FQ330" s="10"/>
      <c r="FR330" s="10"/>
      <c r="FS330" s="10"/>
      <c r="FT330" s="10"/>
      <c r="FU330" s="10"/>
      <c r="FV330" s="10"/>
      <c r="FW330" s="10"/>
      <c r="FX330" s="10"/>
      <c r="FY330" s="8"/>
      <c r="FZ330" s="266"/>
      <c r="GA330" s="266"/>
    </row>
    <row r="331" spans="1:183" s="268" customFormat="1" x14ac:dyDescent="0.25">
      <c r="A331" s="107"/>
      <c r="B331" s="7"/>
      <c r="C331" s="7"/>
      <c r="D331" s="7"/>
      <c r="E331" s="7"/>
      <c r="F331" s="10"/>
      <c r="G331" s="107"/>
      <c r="H331" s="7"/>
      <c r="I331" s="10"/>
      <c r="J331" s="10"/>
      <c r="K331" s="10"/>
      <c r="L331" s="10"/>
      <c r="M331" s="10"/>
      <c r="N331" s="10"/>
      <c r="O331" s="10"/>
      <c r="P331" s="8"/>
      <c r="Q331" s="8"/>
      <c r="R331" s="7"/>
      <c r="S331" s="7"/>
      <c r="T331" s="7"/>
      <c r="U331" s="107"/>
      <c r="V331" s="7"/>
      <c r="W331" s="10"/>
      <c r="X331" s="107"/>
      <c r="Y331" s="7"/>
      <c r="Z331" s="10"/>
      <c r="AA331" s="107"/>
      <c r="AB331" s="10"/>
      <c r="AC331" s="107"/>
      <c r="AD331" s="7"/>
      <c r="AE331" s="10"/>
      <c r="AF331" s="107"/>
      <c r="AG331" s="10"/>
      <c r="AH331" s="107"/>
      <c r="AI331" s="10"/>
      <c r="AJ331" s="107"/>
      <c r="AK331" s="10"/>
      <c r="AL331" s="107"/>
      <c r="AM331" s="10"/>
      <c r="AN331" s="10"/>
      <c r="AO331" s="10"/>
      <c r="AP331" s="8"/>
      <c r="AQ331" s="107"/>
      <c r="AR331" s="10"/>
      <c r="AS331" s="107"/>
      <c r="AT331" s="7"/>
      <c r="AU331" s="10"/>
      <c r="AV331" s="10"/>
      <c r="AW331" s="107"/>
      <c r="AX331" s="10"/>
      <c r="AY331" s="107"/>
      <c r="AZ331" s="10"/>
      <c r="BA331" s="107"/>
      <c r="BB331" s="107"/>
      <c r="BC331" s="107"/>
      <c r="BD331" s="10"/>
      <c r="BE331" s="107"/>
      <c r="BF331" s="10"/>
      <c r="BG331" s="10"/>
      <c r="BH331" s="10"/>
      <c r="BI331" s="107"/>
      <c r="BJ331" s="107"/>
      <c r="BK331" s="10"/>
      <c r="BL331" s="10"/>
      <c r="BM331" s="107"/>
      <c r="BN331" s="10"/>
      <c r="BO331" s="107"/>
      <c r="BP331" s="7"/>
      <c r="BQ331" s="10"/>
      <c r="BR331" s="107"/>
      <c r="BS331" s="10"/>
      <c r="BT331" s="107"/>
      <c r="BU331" s="107"/>
      <c r="BV331" s="107"/>
      <c r="BW331" s="107"/>
      <c r="BX331" s="107"/>
      <c r="BY331" s="10"/>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c r="CW331" s="107"/>
      <c r="CX331" s="107"/>
      <c r="CY331" s="107"/>
      <c r="CZ331" s="107"/>
      <c r="DA331" s="107"/>
      <c r="DB331" s="107"/>
      <c r="DC331" s="107"/>
      <c r="DD331" s="107"/>
      <c r="DE331" s="107"/>
      <c r="DF331" s="107"/>
      <c r="DG331" s="107"/>
      <c r="DH331" s="107"/>
      <c r="DI331" s="107"/>
      <c r="DJ331" s="107"/>
      <c r="DK331" s="10"/>
      <c r="DL331" s="10"/>
      <c r="DM331" s="10"/>
      <c r="DN331" s="10"/>
      <c r="DO331" s="10"/>
      <c r="DP331" s="10"/>
      <c r="DQ331" s="10"/>
      <c r="DR331" s="10"/>
      <c r="DS331" s="10"/>
      <c r="DT331" s="10"/>
      <c r="DU331" s="10"/>
      <c r="DV331" s="10"/>
      <c r="DW331" s="10"/>
      <c r="DX331" s="10"/>
      <c r="DY331" s="10"/>
      <c r="DZ331" s="10"/>
      <c r="EA331" s="10"/>
      <c r="EB331" s="10"/>
      <c r="EC331" s="107"/>
      <c r="ED331" s="107"/>
      <c r="EE331" s="10"/>
      <c r="EF331" s="107"/>
      <c r="EG331" s="7"/>
      <c r="EH331" s="10"/>
      <c r="EI331" s="107"/>
      <c r="EJ331" s="107"/>
      <c r="EK331" s="107"/>
      <c r="EL331" s="107"/>
      <c r="EM331" s="107"/>
      <c r="EN331" s="107"/>
      <c r="EO331" s="107"/>
      <c r="EP331" s="107"/>
      <c r="EQ331" s="107"/>
      <c r="ER331" s="107"/>
      <c r="ES331" s="107"/>
      <c r="ET331" s="107"/>
      <c r="EU331" s="107"/>
      <c r="EV331" s="107"/>
      <c r="EW331" s="107"/>
      <c r="EX331" s="107"/>
      <c r="EY331" s="107"/>
      <c r="EZ331" s="107"/>
      <c r="FA331" s="107"/>
      <c r="FB331" s="107"/>
      <c r="FC331" s="107"/>
      <c r="FD331" s="107"/>
      <c r="FE331" s="107"/>
      <c r="FF331" s="107"/>
      <c r="FG331" s="107"/>
      <c r="FH331" s="107"/>
      <c r="FI331" s="107"/>
      <c r="FJ331" s="107"/>
      <c r="FK331" s="107"/>
      <c r="FL331" s="107"/>
      <c r="FM331" s="107"/>
      <c r="FN331" s="107"/>
      <c r="FO331" s="10"/>
      <c r="FP331" s="10"/>
      <c r="FQ331" s="10"/>
      <c r="FR331" s="10"/>
      <c r="FS331" s="10"/>
      <c r="FT331" s="10"/>
      <c r="FU331" s="10"/>
      <c r="FV331" s="10"/>
      <c r="FW331" s="10"/>
      <c r="FX331" s="10"/>
      <c r="FY331" s="8"/>
      <c r="FZ331" s="266"/>
      <c r="GA331" s="266"/>
    </row>
    <row r="332" spans="1:183" s="268" customFormat="1" x14ac:dyDescent="0.25">
      <c r="A332" s="107"/>
      <c r="B332" s="7"/>
      <c r="C332" s="7"/>
      <c r="D332" s="7"/>
      <c r="E332" s="7"/>
      <c r="F332" s="10"/>
      <c r="G332" s="107"/>
      <c r="H332" s="7"/>
      <c r="I332" s="10"/>
      <c r="J332" s="10"/>
      <c r="K332" s="10"/>
      <c r="L332" s="10"/>
      <c r="M332" s="10"/>
      <c r="N332" s="10"/>
      <c r="O332" s="10"/>
      <c r="P332" s="8"/>
      <c r="Q332" s="8"/>
      <c r="R332" s="7"/>
      <c r="S332" s="7"/>
      <c r="T332" s="7"/>
      <c r="U332" s="107"/>
      <c r="V332" s="7"/>
      <c r="W332" s="10"/>
      <c r="X332" s="107"/>
      <c r="Y332" s="7"/>
      <c r="Z332" s="10"/>
      <c r="AA332" s="107"/>
      <c r="AB332" s="10"/>
      <c r="AC332" s="107"/>
      <c r="AD332" s="7"/>
      <c r="AE332" s="10"/>
      <c r="AF332" s="107"/>
      <c r="AG332" s="10"/>
      <c r="AH332" s="107"/>
      <c r="AI332" s="10"/>
      <c r="AJ332" s="107"/>
      <c r="AK332" s="10"/>
      <c r="AL332" s="107"/>
      <c r="AM332" s="10"/>
      <c r="AN332" s="10"/>
      <c r="AO332" s="10"/>
      <c r="AP332" s="8"/>
      <c r="AQ332" s="107"/>
      <c r="AR332" s="10"/>
      <c r="AS332" s="107"/>
      <c r="AT332" s="7"/>
      <c r="AU332" s="10"/>
      <c r="AV332" s="10"/>
      <c r="AW332" s="107"/>
      <c r="AX332" s="10"/>
      <c r="AY332" s="107"/>
      <c r="AZ332" s="10"/>
      <c r="BA332" s="107"/>
      <c r="BB332" s="107"/>
      <c r="BC332" s="107"/>
      <c r="BD332" s="10"/>
      <c r="BE332" s="107"/>
      <c r="BF332" s="10"/>
      <c r="BG332" s="10"/>
      <c r="BH332" s="10"/>
      <c r="BI332" s="107"/>
      <c r="BJ332" s="107"/>
      <c r="BK332" s="10"/>
      <c r="BL332" s="10"/>
      <c r="BM332" s="107"/>
      <c r="BN332" s="10"/>
      <c r="BO332" s="107"/>
      <c r="BP332" s="7"/>
      <c r="BQ332" s="10"/>
      <c r="BR332" s="107"/>
      <c r="BS332" s="10"/>
      <c r="BT332" s="107"/>
      <c r="BU332" s="107"/>
      <c r="BV332" s="107"/>
      <c r="BW332" s="107"/>
      <c r="BX332" s="107"/>
      <c r="BY332" s="10"/>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c r="CW332" s="107"/>
      <c r="CX332" s="107"/>
      <c r="CY332" s="107"/>
      <c r="CZ332" s="107"/>
      <c r="DA332" s="107"/>
      <c r="DB332" s="107"/>
      <c r="DC332" s="107"/>
      <c r="DD332" s="107"/>
      <c r="DE332" s="107"/>
      <c r="DF332" s="107"/>
      <c r="DG332" s="107"/>
      <c r="DH332" s="107"/>
      <c r="DI332" s="107"/>
      <c r="DJ332" s="107"/>
      <c r="DK332" s="10"/>
      <c r="DL332" s="10"/>
      <c r="DM332" s="10"/>
      <c r="DN332" s="10"/>
      <c r="DO332" s="10"/>
      <c r="DP332" s="10"/>
      <c r="DQ332" s="10"/>
      <c r="DR332" s="10"/>
      <c r="DS332" s="10"/>
      <c r="DT332" s="10"/>
      <c r="DU332" s="10"/>
      <c r="DV332" s="10"/>
      <c r="DW332" s="10"/>
      <c r="DX332" s="10"/>
      <c r="DY332" s="10"/>
      <c r="DZ332" s="10"/>
      <c r="EA332" s="10"/>
      <c r="EB332" s="10"/>
      <c r="EC332" s="107"/>
      <c r="ED332" s="107"/>
      <c r="EE332" s="10"/>
      <c r="EF332" s="107"/>
      <c r="EG332" s="7"/>
      <c r="EH332" s="10"/>
      <c r="EI332" s="107"/>
      <c r="EJ332" s="107"/>
      <c r="EK332" s="107"/>
      <c r="EL332" s="107"/>
      <c r="EM332" s="107"/>
      <c r="EN332" s="107"/>
      <c r="EO332" s="107"/>
      <c r="EP332" s="107"/>
      <c r="EQ332" s="107"/>
      <c r="ER332" s="107"/>
      <c r="ES332" s="107"/>
      <c r="ET332" s="107"/>
      <c r="EU332" s="107"/>
      <c r="EV332" s="107"/>
      <c r="EW332" s="107"/>
      <c r="EX332" s="107"/>
      <c r="EY332" s="107"/>
      <c r="EZ332" s="107"/>
      <c r="FA332" s="107"/>
      <c r="FB332" s="107"/>
      <c r="FC332" s="107"/>
      <c r="FD332" s="107"/>
      <c r="FE332" s="107"/>
      <c r="FF332" s="107"/>
      <c r="FG332" s="107"/>
      <c r="FH332" s="107"/>
      <c r="FI332" s="107"/>
      <c r="FJ332" s="107"/>
      <c r="FK332" s="107"/>
      <c r="FL332" s="107"/>
      <c r="FM332" s="107"/>
      <c r="FN332" s="107"/>
      <c r="FO332" s="10"/>
      <c r="FP332" s="10"/>
      <c r="FQ332" s="10"/>
      <c r="FR332" s="10"/>
      <c r="FS332" s="10"/>
      <c r="FT332" s="10"/>
      <c r="FU332" s="10"/>
      <c r="FV332" s="10"/>
      <c r="FW332" s="10"/>
      <c r="FX332" s="10"/>
      <c r="FY332" s="8"/>
      <c r="FZ332" s="266"/>
      <c r="GA332" s="266"/>
    </row>
    <row r="333" spans="1:183" s="268" customFormat="1" x14ac:dyDescent="0.25">
      <c r="A333" s="107"/>
      <c r="B333" s="7"/>
      <c r="C333" s="7"/>
      <c r="D333" s="7"/>
      <c r="E333" s="7"/>
      <c r="F333" s="10"/>
      <c r="G333" s="107"/>
      <c r="H333" s="7"/>
      <c r="I333" s="10"/>
      <c r="J333" s="10"/>
      <c r="K333" s="10"/>
      <c r="L333" s="10"/>
      <c r="M333" s="10"/>
      <c r="N333" s="10"/>
      <c r="O333" s="10"/>
      <c r="P333" s="8"/>
      <c r="Q333" s="8"/>
      <c r="R333" s="7"/>
      <c r="S333" s="7"/>
      <c r="T333" s="7"/>
      <c r="U333" s="107"/>
      <c r="V333" s="7"/>
      <c r="W333" s="10"/>
      <c r="X333" s="107"/>
      <c r="Y333" s="7"/>
      <c r="Z333" s="10"/>
      <c r="AA333" s="107"/>
      <c r="AB333" s="10"/>
      <c r="AC333" s="107"/>
      <c r="AD333" s="7"/>
      <c r="AE333" s="10"/>
      <c r="AF333" s="107"/>
      <c r="AG333" s="10"/>
      <c r="AH333" s="107"/>
      <c r="AI333" s="10"/>
      <c r="AJ333" s="107"/>
      <c r="AK333" s="10"/>
      <c r="AL333" s="107"/>
      <c r="AM333" s="10"/>
      <c r="AN333" s="10"/>
      <c r="AO333" s="10"/>
      <c r="AP333" s="8"/>
      <c r="AQ333" s="107"/>
      <c r="AR333" s="10"/>
      <c r="AS333" s="107"/>
      <c r="AT333" s="7"/>
      <c r="AU333" s="10"/>
      <c r="AV333" s="10"/>
      <c r="AW333" s="107"/>
      <c r="AX333" s="10"/>
      <c r="AY333" s="107"/>
      <c r="AZ333" s="10"/>
      <c r="BA333" s="107"/>
      <c r="BB333" s="107"/>
      <c r="BC333" s="107"/>
      <c r="BD333" s="10"/>
      <c r="BE333" s="107"/>
      <c r="BF333" s="10"/>
      <c r="BG333" s="10"/>
      <c r="BH333" s="10"/>
      <c r="BI333" s="107"/>
      <c r="BJ333" s="107"/>
      <c r="BK333" s="10"/>
      <c r="BL333" s="10"/>
      <c r="BM333" s="107"/>
      <c r="BN333" s="10"/>
      <c r="BO333" s="107"/>
      <c r="BP333" s="7"/>
      <c r="BQ333" s="10"/>
      <c r="BR333" s="107"/>
      <c r="BS333" s="10"/>
      <c r="BT333" s="107"/>
      <c r="BU333" s="107"/>
      <c r="BV333" s="107"/>
      <c r="BW333" s="107"/>
      <c r="BX333" s="107"/>
      <c r="BY333" s="10"/>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c r="CW333" s="107"/>
      <c r="CX333" s="107"/>
      <c r="CY333" s="107"/>
      <c r="CZ333" s="107"/>
      <c r="DA333" s="107"/>
      <c r="DB333" s="107"/>
      <c r="DC333" s="107"/>
      <c r="DD333" s="107"/>
      <c r="DE333" s="107"/>
      <c r="DF333" s="107"/>
      <c r="DG333" s="107"/>
      <c r="DH333" s="107"/>
      <c r="DI333" s="107"/>
      <c r="DJ333" s="107"/>
      <c r="DK333" s="10"/>
      <c r="DL333" s="10"/>
      <c r="DM333" s="10"/>
      <c r="DN333" s="10"/>
      <c r="DO333" s="10"/>
      <c r="DP333" s="10"/>
      <c r="DQ333" s="10"/>
      <c r="DR333" s="10"/>
      <c r="DS333" s="10"/>
      <c r="DT333" s="10"/>
      <c r="DU333" s="10"/>
      <c r="DV333" s="10"/>
      <c r="DW333" s="10"/>
      <c r="DX333" s="10"/>
      <c r="DY333" s="10"/>
      <c r="DZ333" s="10"/>
      <c r="EA333" s="10"/>
      <c r="EB333" s="10"/>
      <c r="EC333" s="107"/>
      <c r="ED333" s="107"/>
      <c r="EE333" s="10"/>
      <c r="EF333" s="107"/>
      <c r="EG333" s="7"/>
      <c r="EH333" s="10"/>
      <c r="EI333" s="107"/>
      <c r="EJ333" s="107"/>
      <c r="EK333" s="107"/>
      <c r="EL333" s="107"/>
      <c r="EM333" s="107"/>
      <c r="EN333" s="107"/>
      <c r="EO333" s="107"/>
      <c r="EP333" s="107"/>
      <c r="EQ333" s="107"/>
      <c r="ER333" s="107"/>
      <c r="ES333" s="107"/>
      <c r="ET333" s="107"/>
      <c r="EU333" s="107"/>
      <c r="EV333" s="107"/>
      <c r="EW333" s="107"/>
      <c r="EX333" s="107"/>
      <c r="EY333" s="107"/>
      <c r="EZ333" s="107"/>
      <c r="FA333" s="107"/>
      <c r="FB333" s="107"/>
      <c r="FC333" s="107"/>
      <c r="FD333" s="107"/>
      <c r="FE333" s="107"/>
      <c r="FF333" s="107"/>
      <c r="FG333" s="107"/>
      <c r="FH333" s="107"/>
      <c r="FI333" s="107"/>
      <c r="FJ333" s="107"/>
      <c r="FK333" s="107"/>
      <c r="FL333" s="107"/>
      <c r="FM333" s="107"/>
      <c r="FN333" s="107"/>
      <c r="FO333" s="10"/>
      <c r="FP333" s="10"/>
      <c r="FQ333" s="10"/>
      <c r="FR333" s="10"/>
      <c r="FS333" s="10"/>
      <c r="FT333" s="10"/>
      <c r="FU333" s="10"/>
      <c r="FV333" s="10"/>
      <c r="FW333" s="10"/>
      <c r="FX333" s="10"/>
      <c r="FY333" s="8"/>
      <c r="FZ333" s="266"/>
      <c r="GA333" s="266"/>
    </row>
    <row r="334" spans="1:183" s="268" customFormat="1" x14ac:dyDescent="0.25">
      <c r="A334" s="107"/>
      <c r="B334" s="7"/>
      <c r="C334" s="7"/>
      <c r="D334" s="7"/>
      <c r="E334" s="7"/>
      <c r="F334" s="10"/>
      <c r="G334" s="107"/>
      <c r="H334" s="7"/>
      <c r="I334" s="10"/>
      <c r="J334" s="10"/>
      <c r="K334" s="10"/>
      <c r="L334" s="10"/>
      <c r="M334" s="10"/>
      <c r="N334" s="10"/>
      <c r="O334" s="10"/>
      <c r="P334" s="8"/>
      <c r="Q334" s="8"/>
      <c r="R334" s="7"/>
      <c r="S334" s="7"/>
      <c r="T334" s="7"/>
      <c r="U334" s="107"/>
      <c r="V334" s="7"/>
      <c r="W334" s="10"/>
      <c r="X334" s="107"/>
      <c r="Y334" s="7"/>
      <c r="Z334" s="10"/>
      <c r="AA334" s="107"/>
      <c r="AB334" s="10"/>
      <c r="AC334" s="107"/>
      <c r="AD334" s="7"/>
      <c r="AE334" s="10"/>
      <c r="AF334" s="107"/>
      <c r="AG334" s="10"/>
      <c r="AH334" s="107"/>
      <c r="AI334" s="10"/>
      <c r="AJ334" s="107"/>
      <c r="AK334" s="10"/>
      <c r="AL334" s="107"/>
      <c r="AM334" s="10"/>
      <c r="AN334" s="10"/>
      <c r="AO334" s="10"/>
      <c r="AP334" s="8"/>
      <c r="AQ334" s="107"/>
      <c r="AR334" s="10"/>
      <c r="AS334" s="107"/>
      <c r="AT334" s="7"/>
      <c r="AU334" s="10"/>
      <c r="AV334" s="10"/>
      <c r="AW334" s="107"/>
      <c r="AX334" s="10"/>
      <c r="AY334" s="107"/>
      <c r="AZ334" s="10"/>
      <c r="BA334" s="107"/>
      <c r="BB334" s="107"/>
      <c r="BC334" s="107"/>
      <c r="BD334" s="10"/>
      <c r="BE334" s="107"/>
      <c r="BF334" s="10"/>
      <c r="BG334" s="10"/>
      <c r="BH334" s="10"/>
      <c r="BI334" s="107"/>
      <c r="BJ334" s="107"/>
      <c r="BK334" s="10"/>
      <c r="BL334" s="10"/>
      <c r="BM334" s="107"/>
      <c r="BN334" s="10"/>
      <c r="BO334" s="107"/>
      <c r="BP334" s="7"/>
      <c r="BQ334" s="10"/>
      <c r="BR334" s="107"/>
      <c r="BS334" s="10"/>
      <c r="BT334" s="107"/>
      <c r="BU334" s="107"/>
      <c r="BV334" s="107"/>
      <c r="BW334" s="107"/>
      <c r="BX334" s="107"/>
      <c r="BY334" s="10"/>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c r="CW334" s="107"/>
      <c r="CX334" s="107"/>
      <c r="CY334" s="107"/>
      <c r="CZ334" s="107"/>
      <c r="DA334" s="107"/>
      <c r="DB334" s="107"/>
      <c r="DC334" s="107"/>
      <c r="DD334" s="107"/>
      <c r="DE334" s="107"/>
      <c r="DF334" s="107"/>
      <c r="DG334" s="107"/>
      <c r="DH334" s="107"/>
      <c r="DI334" s="107"/>
      <c r="DJ334" s="107"/>
      <c r="DK334" s="10"/>
      <c r="DL334" s="10"/>
      <c r="DM334" s="10"/>
      <c r="DN334" s="10"/>
      <c r="DO334" s="10"/>
      <c r="DP334" s="10"/>
      <c r="DQ334" s="10"/>
      <c r="DR334" s="10"/>
      <c r="DS334" s="10"/>
      <c r="DT334" s="10"/>
      <c r="DU334" s="10"/>
      <c r="DV334" s="10"/>
      <c r="DW334" s="10"/>
      <c r="DX334" s="10"/>
      <c r="DY334" s="10"/>
      <c r="DZ334" s="10"/>
      <c r="EA334" s="10"/>
      <c r="EB334" s="10"/>
      <c r="EC334" s="107"/>
      <c r="ED334" s="107"/>
      <c r="EE334" s="10"/>
      <c r="EF334" s="107"/>
      <c r="EG334" s="7"/>
      <c r="EH334" s="10"/>
      <c r="EI334" s="107"/>
      <c r="EJ334" s="107"/>
      <c r="EK334" s="107"/>
      <c r="EL334" s="107"/>
      <c r="EM334" s="107"/>
      <c r="EN334" s="107"/>
      <c r="EO334" s="107"/>
      <c r="EP334" s="107"/>
      <c r="EQ334" s="107"/>
      <c r="ER334" s="107"/>
      <c r="ES334" s="107"/>
      <c r="ET334" s="107"/>
      <c r="EU334" s="107"/>
      <c r="EV334" s="107"/>
      <c r="EW334" s="107"/>
      <c r="EX334" s="107"/>
      <c r="EY334" s="107"/>
      <c r="EZ334" s="107"/>
      <c r="FA334" s="107"/>
      <c r="FB334" s="107"/>
      <c r="FC334" s="107"/>
      <c r="FD334" s="107"/>
      <c r="FE334" s="107"/>
      <c r="FF334" s="107"/>
      <c r="FG334" s="107"/>
      <c r="FH334" s="107"/>
      <c r="FI334" s="107"/>
      <c r="FJ334" s="107"/>
      <c r="FK334" s="107"/>
      <c r="FL334" s="107"/>
      <c r="FM334" s="107"/>
      <c r="FN334" s="107"/>
      <c r="FO334" s="10"/>
      <c r="FP334" s="10"/>
      <c r="FQ334" s="10"/>
      <c r="FR334" s="10"/>
      <c r="FS334" s="10"/>
      <c r="FT334" s="10"/>
      <c r="FU334" s="10"/>
      <c r="FV334" s="10"/>
      <c r="FW334" s="10"/>
      <c r="FX334" s="10"/>
      <c r="FY334" s="8"/>
      <c r="FZ334" s="266"/>
      <c r="GA334" s="266"/>
    </row>
    <row r="335" spans="1:183" s="268" customFormat="1" x14ac:dyDescent="0.25">
      <c r="A335" s="107"/>
      <c r="B335" s="7"/>
      <c r="C335" s="7"/>
      <c r="D335" s="7"/>
      <c r="E335" s="7"/>
      <c r="F335" s="10"/>
      <c r="G335" s="107"/>
      <c r="H335" s="7"/>
      <c r="I335" s="10"/>
      <c r="J335" s="10"/>
      <c r="K335" s="10"/>
      <c r="L335" s="10"/>
      <c r="M335" s="10"/>
      <c r="N335" s="10"/>
      <c r="O335" s="10"/>
      <c r="P335" s="8"/>
      <c r="Q335" s="8"/>
      <c r="R335" s="7"/>
      <c r="S335" s="7"/>
      <c r="T335" s="7"/>
      <c r="U335" s="107"/>
      <c r="V335" s="7"/>
      <c r="W335" s="10"/>
      <c r="X335" s="107"/>
      <c r="Y335" s="7"/>
      <c r="Z335" s="10"/>
      <c r="AA335" s="107"/>
      <c r="AB335" s="10"/>
      <c r="AC335" s="107"/>
      <c r="AD335" s="7"/>
      <c r="AE335" s="10"/>
      <c r="AF335" s="107"/>
      <c r="AG335" s="10"/>
      <c r="AH335" s="107"/>
      <c r="AI335" s="10"/>
      <c r="AJ335" s="107"/>
      <c r="AK335" s="10"/>
      <c r="AL335" s="107"/>
      <c r="AM335" s="10"/>
      <c r="AN335" s="10"/>
      <c r="AO335" s="10"/>
      <c r="AP335" s="8"/>
      <c r="AQ335" s="107"/>
      <c r="AR335" s="10"/>
      <c r="AS335" s="107"/>
      <c r="AT335" s="7"/>
      <c r="AU335" s="10"/>
      <c r="AV335" s="10"/>
      <c r="AW335" s="107"/>
      <c r="AX335" s="10"/>
      <c r="AY335" s="107"/>
      <c r="AZ335" s="10"/>
      <c r="BA335" s="107"/>
      <c r="BB335" s="107"/>
      <c r="BC335" s="107"/>
      <c r="BD335" s="10"/>
      <c r="BE335" s="107"/>
      <c r="BF335" s="10"/>
      <c r="BG335" s="10"/>
      <c r="BH335" s="10"/>
      <c r="BI335" s="107"/>
      <c r="BJ335" s="107"/>
      <c r="BK335" s="10"/>
      <c r="BL335" s="10"/>
      <c r="BM335" s="107"/>
      <c r="BN335" s="10"/>
      <c r="BO335" s="107"/>
      <c r="BP335" s="7"/>
      <c r="BQ335" s="10"/>
      <c r="BR335" s="107"/>
      <c r="BS335" s="10"/>
      <c r="BT335" s="107"/>
      <c r="BU335" s="107"/>
      <c r="BV335" s="107"/>
      <c r="BW335" s="107"/>
      <c r="BX335" s="107"/>
      <c r="BY335" s="10"/>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c r="CW335" s="107"/>
      <c r="CX335" s="107"/>
      <c r="CY335" s="107"/>
      <c r="CZ335" s="107"/>
      <c r="DA335" s="107"/>
      <c r="DB335" s="107"/>
      <c r="DC335" s="107"/>
      <c r="DD335" s="107"/>
      <c r="DE335" s="107"/>
      <c r="DF335" s="107"/>
      <c r="DG335" s="107"/>
      <c r="DH335" s="107"/>
      <c r="DI335" s="107"/>
      <c r="DJ335" s="107"/>
      <c r="DK335" s="10"/>
      <c r="DL335" s="10"/>
      <c r="DM335" s="10"/>
      <c r="DN335" s="10"/>
      <c r="DO335" s="10"/>
      <c r="DP335" s="10"/>
      <c r="DQ335" s="10"/>
      <c r="DR335" s="10"/>
      <c r="DS335" s="10"/>
      <c r="DT335" s="10"/>
      <c r="DU335" s="10"/>
      <c r="DV335" s="10"/>
      <c r="DW335" s="10"/>
      <c r="DX335" s="10"/>
      <c r="DY335" s="10"/>
      <c r="DZ335" s="10"/>
      <c r="EA335" s="10"/>
      <c r="EB335" s="10"/>
      <c r="EC335" s="107"/>
      <c r="ED335" s="107"/>
      <c r="EE335" s="10"/>
      <c r="EF335" s="107"/>
      <c r="EG335" s="7"/>
      <c r="EH335" s="10"/>
      <c r="EI335" s="107"/>
      <c r="EJ335" s="107"/>
      <c r="EK335" s="107"/>
      <c r="EL335" s="107"/>
      <c r="EM335" s="107"/>
      <c r="EN335" s="107"/>
      <c r="EO335" s="107"/>
      <c r="EP335" s="107"/>
      <c r="EQ335" s="107"/>
      <c r="ER335" s="107"/>
      <c r="ES335" s="107"/>
      <c r="ET335" s="107"/>
      <c r="EU335" s="107"/>
      <c r="EV335" s="107"/>
      <c r="EW335" s="107"/>
      <c r="EX335" s="107"/>
      <c r="EY335" s="107"/>
      <c r="EZ335" s="107"/>
      <c r="FA335" s="107"/>
      <c r="FB335" s="107"/>
      <c r="FC335" s="107"/>
      <c r="FD335" s="107"/>
      <c r="FE335" s="107"/>
      <c r="FF335" s="107"/>
      <c r="FG335" s="107"/>
      <c r="FH335" s="107"/>
      <c r="FI335" s="107"/>
      <c r="FJ335" s="107"/>
      <c r="FK335" s="107"/>
      <c r="FL335" s="107"/>
      <c r="FM335" s="107"/>
      <c r="FN335" s="107"/>
      <c r="FO335" s="10"/>
      <c r="FP335" s="10"/>
      <c r="FQ335" s="10"/>
      <c r="FR335" s="10"/>
      <c r="FS335" s="10"/>
      <c r="FT335" s="10"/>
      <c r="FU335" s="10"/>
      <c r="FV335" s="10"/>
      <c r="FW335" s="10"/>
      <c r="FX335" s="10"/>
      <c r="FY335" s="8"/>
      <c r="FZ335" s="266"/>
      <c r="GA335" s="266"/>
    </row>
    <row r="336" spans="1:183" s="268" customFormat="1" x14ac:dyDescent="0.25">
      <c r="A336" s="107"/>
      <c r="B336" s="7"/>
      <c r="C336" s="7"/>
      <c r="D336" s="7"/>
      <c r="E336" s="7"/>
      <c r="F336" s="10"/>
      <c r="G336" s="107"/>
      <c r="H336" s="7"/>
      <c r="I336" s="10"/>
      <c r="J336" s="10"/>
      <c r="K336" s="10"/>
      <c r="L336" s="10"/>
      <c r="M336" s="10"/>
      <c r="N336" s="10"/>
      <c r="O336" s="10"/>
      <c r="P336" s="8"/>
      <c r="Q336" s="8"/>
      <c r="R336" s="7"/>
      <c r="S336" s="7"/>
      <c r="T336" s="7"/>
      <c r="U336" s="107"/>
      <c r="V336" s="7"/>
      <c r="W336" s="10"/>
      <c r="X336" s="107"/>
      <c r="Y336" s="7"/>
      <c r="Z336" s="10"/>
      <c r="AA336" s="107"/>
      <c r="AB336" s="10"/>
      <c r="AC336" s="107"/>
      <c r="AD336" s="7"/>
      <c r="AE336" s="10"/>
      <c r="AF336" s="107"/>
      <c r="AG336" s="10"/>
      <c r="AH336" s="107"/>
      <c r="AI336" s="10"/>
      <c r="AJ336" s="107"/>
      <c r="AK336" s="10"/>
      <c r="AL336" s="107"/>
      <c r="AM336" s="10"/>
      <c r="AN336" s="10"/>
      <c r="AO336" s="10"/>
      <c r="AP336" s="8"/>
      <c r="AQ336" s="107"/>
      <c r="AR336" s="10"/>
      <c r="AS336" s="107"/>
      <c r="AT336" s="7"/>
      <c r="AU336" s="10"/>
      <c r="AV336" s="10"/>
      <c r="AW336" s="107"/>
      <c r="AX336" s="10"/>
      <c r="AY336" s="107"/>
      <c r="AZ336" s="10"/>
      <c r="BA336" s="107"/>
      <c r="BB336" s="107"/>
      <c r="BC336" s="107"/>
      <c r="BD336" s="10"/>
      <c r="BE336" s="107"/>
      <c r="BF336" s="10"/>
      <c r="BG336" s="10"/>
      <c r="BH336" s="10"/>
      <c r="BI336" s="107"/>
      <c r="BJ336" s="107"/>
      <c r="BK336" s="10"/>
      <c r="BL336" s="10"/>
      <c r="BM336" s="107"/>
      <c r="BN336" s="10"/>
      <c r="BO336" s="107"/>
      <c r="BP336" s="7"/>
      <c r="BQ336" s="10"/>
      <c r="BR336" s="107"/>
      <c r="BS336" s="10"/>
      <c r="BT336" s="107"/>
      <c r="BU336" s="107"/>
      <c r="BV336" s="107"/>
      <c r="BW336" s="107"/>
      <c r="BX336" s="107"/>
      <c r="BY336" s="10"/>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c r="CW336" s="107"/>
      <c r="CX336" s="107"/>
      <c r="CY336" s="107"/>
      <c r="CZ336" s="107"/>
      <c r="DA336" s="107"/>
      <c r="DB336" s="107"/>
      <c r="DC336" s="107"/>
      <c r="DD336" s="107"/>
      <c r="DE336" s="107"/>
      <c r="DF336" s="107"/>
      <c r="DG336" s="107"/>
      <c r="DH336" s="107"/>
      <c r="DI336" s="107"/>
      <c r="DJ336" s="107"/>
      <c r="DK336" s="10"/>
      <c r="DL336" s="10"/>
      <c r="DM336" s="10"/>
      <c r="DN336" s="10"/>
      <c r="DO336" s="10"/>
      <c r="DP336" s="10"/>
      <c r="DQ336" s="10"/>
      <c r="DR336" s="10"/>
      <c r="DS336" s="10"/>
      <c r="DT336" s="10"/>
      <c r="DU336" s="10"/>
      <c r="DV336" s="10"/>
      <c r="DW336" s="10"/>
      <c r="DX336" s="10"/>
      <c r="DY336" s="10"/>
      <c r="DZ336" s="10"/>
      <c r="EA336" s="10"/>
      <c r="EB336" s="10"/>
      <c r="EC336" s="107"/>
      <c r="ED336" s="107"/>
      <c r="EE336" s="10"/>
      <c r="EF336" s="107"/>
      <c r="EG336" s="7"/>
      <c r="EH336" s="10"/>
      <c r="EI336" s="107"/>
      <c r="EJ336" s="107"/>
      <c r="EK336" s="107"/>
      <c r="EL336" s="107"/>
      <c r="EM336" s="107"/>
      <c r="EN336" s="107"/>
      <c r="EO336" s="107"/>
      <c r="EP336" s="107"/>
      <c r="EQ336" s="107"/>
      <c r="ER336" s="107"/>
      <c r="ES336" s="107"/>
      <c r="ET336" s="107"/>
      <c r="EU336" s="107"/>
      <c r="EV336" s="107"/>
      <c r="EW336" s="107"/>
      <c r="EX336" s="107"/>
      <c r="EY336" s="107"/>
      <c r="EZ336" s="107"/>
      <c r="FA336" s="107"/>
      <c r="FB336" s="107"/>
      <c r="FC336" s="107"/>
      <c r="FD336" s="107"/>
      <c r="FE336" s="107"/>
      <c r="FF336" s="107"/>
      <c r="FG336" s="107"/>
      <c r="FH336" s="107"/>
      <c r="FI336" s="107"/>
      <c r="FJ336" s="107"/>
      <c r="FK336" s="107"/>
      <c r="FL336" s="107"/>
      <c r="FM336" s="107"/>
      <c r="FN336" s="107"/>
      <c r="FO336" s="10"/>
      <c r="FP336" s="10"/>
      <c r="FQ336" s="10"/>
      <c r="FR336" s="10"/>
      <c r="FS336" s="10"/>
      <c r="FT336" s="10"/>
      <c r="FU336" s="10"/>
      <c r="FV336" s="10"/>
      <c r="FW336" s="10"/>
      <c r="FX336" s="10"/>
      <c r="FY336" s="8"/>
      <c r="FZ336" s="266"/>
      <c r="GA336" s="266"/>
    </row>
    <row r="337" spans="1:183" s="268" customFormat="1" x14ac:dyDescent="0.25">
      <c r="A337" s="107"/>
      <c r="B337" s="7"/>
      <c r="C337" s="7"/>
      <c r="D337" s="7"/>
      <c r="E337" s="7"/>
      <c r="F337" s="10"/>
      <c r="G337" s="107"/>
      <c r="H337" s="7"/>
      <c r="I337" s="10"/>
      <c r="J337" s="10"/>
      <c r="K337" s="10"/>
      <c r="L337" s="10"/>
      <c r="M337" s="10"/>
      <c r="N337" s="10"/>
      <c r="O337" s="10"/>
      <c r="P337" s="8"/>
      <c r="Q337" s="8"/>
      <c r="R337" s="7"/>
      <c r="S337" s="7"/>
      <c r="T337" s="7"/>
      <c r="U337" s="107"/>
      <c r="V337" s="7"/>
      <c r="W337" s="10"/>
      <c r="X337" s="107"/>
      <c r="Y337" s="7"/>
      <c r="Z337" s="10"/>
      <c r="AA337" s="107"/>
      <c r="AB337" s="10"/>
      <c r="AC337" s="107"/>
      <c r="AD337" s="7"/>
      <c r="AE337" s="10"/>
      <c r="AF337" s="107"/>
      <c r="AG337" s="10"/>
      <c r="AH337" s="107"/>
      <c r="AI337" s="10"/>
      <c r="AJ337" s="107"/>
      <c r="AK337" s="10"/>
      <c r="AL337" s="107"/>
      <c r="AM337" s="10"/>
      <c r="AN337" s="10"/>
      <c r="AO337" s="10"/>
      <c r="AP337" s="8"/>
      <c r="AQ337" s="107"/>
      <c r="AR337" s="10"/>
      <c r="AS337" s="107"/>
      <c r="AT337" s="7"/>
      <c r="AU337" s="10"/>
      <c r="AV337" s="10"/>
      <c r="AW337" s="107"/>
      <c r="AX337" s="10"/>
      <c r="AY337" s="107"/>
      <c r="AZ337" s="10"/>
      <c r="BA337" s="107"/>
      <c r="BB337" s="107"/>
      <c r="BC337" s="107"/>
      <c r="BD337" s="10"/>
      <c r="BE337" s="107"/>
      <c r="BF337" s="10"/>
      <c r="BG337" s="10"/>
      <c r="BH337" s="10"/>
      <c r="BI337" s="107"/>
      <c r="BJ337" s="107"/>
      <c r="BK337" s="10"/>
      <c r="BL337" s="10"/>
      <c r="BM337" s="107"/>
      <c r="BN337" s="10"/>
      <c r="BO337" s="107"/>
      <c r="BP337" s="7"/>
      <c r="BQ337" s="10"/>
      <c r="BR337" s="107"/>
      <c r="BS337" s="10"/>
      <c r="BT337" s="107"/>
      <c r="BU337" s="107"/>
      <c r="BV337" s="107"/>
      <c r="BW337" s="107"/>
      <c r="BX337" s="107"/>
      <c r="BY337" s="10"/>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c r="CW337" s="107"/>
      <c r="CX337" s="107"/>
      <c r="CY337" s="107"/>
      <c r="CZ337" s="107"/>
      <c r="DA337" s="107"/>
      <c r="DB337" s="107"/>
      <c r="DC337" s="107"/>
      <c r="DD337" s="107"/>
      <c r="DE337" s="107"/>
      <c r="DF337" s="107"/>
      <c r="DG337" s="107"/>
      <c r="DH337" s="107"/>
      <c r="DI337" s="107"/>
      <c r="DJ337" s="107"/>
      <c r="DK337" s="10"/>
      <c r="DL337" s="10"/>
      <c r="DM337" s="10"/>
      <c r="DN337" s="10"/>
      <c r="DO337" s="10"/>
      <c r="DP337" s="10"/>
      <c r="DQ337" s="10"/>
      <c r="DR337" s="10"/>
      <c r="DS337" s="10"/>
      <c r="DT337" s="10"/>
      <c r="DU337" s="10"/>
      <c r="DV337" s="10"/>
      <c r="DW337" s="10"/>
      <c r="DX337" s="10"/>
      <c r="DY337" s="10"/>
      <c r="DZ337" s="10"/>
      <c r="EA337" s="10"/>
      <c r="EB337" s="10"/>
      <c r="EC337" s="107"/>
      <c r="ED337" s="107"/>
      <c r="EE337" s="10"/>
      <c r="EF337" s="107"/>
      <c r="EG337" s="7"/>
      <c r="EH337" s="10"/>
      <c r="EI337" s="107"/>
      <c r="EJ337" s="107"/>
      <c r="EK337" s="107"/>
      <c r="EL337" s="107"/>
      <c r="EM337" s="107"/>
      <c r="EN337" s="107"/>
      <c r="EO337" s="107"/>
      <c r="EP337" s="107"/>
      <c r="EQ337" s="107"/>
      <c r="ER337" s="107"/>
      <c r="ES337" s="107"/>
      <c r="ET337" s="107"/>
      <c r="EU337" s="107"/>
      <c r="EV337" s="107"/>
      <c r="EW337" s="107"/>
      <c r="EX337" s="107"/>
      <c r="EY337" s="107"/>
      <c r="EZ337" s="107"/>
      <c r="FA337" s="107"/>
      <c r="FB337" s="107"/>
      <c r="FC337" s="107"/>
      <c r="FD337" s="107"/>
      <c r="FE337" s="107"/>
      <c r="FF337" s="107"/>
      <c r="FG337" s="107"/>
      <c r="FH337" s="107"/>
      <c r="FI337" s="107"/>
      <c r="FJ337" s="107"/>
      <c r="FK337" s="107"/>
      <c r="FL337" s="107"/>
      <c r="FM337" s="107"/>
      <c r="FN337" s="107"/>
      <c r="FO337" s="10"/>
      <c r="FP337" s="10"/>
      <c r="FQ337" s="10"/>
      <c r="FR337" s="10"/>
      <c r="FS337" s="10"/>
      <c r="FT337" s="10"/>
      <c r="FU337" s="10"/>
      <c r="FV337" s="10"/>
      <c r="FW337" s="10"/>
      <c r="FX337" s="10"/>
      <c r="FY337" s="8"/>
      <c r="FZ337" s="266"/>
      <c r="GA337" s="266"/>
    </row>
    <row r="338" spans="1:183" s="268" customFormat="1" x14ac:dyDescent="0.25">
      <c r="A338" s="107"/>
      <c r="B338" s="7"/>
      <c r="C338" s="7"/>
      <c r="D338" s="7"/>
      <c r="E338" s="7"/>
      <c r="F338" s="10"/>
      <c r="G338" s="107"/>
      <c r="H338" s="7"/>
      <c r="I338" s="10"/>
      <c r="J338" s="10"/>
      <c r="K338" s="10"/>
      <c r="L338" s="10"/>
      <c r="M338" s="10"/>
      <c r="N338" s="10"/>
      <c r="O338" s="10"/>
      <c r="P338" s="8"/>
      <c r="Q338" s="8"/>
      <c r="R338" s="7"/>
      <c r="S338" s="7"/>
      <c r="T338" s="7"/>
      <c r="U338" s="107"/>
      <c r="V338" s="7"/>
      <c r="W338" s="10"/>
      <c r="X338" s="107"/>
      <c r="Y338" s="7"/>
      <c r="Z338" s="10"/>
      <c r="AA338" s="107"/>
      <c r="AB338" s="10"/>
      <c r="AC338" s="107"/>
      <c r="AD338" s="7"/>
      <c r="AE338" s="10"/>
      <c r="AF338" s="107"/>
      <c r="AG338" s="10"/>
      <c r="AH338" s="107"/>
      <c r="AI338" s="10"/>
      <c r="AJ338" s="107"/>
      <c r="AK338" s="10"/>
      <c r="AL338" s="107"/>
      <c r="AM338" s="10"/>
      <c r="AN338" s="10"/>
      <c r="AO338" s="10"/>
      <c r="AP338" s="8"/>
      <c r="AQ338" s="107"/>
      <c r="AR338" s="10"/>
      <c r="AS338" s="107"/>
      <c r="AT338" s="7"/>
      <c r="AU338" s="10"/>
      <c r="AV338" s="10"/>
      <c r="AW338" s="107"/>
      <c r="AX338" s="10"/>
      <c r="AY338" s="107"/>
      <c r="AZ338" s="10"/>
      <c r="BA338" s="107"/>
      <c r="BB338" s="107"/>
      <c r="BC338" s="107"/>
      <c r="BD338" s="10"/>
      <c r="BE338" s="107"/>
      <c r="BF338" s="10"/>
      <c r="BG338" s="10"/>
      <c r="BH338" s="10"/>
      <c r="BI338" s="107"/>
      <c r="BJ338" s="107"/>
      <c r="BK338" s="10"/>
      <c r="BL338" s="10"/>
      <c r="BM338" s="107"/>
      <c r="BN338" s="10"/>
      <c r="BO338" s="107"/>
      <c r="BP338" s="7"/>
      <c r="BQ338" s="10"/>
      <c r="BR338" s="107"/>
      <c r="BS338" s="10"/>
      <c r="BT338" s="107"/>
      <c r="BU338" s="107"/>
      <c r="BV338" s="107"/>
      <c r="BW338" s="107"/>
      <c r="BX338" s="107"/>
      <c r="BY338" s="10"/>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c r="CW338" s="107"/>
      <c r="CX338" s="107"/>
      <c r="CY338" s="107"/>
      <c r="CZ338" s="107"/>
      <c r="DA338" s="107"/>
      <c r="DB338" s="107"/>
      <c r="DC338" s="107"/>
      <c r="DD338" s="107"/>
      <c r="DE338" s="107"/>
      <c r="DF338" s="107"/>
      <c r="DG338" s="107"/>
      <c r="DH338" s="107"/>
      <c r="DI338" s="107"/>
      <c r="DJ338" s="107"/>
      <c r="DK338" s="10"/>
      <c r="DL338" s="10"/>
      <c r="DM338" s="10"/>
      <c r="DN338" s="10"/>
      <c r="DO338" s="10"/>
      <c r="DP338" s="10"/>
      <c r="DQ338" s="10"/>
      <c r="DR338" s="10"/>
      <c r="DS338" s="10"/>
      <c r="DT338" s="10"/>
      <c r="DU338" s="10"/>
      <c r="DV338" s="10"/>
      <c r="DW338" s="10"/>
      <c r="DX338" s="10"/>
      <c r="DY338" s="10"/>
      <c r="DZ338" s="10"/>
      <c r="EA338" s="10"/>
      <c r="EB338" s="10"/>
      <c r="EC338" s="107"/>
      <c r="ED338" s="107"/>
      <c r="EE338" s="10"/>
      <c r="EF338" s="107"/>
      <c r="EG338" s="7"/>
      <c r="EH338" s="10"/>
      <c r="EI338" s="107"/>
      <c r="EJ338" s="107"/>
      <c r="EK338" s="107"/>
      <c r="EL338" s="107"/>
      <c r="EM338" s="107"/>
      <c r="EN338" s="107"/>
      <c r="EO338" s="107"/>
      <c r="EP338" s="107"/>
      <c r="EQ338" s="107"/>
      <c r="ER338" s="107"/>
      <c r="ES338" s="107"/>
      <c r="ET338" s="107"/>
      <c r="EU338" s="107"/>
      <c r="EV338" s="107"/>
      <c r="EW338" s="107"/>
      <c r="EX338" s="107"/>
      <c r="EY338" s="107"/>
      <c r="EZ338" s="107"/>
      <c r="FA338" s="107"/>
      <c r="FB338" s="107"/>
      <c r="FC338" s="107"/>
      <c r="FD338" s="107"/>
      <c r="FE338" s="107"/>
      <c r="FF338" s="107"/>
      <c r="FG338" s="107"/>
      <c r="FH338" s="107"/>
      <c r="FI338" s="107"/>
      <c r="FJ338" s="107"/>
      <c r="FK338" s="107"/>
      <c r="FL338" s="107"/>
      <c r="FM338" s="107"/>
      <c r="FN338" s="107"/>
      <c r="FO338" s="10"/>
      <c r="FP338" s="10"/>
      <c r="FQ338" s="10"/>
      <c r="FR338" s="10"/>
      <c r="FS338" s="10"/>
      <c r="FT338" s="10"/>
      <c r="FU338" s="10"/>
      <c r="FV338" s="10"/>
      <c r="FW338" s="10"/>
      <c r="FX338" s="10"/>
      <c r="FY338" s="8"/>
      <c r="FZ338" s="266"/>
      <c r="GA338" s="266"/>
    </row>
    <row r="339" spans="1:183" s="268" customFormat="1" x14ac:dyDescent="0.25">
      <c r="A339" s="107"/>
      <c r="B339" s="7"/>
      <c r="C339" s="7"/>
      <c r="D339" s="7"/>
      <c r="E339" s="7"/>
      <c r="F339" s="10"/>
      <c r="G339" s="107"/>
      <c r="H339" s="7"/>
      <c r="I339" s="10"/>
      <c r="J339" s="10"/>
      <c r="K339" s="10"/>
      <c r="L339" s="10"/>
      <c r="M339" s="10"/>
      <c r="N339" s="10"/>
      <c r="O339" s="10"/>
      <c r="P339" s="8"/>
      <c r="Q339" s="8"/>
      <c r="R339" s="7"/>
      <c r="S339" s="7"/>
      <c r="T339" s="7"/>
      <c r="U339" s="107"/>
      <c r="V339" s="7"/>
      <c r="W339" s="10"/>
      <c r="X339" s="107"/>
      <c r="Y339" s="7"/>
      <c r="Z339" s="10"/>
      <c r="AA339" s="107"/>
      <c r="AB339" s="10"/>
      <c r="AC339" s="107"/>
      <c r="AD339" s="7"/>
      <c r="AE339" s="10"/>
      <c r="AF339" s="107"/>
      <c r="AG339" s="10"/>
      <c r="AH339" s="107"/>
      <c r="AI339" s="10"/>
      <c r="AJ339" s="107"/>
      <c r="AK339" s="10"/>
      <c r="AL339" s="107"/>
      <c r="AM339" s="10"/>
      <c r="AN339" s="10"/>
      <c r="AO339" s="10"/>
      <c r="AP339" s="8"/>
      <c r="AQ339" s="107"/>
      <c r="AR339" s="10"/>
      <c r="AS339" s="107"/>
      <c r="AT339" s="7"/>
      <c r="AU339" s="10"/>
      <c r="AV339" s="10"/>
      <c r="AW339" s="107"/>
      <c r="AX339" s="10"/>
      <c r="AY339" s="107"/>
      <c r="AZ339" s="10"/>
      <c r="BA339" s="107"/>
      <c r="BB339" s="107"/>
      <c r="BC339" s="107"/>
      <c r="BD339" s="10"/>
      <c r="BE339" s="107"/>
      <c r="BF339" s="10"/>
      <c r="BG339" s="10"/>
      <c r="BH339" s="10"/>
      <c r="BI339" s="107"/>
      <c r="BJ339" s="107"/>
      <c r="BK339" s="10"/>
      <c r="BL339" s="10"/>
      <c r="BM339" s="107"/>
      <c r="BN339" s="10"/>
      <c r="BO339" s="107"/>
      <c r="BP339" s="7"/>
      <c r="BQ339" s="10"/>
      <c r="BR339" s="107"/>
      <c r="BS339" s="10"/>
      <c r="BT339" s="107"/>
      <c r="BU339" s="107"/>
      <c r="BV339" s="107"/>
      <c r="BW339" s="107"/>
      <c r="BX339" s="107"/>
      <c r="BY339" s="10"/>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c r="CW339" s="107"/>
      <c r="CX339" s="107"/>
      <c r="CY339" s="107"/>
      <c r="CZ339" s="107"/>
      <c r="DA339" s="107"/>
      <c r="DB339" s="107"/>
      <c r="DC339" s="107"/>
      <c r="DD339" s="107"/>
      <c r="DE339" s="107"/>
      <c r="DF339" s="107"/>
      <c r="DG339" s="107"/>
      <c r="DH339" s="107"/>
      <c r="DI339" s="107"/>
      <c r="DJ339" s="107"/>
      <c r="DK339" s="10"/>
      <c r="DL339" s="10"/>
      <c r="DM339" s="10"/>
      <c r="DN339" s="10"/>
      <c r="DO339" s="10"/>
      <c r="DP339" s="10"/>
      <c r="DQ339" s="10"/>
      <c r="DR339" s="10"/>
      <c r="DS339" s="10"/>
      <c r="DT339" s="10"/>
      <c r="DU339" s="10"/>
      <c r="DV339" s="10"/>
      <c r="DW339" s="10"/>
      <c r="DX339" s="10"/>
      <c r="DY339" s="10"/>
      <c r="DZ339" s="10"/>
      <c r="EA339" s="10"/>
      <c r="EB339" s="10"/>
      <c r="EC339" s="107"/>
      <c r="ED339" s="107"/>
      <c r="EE339" s="10"/>
      <c r="EF339" s="107"/>
      <c r="EG339" s="7"/>
      <c r="EH339" s="10"/>
      <c r="EI339" s="107"/>
      <c r="EJ339" s="107"/>
      <c r="EK339" s="107"/>
      <c r="EL339" s="107"/>
      <c r="EM339" s="107"/>
      <c r="EN339" s="107"/>
      <c r="EO339" s="107"/>
      <c r="EP339" s="107"/>
      <c r="EQ339" s="107"/>
      <c r="ER339" s="107"/>
      <c r="ES339" s="107"/>
      <c r="ET339" s="107"/>
      <c r="EU339" s="107"/>
      <c r="EV339" s="107"/>
      <c r="EW339" s="107"/>
      <c r="EX339" s="107"/>
      <c r="EY339" s="107"/>
      <c r="EZ339" s="107"/>
      <c r="FA339" s="107"/>
      <c r="FB339" s="107"/>
      <c r="FC339" s="107"/>
      <c r="FD339" s="107"/>
      <c r="FE339" s="107"/>
      <c r="FF339" s="107"/>
      <c r="FG339" s="107"/>
      <c r="FH339" s="107"/>
      <c r="FI339" s="107"/>
      <c r="FJ339" s="107"/>
      <c r="FK339" s="107"/>
      <c r="FL339" s="107"/>
      <c r="FM339" s="107"/>
      <c r="FN339" s="107"/>
      <c r="FO339" s="10"/>
      <c r="FP339" s="10"/>
      <c r="FQ339" s="10"/>
      <c r="FR339" s="10"/>
      <c r="FS339" s="10"/>
      <c r="FT339" s="10"/>
      <c r="FU339" s="10"/>
      <c r="FV339" s="10"/>
      <c r="FW339" s="10"/>
      <c r="FX339" s="10"/>
      <c r="FY339" s="8"/>
      <c r="FZ339" s="266"/>
      <c r="GA339" s="266"/>
    </row>
    <row r="340" spans="1:183" s="268" customFormat="1" x14ac:dyDescent="0.25">
      <c r="A340" s="107"/>
      <c r="B340" s="7"/>
      <c r="C340" s="7"/>
      <c r="D340" s="7"/>
      <c r="E340" s="7"/>
      <c r="F340" s="10"/>
      <c r="G340" s="107"/>
      <c r="H340" s="7"/>
      <c r="I340" s="10"/>
      <c r="J340" s="10"/>
      <c r="K340" s="10"/>
      <c r="L340" s="10"/>
      <c r="M340" s="10"/>
      <c r="N340" s="10"/>
      <c r="O340" s="10"/>
      <c r="P340" s="8"/>
      <c r="Q340" s="8"/>
      <c r="R340" s="7"/>
      <c r="S340" s="7"/>
      <c r="T340" s="7"/>
      <c r="U340" s="107"/>
      <c r="V340" s="7"/>
      <c r="W340" s="10"/>
      <c r="X340" s="107"/>
      <c r="Y340" s="7"/>
      <c r="Z340" s="10"/>
      <c r="AA340" s="107"/>
      <c r="AB340" s="10"/>
      <c r="AC340" s="107"/>
      <c r="AD340" s="7"/>
      <c r="AE340" s="10"/>
      <c r="AF340" s="107"/>
      <c r="AG340" s="10"/>
      <c r="AH340" s="107"/>
      <c r="AI340" s="10"/>
      <c r="AJ340" s="107"/>
      <c r="AK340" s="10"/>
      <c r="AL340" s="107"/>
      <c r="AM340" s="10"/>
      <c r="AN340" s="10"/>
      <c r="AO340" s="10"/>
      <c r="AP340" s="8"/>
      <c r="AQ340" s="107"/>
      <c r="AR340" s="10"/>
      <c r="AS340" s="107"/>
      <c r="AT340" s="7"/>
      <c r="AU340" s="10"/>
      <c r="AV340" s="10"/>
      <c r="AW340" s="107"/>
      <c r="AX340" s="10"/>
      <c r="AY340" s="107"/>
      <c r="AZ340" s="10"/>
      <c r="BA340" s="107"/>
      <c r="BB340" s="107"/>
      <c r="BC340" s="107"/>
      <c r="BD340" s="10"/>
      <c r="BE340" s="107"/>
      <c r="BF340" s="10"/>
      <c r="BG340" s="10"/>
      <c r="BH340" s="10"/>
      <c r="BI340" s="107"/>
      <c r="BJ340" s="107"/>
      <c r="BK340" s="10"/>
      <c r="BL340" s="10"/>
      <c r="BM340" s="107"/>
      <c r="BN340" s="10"/>
      <c r="BO340" s="107"/>
      <c r="BP340" s="7"/>
      <c r="BQ340" s="10"/>
      <c r="BR340" s="107"/>
      <c r="BS340" s="10"/>
      <c r="BT340" s="107"/>
      <c r="BU340" s="107"/>
      <c r="BV340" s="107"/>
      <c r="BW340" s="107"/>
      <c r="BX340" s="107"/>
      <c r="BY340" s="10"/>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c r="CW340" s="107"/>
      <c r="CX340" s="107"/>
      <c r="CY340" s="107"/>
      <c r="CZ340" s="107"/>
      <c r="DA340" s="107"/>
      <c r="DB340" s="107"/>
      <c r="DC340" s="107"/>
      <c r="DD340" s="107"/>
      <c r="DE340" s="107"/>
      <c r="DF340" s="107"/>
      <c r="DG340" s="107"/>
      <c r="DH340" s="107"/>
      <c r="DI340" s="107"/>
      <c r="DJ340" s="107"/>
      <c r="DK340" s="10"/>
      <c r="DL340" s="10"/>
      <c r="DM340" s="10"/>
      <c r="DN340" s="10"/>
      <c r="DO340" s="10"/>
      <c r="DP340" s="10"/>
      <c r="DQ340" s="10"/>
      <c r="DR340" s="10"/>
      <c r="DS340" s="10"/>
      <c r="DT340" s="10"/>
      <c r="DU340" s="10"/>
      <c r="DV340" s="10"/>
      <c r="DW340" s="10"/>
      <c r="DX340" s="10"/>
      <c r="DY340" s="10"/>
      <c r="DZ340" s="10"/>
      <c r="EA340" s="10"/>
      <c r="EB340" s="10"/>
      <c r="EC340" s="107"/>
      <c r="ED340" s="107"/>
      <c r="EE340" s="10"/>
      <c r="EF340" s="107"/>
      <c r="EG340" s="7"/>
      <c r="EH340" s="10"/>
      <c r="EI340" s="107"/>
      <c r="EJ340" s="107"/>
      <c r="EK340" s="107"/>
      <c r="EL340" s="107"/>
      <c r="EM340" s="107"/>
      <c r="EN340" s="107"/>
      <c r="EO340" s="107"/>
      <c r="EP340" s="107"/>
      <c r="EQ340" s="107"/>
      <c r="ER340" s="107"/>
      <c r="ES340" s="107"/>
      <c r="ET340" s="107"/>
      <c r="EU340" s="107"/>
      <c r="EV340" s="107"/>
      <c r="EW340" s="107"/>
      <c r="EX340" s="107"/>
      <c r="EY340" s="107"/>
      <c r="EZ340" s="107"/>
      <c r="FA340" s="107"/>
      <c r="FB340" s="107"/>
      <c r="FC340" s="107"/>
      <c r="FD340" s="107"/>
      <c r="FE340" s="107"/>
      <c r="FF340" s="107"/>
      <c r="FG340" s="107"/>
      <c r="FH340" s="107"/>
      <c r="FI340" s="107"/>
      <c r="FJ340" s="107"/>
      <c r="FK340" s="107"/>
      <c r="FL340" s="107"/>
      <c r="FM340" s="107"/>
      <c r="FN340" s="107"/>
      <c r="FO340" s="10"/>
      <c r="FP340" s="10"/>
      <c r="FQ340" s="10"/>
      <c r="FR340" s="10"/>
      <c r="FS340" s="10"/>
      <c r="FT340" s="10"/>
      <c r="FU340" s="10"/>
      <c r="FV340" s="10"/>
      <c r="FW340" s="10"/>
      <c r="FX340" s="10"/>
      <c r="FY340" s="8"/>
      <c r="FZ340" s="266"/>
      <c r="GA340" s="266"/>
    </row>
    <row r="341" spans="1:183" s="268" customFormat="1" x14ac:dyDescent="0.25">
      <c r="A341" s="107"/>
      <c r="B341" s="7"/>
      <c r="C341" s="7"/>
      <c r="D341" s="7"/>
      <c r="E341" s="7"/>
      <c r="F341" s="10"/>
      <c r="G341" s="107"/>
      <c r="H341" s="7"/>
      <c r="I341" s="10"/>
      <c r="J341" s="10"/>
      <c r="K341" s="10"/>
      <c r="L341" s="10"/>
      <c r="M341" s="10"/>
      <c r="N341" s="10"/>
      <c r="O341" s="10"/>
      <c r="P341" s="8"/>
      <c r="Q341" s="8"/>
      <c r="R341" s="7"/>
      <c r="S341" s="7"/>
      <c r="T341" s="7"/>
      <c r="U341" s="107"/>
      <c r="V341" s="7"/>
      <c r="W341" s="10"/>
      <c r="X341" s="107"/>
      <c r="Y341" s="7"/>
      <c r="Z341" s="10"/>
      <c r="AA341" s="107"/>
      <c r="AB341" s="10"/>
      <c r="AC341" s="107"/>
      <c r="AD341" s="7"/>
      <c r="AE341" s="10"/>
      <c r="AF341" s="107"/>
      <c r="AG341" s="10"/>
      <c r="AH341" s="107"/>
      <c r="AI341" s="10"/>
      <c r="AJ341" s="107"/>
      <c r="AK341" s="10"/>
      <c r="AL341" s="107"/>
      <c r="AM341" s="10"/>
      <c r="AN341" s="10"/>
      <c r="AO341" s="10"/>
      <c r="AP341" s="8"/>
      <c r="AQ341" s="107"/>
      <c r="AR341" s="10"/>
      <c r="AS341" s="107"/>
      <c r="AT341" s="7"/>
      <c r="AU341" s="10"/>
      <c r="AV341" s="10"/>
      <c r="AW341" s="107"/>
      <c r="AX341" s="10"/>
      <c r="AY341" s="107"/>
      <c r="AZ341" s="10"/>
      <c r="BA341" s="107"/>
      <c r="BB341" s="107"/>
      <c r="BC341" s="107"/>
      <c r="BD341" s="10"/>
      <c r="BE341" s="107"/>
      <c r="BF341" s="10"/>
      <c r="BG341" s="10"/>
      <c r="BH341" s="10"/>
      <c r="BI341" s="107"/>
      <c r="BJ341" s="107"/>
      <c r="BK341" s="10"/>
      <c r="BL341" s="10"/>
      <c r="BM341" s="107"/>
      <c r="BN341" s="10"/>
      <c r="BO341" s="107"/>
      <c r="BP341" s="7"/>
      <c r="BQ341" s="10"/>
      <c r="BR341" s="107"/>
      <c r="BS341" s="10"/>
      <c r="BT341" s="107"/>
      <c r="BU341" s="107"/>
      <c r="BV341" s="107"/>
      <c r="BW341" s="107"/>
      <c r="BX341" s="107"/>
      <c r="BY341" s="10"/>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c r="CW341" s="107"/>
      <c r="CX341" s="107"/>
      <c r="CY341" s="107"/>
      <c r="CZ341" s="107"/>
      <c r="DA341" s="107"/>
      <c r="DB341" s="107"/>
      <c r="DC341" s="107"/>
      <c r="DD341" s="107"/>
      <c r="DE341" s="107"/>
      <c r="DF341" s="107"/>
      <c r="DG341" s="107"/>
      <c r="DH341" s="107"/>
      <c r="DI341" s="107"/>
      <c r="DJ341" s="107"/>
      <c r="DK341" s="10"/>
      <c r="DL341" s="10"/>
      <c r="DM341" s="10"/>
      <c r="DN341" s="10"/>
      <c r="DO341" s="10"/>
      <c r="DP341" s="10"/>
      <c r="DQ341" s="10"/>
      <c r="DR341" s="10"/>
      <c r="DS341" s="10"/>
      <c r="DT341" s="10"/>
      <c r="DU341" s="10"/>
      <c r="DV341" s="10"/>
      <c r="DW341" s="10"/>
      <c r="DX341" s="10"/>
      <c r="DY341" s="10"/>
      <c r="DZ341" s="10"/>
      <c r="EA341" s="10"/>
      <c r="EB341" s="10"/>
      <c r="EC341" s="107"/>
      <c r="ED341" s="107"/>
      <c r="EE341" s="10"/>
      <c r="EF341" s="107"/>
      <c r="EG341" s="7"/>
      <c r="EH341" s="10"/>
      <c r="EI341" s="107"/>
      <c r="EJ341" s="107"/>
      <c r="EK341" s="107"/>
      <c r="EL341" s="107"/>
      <c r="EM341" s="107"/>
      <c r="EN341" s="107"/>
      <c r="EO341" s="107"/>
      <c r="EP341" s="107"/>
      <c r="EQ341" s="107"/>
      <c r="ER341" s="107"/>
      <c r="ES341" s="107"/>
      <c r="ET341" s="107"/>
      <c r="EU341" s="107"/>
      <c r="EV341" s="107"/>
      <c r="EW341" s="107"/>
      <c r="EX341" s="107"/>
      <c r="EY341" s="107"/>
      <c r="EZ341" s="107"/>
      <c r="FA341" s="107"/>
      <c r="FB341" s="107"/>
      <c r="FC341" s="107"/>
      <c r="FD341" s="107"/>
      <c r="FE341" s="107"/>
      <c r="FF341" s="107"/>
      <c r="FG341" s="107"/>
      <c r="FH341" s="107"/>
      <c r="FI341" s="107"/>
      <c r="FJ341" s="107"/>
      <c r="FK341" s="107"/>
      <c r="FL341" s="107"/>
      <c r="FM341" s="107"/>
      <c r="FN341" s="107"/>
      <c r="FO341" s="10"/>
      <c r="FP341" s="10"/>
      <c r="FQ341" s="10"/>
      <c r="FR341" s="10"/>
      <c r="FS341" s="10"/>
      <c r="FT341" s="10"/>
      <c r="FU341" s="10"/>
      <c r="FV341" s="10"/>
      <c r="FW341" s="10"/>
      <c r="FX341" s="10"/>
      <c r="FY341" s="8"/>
      <c r="FZ341" s="266"/>
      <c r="GA341" s="266"/>
    </row>
    <row r="342" spans="1:183" s="268" customFormat="1" x14ac:dyDescent="0.25">
      <c r="A342" s="107"/>
      <c r="B342" s="7"/>
      <c r="C342" s="7"/>
      <c r="D342" s="7"/>
      <c r="E342" s="7"/>
      <c r="F342" s="10"/>
      <c r="G342" s="107"/>
      <c r="H342" s="7"/>
      <c r="I342" s="10"/>
      <c r="J342" s="10"/>
      <c r="K342" s="10"/>
      <c r="L342" s="10"/>
      <c r="M342" s="10"/>
      <c r="N342" s="10"/>
      <c r="O342" s="10"/>
      <c r="P342" s="8"/>
      <c r="Q342" s="8"/>
      <c r="R342" s="7"/>
      <c r="S342" s="7"/>
      <c r="T342" s="7"/>
      <c r="U342" s="107"/>
      <c r="V342" s="7"/>
      <c r="W342" s="10"/>
      <c r="X342" s="107"/>
      <c r="Y342" s="7"/>
      <c r="Z342" s="10"/>
      <c r="AA342" s="107"/>
      <c r="AB342" s="10"/>
      <c r="AC342" s="107"/>
      <c r="AD342" s="7"/>
      <c r="AE342" s="10"/>
      <c r="AF342" s="107"/>
      <c r="AG342" s="10"/>
      <c r="AH342" s="107"/>
      <c r="AI342" s="10"/>
      <c r="AJ342" s="107"/>
      <c r="AK342" s="10"/>
      <c r="AL342" s="107"/>
      <c r="AM342" s="10"/>
      <c r="AN342" s="10"/>
      <c r="AO342" s="10"/>
      <c r="AP342" s="8"/>
      <c r="AQ342" s="107"/>
      <c r="AR342" s="10"/>
      <c r="AS342" s="107"/>
      <c r="AT342" s="7"/>
      <c r="AU342" s="10"/>
      <c r="AV342" s="10"/>
      <c r="AW342" s="107"/>
      <c r="AX342" s="10"/>
      <c r="AY342" s="107"/>
      <c r="AZ342" s="10"/>
      <c r="BA342" s="107"/>
      <c r="BB342" s="107"/>
      <c r="BC342" s="107"/>
      <c r="BD342" s="10"/>
      <c r="BE342" s="107"/>
      <c r="BF342" s="10"/>
      <c r="BG342" s="10"/>
      <c r="BH342" s="10"/>
      <c r="BI342" s="107"/>
      <c r="BJ342" s="107"/>
      <c r="BK342" s="10"/>
      <c r="BL342" s="10"/>
      <c r="BM342" s="107"/>
      <c r="BN342" s="10"/>
      <c r="BO342" s="107"/>
      <c r="BP342" s="7"/>
      <c r="BQ342" s="10"/>
      <c r="BR342" s="107"/>
      <c r="BS342" s="10"/>
      <c r="BT342" s="107"/>
      <c r="BU342" s="107"/>
      <c r="BV342" s="107"/>
      <c r="BW342" s="107"/>
      <c r="BX342" s="107"/>
      <c r="BY342" s="10"/>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
      <c r="DL342" s="10"/>
      <c r="DM342" s="10"/>
      <c r="DN342" s="10"/>
      <c r="DO342" s="10"/>
      <c r="DP342" s="10"/>
      <c r="DQ342" s="10"/>
      <c r="DR342" s="10"/>
      <c r="DS342" s="10"/>
      <c r="DT342" s="10"/>
      <c r="DU342" s="10"/>
      <c r="DV342" s="10"/>
      <c r="DW342" s="10"/>
      <c r="DX342" s="10"/>
      <c r="DY342" s="10"/>
      <c r="DZ342" s="10"/>
      <c r="EA342" s="10"/>
      <c r="EB342" s="10"/>
      <c r="EC342" s="107"/>
      <c r="ED342" s="107"/>
      <c r="EE342" s="10"/>
      <c r="EF342" s="107"/>
      <c r="EG342" s="7"/>
      <c r="EH342" s="10"/>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107"/>
      <c r="FO342" s="10"/>
      <c r="FP342" s="10"/>
      <c r="FQ342" s="10"/>
      <c r="FR342" s="10"/>
      <c r="FS342" s="10"/>
      <c r="FT342" s="10"/>
      <c r="FU342" s="10"/>
      <c r="FV342" s="10"/>
      <c r="FW342" s="10"/>
      <c r="FX342" s="10"/>
      <c r="FY342" s="8"/>
      <c r="FZ342" s="266"/>
      <c r="GA342" s="266"/>
    </row>
    <row r="343" spans="1:183" s="268" customFormat="1" x14ac:dyDescent="0.25">
      <c r="A343" s="107"/>
      <c r="B343" s="7"/>
      <c r="C343" s="7"/>
      <c r="D343" s="7"/>
      <c r="E343" s="7"/>
      <c r="F343" s="10"/>
      <c r="G343" s="107"/>
      <c r="H343" s="7"/>
      <c r="I343" s="10"/>
      <c r="J343" s="10"/>
      <c r="K343" s="10"/>
      <c r="L343" s="10"/>
      <c r="M343" s="10"/>
      <c r="N343" s="10"/>
      <c r="O343" s="10"/>
      <c r="P343" s="8"/>
      <c r="Q343" s="8"/>
      <c r="R343" s="7"/>
      <c r="S343" s="7"/>
      <c r="T343" s="7"/>
      <c r="U343" s="107"/>
      <c r="V343" s="7"/>
      <c r="W343" s="10"/>
      <c r="X343" s="107"/>
      <c r="Y343" s="7"/>
      <c r="Z343" s="10"/>
      <c r="AA343" s="107"/>
      <c r="AB343" s="10"/>
      <c r="AC343" s="107"/>
      <c r="AD343" s="7"/>
      <c r="AE343" s="10"/>
      <c r="AF343" s="107"/>
      <c r="AG343" s="10"/>
      <c r="AH343" s="107"/>
      <c r="AI343" s="10"/>
      <c r="AJ343" s="107"/>
      <c r="AK343" s="10"/>
      <c r="AL343" s="107"/>
      <c r="AM343" s="10"/>
      <c r="AN343" s="10"/>
      <c r="AO343" s="10"/>
      <c r="AP343" s="8"/>
      <c r="AQ343" s="107"/>
      <c r="AR343" s="10"/>
      <c r="AS343" s="107"/>
      <c r="AT343" s="7"/>
      <c r="AU343" s="10"/>
      <c r="AV343" s="10"/>
      <c r="AW343" s="107"/>
      <c r="AX343" s="10"/>
      <c r="AY343" s="107"/>
      <c r="AZ343" s="10"/>
      <c r="BA343" s="107"/>
      <c r="BB343" s="107"/>
      <c r="BC343" s="107"/>
      <c r="BD343" s="10"/>
      <c r="BE343" s="107"/>
      <c r="BF343" s="10"/>
      <c r="BG343" s="10"/>
      <c r="BH343" s="10"/>
      <c r="BI343" s="107"/>
      <c r="BJ343" s="107"/>
      <c r="BK343" s="10"/>
      <c r="BL343" s="10"/>
      <c r="BM343" s="107"/>
      <c r="BN343" s="10"/>
      <c r="BO343" s="107"/>
      <c r="BP343" s="7"/>
      <c r="BQ343" s="10"/>
      <c r="BR343" s="107"/>
      <c r="BS343" s="10"/>
      <c r="BT343" s="107"/>
      <c r="BU343" s="107"/>
      <c r="BV343" s="107"/>
      <c r="BW343" s="107"/>
      <c r="BX343" s="107"/>
      <c r="BY343" s="10"/>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c r="CW343" s="107"/>
      <c r="CX343" s="107"/>
      <c r="CY343" s="107"/>
      <c r="CZ343" s="107"/>
      <c r="DA343" s="107"/>
      <c r="DB343" s="107"/>
      <c r="DC343" s="107"/>
      <c r="DD343" s="107"/>
      <c r="DE343" s="107"/>
      <c r="DF343" s="107"/>
      <c r="DG343" s="107"/>
      <c r="DH343" s="107"/>
      <c r="DI343" s="107"/>
      <c r="DJ343" s="107"/>
      <c r="DK343" s="10"/>
      <c r="DL343" s="10"/>
      <c r="DM343" s="10"/>
      <c r="DN343" s="10"/>
      <c r="DO343" s="10"/>
      <c r="DP343" s="10"/>
      <c r="DQ343" s="10"/>
      <c r="DR343" s="10"/>
      <c r="DS343" s="10"/>
      <c r="DT343" s="10"/>
      <c r="DU343" s="10"/>
      <c r="DV343" s="10"/>
      <c r="DW343" s="10"/>
      <c r="DX343" s="10"/>
      <c r="DY343" s="10"/>
      <c r="DZ343" s="10"/>
      <c r="EA343" s="10"/>
      <c r="EB343" s="10"/>
      <c r="EC343" s="107"/>
      <c r="ED343" s="107"/>
      <c r="EE343" s="10"/>
      <c r="EF343" s="107"/>
      <c r="EG343" s="7"/>
      <c r="EH343" s="10"/>
      <c r="EI343" s="107"/>
      <c r="EJ343" s="107"/>
      <c r="EK343" s="107"/>
      <c r="EL343" s="107"/>
      <c r="EM343" s="107"/>
      <c r="EN343" s="107"/>
      <c r="EO343" s="107"/>
      <c r="EP343" s="107"/>
      <c r="EQ343" s="107"/>
      <c r="ER343" s="107"/>
      <c r="ES343" s="107"/>
      <c r="ET343" s="107"/>
      <c r="EU343" s="107"/>
      <c r="EV343" s="107"/>
      <c r="EW343" s="107"/>
      <c r="EX343" s="107"/>
      <c r="EY343" s="107"/>
      <c r="EZ343" s="107"/>
      <c r="FA343" s="107"/>
      <c r="FB343" s="107"/>
      <c r="FC343" s="107"/>
      <c r="FD343" s="107"/>
      <c r="FE343" s="107"/>
      <c r="FF343" s="107"/>
      <c r="FG343" s="107"/>
      <c r="FH343" s="107"/>
      <c r="FI343" s="107"/>
      <c r="FJ343" s="107"/>
      <c r="FK343" s="107"/>
      <c r="FL343" s="107"/>
      <c r="FM343" s="107"/>
      <c r="FN343" s="107"/>
      <c r="FO343" s="10"/>
      <c r="FP343" s="10"/>
      <c r="FQ343" s="10"/>
      <c r="FR343" s="10"/>
      <c r="FS343" s="10"/>
      <c r="FT343" s="10"/>
      <c r="FU343" s="10"/>
      <c r="FV343" s="10"/>
      <c r="FW343" s="10"/>
      <c r="FX343" s="10"/>
      <c r="FY343" s="8"/>
      <c r="FZ343" s="266"/>
      <c r="GA343" s="266"/>
    </row>
    <row r="344" spans="1:183" s="268" customFormat="1" x14ac:dyDescent="0.25">
      <c r="A344" s="107"/>
      <c r="B344" s="7"/>
      <c r="C344" s="7"/>
      <c r="D344" s="7"/>
      <c r="E344" s="7"/>
      <c r="F344" s="10"/>
      <c r="G344" s="107"/>
      <c r="H344" s="7"/>
      <c r="I344" s="10"/>
      <c r="J344" s="10"/>
      <c r="K344" s="10"/>
      <c r="L344" s="10"/>
      <c r="M344" s="10"/>
      <c r="N344" s="10"/>
      <c r="O344" s="10"/>
      <c r="P344" s="8"/>
      <c r="Q344" s="8"/>
      <c r="R344" s="7"/>
      <c r="S344" s="7"/>
      <c r="T344" s="7"/>
      <c r="U344" s="107"/>
      <c r="V344" s="7"/>
      <c r="W344" s="10"/>
      <c r="X344" s="107"/>
      <c r="Y344" s="7"/>
      <c r="Z344" s="10"/>
      <c r="AA344" s="107"/>
      <c r="AB344" s="10"/>
      <c r="AC344" s="107"/>
      <c r="AD344" s="7"/>
      <c r="AE344" s="10"/>
      <c r="AF344" s="107"/>
      <c r="AG344" s="10"/>
      <c r="AH344" s="107"/>
      <c r="AI344" s="10"/>
      <c r="AJ344" s="107"/>
      <c r="AK344" s="10"/>
      <c r="AL344" s="107"/>
      <c r="AM344" s="10"/>
      <c r="AN344" s="10"/>
      <c r="AO344" s="10"/>
      <c r="AP344" s="8"/>
      <c r="AQ344" s="107"/>
      <c r="AR344" s="10"/>
      <c r="AS344" s="107"/>
      <c r="AT344" s="7"/>
      <c r="AU344" s="10"/>
      <c r="AV344" s="10"/>
      <c r="AW344" s="107"/>
      <c r="AX344" s="10"/>
      <c r="AY344" s="107"/>
      <c r="AZ344" s="10"/>
      <c r="BA344" s="107"/>
      <c r="BB344" s="107"/>
      <c r="BC344" s="107"/>
      <c r="BD344" s="10"/>
      <c r="BE344" s="107"/>
      <c r="BF344" s="10"/>
      <c r="BG344" s="10"/>
      <c r="BH344" s="10"/>
      <c r="BI344" s="107"/>
      <c r="BJ344" s="107"/>
      <c r="BK344" s="10"/>
      <c r="BL344" s="10"/>
      <c r="BM344" s="107"/>
      <c r="BN344" s="10"/>
      <c r="BO344" s="107"/>
      <c r="BP344" s="7"/>
      <c r="BQ344" s="10"/>
      <c r="BR344" s="107"/>
      <c r="BS344" s="10"/>
      <c r="BT344" s="107"/>
      <c r="BU344" s="107"/>
      <c r="BV344" s="107"/>
      <c r="BW344" s="107"/>
      <c r="BX344" s="107"/>
      <c r="BY344" s="10"/>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c r="CW344" s="107"/>
      <c r="CX344" s="107"/>
      <c r="CY344" s="107"/>
      <c r="CZ344" s="107"/>
      <c r="DA344" s="107"/>
      <c r="DB344" s="107"/>
      <c r="DC344" s="107"/>
      <c r="DD344" s="107"/>
      <c r="DE344" s="107"/>
      <c r="DF344" s="107"/>
      <c r="DG344" s="107"/>
      <c r="DH344" s="107"/>
      <c r="DI344" s="107"/>
      <c r="DJ344" s="107"/>
      <c r="DK344" s="10"/>
      <c r="DL344" s="10"/>
      <c r="DM344" s="10"/>
      <c r="DN344" s="10"/>
      <c r="DO344" s="10"/>
      <c r="DP344" s="10"/>
      <c r="DQ344" s="10"/>
      <c r="DR344" s="10"/>
      <c r="DS344" s="10"/>
      <c r="DT344" s="10"/>
      <c r="DU344" s="10"/>
      <c r="DV344" s="10"/>
      <c r="DW344" s="10"/>
      <c r="DX344" s="10"/>
      <c r="DY344" s="10"/>
      <c r="DZ344" s="10"/>
      <c r="EA344" s="10"/>
      <c r="EB344" s="10"/>
      <c r="EC344" s="107"/>
      <c r="ED344" s="107"/>
      <c r="EE344" s="10"/>
      <c r="EF344" s="107"/>
      <c r="EG344" s="7"/>
      <c r="EH344" s="10"/>
      <c r="EI344" s="107"/>
      <c r="EJ344" s="107"/>
      <c r="EK344" s="107"/>
      <c r="EL344" s="107"/>
      <c r="EM344" s="107"/>
      <c r="EN344" s="107"/>
      <c r="EO344" s="107"/>
      <c r="EP344" s="107"/>
      <c r="EQ344" s="107"/>
      <c r="ER344" s="107"/>
      <c r="ES344" s="107"/>
      <c r="ET344" s="107"/>
      <c r="EU344" s="107"/>
      <c r="EV344" s="107"/>
      <c r="EW344" s="107"/>
      <c r="EX344" s="107"/>
      <c r="EY344" s="107"/>
      <c r="EZ344" s="107"/>
      <c r="FA344" s="107"/>
      <c r="FB344" s="107"/>
      <c r="FC344" s="107"/>
      <c r="FD344" s="107"/>
      <c r="FE344" s="107"/>
      <c r="FF344" s="107"/>
      <c r="FG344" s="107"/>
      <c r="FH344" s="107"/>
      <c r="FI344" s="107"/>
      <c r="FJ344" s="107"/>
      <c r="FK344" s="107"/>
      <c r="FL344" s="107"/>
      <c r="FM344" s="107"/>
      <c r="FN344" s="107"/>
      <c r="FO344" s="10"/>
      <c r="FP344" s="10"/>
      <c r="FQ344" s="10"/>
      <c r="FR344" s="10"/>
      <c r="FS344" s="10"/>
      <c r="FT344" s="10"/>
      <c r="FU344" s="10"/>
      <c r="FV344" s="10"/>
      <c r="FW344" s="10"/>
      <c r="FX344" s="10"/>
      <c r="FY344" s="8"/>
      <c r="FZ344" s="266"/>
      <c r="GA344" s="266"/>
    </row>
    <row r="345" spans="1:183" s="268" customFormat="1" x14ac:dyDescent="0.25">
      <c r="A345" s="107"/>
      <c r="B345" s="7"/>
      <c r="C345" s="7"/>
      <c r="D345" s="7"/>
      <c r="E345" s="7"/>
      <c r="F345" s="10"/>
      <c r="G345" s="107"/>
      <c r="H345" s="7"/>
      <c r="I345" s="10"/>
      <c r="J345" s="10"/>
      <c r="K345" s="10"/>
      <c r="L345" s="10"/>
      <c r="M345" s="10"/>
      <c r="N345" s="10"/>
      <c r="O345" s="10"/>
      <c r="P345" s="8"/>
      <c r="Q345" s="8"/>
      <c r="R345" s="7"/>
      <c r="S345" s="7"/>
      <c r="T345" s="7"/>
      <c r="U345" s="107"/>
      <c r="V345" s="7"/>
      <c r="W345" s="10"/>
      <c r="X345" s="107"/>
      <c r="Y345" s="7"/>
      <c r="Z345" s="10"/>
      <c r="AA345" s="107"/>
      <c r="AB345" s="10"/>
      <c r="AC345" s="107"/>
      <c r="AD345" s="7"/>
      <c r="AE345" s="10"/>
      <c r="AF345" s="107"/>
      <c r="AG345" s="10"/>
      <c r="AH345" s="107"/>
      <c r="AI345" s="10"/>
      <c r="AJ345" s="107"/>
      <c r="AK345" s="10"/>
      <c r="AL345" s="107"/>
      <c r="AM345" s="10"/>
      <c r="AN345" s="10"/>
      <c r="AO345" s="10"/>
      <c r="AP345" s="8"/>
      <c r="AQ345" s="107"/>
      <c r="AR345" s="10"/>
      <c r="AS345" s="107"/>
      <c r="AT345" s="7"/>
      <c r="AU345" s="10"/>
      <c r="AV345" s="10"/>
      <c r="AW345" s="107"/>
      <c r="AX345" s="10"/>
      <c r="AY345" s="107"/>
      <c r="AZ345" s="10"/>
      <c r="BA345" s="107"/>
      <c r="BB345" s="107"/>
      <c r="BC345" s="107"/>
      <c r="BD345" s="10"/>
      <c r="BE345" s="107"/>
      <c r="BF345" s="10"/>
      <c r="BG345" s="10"/>
      <c r="BH345" s="10"/>
      <c r="BI345" s="107"/>
      <c r="BJ345" s="107"/>
      <c r="BK345" s="10"/>
      <c r="BL345" s="10"/>
      <c r="BM345" s="107"/>
      <c r="BN345" s="10"/>
      <c r="BO345" s="107"/>
      <c r="BP345" s="7"/>
      <c r="BQ345" s="10"/>
      <c r="BR345" s="107"/>
      <c r="BS345" s="10"/>
      <c r="BT345" s="107"/>
      <c r="BU345" s="107"/>
      <c r="BV345" s="107"/>
      <c r="BW345" s="107"/>
      <c r="BX345" s="107"/>
      <c r="BY345" s="10"/>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c r="CW345" s="107"/>
      <c r="CX345" s="107"/>
      <c r="CY345" s="107"/>
      <c r="CZ345" s="107"/>
      <c r="DA345" s="107"/>
      <c r="DB345" s="107"/>
      <c r="DC345" s="107"/>
      <c r="DD345" s="107"/>
      <c r="DE345" s="107"/>
      <c r="DF345" s="107"/>
      <c r="DG345" s="107"/>
      <c r="DH345" s="107"/>
      <c r="DI345" s="107"/>
      <c r="DJ345" s="107"/>
      <c r="DK345" s="10"/>
      <c r="DL345" s="10"/>
      <c r="DM345" s="10"/>
      <c r="DN345" s="10"/>
      <c r="DO345" s="10"/>
      <c r="DP345" s="10"/>
      <c r="DQ345" s="10"/>
      <c r="DR345" s="10"/>
      <c r="DS345" s="10"/>
      <c r="DT345" s="10"/>
      <c r="DU345" s="10"/>
      <c r="DV345" s="10"/>
      <c r="DW345" s="10"/>
      <c r="DX345" s="10"/>
      <c r="DY345" s="10"/>
      <c r="DZ345" s="10"/>
      <c r="EA345" s="10"/>
      <c r="EB345" s="10"/>
      <c r="EC345" s="107"/>
      <c r="ED345" s="107"/>
      <c r="EE345" s="10"/>
      <c r="EF345" s="107"/>
      <c r="EG345" s="7"/>
      <c r="EH345" s="10"/>
      <c r="EI345" s="107"/>
      <c r="EJ345" s="107"/>
      <c r="EK345" s="107"/>
      <c r="EL345" s="107"/>
      <c r="EM345" s="107"/>
      <c r="EN345" s="107"/>
      <c r="EO345" s="107"/>
      <c r="EP345" s="107"/>
      <c r="EQ345" s="107"/>
      <c r="ER345" s="107"/>
      <c r="ES345" s="107"/>
      <c r="ET345" s="107"/>
      <c r="EU345" s="107"/>
      <c r="EV345" s="107"/>
      <c r="EW345" s="107"/>
      <c r="EX345" s="107"/>
      <c r="EY345" s="107"/>
      <c r="EZ345" s="107"/>
      <c r="FA345" s="107"/>
      <c r="FB345" s="107"/>
      <c r="FC345" s="107"/>
      <c r="FD345" s="107"/>
      <c r="FE345" s="107"/>
      <c r="FF345" s="107"/>
      <c r="FG345" s="107"/>
      <c r="FH345" s="107"/>
      <c r="FI345" s="107"/>
      <c r="FJ345" s="107"/>
      <c r="FK345" s="107"/>
      <c r="FL345" s="107"/>
      <c r="FM345" s="107"/>
      <c r="FN345" s="107"/>
      <c r="FO345" s="10"/>
      <c r="FP345" s="10"/>
      <c r="FQ345" s="10"/>
      <c r="FR345" s="10"/>
      <c r="FS345" s="10"/>
      <c r="FT345" s="10"/>
      <c r="FU345" s="10"/>
      <c r="FV345" s="10"/>
      <c r="FW345" s="10"/>
      <c r="FX345" s="10"/>
      <c r="FY345" s="8"/>
      <c r="FZ345" s="266"/>
      <c r="GA345" s="266"/>
    </row>
    <row r="346" spans="1:183" s="268" customFormat="1" x14ac:dyDescent="0.25">
      <c r="A346" s="107"/>
      <c r="B346" s="7"/>
      <c r="C346" s="7"/>
      <c r="D346" s="7"/>
      <c r="E346" s="7"/>
      <c r="F346" s="10"/>
      <c r="G346" s="107"/>
      <c r="H346" s="7"/>
      <c r="I346" s="10"/>
      <c r="J346" s="10"/>
      <c r="K346" s="10"/>
      <c r="L346" s="10"/>
      <c r="M346" s="10"/>
      <c r="N346" s="10"/>
      <c r="O346" s="10"/>
      <c r="P346" s="8"/>
      <c r="Q346" s="8"/>
      <c r="R346" s="7"/>
      <c r="S346" s="7"/>
      <c r="T346" s="7"/>
      <c r="U346" s="107"/>
      <c r="V346" s="7"/>
      <c r="W346" s="10"/>
      <c r="X346" s="107"/>
      <c r="Y346" s="7"/>
      <c r="Z346" s="10"/>
      <c r="AA346" s="107"/>
      <c r="AB346" s="10"/>
      <c r="AC346" s="107"/>
      <c r="AD346" s="7"/>
      <c r="AE346" s="10"/>
      <c r="AF346" s="107"/>
      <c r="AG346" s="10"/>
      <c r="AH346" s="107"/>
      <c r="AI346" s="10"/>
      <c r="AJ346" s="107"/>
      <c r="AK346" s="10"/>
      <c r="AL346" s="107"/>
      <c r="AM346" s="10"/>
      <c r="AN346" s="10"/>
      <c r="AO346" s="10"/>
      <c r="AP346" s="8"/>
      <c r="AQ346" s="107"/>
      <c r="AR346" s="10"/>
      <c r="AS346" s="107"/>
      <c r="AT346" s="7"/>
      <c r="AU346" s="10"/>
      <c r="AV346" s="10"/>
      <c r="AW346" s="107"/>
      <c r="AX346" s="10"/>
      <c r="AY346" s="107"/>
      <c r="AZ346" s="10"/>
      <c r="BA346" s="107"/>
      <c r="BB346" s="107"/>
      <c r="BC346" s="107"/>
      <c r="BD346" s="10"/>
      <c r="BE346" s="107"/>
      <c r="BF346" s="10"/>
      <c r="BG346" s="10"/>
      <c r="BH346" s="10"/>
      <c r="BI346" s="107"/>
      <c r="BJ346" s="107"/>
      <c r="BK346" s="10"/>
      <c r="BL346" s="10"/>
      <c r="BM346" s="107"/>
      <c r="BN346" s="10"/>
      <c r="BO346" s="107"/>
      <c r="BP346" s="7"/>
      <c r="BQ346" s="10"/>
      <c r="BR346" s="107"/>
      <c r="BS346" s="10"/>
      <c r="BT346" s="107"/>
      <c r="BU346" s="107"/>
      <c r="BV346" s="107"/>
      <c r="BW346" s="107"/>
      <c r="BX346" s="107"/>
      <c r="BY346" s="10"/>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c r="CW346" s="107"/>
      <c r="CX346" s="107"/>
      <c r="CY346" s="107"/>
      <c r="CZ346" s="107"/>
      <c r="DA346" s="107"/>
      <c r="DB346" s="107"/>
      <c r="DC346" s="107"/>
      <c r="DD346" s="107"/>
      <c r="DE346" s="107"/>
      <c r="DF346" s="107"/>
      <c r="DG346" s="107"/>
      <c r="DH346" s="107"/>
      <c r="DI346" s="107"/>
      <c r="DJ346" s="107"/>
      <c r="DK346" s="10"/>
      <c r="DL346" s="10"/>
      <c r="DM346" s="10"/>
      <c r="DN346" s="10"/>
      <c r="DO346" s="10"/>
      <c r="DP346" s="10"/>
      <c r="DQ346" s="10"/>
      <c r="DR346" s="10"/>
      <c r="DS346" s="10"/>
      <c r="DT346" s="10"/>
      <c r="DU346" s="10"/>
      <c r="DV346" s="10"/>
      <c r="DW346" s="10"/>
      <c r="DX346" s="10"/>
      <c r="DY346" s="10"/>
      <c r="DZ346" s="10"/>
      <c r="EA346" s="10"/>
      <c r="EB346" s="10"/>
      <c r="EC346" s="107"/>
      <c r="ED346" s="107"/>
      <c r="EE346" s="10"/>
      <c r="EF346" s="107"/>
      <c r="EG346" s="7"/>
      <c r="EH346" s="10"/>
      <c r="EI346" s="107"/>
      <c r="EJ346" s="107"/>
      <c r="EK346" s="107"/>
      <c r="EL346" s="107"/>
      <c r="EM346" s="107"/>
      <c r="EN346" s="107"/>
      <c r="EO346" s="107"/>
      <c r="EP346" s="107"/>
      <c r="EQ346" s="107"/>
      <c r="ER346" s="107"/>
      <c r="ES346" s="107"/>
      <c r="ET346" s="107"/>
      <c r="EU346" s="107"/>
      <c r="EV346" s="107"/>
      <c r="EW346" s="107"/>
      <c r="EX346" s="107"/>
      <c r="EY346" s="107"/>
      <c r="EZ346" s="107"/>
      <c r="FA346" s="107"/>
      <c r="FB346" s="107"/>
      <c r="FC346" s="107"/>
      <c r="FD346" s="107"/>
      <c r="FE346" s="107"/>
      <c r="FF346" s="107"/>
      <c r="FG346" s="107"/>
      <c r="FH346" s="107"/>
      <c r="FI346" s="107"/>
      <c r="FJ346" s="107"/>
      <c r="FK346" s="107"/>
      <c r="FL346" s="107"/>
      <c r="FM346" s="107"/>
      <c r="FN346" s="107"/>
      <c r="FO346" s="10"/>
      <c r="FP346" s="10"/>
      <c r="FQ346" s="10"/>
      <c r="FR346" s="10"/>
      <c r="FS346" s="10"/>
      <c r="FT346" s="10"/>
      <c r="FU346" s="10"/>
      <c r="FV346" s="10"/>
      <c r="FW346" s="10"/>
      <c r="FX346" s="10"/>
      <c r="FY346" s="8"/>
      <c r="FZ346" s="266"/>
      <c r="GA346" s="266"/>
    </row>
    <row r="347" spans="1:183" s="268" customFormat="1" x14ac:dyDescent="0.25">
      <c r="A347" s="107"/>
      <c r="B347" s="7"/>
      <c r="C347" s="7"/>
      <c r="D347" s="7"/>
      <c r="E347" s="7"/>
      <c r="F347" s="10"/>
      <c r="G347" s="107"/>
      <c r="H347" s="7"/>
      <c r="I347" s="10"/>
      <c r="J347" s="10"/>
      <c r="K347" s="10"/>
      <c r="L347" s="10"/>
      <c r="M347" s="10"/>
      <c r="N347" s="10"/>
      <c r="O347" s="10"/>
      <c r="P347" s="8"/>
      <c r="Q347" s="8"/>
      <c r="R347" s="7"/>
      <c r="S347" s="7"/>
      <c r="T347" s="7"/>
      <c r="U347" s="107"/>
      <c r="V347" s="7"/>
      <c r="W347" s="10"/>
      <c r="X347" s="107"/>
      <c r="Y347" s="7"/>
      <c r="Z347" s="10"/>
      <c r="AA347" s="107"/>
      <c r="AB347" s="10"/>
      <c r="AC347" s="107"/>
      <c r="AD347" s="7"/>
      <c r="AE347" s="10"/>
      <c r="AF347" s="107"/>
      <c r="AG347" s="10"/>
      <c r="AH347" s="107"/>
      <c r="AI347" s="10"/>
      <c r="AJ347" s="107"/>
      <c r="AK347" s="10"/>
      <c r="AL347" s="107"/>
      <c r="AM347" s="10"/>
      <c r="AN347" s="10"/>
      <c r="AO347" s="10"/>
      <c r="AP347" s="8"/>
      <c r="AQ347" s="107"/>
      <c r="AR347" s="10"/>
      <c r="AS347" s="107"/>
      <c r="AT347" s="7"/>
      <c r="AU347" s="10"/>
      <c r="AV347" s="10"/>
      <c r="AW347" s="107"/>
      <c r="AX347" s="10"/>
      <c r="AY347" s="107"/>
      <c r="AZ347" s="10"/>
      <c r="BA347" s="107"/>
      <c r="BB347" s="107"/>
      <c r="BC347" s="107"/>
      <c r="BD347" s="10"/>
      <c r="BE347" s="107"/>
      <c r="BF347" s="10"/>
      <c r="BG347" s="10"/>
      <c r="BH347" s="10"/>
      <c r="BI347" s="107"/>
      <c r="BJ347" s="107"/>
      <c r="BK347" s="10"/>
      <c r="BL347" s="10"/>
      <c r="BM347" s="107"/>
      <c r="BN347" s="10"/>
      <c r="BO347" s="107"/>
      <c r="BP347" s="7"/>
      <c r="BQ347" s="10"/>
      <c r="BR347" s="107"/>
      <c r="BS347" s="10"/>
      <c r="BT347" s="107"/>
      <c r="BU347" s="107"/>
      <c r="BV347" s="107"/>
      <c r="BW347" s="107"/>
      <c r="BX347" s="107"/>
      <c r="BY347" s="10"/>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c r="CW347" s="107"/>
      <c r="CX347" s="107"/>
      <c r="CY347" s="107"/>
      <c r="CZ347" s="107"/>
      <c r="DA347" s="107"/>
      <c r="DB347" s="107"/>
      <c r="DC347" s="107"/>
      <c r="DD347" s="107"/>
      <c r="DE347" s="107"/>
      <c r="DF347" s="107"/>
      <c r="DG347" s="107"/>
      <c r="DH347" s="107"/>
      <c r="DI347" s="107"/>
      <c r="DJ347" s="107"/>
      <c r="DK347" s="10"/>
      <c r="DL347" s="10"/>
      <c r="DM347" s="10"/>
      <c r="DN347" s="10"/>
      <c r="DO347" s="10"/>
      <c r="DP347" s="10"/>
      <c r="DQ347" s="10"/>
      <c r="DR347" s="10"/>
      <c r="DS347" s="10"/>
      <c r="DT347" s="10"/>
      <c r="DU347" s="10"/>
      <c r="DV347" s="10"/>
      <c r="DW347" s="10"/>
      <c r="DX347" s="10"/>
      <c r="DY347" s="10"/>
      <c r="DZ347" s="10"/>
      <c r="EA347" s="10"/>
      <c r="EB347" s="10"/>
      <c r="EC347" s="107"/>
      <c r="ED347" s="107"/>
      <c r="EE347" s="10"/>
      <c r="EF347" s="107"/>
      <c r="EG347" s="7"/>
      <c r="EH347" s="10"/>
      <c r="EI347" s="107"/>
      <c r="EJ347" s="107"/>
      <c r="EK347" s="107"/>
      <c r="EL347" s="107"/>
      <c r="EM347" s="107"/>
      <c r="EN347" s="107"/>
      <c r="EO347" s="107"/>
      <c r="EP347" s="107"/>
      <c r="EQ347" s="107"/>
      <c r="ER347" s="107"/>
      <c r="ES347" s="107"/>
      <c r="ET347" s="107"/>
      <c r="EU347" s="107"/>
      <c r="EV347" s="107"/>
      <c r="EW347" s="107"/>
      <c r="EX347" s="107"/>
      <c r="EY347" s="107"/>
      <c r="EZ347" s="107"/>
      <c r="FA347" s="107"/>
      <c r="FB347" s="107"/>
      <c r="FC347" s="107"/>
      <c r="FD347" s="107"/>
      <c r="FE347" s="107"/>
      <c r="FF347" s="107"/>
      <c r="FG347" s="107"/>
      <c r="FH347" s="107"/>
      <c r="FI347" s="107"/>
      <c r="FJ347" s="107"/>
      <c r="FK347" s="107"/>
      <c r="FL347" s="107"/>
      <c r="FM347" s="107"/>
      <c r="FN347" s="107"/>
      <c r="FO347" s="10"/>
      <c r="FP347" s="10"/>
      <c r="FQ347" s="10"/>
      <c r="FR347" s="10"/>
      <c r="FS347" s="10"/>
      <c r="FT347" s="10"/>
      <c r="FU347" s="10"/>
      <c r="FV347" s="10"/>
      <c r="FW347" s="10"/>
      <c r="FX347" s="10"/>
      <c r="FY347" s="8"/>
      <c r="FZ347" s="266"/>
      <c r="GA347" s="266"/>
    </row>
    <row r="348" spans="1:183" s="268" customFormat="1" x14ac:dyDescent="0.25">
      <c r="A348" s="107"/>
      <c r="B348" s="7"/>
      <c r="C348" s="7"/>
      <c r="D348" s="7"/>
      <c r="E348" s="7"/>
      <c r="F348" s="10"/>
      <c r="G348" s="107"/>
      <c r="H348" s="7"/>
      <c r="I348" s="10"/>
      <c r="J348" s="10"/>
      <c r="K348" s="10"/>
      <c r="L348" s="10"/>
      <c r="M348" s="10"/>
      <c r="N348" s="10"/>
      <c r="O348" s="10"/>
      <c r="P348" s="8"/>
      <c r="Q348" s="8"/>
      <c r="R348" s="7"/>
      <c r="S348" s="7"/>
      <c r="T348" s="7"/>
      <c r="U348" s="107"/>
      <c r="V348" s="7"/>
      <c r="W348" s="10"/>
      <c r="X348" s="107"/>
      <c r="Y348" s="7"/>
      <c r="Z348" s="10"/>
      <c r="AA348" s="107"/>
      <c r="AB348" s="10"/>
      <c r="AC348" s="107"/>
      <c r="AD348" s="7"/>
      <c r="AE348" s="10"/>
      <c r="AF348" s="107"/>
      <c r="AG348" s="10"/>
      <c r="AH348" s="107"/>
      <c r="AI348" s="10"/>
      <c r="AJ348" s="107"/>
      <c r="AK348" s="10"/>
      <c r="AL348" s="107"/>
      <c r="AM348" s="10"/>
      <c r="AN348" s="10"/>
      <c r="AO348" s="10"/>
      <c r="AP348" s="8"/>
      <c r="AQ348" s="107"/>
      <c r="AR348" s="10"/>
      <c r="AS348" s="107"/>
      <c r="AT348" s="7"/>
      <c r="AU348" s="10"/>
      <c r="AV348" s="10"/>
      <c r="AW348" s="107"/>
      <c r="AX348" s="10"/>
      <c r="AY348" s="107"/>
      <c r="AZ348" s="10"/>
      <c r="BA348" s="107"/>
      <c r="BB348" s="107"/>
      <c r="BC348" s="107"/>
      <c r="BD348" s="10"/>
      <c r="BE348" s="107"/>
      <c r="BF348" s="10"/>
      <c r="BG348" s="10"/>
      <c r="BH348" s="10"/>
      <c r="BI348" s="107"/>
      <c r="BJ348" s="107"/>
      <c r="BK348" s="10"/>
      <c r="BL348" s="10"/>
      <c r="BM348" s="107"/>
      <c r="BN348" s="10"/>
      <c r="BO348" s="107"/>
      <c r="BP348" s="7"/>
      <c r="BQ348" s="10"/>
      <c r="BR348" s="107"/>
      <c r="BS348" s="10"/>
      <c r="BT348" s="107"/>
      <c r="BU348" s="107"/>
      <c r="BV348" s="107"/>
      <c r="BW348" s="107"/>
      <c r="BX348" s="107"/>
      <c r="BY348" s="10"/>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c r="CW348" s="107"/>
      <c r="CX348" s="107"/>
      <c r="CY348" s="107"/>
      <c r="CZ348" s="107"/>
      <c r="DA348" s="107"/>
      <c r="DB348" s="107"/>
      <c r="DC348" s="107"/>
      <c r="DD348" s="107"/>
      <c r="DE348" s="107"/>
      <c r="DF348" s="107"/>
      <c r="DG348" s="107"/>
      <c r="DH348" s="107"/>
      <c r="DI348" s="107"/>
      <c r="DJ348" s="107"/>
      <c r="DK348" s="10"/>
      <c r="DL348" s="10"/>
      <c r="DM348" s="10"/>
      <c r="DN348" s="10"/>
      <c r="DO348" s="10"/>
      <c r="DP348" s="10"/>
      <c r="DQ348" s="10"/>
      <c r="DR348" s="10"/>
      <c r="DS348" s="10"/>
      <c r="DT348" s="10"/>
      <c r="DU348" s="10"/>
      <c r="DV348" s="10"/>
      <c r="DW348" s="10"/>
      <c r="DX348" s="10"/>
      <c r="DY348" s="10"/>
      <c r="DZ348" s="10"/>
      <c r="EA348" s="10"/>
      <c r="EB348" s="10"/>
      <c r="EC348" s="107"/>
      <c r="ED348" s="107"/>
      <c r="EE348" s="10"/>
      <c r="EF348" s="107"/>
      <c r="EG348" s="7"/>
      <c r="EH348" s="10"/>
      <c r="EI348" s="107"/>
      <c r="EJ348" s="107"/>
      <c r="EK348" s="107"/>
      <c r="EL348" s="107"/>
      <c r="EM348" s="107"/>
      <c r="EN348" s="107"/>
      <c r="EO348" s="107"/>
      <c r="EP348" s="107"/>
      <c r="EQ348" s="107"/>
      <c r="ER348" s="107"/>
      <c r="ES348" s="107"/>
      <c r="ET348" s="107"/>
      <c r="EU348" s="107"/>
      <c r="EV348" s="107"/>
      <c r="EW348" s="107"/>
      <c r="EX348" s="107"/>
      <c r="EY348" s="107"/>
      <c r="EZ348" s="107"/>
      <c r="FA348" s="107"/>
      <c r="FB348" s="107"/>
      <c r="FC348" s="107"/>
      <c r="FD348" s="107"/>
      <c r="FE348" s="107"/>
      <c r="FF348" s="107"/>
      <c r="FG348" s="107"/>
      <c r="FH348" s="107"/>
      <c r="FI348" s="107"/>
      <c r="FJ348" s="107"/>
      <c r="FK348" s="107"/>
      <c r="FL348" s="107"/>
      <c r="FM348" s="107"/>
      <c r="FN348" s="107"/>
      <c r="FO348" s="10"/>
      <c r="FP348" s="10"/>
      <c r="FQ348" s="10"/>
      <c r="FR348" s="10"/>
      <c r="FS348" s="10"/>
      <c r="FT348" s="10"/>
      <c r="FU348" s="10"/>
      <c r="FV348" s="10"/>
      <c r="FW348" s="10"/>
      <c r="FX348" s="10"/>
      <c r="FY348" s="8"/>
      <c r="FZ348" s="266"/>
      <c r="GA348" s="266"/>
    </row>
    <row r="349" spans="1:183" s="268" customFormat="1" x14ac:dyDescent="0.25">
      <c r="A349" s="107"/>
      <c r="B349" s="7"/>
      <c r="C349" s="7"/>
      <c r="D349" s="7"/>
      <c r="E349" s="7"/>
      <c r="F349" s="10"/>
      <c r="G349" s="107"/>
      <c r="H349" s="7"/>
      <c r="I349" s="10"/>
      <c r="J349" s="10"/>
      <c r="K349" s="10"/>
      <c r="L349" s="10"/>
      <c r="M349" s="10"/>
      <c r="N349" s="10"/>
      <c r="O349" s="10"/>
      <c r="P349" s="8"/>
      <c r="Q349" s="8"/>
      <c r="R349" s="7"/>
      <c r="S349" s="7"/>
      <c r="T349" s="7"/>
      <c r="U349" s="107"/>
      <c r="V349" s="7"/>
      <c r="W349" s="10"/>
      <c r="X349" s="107"/>
      <c r="Y349" s="7"/>
      <c r="Z349" s="10"/>
      <c r="AA349" s="107"/>
      <c r="AB349" s="10"/>
      <c r="AC349" s="107"/>
      <c r="AD349" s="7"/>
      <c r="AE349" s="10"/>
      <c r="AF349" s="107"/>
      <c r="AG349" s="10"/>
      <c r="AH349" s="107"/>
      <c r="AI349" s="10"/>
      <c r="AJ349" s="107"/>
      <c r="AK349" s="10"/>
      <c r="AL349" s="107"/>
      <c r="AM349" s="10"/>
      <c r="AN349" s="10"/>
      <c r="AO349" s="10"/>
      <c r="AP349" s="8"/>
      <c r="AQ349" s="107"/>
      <c r="AR349" s="10"/>
      <c r="AS349" s="107"/>
      <c r="AT349" s="7"/>
      <c r="AU349" s="10"/>
      <c r="AV349" s="10"/>
      <c r="AW349" s="107"/>
      <c r="AX349" s="10"/>
      <c r="AY349" s="107"/>
      <c r="AZ349" s="10"/>
      <c r="BA349" s="107"/>
      <c r="BB349" s="107"/>
      <c r="BC349" s="107"/>
      <c r="BD349" s="10"/>
      <c r="BE349" s="107"/>
      <c r="BF349" s="10"/>
      <c r="BG349" s="10"/>
      <c r="BH349" s="10"/>
      <c r="BI349" s="107"/>
      <c r="BJ349" s="107"/>
      <c r="BK349" s="10"/>
      <c r="BL349" s="10"/>
      <c r="BM349" s="107"/>
      <c r="BN349" s="10"/>
      <c r="BO349" s="107"/>
      <c r="BP349" s="7"/>
      <c r="BQ349" s="10"/>
      <c r="BR349" s="107"/>
      <c r="BS349" s="10"/>
      <c r="BT349" s="107"/>
      <c r="BU349" s="107"/>
      <c r="BV349" s="107"/>
      <c r="BW349" s="107"/>
      <c r="BX349" s="107"/>
      <c r="BY349" s="10"/>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c r="CW349" s="107"/>
      <c r="CX349" s="107"/>
      <c r="CY349" s="107"/>
      <c r="CZ349" s="107"/>
      <c r="DA349" s="107"/>
      <c r="DB349" s="107"/>
      <c r="DC349" s="107"/>
      <c r="DD349" s="107"/>
      <c r="DE349" s="107"/>
      <c r="DF349" s="107"/>
      <c r="DG349" s="107"/>
      <c r="DH349" s="107"/>
      <c r="DI349" s="107"/>
      <c r="DJ349" s="107"/>
      <c r="DK349" s="10"/>
      <c r="DL349" s="10"/>
      <c r="DM349" s="10"/>
      <c r="DN349" s="10"/>
      <c r="DO349" s="10"/>
      <c r="DP349" s="10"/>
      <c r="DQ349" s="10"/>
      <c r="DR349" s="10"/>
      <c r="DS349" s="10"/>
      <c r="DT349" s="10"/>
      <c r="DU349" s="10"/>
      <c r="DV349" s="10"/>
      <c r="DW349" s="10"/>
      <c r="DX349" s="10"/>
      <c r="DY349" s="10"/>
      <c r="DZ349" s="10"/>
      <c r="EA349" s="10"/>
      <c r="EB349" s="10"/>
      <c r="EC349" s="107"/>
      <c r="ED349" s="107"/>
      <c r="EE349" s="10"/>
      <c r="EF349" s="107"/>
      <c r="EG349" s="7"/>
      <c r="EH349" s="10"/>
      <c r="EI349" s="107"/>
      <c r="EJ349" s="107"/>
      <c r="EK349" s="107"/>
      <c r="EL349" s="107"/>
      <c r="EM349" s="107"/>
      <c r="EN349" s="107"/>
      <c r="EO349" s="107"/>
      <c r="EP349" s="107"/>
      <c r="EQ349" s="107"/>
      <c r="ER349" s="107"/>
      <c r="ES349" s="107"/>
      <c r="ET349" s="107"/>
      <c r="EU349" s="107"/>
      <c r="EV349" s="107"/>
      <c r="EW349" s="107"/>
      <c r="EX349" s="107"/>
      <c r="EY349" s="107"/>
      <c r="EZ349" s="107"/>
      <c r="FA349" s="107"/>
      <c r="FB349" s="107"/>
      <c r="FC349" s="107"/>
      <c r="FD349" s="107"/>
      <c r="FE349" s="107"/>
      <c r="FF349" s="107"/>
      <c r="FG349" s="107"/>
      <c r="FH349" s="107"/>
      <c r="FI349" s="107"/>
      <c r="FJ349" s="107"/>
      <c r="FK349" s="107"/>
      <c r="FL349" s="107"/>
      <c r="FM349" s="107"/>
      <c r="FN349" s="107"/>
      <c r="FO349" s="10"/>
      <c r="FP349" s="10"/>
      <c r="FQ349" s="10"/>
      <c r="FR349" s="10"/>
      <c r="FS349" s="10"/>
      <c r="FT349" s="10"/>
      <c r="FU349" s="10"/>
      <c r="FV349" s="10"/>
      <c r="FW349" s="10"/>
      <c r="FX349" s="10"/>
      <c r="FY349" s="8"/>
      <c r="FZ349" s="266"/>
      <c r="GA349" s="266"/>
    </row>
    <row r="350" spans="1:183" s="268" customFormat="1" x14ac:dyDescent="0.25">
      <c r="A350" s="107"/>
      <c r="B350" s="7"/>
      <c r="C350" s="7"/>
      <c r="D350" s="7"/>
      <c r="E350" s="7"/>
      <c r="F350" s="10"/>
      <c r="G350" s="107"/>
      <c r="H350" s="7"/>
      <c r="I350" s="10"/>
      <c r="J350" s="10"/>
      <c r="K350" s="10"/>
      <c r="L350" s="10"/>
      <c r="M350" s="10"/>
      <c r="N350" s="10"/>
      <c r="O350" s="10"/>
      <c r="P350" s="8"/>
      <c r="Q350" s="8"/>
      <c r="R350" s="7"/>
      <c r="S350" s="7"/>
      <c r="T350" s="7"/>
      <c r="U350" s="107"/>
      <c r="V350" s="7"/>
      <c r="W350" s="10"/>
      <c r="X350" s="107"/>
      <c r="Y350" s="7"/>
      <c r="Z350" s="10"/>
      <c r="AA350" s="107"/>
      <c r="AB350" s="10"/>
      <c r="AC350" s="107"/>
      <c r="AD350" s="7"/>
      <c r="AE350" s="10"/>
      <c r="AF350" s="107"/>
      <c r="AG350" s="10"/>
      <c r="AH350" s="107"/>
      <c r="AI350" s="10"/>
      <c r="AJ350" s="107"/>
      <c r="AK350" s="10"/>
      <c r="AL350" s="107"/>
      <c r="AM350" s="10"/>
      <c r="AN350" s="10"/>
      <c r="AO350" s="10"/>
      <c r="AP350" s="8"/>
      <c r="AQ350" s="107"/>
      <c r="AR350" s="10"/>
      <c r="AS350" s="107"/>
      <c r="AT350" s="7"/>
      <c r="AU350" s="10"/>
      <c r="AV350" s="10"/>
      <c r="AW350" s="107"/>
      <c r="AX350" s="10"/>
      <c r="AY350" s="107"/>
      <c r="AZ350" s="10"/>
      <c r="BA350" s="107"/>
      <c r="BB350" s="107"/>
      <c r="BC350" s="107"/>
      <c r="BD350" s="10"/>
      <c r="BE350" s="107"/>
      <c r="BF350" s="10"/>
      <c r="BG350" s="10"/>
      <c r="BH350" s="10"/>
      <c r="BI350" s="107"/>
      <c r="BJ350" s="107"/>
      <c r="BK350" s="10"/>
      <c r="BL350" s="10"/>
      <c r="BM350" s="107"/>
      <c r="BN350" s="10"/>
      <c r="BO350" s="107"/>
      <c r="BP350" s="7"/>
      <c r="BQ350" s="10"/>
      <c r="BR350" s="107"/>
      <c r="BS350" s="10"/>
      <c r="BT350" s="107"/>
      <c r="BU350" s="107"/>
      <c r="BV350" s="107"/>
      <c r="BW350" s="107"/>
      <c r="BX350" s="107"/>
      <c r="BY350" s="10"/>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c r="CW350" s="107"/>
      <c r="CX350" s="107"/>
      <c r="CY350" s="107"/>
      <c r="CZ350" s="107"/>
      <c r="DA350" s="107"/>
      <c r="DB350" s="107"/>
      <c r="DC350" s="107"/>
      <c r="DD350" s="107"/>
      <c r="DE350" s="107"/>
      <c r="DF350" s="107"/>
      <c r="DG350" s="107"/>
      <c r="DH350" s="107"/>
      <c r="DI350" s="107"/>
      <c r="DJ350" s="107"/>
      <c r="DK350" s="10"/>
      <c r="DL350" s="10"/>
      <c r="DM350" s="10"/>
      <c r="DN350" s="10"/>
      <c r="DO350" s="10"/>
      <c r="DP350" s="10"/>
      <c r="DQ350" s="10"/>
      <c r="DR350" s="10"/>
      <c r="DS350" s="10"/>
      <c r="DT350" s="10"/>
      <c r="DU350" s="10"/>
      <c r="DV350" s="10"/>
      <c r="DW350" s="10"/>
      <c r="DX350" s="10"/>
      <c r="DY350" s="10"/>
      <c r="DZ350" s="10"/>
      <c r="EA350" s="10"/>
      <c r="EB350" s="10"/>
      <c r="EC350" s="107"/>
      <c r="ED350" s="107"/>
      <c r="EE350" s="10"/>
      <c r="EF350" s="107"/>
      <c r="EG350" s="7"/>
      <c r="EH350" s="10"/>
      <c r="EI350" s="107"/>
      <c r="EJ350" s="107"/>
      <c r="EK350" s="107"/>
      <c r="EL350" s="107"/>
      <c r="EM350" s="107"/>
      <c r="EN350" s="107"/>
      <c r="EO350" s="107"/>
      <c r="EP350" s="107"/>
      <c r="EQ350" s="107"/>
      <c r="ER350" s="107"/>
      <c r="ES350" s="107"/>
      <c r="ET350" s="107"/>
      <c r="EU350" s="107"/>
      <c r="EV350" s="107"/>
      <c r="EW350" s="107"/>
      <c r="EX350" s="107"/>
      <c r="EY350" s="107"/>
      <c r="EZ350" s="107"/>
      <c r="FA350" s="107"/>
      <c r="FB350" s="107"/>
      <c r="FC350" s="107"/>
      <c r="FD350" s="107"/>
      <c r="FE350" s="107"/>
      <c r="FF350" s="107"/>
      <c r="FG350" s="107"/>
      <c r="FH350" s="107"/>
      <c r="FI350" s="107"/>
      <c r="FJ350" s="107"/>
      <c r="FK350" s="107"/>
      <c r="FL350" s="107"/>
      <c r="FM350" s="107"/>
      <c r="FN350" s="107"/>
      <c r="FO350" s="10"/>
      <c r="FP350" s="10"/>
      <c r="FQ350" s="10"/>
      <c r="FR350" s="10"/>
      <c r="FS350" s="10"/>
      <c r="FT350" s="10"/>
      <c r="FU350" s="10"/>
      <c r="FV350" s="10"/>
      <c r="FW350" s="10"/>
      <c r="FX350" s="10"/>
      <c r="FY350" s="8"/>
      <c r="FZ350" s="266"/>
      <c r="GA350" s="266"/>
    </row>
    <row r="351" spans="1:183" s="268" customFormat="1" x14ac:dyDescent="0.25">
      <c r="A351" s="107"/>
      <c r="B351" s="7"/>
      <c r="C351" s="7"/>
      <c r="D351" s="7"/>
      <c r="E351" s="7"/>
      <c r="F351" s="10"/>
      <c r="G351" s="107"/>
      <c r="H351" s="7"/>
      <c r="I351" s="10"/>
      <c r="J351" s="10"/>
      <c r="K351" s="10"/>
      <c r="L351" s="10"/>
      <c r="M351" s="10"/>
      <c r="N351" s="10"/>
      <c r="O351" s="10"/>
      <c r="P351" s="8"/>
      <c r="Q351" s="8"/>
      <c r="R351" s="7"/>
      <c r="S351" s="7"/>
      <c r="T351" s="7"/>
      <c r="U351" s="107"/>
      <c r="V351" s="7"/>
      <c r="W351" s="10"/>
      <c r="X351" s="107"/>
      <c r="Y351" s="7"/>
      <c r="Z351" s="10"/>
      <c r="AA351" s="107"/>
      <c r="AB351" s="10"/>
      <c r="AC351" s="107"/>
      <c r="AD351" s="7"/>
      <c r="AE351" s="10"/>
      <c r="AF351" s="107"/>
      <c r="AG351" s="10"/>
      <c r="AH351" s="107"/>
      <c r="AI351" s="10"/>
      <c r="AJ351" s="107"/>
      <c r="AK351" s="10"/>
      <c r="AL351" s="107"/>
      <c r="AM351" s="10"/>
      <c r="AN351" s="10"/>
      <c r="AO351" s="10"/>
      <c r="AP351" s="8"/>
      <c r="AQ351" s="107"/>
      <c r="AR351" s="10"/>
      <c r="AS351" s="107"/>
      <c r="AT351" s="7"/>
      <c r="AU351" s="10"/>
      <c r="AV351" s="10"/>
      <c r="AW351" s="107"/>
      <c r="AX351" s="10"/>
      <c r="AY351" s="107"/>
      <c r="AZ351" s="10"/>
      <c r="BA351" s="107"/>
      <c r="BB351" s="107"/>
      <c r="BC351" s="107"/>
      <c r="BD351" s="10"/>
      <c r="BE351" s="107"/>
      <c r="BF351" s="10"/>
      <c r="BG351" s="10"/>
      <c r="BH351" s="10"/>
      <c r="BI351" s="107"/>
      <c r="BJ351" s="107"/>
      <c r="BK351" s="10"/>
      <c r="BL351" s="10"/>
      <c r="BM351" s="107"/>
      <c r="BN351" s="10"/>
      <c r="BO351" s="107"/>
      <c r="BP351" s="7"/>
      <c r="BQ351" s="10"/>
      <c r="BR351" s="107"/>
      <c r="BS351" s="10"/>
      <c r="BT351" s="107"/>
      <c r="BU351" s="107"/>
      <c r="BV351" s="107"/>
      <c r="BW351" s="107"/>
      <c r="BX351" s="107"/>
      <c r="BY351" s="10"/>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c r="CW351" s="107"/>
      <c r="CX351" s="107"/>
      <c r="CY351" s="107"/>
      <c r="CZ351" s="107"/>
      <c r="DA351" s="107"/>
      <c r="DB351" s="107"/>
      <c r="DC351" s="107"/>
      <c r="DD351" s="107"/>
      <c r="DE351" s="107"/>
      <c r="DF351" s="107"/>
      <c r="DG351" s="107"/>
      <c r="DH351" s="107"/>
      <c r="DI351" s="107"/>
      <c r="DJ351" s="107"/>
      <c r="DK351" s="10"/>
      <c r="DL351" s="10"/>
      <c r="DM351" s="10"/>
      <c r="DN351" s="10"/>
      <c r="DO351" s="10"/>
      <c r="DP351" s="10"/>
      <c r="DQ351" s="10"/>
      <c r="DR351" s="10"/>
      <c r="DS351" s="10"/>
      <c r="DT351" s="10"/>
      <c r="DU351" s="10"/>
      <c r="DV351" s="10"/>
      <c r="DW351" s="10"/>
      <c r="DX351" s="10"/>
      <c r="DY351" s="10"/>
      <c r="DZ351" s="10"/>
      <c r="EA351" s="10"/>
      <c r="EB351" s="10"/>
      <c r="EC351" s="107"/>
      <c r="ED351" s="107"/>
      <c r="EE351" s="10"/>
      <c r="EF351" s="107"/>
      <c r="EG351" s="7"/>
      <c r="EH351" s="10"/>
      <c r="EI351" s="107"/>
      <c r="EJ351" s="107"/>
      <c r="EK351" s="107"/>
      <c r="EL351" s="107"/>
      <c r="EM351" s="107"/>
      <c r="EN351" s="107"/>
      <c r="EO351" s="107"/>
      <c r="EP351" s="107"/>
      <c r="EQ351" s="107"/>
      <c r="ER351" s="107"/>
      <c r="ES351" s="107"/>
      <c r="ET351" s="107"/>
      <c r="EU351" s="107"/>
      <c r="EV351" s="107"/>
      <c r="EW351" s="107"/>
      <c r="EX351" s="107"/>
      <c r="EY351" s="107"/>
      <c r="EZ351" s="107"/>
      <c r="FA351" s="107"/>
      <c r="FB351" s="107"/>
      <c r="FC351" s="107"/>
      <c r="FD351" s="107"/>
      <c r="FE351" s="107"/>
      <c r="FF351" s="107"/>
      <c r="FG351" s="107"/>
      <c r="FH351" s="107"/>
      <c r="FI351" s="107"/>
      <c r="FJ351" s="107"/>
      <c r="FK351" s="107"/>
      <c r="FL351" s="107"/>
      <c r="FM351" s="107"/>
      <c r="FN351" s="107"/>
      <c r="FO351" s="10"/>
      <c r="FP351" s="10"/>
      <c r="FQ351" s="10"/>
      <c r="FR351" s="10"/>
      <c r="FS351" s="10"/>
      <c r="FT351" s="10"/>
      <c r="FU351" s="10"/>
      <c r="FV351" s="10"/>
      <c r="FW351" s="10"/>
      <c r="FX351" s="10"/>
      <c r="FY351" s="8"/>
      <c r="FZ351" s="266"/>
      <c r="GA351" s="266"/>
    </row>
    <row r="352" spans="1:183" s="268" customFormat="1" x14ac:dyDescent="0.25">
      <c r="A352" s="107"/>
      <c r="B352" s="7"/>
      <c r="C352" s="7"/>
      <c r="D352" s="7"/>
      <c r="E352" s="7"/>
      <c r="F352" s="10"/>
      <c r="G352" s="107"/>
      <c r="H352" s="7"/>
      <c r="I352" s="10"/>
      <c r="J352" s="10"/>
      <c r="K352" s="10"/>
      <c r="L352" s="10"/>
      <c r="M352" s="10"/>
      <c r="N352" s="10"/>
      <c r="O352" s="10"/>
      <c r="P352" s="8"/>
      <c r="Q352" s="8"/>
      <c r="R352" s="7"/>
      <c r="S352" s="7"/>
      <c r="T352" s="7"/>
      <c r="U352" s="107"/>
      <c r="V352" s="7"/>
      <c r="W352" s="10"/>
      <c r="X352" s="107"/>
      <c r="Y352" s="7"/>
      <c r="Z352" s="10"/>
      <c r="AA352" s="107"/>
      <c r="AB352" s="10"/>
      <c r="AC352" s="107"/>
      <c r="AD352" s="7"/>
      <c r="AE352" s="10"/>
      <c r="AF352" s="107"/>
      <c r="AG352" s="10"/>
      <c r="AH352" s="107"/>
      <c r="AI352" s="10"/>
      <c r="AJ352" s="107"/>
      <c r="AK352" s="10"/>
      <c r="AL352" s="107"/>
      <c r="AM352" s="10"/>
      <c r="AN352" s="10"/>
      <c r="AO352" s="10"/>
      <c r="AP352" s="8"/>
      <c r="AQ352" s="107"/>
      <c r="AR352" s="10"/>
      <c r="AS352" s="107"/>
      <c r="AT352" s="7"/>
      <c r="AU352" s="10"/>
      <c r="AV352" s="10"/>
      <c r="AW352" s="107"/>
      <c r="AX352" s="10"/>
      <c r="AY352" s="107"/>
      <c r="AZ352" s="10"/>
      <c r="BA352" s="107"/>
      <c r="BB352" s="107"/>
      <c r="BC352" s="107"/>
      <c r="BD352" s="10"/>
      <c r="BE352" s="107"/>
      <c r="BF352" s="10"/>
      <c r="BG352" s="10"/>
      <c r="BH352" s="10"/>
      <c r="BI352" s="107"/>
      <c r="BJ352" s="107"/>
      <c r="BK352" s="10"/>
      <c r="BL352" s="10"/>
      <c r="BM352" s="107"/>
      <c r="BN352" s="10"/>
      <c r="BO352" s="107"/>
      <c r="BP352" s="7"/>
      <c r="BQ352" s="10"/>
      <c r="BR352" s="107"/>
      <c r="BS352" s="10"/>
      <c r="BT352" s="107"/>
      <c r="BU352" s="107"/>
      <c r="BV352" s="107"/>
      <c r="BW352" s="107"/>
      <c r="BX352" s="107"/>
      <c r="BY352" s="10"/>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c r="CW352" s="107"/>
      <c r="CX352" s="107"/>
      <c r="CY352" s="107"/>
      <c r="CZ352" s="107"/>
      <c r="DA352" s="107"/>
      <c r="DB352" s="107"/>
      <c r="DC352" s="107"/>
      <c r="DD352" s="107"/>
      <c r="DE352" s="107"/>
      <c r="DF352" s="107"/>
      <c r="DG352" s="107"/>
      <c r="DH352" s="107"/>
      <c r="DI352" s="107"/>
      <c r="DJ352" s="107"/>
      <c r="DK352" s="10"/>
      <c r="DL352" s="10"/>
      <c r="DM352" s="10"/>
      <c r="DN352" s="10"/>
      <c r="DO352" s="10"/>
      <c r="DP352" s="10"/>
      <c r="DQ352" s="10"/>
      <c r="DR352" s="10"/>
      <c r="DS352" s="10"/>
      <c r="DT352" s="10"/>
      <c r="DU352" s="10"/>
      <c r="DV352" s="10"/>
      <c r="DW352" s="10"/>
      <c r="DX352" s="10"/>
      <c r="DY352" s="10"/>
      <c r="DZ352" s="10"/>
      <c r="EA352" s="10"/>
      <c r="EB352" s="10"/>
      <c r="EC352" s="107"/>
      <c r="ED352" s="107"/>
      <c r="EE352" s="10"/>
      <c r="EF352" s="107"/>
      <c r="EG352" s="7"/>
      <c r="EH352" s="10"/>
      <c r="EI352" s="107"/>
      <c r="EJ352" s="107"/>
      <c r="EK352" s="107"/>
      <c r="EL352" s="107"/>
      <c r="EM352" s="107"/>
      <c r="EN352" s="107"/>
      <c r="EO352" s="107"/>
      <c r="EP352" s="107"/>
      <c r="EQ352" s="107"/>
      <c r="ER352" s="107"/>
      <c r="ES352" s="107"/>
      <c r="ET352" s="107"/>
      <c r="EU352" s="107"/>
      <c r="EV352" s="107"/>
      <c r="EW352" s="107"/>
      <c r="EX352" s="107"/>
      <c r="EY352" s="107"/>
      <c r="EZ352" s="107"/>
      <c r="FA352" s="107"/>
      <c r="FB352" s="107"/>
      <c r="FC352" s="107"/>
      <c r="FD352" s="107"/>
      <c r="FE352" s="107"/>
      <c r="FF352" s="107"/>
      <c r="FG352" s="107"/>
      <c r="FH352" s="107"/>
      <c r="FI352" s="107"/>
      <c r="FJ352" s="107"/>
      <c r="FK352" s="107"/>
      <c r="FL352" s="107"/>
      <c r="FM352" s="107"/>
      <c r="FN352" s="107"/>
      <c r="FO352" s="10"/>
      <c r="FP352" s="10"/>
      <c r="FQ352" s="10"/>
      <c r="FR352" s="10"/>
      <c r="FS352" s="10"/>
      <c r="FT352" s="10"/>
      <c r="FU352" s="10"/>
      <c r="FV352" s="10"/>
      <c r="FW352" s="10"/>
      <c r="FX352" s="10"/>
      <c r="FY352" s="8"/>
      <c r="FZ352" s="266"/>
      <c r="GA352" s="266"/>
    </row>
    <row r="353" spans="1:183" s="268" customFormat="1" x14ac:dyDescent="0.25">
      <c r="A353" s="107"/>
      <c r="B353" s="7"/>
      <c r="C353" s="7"/>
      <c r="D353" s="7"/>
      <c r="E353" s="7"/>
      <c r="F353" s="10"/>
      <c r="G353" s="107"/>
      <c r="H353" s="7"/>
      <c r="I353" s="10"/>
      <c r="J353" s="10"/>
      <c r="K353" s="10"/>
      <c r="L353" s="10"/>
      <c r="M353" s="10"/>
      <c r="N353" s="10"/>
      <c r="O353" s="10"/>
      <c r="P353" s="8"/>
      <c r="Q353" s="8"/>
      <c r="R353" s="7"/>
      <c r="S353" s="7"/>
      <c r="T353" s="7"/>
      <c r="U353" s="107"/>
      <c r="V353" s="7"/>
      <c r="W353" s="10"/>
      <c r="X353" s="107"/>
      <c r="Y353" s="7"/>
      <c r="Z353" s="10"/>
      <c r="AA353" s="107"/>
      <c r="AB353" s="10"/>
      <c r="AC353" s="107"/>
      <c r="AD353" s="7"/>
      <c r="AE353" s="10"/>
      <c r="AF353" s="107"/>
      <c r="AG353" s="10"/>
      <c r="AH353" s="107"/>
      <c r="AI353" s="10"/>
      <c r="AJ353" s="107"/>
      <c r="AK353" s="10"/>
      <c r="AL353" s="107"/>
      <c r="AM353" s="10"/>
      <c r="AN353" s="10"/>
      <c r="AO353" s="10"/>
      <c r="AP353" s="8"/>
      <c r="AQ353" s="107"/>
      <c r="AR353" s="10"/>
      <c r="AS353" s="107"/>
      <c r="AT353" s="7"/>
      <c r="AU353" s="10"/>
      <c r="AV353" s="10"/>
      <c r="AW353" s="107"/>
      <c r="AX353" s="10"/>
      <c r="AY353" s="107"/>
      <c r="AZ353" s="10"/>
      <c r="BA353" s="107"/>
      <c r="BB353" s="107"/>
      <c r="BC353" s="107"/>
      <c r="BD353" s="10"/>
      <c r="BE353" s="107"/>
      <c r="BF353" s="10"/>
      <c r="BG353" s="10"/>
      <c r="BH353" s="10"/>
      <c r="BI353" s="107"/>
      <c r="BJ353" s="107"/>
      <c r="BK353" s="10"/>
      <c r="BL353" s="10"/>
      <c r="BM353" s="107"/>
      <c r="BN353" s="10"/>
      <c r="BO353" s="107"/>
      <c r="BP353" s="7"/>
      <c r="BQ353" s="10"/>
      <c r="BR353" s="107"/>
      <c r="BS353" s="10"/>
      <c r="BT353" s="107"/>
      <c r="BU353" s="107"/>
      <c r="BV353" s="107"/>
      <c r="BW353" s="107"/>
      <c r="BX353" s="107"/>
      <c r="BY353" s="10"/>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c r="CW353" s="107"/>
      <c r="CX353" s="107"/>
      <c r="CY353" s="107"/>
      <c r="CZ353" s="107"/>
      <c r="DA353" s="107"/>
      <c r="DB353" s="107"/>
      <c r="DC353" s="107"/>
      <c r="DD353" s="107"/>
      <c r="DE353" s="107"/>
      <c r="DF353" s="107"/>
      <c r="DG353" s="107"/>
      <c r="DH353" s="107"/>
      <c r="DI353" s="107"/>
      <c r="DJ353" s="107"/>
      <c r="DK353" s="10"/>
      <c r="DL353" s="10"/>
      <c r="DM353" s="10"/>
      <c r="DN353" s="10"/>
      <c r="DO353" s="10"/>
      <c r="DP353" s="10"/>
      <c r="DQ353" s="10"/>
      <c r="DR353" s="10"/>
      <c r="DS353" s="10"/>
      <c r="DT353" s="10"/>
      <c r="DU353" s="10"/>
      <c r="DV353" s="10"/>
      <c r="DW353" s="10"/>
      <c r="DX353" s="10"/>
      <c r="DY353" s="10"/>
      <c r="DZ353" s="10"/>
      <c r="EA353" s="10"/>
      <c r="EB353" s="10"/>
      <c r="EC353" s="107"/>
      <c r="ED353" s="107"/>
      <c r="EE353" s="10"/>
      <c r="EF353" s="107"/>
      <c r="EG353" s="7"/>
      <c r="EH353" s="10"/>
      <c r="EI353" s="107"/>
      <c r="EJ353" s="107"/>
      <c r="EK353" s="107"/>
      <c r="EL353" s="107"/>
      <c r="EM353" s="107"/>
      <c r="EN353" s="107"/>
      <c r="EO353" s="107"/>
      <c r="EP353" s="107"/>
      <c r="EQ353" s="107"/>
      <c r="ER353" s="107"/>
      <c r="ES353" s="107"/>
      <c r="ET353" s="107"/>
      <c r="EU353" s="107"/>
      <c r="EV353" s="107"/>
      <c r="EW353" s="107"/>
      <c r="EX353" s="107"/>
      <c r="EY353" s="107"/>
      <c r="EZ353" s="107"/>
      <c r="FA353" s="107"/>
      <c r="FB353" s="107"/>
      <c r="FC353" s="107"/>
      <c r="FD353" s="107"/>
      <c r="FE353" s="107"/>
      <c r="FF353" s="107"/>
      <c r="FG353" s="107"/>
      <c r="FH353" s="107"/>
      <c r="FI353" s="107"/>
      <c r="FJ353" s="107"/>
      <c r="FK353" s="107"/>
      <c r="FL353" s="107"/>
      <c r="FM353" s="107"/>
      <c r="FN353" s="107"/>
      <c r="FO353" s="10"/>
      <c r="FP353" s="10"/>
      <c r="FQ353" s="10"/>
      <c r="FR353" s="10"/>
      <c r="FS353" s="10"/>
      <c r="FT353" s="10"/>
      <c r="FU353" s="10"/>
      <c r="FV353" s="10"/>
      <c r="FW353" s="10"/>
      <c r="FX353" s="10"/>
      <c r="FY353" s="8"/>
      <c r="FZ353" s="266"/>
      <c r="GA353" s="266"/>
    </row>
    <row r="354" spans="1:183" s="268" customFormat="1" x14ac:dyDescent="0.25">
      <c r="A354" s="107"/>
      <c r="B354" s="7"/>
      <c r="C354" s="7"/>
      <c r="D354" s="7"/>
      <c r="E354" s="7"/>
      <c r="F354" s="10"/>
      <c r="G354" s="107"/>
      <c r="H354" s="7"/>
      <c r="I354" s="10"/>
      <c r="J354" s="10"/>
      <c r="K354" s="10"/>
      <c r="L354" s="10"/>
      <c r="M354" s="10"/>
      <c r="N354" s="10"/>
      <c r="O354" s="10"/>
      <c r="P354" s="8"/>
      <c r="Q354" s="8"/>
      <c r="R354" s="7"/>
      <c r="S354" s="7"/>
      <c r="T354" s="7"/>
      <c r="U354" s="107"/>
      <c r="V354" s="7"/>
      <c r="W354" s="10"/>
      <c r="X354" s="107"/>
      <c r="Y354" s="7"/>
      <c r="Z354" s="10"/>
      <c r="AA354" s="107"/>
      <c r="AB354" s="10"/>
      <c r="AC354" s="107"/>
      <c r="AD354" s="7"/>
      <c r="AE354" s="10"/>
      <c r="AF354" s="107"/>
      <c r="AG354" s="10"/>
      <c r="AH354" s="107"/>
      <c r="AI354" s="10"/>
      <c r="AJ354" s="107"/>
      <c r="AK354" s="10"/>
      <c r="AL354" s="107"/>
      <c r="AM354" s="10"/>
      <c r="AN354" s="10"/>
      <c r="AO354" s="10"/>
      <c r="AP354" s="8"/>
      <c r="AQ354" s="107"/>
      <c r="AR354" s="10"/>
      <c r="AS354" s="107"/>
      <c r="AT354" s="7"/>
      <c r="AU354" s="10"/>
      <c r="AV354" s="10"/>
      <c r="AW354" s="107"/>
      <c r="AX354" s="10"/>
      <c r="AY354" s="107"/>
      <c r="AZ354" s="10"/>
      <c r="BA354" s="107"/>
      <c r="BB354" s="107"/>
      <c r="BC354" s="107"/>
      <c r="BD354" s="10"/>
      <c r="BE354" s="107"/>
      <c r="BF354" s="10"/>
      <c r="BG354" s="10"/>
      <c r="BH354" s="10"/>
      <c r="BI354" s="107"/>
      <c r="BJ354" s="107"/>
      <c r="BK354" s="10"/>
      <c r="BL354" s="10"/>
      <c r="BM354" s="107"/>
      <c r="BN354" s="10"/>
      <c r="BO354" s="107"/>
      <c r="BP354" s="7"/>
      <c r="BQ354" s="10"/>
      <c r="BR354" s="107"/>
      <c r="BS354" s="10"/>
      <c r="BT354" s="107"/>
      <c r="BU354" s="107"/>
      <c r="BV354" s="107"/>
      <c r="BW354" s="107"/>
      <c r="BX354" s="107"/>
      <c r="BY354" s="10"/>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W354" s="107"/>
      <c r="CX354" s="107"/>
      <c r="CY354" s="107"/>
      <c r="CZ354" s="107"/>
      <c r="DA354" s="107"/>
      <c r="DB354" s="107"/>
      <c r="DC354" s="107"/>
      <c r="DD354" s="107"/>
      <c r="DE354" s="107"/>
      <c r="DF354" s="107"/>
      <c r="DG354" s="107"/>
      <c r="DH354" s="107"/>
      <c r="DI354" s="107"/>
      <c r="DJ354" s="107"/>
      <c r="DK354" s="10"/>
      <c r="DL354" s="10"/>
      <c r="DM354" s="10"/>
      <c r="DN354" s="10"/>
      <c r="DO354" s="10"/>
      <c r="DP354" s="10"/>
      <c r="DQ354" s="10"/>
      <c r="DR354" s="10"/>
      <c r="DS354" s="10"/>
      <c r="DT354" s="10"/>
      <c r="DU354" s="10"/>
      <c r="DV354" s="10"/>
      <c r="DW354" s="10"/>
      <c r="DX354" s="10"/>
      <c r="DY354" s="10"/>
      <c r="DZ354" s="10"/>
      <c r="EA354" s="10"/>
      <c r="EB354" s="10"/>
      <c r="EC354" s="107"/>
      <c r="ED354" s="107"/>
      <c r="EE354" s="10"/>
      <c r="EF354" s="107"/>
      <c r="EG354" s="7"/>
      <c r="EH354" s="10"/>
      <c r="EI354" s="107"/>
      <c r="EJ354" s="107"/>
      <c r="EK354" s="107"/>
      <c r="EL354" s="107"/>
      <c r="EM354" s="107"/>
      <c r="EN354" s="107"/>
      <c r="EO354" s="107"/>
      <c r="EP354" s="107"/>
      <c r="EQ354" s="107"/>
      <c r="ER354" s="107"/>
      <c r="ES354" s="107"/>
      <c r="ET354" s="107"/>
      <c r="EU354" s="107"/>
      <c r="EV354" s="107"/>
      <c r="EW354" s="107"/>
      <c r="EX354" s="107"/>
      <c r="EY354" s="107"/>
      <c r="EZ354" s="107"/>
      <c r="FA354" s="107"/>
      <c r="FB354" s="107"/>
      <c r="FC354" s="107"/>
      <c r="FD354" s="107"/>
      <c r="FE354" s="107"/>
      <c r="FF354" s="107"/>
      <c r="FG354" s="107"/>
      <c r="FH354" s="107"/>
      <c r="FI354" s="107"/>
      <c r="FJ354" s="107"/>
      <c r="FK354" s="107"/>
      <c r="FL354" s="107"/>
      <c r="FM354" s="107"/>
      <c r="FN354" s="107"/>
      <c r="FO354" s="10"/>
      <c r="FP354" s="10"/>
      <c r="FQ354" s="10"/>
      <c r="FR354" s="10"/>
      <c r="FS354" s="10"/>
      <c r="FT354" s="10"/>
      <c r="FU354" s="10"/>
      <c r="FV354" s="10"/>
      <c r="FW354" s="10"/>
      <c r="FX354" s="10"/>
      <c r="FY354" s="8"/>
      <c r="FZ354" s="266"/>
      <c r="GA354" s="266"/>
    </row>
    <row r="355" spans="1:183" s="268" customFormat="1" x14ac:dyDescent="0.25">
      <c r="A355" s="107"/>
      <c r="B355" s="7"/>
      <c r="C355" s="7"/>
      <c r="D355" s="7"/>
      <c r="E355" s="7"/>
      <c r="F355" s="10"/>
      <c r="G355" s="107"/>
      <c r="H355" s="7"/>
      <c r="I355" s="10"/>
      <c r="J355" s="10"/>
      <c r="K355" s="10"/>
      <c r="L355" s="10"/>
      <c r="M355" s="10"/>
      <c r="N355" s="10"/>
      <c r="O355" s="10"/>
      <c r="P355" s="8"/>
      <c r="Q355" s="8"/>
      <c r="R355" s="7"/>
      <c r="S355" s="7"/>
      <c r="T355" s="7"/>
      <c r="U355" s="107"/>
      <c r="V355" s="7"/>
      <c r="W355" s="10"/>
      <c r="X355" s="107"/>
      <c r="Y355" s="7"/>
      <c r="Z355" s="10"/>
      <c r="AA355" s="107"/>
      <c r="AB355" s="10"/>
      <c r="AC355" s="107"/>
      <c r="AD355" s="7"/>
      <c r="AE355" s="10"/>
      <c r="AF355" s="107"/>
      <c r="AG355" s="10"/>
      <c r="AH355" s="107"/>
      <c r="AI355" s="10"/>
      <c r="AJ355" s="107"/>
      <c r="AK355" s="10"/>
      <c r="AL355" s="107"/>
      <c r="AM355" s="10"/>
      <c r="AN355" s="10"/>
      <c r="AO355" s="10"/>
      <c r="AP355" s="8"/>
      <c r="AQ355" s="107"/>
      <c r="AR355" s="10"/>
      <c r="AS355" s="107"/>
      <c r="AT355" s="7"/>
      <c r="AU355" s="10"/>
      <c r="AV355" s="10"/>
      <c r="AW355" s="107"/>
      <c r="AX355" s="10"/>
      <c r="AY355" s="107"/>
      <c r="AZ355" s="10"/>
      <c r="BA355" s="107"/>
      <c r="BB355" s="107"/>
      <c r="BC355" s="107"/>
      <c r="BD355" s="10"/>
      <c r="BE355" s="107"/>
      <c r="BF355" s="10"/>
      <c r="BG355" s="10"/>
      <c r="BH355" s="10"/>
      <c r="BI355" s="107"/>
      <c r="BJ355" s="107"/>
      <c r="BK355" s="10"/>
      <c r="BL355" s="10"/>
      <c r="BM355" s="107"/>
      <c r="BN355" s="10"/>
      <c r="BO355" s="107"/>
      <c r="BP355" s="7"/>
      <c r="BQ355" s="10"/>
      <c r="BR355" s="107"/>
      <c r="BS355" s="10"/>
      <c r="BT355" s="107"/>
      <c r="BU355" s="107"/>
      <c r="BV355" s="107"/>
      <c r="BW355" s="107"/>
      <c r="BX355" s="107"/>
      <c r="BY355" s="10"/>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W355" s="107"/>
      <c r="CX355" s="107"/>
      <c r="CY355" s="107"/>
      <c r="CZ355" s="107"/>
      <c r="DA355" s="107"/>
      <c r="DB355" s="107"/>
      <c r="DC355" s="107"/>
      <c r="DD355" s="107"/>
      <c r="DE355" s="107"/>
      <c r="DF355" s="107"/>
      <c r="DG355" s="107"/>
      <c r="DH355" s="107"/>
      <c r="DI355" s="107"/>
      <c r="DJ355" s="107"/>
      <c r="DK355" s="10"/>
      <c r="DL355" s="10"/>
      <c r="DM355" s="10"/>
      <c r="DN355" s="10"/>
      <c r="DO355" s="10"/>
      <c r="DP355" s="10"/>
      <c r="DQ355" s="10"/>
      <c r="DR355" s="10"/>
      <c r="DS355" s="10"/>
      <c r="DT355" s="10"/>
      <c r="DU355" s="10"/>
      <c r="DV355" s="10"/>
      <c r="DW355" s="10"/>
      <c r="DX355" s="10"/>
      <c r="DY355" s="10"/>
      <c r="DZ355" s="10"/>
      <c r="EA355" s="10"/>
      <c r="EB355" s="10"/>
      <c r="EC355" s="107"/>
      <c r="ED355" s="107"/>
      <c r="EE355" s="10"/>
      <c r="EF355" s="107"/>
      <c r="EG355" s="7"/>
      <c r="EH355" s="10"/>
      <c r="EI355" s="107"/>
      <c r="EJ355" s="107"/>
      <c r="EK355" s="107"/>
      <c r="EL355" s="107"/>
      <c r="EM355" s="107"/>
      <c r="EN355" s="107"/>
      <c r="EO355" s="107"/>
      <c r="EP355" s="107"/>
      <c r="EQ355" s="107"/>
      <c r="ER355" s="107"/>
      <c r="ES355" s="107"/>
      <c r="ET355" s="107"/>
      <c r="EU355" s="107"/>
      <c r="EV355" s="107"/>
      <c r="EW355" s="107"/>
      <c r="EX355" s="107"/>
      <c r="EY355" s="107"/>
      <c r="EZ355" s="107"/>
      <c r="FA355" s="107"/>
      <c r="FB355" s="107"/>
      <c r="FC355" s="107"/>
      <c r="FD355" s="107"/>
      <c r="FE355" s="107"/>
      <c r="FF355" s="107"/>
      <c r="FG355" s="107"/>
      <c r="FH355" s="107"/>
      <c r="FI355" s="107"/>
      <c r="FJ355" s="107"/>
      <c r="FK355" s="107"/>
      <c r="FL355" s="107"/>
      <c r="FM355" s="107"/>
      <c r="FN355" s="107"/>
      <c r="FO355" s="10"/>
      <c r="FP355" s="10"/>
      <c r="FQ355" s="10"/>
      <c r="FR355" s="10"/>
      <c r="FS355" s="10"/>
      <c r="FT355" s="10"/>
      <c r="FU355" s="10"/>
      <c r="FV355" s="10"/>
      <c r="FW355" s="10"/>
      <c r="FX355" s="10"/>
      <c r="FY355" s="8"/>
      <c r="FZ355" s="266"/>
      <c r="GA355" s="266"/>
    </row>
    <row r="356" spans="1:183" s="268" customFormat="1" x14ac:dyDescent="0.25">
      <c r="A356" s="107"/>
      <c r="B356" s="7"/>
      <c r="C356" s="7"/>
      <c r="D356" s="7"/>
      <c r="E356" s="7"/>
      <c r="F356" s="10"/>
      <c r="G356" s="107"/>
      <c r="H356" s="7"/>
      <c r="I356" s="10"/>
      <c r="J356" s="10"/>
      <c r="K356" s="10"/>
      <c r="L356" s="10"/>
      <c r="M356" s="10"/>
      <c r="N356" s="10"/>
      <c r="O356" s="10"/>
      <c r="P356" s="8"/>
      <c r="Q356" s="8"/>
      <c r="R356" s="7"/>
      <c r="S356" s="7"/>
      <c r="T356" s="7"/>
      <c r="U356" s="107"/>
      <c r="V356" s="7"/>
      <c r="W356" s="10"/>
      <c r="X356" s="107"/>
      <c r="Y356" s="7"/>
      <c r="Z356" s="10"/>
      <c r="AA356" s="107"/>
      <c r="AB356" s="10"/>
      <c r="AC356" s="107"/>
      <c r="AD356" s="7"/>
      <c r="AE356" s="10"/>
      <c r="AF356" s="107"/>
      <c r="AG356" s="10"/>
      <c r="AH356" s="107"/>
      <c r="AI356" s="10"/>
      <c r="AJ356" s="107"/>
      <c r="AK356" s="10"/>
      <c r="AL356" s="107"/>
      <c r="AM356" s="10"/>
      <c r="AN356" s="10"/>
      <c r="AO356" s="10"/>
      <c r="AP356" s="8"/>
      <c r="AQ356" s="107"/>
      <c r="AR356" s="10"/>
      <c r="AS356" s="107"/>
      <c r="AT356" s="7"/>
      <c r="AU356" s="10"/>
      <c r="AV356" s="10"/>
      <c r="AW356" s="107"/>
      <c r="AX356" s="10"/>
      <c r="AY356" s="107"/>
      <c r="AZ356" s="10"/>
      <c r="BA356" s="107"/>
      <c r="BB356" s="107"/>
      <c r="BC356" s="107"/>
      <c r="BD356" s="10"/>
      <c r="BE356" s="107"/>
      <c r="BF356" s="10"/>
      <c r="BG356" s="10"/>
      <c r="BH356" s="10"/>
      <c r="BI356" s="107"/>
      <c r="BJ356" s="107"/>
      <c r="BK356" s="10"/>
      <c r="BL356" s="10"/>
      <c r="BM356" s="107"/>
      <c r="BN356" s="10"/>
      <c r="BO356" s="107"/>
      <c r="BP356" s="7"/>
      <c r="BQ356" s="10"/>
      <c r="BR356" s="107"/>
      <c r="BS356" s="10"/>
      <c r="BT356" s="107"/>
      <c r="BU356" s="107"/>
      <c r="BV356" s="107"/>
      <c r="BW356" s="107"/>
      <c r="BX356" s="107"/>
      <c r="BY356" s="10"/>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W356" s="107"/>
      <c r="CX356" s="107"/>
      <c r="CY356" s="107"/>
      <c r="CZ356" s="107"/>
      <c r="DA356" s="107"/>
      <c r="DB356" s="107"/>
      <c r="DC356" s="107"/>
      <c r="DD356" s="107"/>
      <c r="DE356" s="107"/>
      <c r="DF356" s="107"/>
      <c r="DG356" s="107"/>
      <c r="DH356" s="107"/>
      <c r="DI356" s="107"/>
      <c r="DJ356" s="107"/>
      <c r="DK356" s="10"/>
      <c r="DL356" s="10"/>
      <c r="DM356" s="10"/>
      <c r="DN356" s="10"/>
      <c r="DO356" s="10"/>
      <c r="DP356" s="10"/>
      <c r="DQ356" s="10"/>
      <c r="DR356" s="10"/>
      <c r="DS356" s="10"/>
      <c r="DT356" s="10"/>
      <c r="DU356" s="10"/>
      <c r="DV356" s="10"/>
      <c r="DW356" s="10"/>
      <c r="DX356" s="10"/>
      <c r="DY356" s="10"/>
      <c r="DZ356" s="10"/>
      <c r="EA356" s="10"/>
      <c r="EB356" s="10"/>
      <c r="EC356" s="107"/>
      <c r="ED356" s="107"/>
      <c r="EE356" s="10"/>
      <c r="EF356" s="107"/>
      <c r="EG356" s="7"/>
      <c r="EH356" s="10"/>
      <c r="EI356" s="107"/>
      <c r="EJ356" s="107"/>
      <c r="EK356" s="107"/>
      <c r="EL356" s="107"/>
      <c r="EM356" s="107"/>
      <c r="EN356" s="107"/>
      <c r="EO356" s="107"/>
      <c r="EP356" s="107"/>
      <c r="EQ356" s="107"/>
      <c r="ER356" s="107"/>
      <c r="ES356" s="107"/>
      <c r="ET356" s="107"/>
      <c r="EU356" s="107"/>
      <c r="EV356" s="107"/>
      <c r="EW356" s="107"/>
      <c r="EX356" s="107"/>
      <c r="EY356" s="107"/>
      <c r="EZ356" s="107"/>
      <c r="FA356" s="107"/>
      <c r="FB356" s="107"/>
      <c r="FC356" s="107"/>
      <c r="FD356" s="107"/>
      <c r="FE356" s="107"/>
      <c r="FF356" s="107"/>
      <c r="FG356" s="107"/>
      <c r="FH356" s="107"/>
      <c r="FI356" s="107"/>
      <c r="FJ356" s="107"/>
      <c r="FK356" s="107"/>
      <c r="FL356" s="107"/>
      <c r="FM356" s="107"/>
      <c r="FN356" s="107"/>
      <c r="FO356" s="10"/>
      <c r="FP356" s="10"/>
      <c r="FQ356" s="10"/>
      <c r="FR356" s="10"/>
      <c r="FS356" s="10"/>
      <c r="FT356" s="10"/>
      <c r="FU356" s="10"/>
      <c r="FV356" s="10"/>
      <c r="FW356" s="10"/>
      <c r="FX356" s="10"/>
      <c r="FY356" s="8"/>
      <c r="FZ356" s="266"/>
      <c r="GA356" s="266"/>
    </row>
    <row r="357" spans="1:183" s="268" customFormat="1" x14ac:dyDescent="0.25">
      <c r="A357" s="107"/>
      <c r="B357" s="7"/>
      <c r="C357" s="7"/>
      <c r="D357" s="7"/>
      <c r="E357" s="7"/>
      <c r="F357" s="10"/>
      <c r="G357" s="107"/>
      <c r="H357" s="7"/>
      <c r="I357" s="10"/>
      <c r="J357" s="10"/>
      <c r="K357" s="10"/>
      <c r="L357" s="10"/>
      <c r="M357" s="10"/>
      <c r="N357" s="10"/>
      <c r="O357" s="10"/>
      <c r="P357" s="8"/>
      <c r="Q357" s="8"/>
      <c r="R357" s="7"/>
      <c r="S357" s="7"/>
      <c r="T357" s="7"/>
      <c r="U357" s="107"/>
      <c r="V357" s="7"/>
      <c r="W357" s="10"/>
      <c r="X357" s="107"/>
      <c r="Y357" s="7"/>
      <c r="Z357" s="10"/>
      <c r="AA357" s="107"/>
      <c r="AB357" s="10"/>
      <c r="AC357" s="107"/>
      <c r="AD357" s="7"/>
      <c r="AE357" s="10"/>
      <c r="AF357" s="107"/>
      <c r="AG357" s="10"/>
      <c r="AH357" s="107"/>
      <c r="AI357" s="10"/>
      <c r="AJ357" s="107"/>
      <c r="AK357" s="10"/>
      <c r="AL357" s="107"/>
      <c r="AM357" s="10"/>
      <c r="AN357" s="10"/>
      <c r="AO357" s="10"/>
      <c r="AP357" s="8"/>
      <c r="AQ357" s="107"/>
      <c r="AR357" s="10"/>
      <c r="AS357" s="107"/>
      <c r="AT357" s="7"/>
      <c r="AU357" s="10"/>
      <c r="AV357" s="10"/>
      <c r="AW357" s="107"/>
      <c r="AX357" s="10"/>
      <c r="AY357" s="107"/>
      <c r="AZ357" s="10"/>
      <c r="BA357" s="107"/>
      <c r="BB357" s="107"/>
      <c r="BC357" s="107"/>
      <c r="BD357" s="10"/>
      <c r="BE357" s="107"/>
      <c r="BF357" s="10"/>
      <c r="BG357" s="10"/>
      <c r="BH357" s="10"/>
      <c r="BI357" s="107"/>
      <c r="BJ357" s="107"/>
      <c r="BK357" s="10"/>
      <c r="BL357" s="10"/>
      <c r="BM357" s="107"/>
      <c r="BN357" s="10"/>
      <c r="BO357" s="107"/>
      <c r="BP357" s="7"/>
      <c r="BQ357" s="10"/>
      <c r="BR357" s="107"/>
      <c r="BS357" s="10"/>
      <c r="BT357" s="107"/>
      <c r="BU357" s="107"/>
      <c r="BV357" s="107"/>
      <c r="BW357" s="107"/>
      <c r="BX357" s="107"/>
      <c r="BY357" s="10"/>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W357" s="107"/>
      <c r="CX357" s="107"/>
      <c r="CY357" s="107"/>
      <c r="CZ357" s="107"/>
      <c r="DA357" s="107"/>
      <c r="DB357" s="107"/>
      <c r="DC357" s="107"/>
      <c r="DD357" s="107"/>
      <c r="DE357" s="107"/>
      <c r="DF357" s="107"/>
      <c r="DG357" s="107"/>
      <c r="DH357" s="107"/>
      <c r="DI357" s="107"/>
      <c r="DJ357" s="107"/>
      <c r="DK357" s="10"/>
      <c r="DL357" s="10"/>
      <c r="DM357" s="10"/>
      <c r="DN357" s="10"/>
      <c r="DO357" s="10"/>
      <c r="DP357" s="10"/>
      <c r="DQ357" s="10"/>
      <c r="DR357" s="10"/>
      <c r="DS357" s="10"/>
      <c r="DT357" s="10"/>
      <c r="DU357" s="10"/>
      <c r="DV357" s="10"/>
      <c r="DW357" s="10"/>
      <c r="DX357" s="10"/>
      <c r="DY357" s="10"/>
      <c r="DZ357" s="10"/>
      <c r="EA357" s="10"/>
      <c r="EB357" s="10"/>
      <c r="EC357" s="107"/>
      <c r="ED357" s="107"/>
      <c r="EE357" s="10"/>
      <c r="EF357" s="107"/>
      <c r="EG357" s="7"/>
      <c r="EH357" s="10"/>
      <c r="EI357" s="107"/>
      <c r="EJ357" s="107"/>
      <c r="EK357" s="107"/>
      <c r="EL357" s="107"/>
      <c r="EM357" s="107"/>
      <c r="EN357" s="107"/>
      <c r="EO357" s="107"/>
      <c r="EP357" s="107"/>
      <c r="EQ357" s="107"/>
      <c r="ER357" s="107"/>
      <c r="ES357" s="107"/>
      <c r="ET357" s="107"/>
      <c r="EU357" s="107"/>
      <c r="EV357" s="107"/>
      <c r="EW357" s="107"/>
      <c r="EX357" s="107"/>
      <c r="EY357" s="107"/>
      <c r="EZ357" s="107"/>
      <c r="FA357" s="107"/>
      <c r="FB357" s="107"/>
      <c r="FC357" s="107"/>
      <c r="FD357" s="107"/>
      <c r="FE357" s="107"/>
      <c r="FF357" s="107"/>
      <c r="FG357" s="107"/>
      <c r="FH357" s="107"/>
      <c r="FI357" s="107"/>
      <c r="FJ357" s="107"/>
      <c r="FK357" s="107"/>
      <c r="FL357" s="107"/>
      <c r="FM357" s="107"/>
      <c r="FN357" s="107"/>
      <c r="FO357" s="10"/>
      <c r="FP357" s="10"/>
      <c r="FQ357" s="10"/>
      <c r="FR357" s="10"/>
      <c r="FS357" s="10"/>
      <c r="FT357" s="10"/>
      <c r="FU357" s="10"/>
      <c r="FV357" s="10"/>
      <c r="FW357" s="10"/>
      <c r="FX357" s="10"/>
      <c r="FY357" s="8"/>
      <c r="FZ357" s="266"/>
      <c r="GA357" s="266"/>
    </row>
    <row r="358" spans="1:183" s="268" customFormat="1" x14ac:dyDescent="0.25">
      <c r="A358" s="107"/>
      <c r="B358" s="7"/>
      <c r="C358" s="7"/>
      <c r="D358" s="7"/>
      <c r="E358" s="7"/>
      <c r="F358" s="10"/>
      <c r="G358" s="107"/>
      <c r="H358" s="7"/>
      <c r="I358" s="10"/>
      <c r="J358" s="10"/>
      <c r="K358" s="10"/>
      <c r="L358" s="10"/>
      <c r="M358" s="10"/>
      <c r="N358" s="10"/>
      <c r="O358" s="10"/>
      <c r="P358" s="8"/>
      <c r="Q358" s="8"/>
      <c r="R358" s="7"/>
      <c r="S358" s="7"/>
      <c r="T358" s="7"/>
      <c r="U358" s="107"/>
      <c r="V358" s="7"/>
      <c r="W358" s="10"/>
      <c r="X358" s="107"/>
      <c r="Y358" s="7"/>
      <c r="Z358" s="10"/>
      <c r="AA358" s="107"/>
      <c r="AB358" s="10"/>
      <c r="AC358" s="107"/>
      <c r="AD358" s="7"/>
      <c r="AE358" s="10"/>
      <c r="AF358" s="107"/>
      <c r="AG358" s="10"/>
      <c r="AH358" s="107"/>
      <c r="AI358" s="10"/>
      <c r="AJ358" s="107"/>
      <c r="AK358" s="10"/>
      <c r="AL358" s="107"/>
      <c r="AM358" s="10"/>
      <c r="AN358" s="10"/>
      <c r="AO358" s="10"/>
      <c r="AP358" s="8"/>
      <c r="AQ358" s="107"/>
      <c r="AR358" s="10"/>
      <c r="AS358" s="107"/>
      <c r="AT358" s="7"/>
      <c r="AU358" s="10"/>
      <c r="AV358" s="10"/>
      <c r="AW358" s="107"/>
      <c r="AX358" s="10"/>
      <c r="AY358" s="107"/>
      <c r="AZ358" s="10"/>
      <c r="BA358" s="107"/>
      <c r="BB358" s="107"/>
      <c r="BC358" s="107"/>
      <c r="BD358" s="10"/>
      <c r="BE358" s="107"/>
      <c r="BF358" s="10"/>
      <c r="BG358" s="10"/>
      <c r="BH358" s="10"/>
      <c r="BI358" s="107"/>
      <c r="BJ358" s="107"/>
      <c r="BK358" s="10"/>
      <c r="BL358" s="10"/>
      <c r="BM358" s="107"/>
      <c r="BN358" s="10"/>
      <c r="BO358" s="107"/>
      <c r="BP358" s="7"/>
      <c r="BQ358" s="10"/>
      <c r="BR358" s="107"/>
      <c r="BS358" s="10"/>
      <c r="BT358" s="107"/>
      <c r="BU358" s="107"/>
      <c r="BV358" s="107"/>
      <c r="BW358" s="107"/>
      <c r="BX358" s="107"/>
      <c r="BY358" s="10"/>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W358" s="107"/>
      <c r="CX358" s="107"/>
      <c r="CY358" s="107"/>
      <c r="CZ358" s="107"/>
      <c r="DA358" s="107"/>
      <c r="DB358" s="107"/>
      <c r="DC358" s="107"/>
      <c r="DD358" s="107"/>
      <c r="DE358" s="107"/>
      <c r="DF358" s="107"/>
      <c r="DG358" s="107"/>
      <c r="DH358" s="107"/>
      <c r="DI358" s="107"/>
      <c r="DJ358" s="107"/>
      <c r="DK358" s="10"/>
      <c r="DL358" s="10"/>
      <c r="DM358" s="10"/>
      <c r="DN358" s="10"/>
      <c r="DO358" s="10"/>
      <c r="DP358" s="10"/>
      <c r="DQ358" s="10"/>
      <c r="DR358" s="10"/>
      <c r="DS358" s="10"/>
      <c r="DT358" s="10"/>
      <c r="DU358" s="10"/>
      <c r="DV358" s="10"/>
      <c r="DW358" s="10"/>
      <c r="DX358" s="10"/>
      <c r="DY358" s="10"/>
      <c r="DZ358" s="10"/>
      <c r="EA358" s="10"/>
      <c r="EB358" s="10"/>
      <c r="EC358" s="107"/>
      <c r="ED358" s="107"/>
      <c r="EE358" s="10"/>
      <c r="EF358" s="107"/>
      <c r="EG358" s="7"/>
      <c r="EH358" s="10"/>
      <c r="EI358" s="107"/>
      <c r="EJ358" s="107"/>
      <c r="EK358" s="107"/>
      <c r="EL358" s="107"/>
      <c r="EM358" s="107"/>
      <c r="EN358" s="107"/>
      <c r="EO358" s="107"/>
      <c r="EP358" s="107"/>
      <c r="EQ358" s="107"/>
      <c r="ER358" s="107"/>
      <c r="ES358" s="107"/>
      <c r="ET358" s="107"/>
      <c r="EU358" s="107"/>
      <c r="EV358" s="107"/>
      <c r="EW358" s="107"/>
      <c r="EX358" s="107"/>
      <c r="EY358" s="107"/>
      <c r="EZ358" s="107"/>
      <c r="FA358" s="107"/>
      <c r="FB358" s="107"/>
      <c r="FC358" s="107"/>
      <c r="FD358" s="107"/>
      <c r="FE358" s="107"/>
      <c r="FF358" s="107"/>
      <c r="FG358" s="107"/>
      <c r="FH358" s="107"/>
      <c r="FI358" s="107"/>
      <c r="FJ358" s="107"/>
      <c r="FK358" s="107"/>
      <c r="FL358" s="107"/>
      <c r="FM358" s="107"/>
      <c r="FN358" s="107"/>
      <c r="FO358" s="10"/>
      <c r="FP358" s="10"/>
      <c r="FQ358" s="10"/>
      <c r="FR358" s="10"/>
      <c r="FS358" s="10"/>
      <c r="FT358" s="10"/>
      <c r="FU358" s="10"/>
      <c r="FV358" s="10"/>
      <c r="FW358" s="10"/>
      <c r="FX358" s="10"/>
      <c r="FY358" s="8"/>
      <c r="FZ358" s="266"/>
      <c r="GA358" s="266"/>
    </row>
    <row r="359" spans="1:183" s="268" customFormat="1" x14ac:dyDescent="0.25">
      <c r="A359" s="107"/>
      <c r="B359" s="7"/>
      <c r="C359" s="7"/>
      <c r="D359" s="7"/>
      <c r="E359" s="7"/>
      <c r="F359" s="10"/>
      <c r="G359" s="107"/>
      <c r="H359" s="7"/>
      <c r="I359" s="10"/>
      <c r="J359" s="10"/>
      <c r="K359" s="10"/>
      <c r="L359" s="10"/>
      <c r="M359" s="10"/>
      <c r="N359" s="10"/>
      <c r="O359" s="10"/>
      <c r="P359" s="8"/>
      <c r="Q359" s="8"/>
      <c r="R359" s="7"/>
      <c r="S359" s="7"/>
      <c r="T359" s="7"/>
      <c r="U359" s="107"/>
      <c r="V359" s="7"/>
      <c r="W359" s="10"/>
      <c r="X359" s="107"/>
      <c r="Y359" s="7"/>
      <c r="Z359" s="10"/>
      <c r="AA359" s="107"/>
      <c r="AB359" s="10"/>
      <c r="AC359" s="107"/>
      <c r="AD359" s="7"/>
      <c r="AE359" s="10"/>
      <c r="AF359" s="107"/>
      <c r="AG359" s="10"/>
      <c r="AH359" s="107"/>
      <c r="AI359" s="10"/>
      <c r="AJ359" s="107"/>
      <c r="AK359" s="10"/>
      <c r="AL359" s="107"/>
      <c r="AM359" s="10"/>
      <c r="AN359" s="10"/>
      <c r="AO359" s="10"/>
      <c r="AP359" s="8"/>
      <c r="AQ359" s="107"/>
      <c r="AR359" s="10"/>
      <c r="AS359" s="107"/>
      <c r="AT359" s="7"/>
      <c r="AU359" s="10"/>
      <c r="AV359" s="10"/>
      <c r="AW359" s="107"/>
      <c r="AX359" s="10"/>
      <c r="AY359" s="107"/>
      <c r="AZ359" s="10"/>
      <c r="BA359" s="107"/>
      <c r="BB359" s="107"/>
      <c r="BC359" s="107"/>
      <c r="BD359" s="10"/>
      <c r="BE359" s="107"/>
      <c r="BF359" s="10"/>
      <c r="BG359" s="10"/>
      <c r="BH359" s="10"/>
      <c r="BI359" s="107"/>
      <c r="BJ359" s="107"/>
      <c r="BK359" s="10"/>
      <c r="BL359" s="10"/>
      <c r="BM359" s="107"/>
      <c r="BN359" s="10"/>
      <c r="BO359" s="107"/>
      <c r="BP359" s="7"/>
      <c r="BQ359" s="10"/>
      <c r="BR359" s="107"/>
      <c r="BS359" s="10"/>
      <c r="BT359" s="107"/>
      <c r="BU359" s="107"/>
      <c r="BV359" s="107"/>
      <c r="BW359" s="107"/>
      <c r="BX359" s="107"/>
      <c r="BY359" s="10"/>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W359" s="107"/>
      <c r="CX359" s="107"/>
      <c r="CY359" s="107"/>
      <c r="CZ359" s="107"/>
      <c r="DA359" s="107"/>
      <c r="DB359" s="107"/>
      <c r="DC359" s="107"/>
      <c r="DD359" s="107"/>
      <c r="DE359" s="107"/>
      <c r="DF359" s="107"/>
      <c r="DG359" s="107"/>
      <c r="DH359" s="107"/>
      <c r="DI359" s="107"/>
      <c r="DJ359" s="107"/>
      <c r="DK359" s="10"/>
      <c r="DL359" s="10"/>
      <c r="DM359" s="10"/>
      <c r="DN359" s="10"/>
      <c r="DO359" s="10"/>
      <c r="DP359" s="10"/>
      <c r="DQ359" s="10"/>
      <c r="DR359" s="10"/>
      <c r="DS359" s="10"/>
      <c r="DT359" s="10"/>
      <c r="DU359" s="10"/>
      <c r="DV359" s="10"/>
      <c r="DW359" s="10"/>
      <c r="DX359" s="10"/>
      <c r="DY359" s="10"/>
      <c r="DZ359" s="10"/>
      <c r="EA359" s="10"/>
      <c r="EB359" s="10"/>
      <c r="EC359" s="107"/>
      <c r="ED359" s="107"/>
      <c r="EE359" s="10"/>
      <c r="EF359" s="107"/>
      <c r="EG359" s="7"/>
      <c r="EH359" s="10"/>
      <c r="EI359" s="107"/>
      <c r="EJ359" s="107"/>
      <c r="EK359" s="107"/>
      <c r="EL359" s="107"/>
      <c r="EM359" s="107"/>
      <c r="EN359" s="107"/>
      <c r="EO359" s="107"/>
      <c r="EP359" s="107"/>
      <c r="EQ359" s="107"/>
      <c r="ER359" s="107"/>
      <c r="ES359" s="107"/>
      <c r="ET359" s="107"/>
      <c r="EU359" s="107"/>
      <c r="EV359" s="107"/>
      <c r="EW359" s="107"/>
      <c r="EX359" s="107"/>
      <c r="EY359" s="107"/>
      <c r="EZ359" s="107"/>
      <c r="FA359" s="107"/>
      <c r="FB359" s="107"/>
      <c r="FC359" s="107"/>
      <c r="FD359" s="107"/>
      <c r="FE359" s="107"/>
      <c r="FF359" s="107"/>
      <c r="FG359" s="107"/>
      <c r="FH359" s="107"/>
      <c r="FI359" s="107"/>
      <c r="FJ359" s="107"/>
      <c r="FK359" s="107"/>
      <c r="FL359" s="107"/>
      <c r="FM359" s="107"/>
      <c r="FN359" s="107"/>
      <c r="FO359" s="10"/>
      <c r="FP359" s="10"/>
      <c r="FQ359" s="10"/>
      <c r="FR359" s="10"/>
      <c r="FS359" s="10"/>
      <c r="FT359" s="10"/>
      <c r="FU359" s="10"/>
      <c r="FV359" s="10"/>
      <c r="FW359" s="10"/>
      <c r="FX359" s="10"/>
      <c r="FY359" s="8"/>
      <c r="FZ359" s="266"/>
      <c r="GA359" s="266"/>
    </row>
    <row r="360" spans="1:183" s="268" customFormat="1" x14ac:dyDescent="0.25">
      <c r="A360" s="107"/>
      <c r="B360" s="7"/>
      <c r="C360" s="7"/>
      <c r="D360" s="7"/>
      <c r="E360" s="7"/>
      <c r="F360" s="10"/>
      <c r="G360" s="107"/>
      <c r="H360" s="7"/>
      <c r="I360" s="10"/>
      <c r="J360" s="10"/>
      <c r="K360" s="10"/>
      <c r="L360" s="10"/>
      <c r="M360" s="10"/>
      <c r="N360" s="10"/>
      <c r="O360" s="10"/>
      <c r="P360" s="8"/>
      <c r="Q360" s="8"/>
      <c r="R360" s="7"/>
      <c r="S360" s="7"/>
      <c r="T360" s="7"/>
      <c r="U360" s="107"/>
      <c r="V360" s="7"/>
      <c r="W360" s="10"/>
      <c r="X360" s="107"/>
      <c r="Y360" s="7"/>
      <c r="Z360" s="10"/>
      <c r="AA360" s="107"/>
      <c r="AB360" s="10"/>
      <c r="AC360" s="107"/>
      <c r="AD360" s="7"/>
      <c r="AE360" s="10"/>
      <c r="AF360" s="107"/>
      <c r="AG360" s="10"/>
      <c r="AH360" s="107"/>
      <c r="AI360" s="10"/>
      <c r="AJ360" s="107"/>
      <c r="AK360" s="10"/>
      <c r="AL360" s="107"/>
      <c r="AM360" s="10"/>
      <c r="AN360" s="10"/>
      <c r="AO360" s="10"/>
      <c r="AP360" s="8"/>
      <c r="AQ360" s="107"/>
      <c r="AR360" s="10"/>
      <c r="AS360" s="107"/>
      <c r="AT360" s="7"/>
      <c r="AU360" s="10"/>
      <c r="AV360" s="10"/>
      <c r="AW360" s="107"/>
      <c r="AX360" s="10"/>
      <c r="AY360" s="107"/>
      <c r="AZ360" s="10"/>
      <c r="BA360" s="107"/>
      <c r="BB360" s="107"/>
      <c r="BC360" s="107"/>
      <c r="BD360" s="10"/>
      <c r="BE360" s="107"/>
      <c r="BF360" s="10"/>
      <c r="BG360" s="10"/>
      <c r="BH360" s="10"/>
      <c r="BI360" s="107"/>
      <c r="BJ360" s="107"/>
      <c r="BK360" s="10"/>
      <c r="BL360" s="10"/>
      <c r="BM360" s="107"/>
      <c r="BN360" s="10"/>
      <c r="BO360" s="107"/>
      <c r="BP360" s="7"/>
      <c r="BQ360" s="10"/>
      <c r="BR360" s="107"/>
      <c r="BS360" s="10"/>
      <c r="BT360" s="107"/>
      <c r="BU360" s="107"/>
      <c r="BV360" s="107"/>
      <c r="BW360" s="107"/>
      <c r="BX360" s="107"/>
      <c r="BY360" s="10"/>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c r="CW360" s="107"/>
      <c r="CX360" s="107"/>
      <c r="CY360" s="107"/>
      <c r="CZ360" s="107"/>
      <c r="DA360" s="107"/>
      <c r="DB360" s="107"/>
      <c r="DC360" s="107"/>
      <c r="DD360" s="107"/>
      <c r="DE360" s="107"/>
      <c r="DF360" s="107"/>
      <c r="DG360" s="107"/>
      <c r="DH360" s="107"/>
      <c r="DI360" s="107"/>
      <c r="DJ360" s="107"/>
      <c r="DK360" s="10"/>
      <c r="DL360" s="10"/>
      <c r="DM360" s="10"/>
      <c r="DN360" s="10"/>
      <c r="DO360" s="10"/>
      <c r="DP360" s="10"/>
      <c r="DQ360" s="10"/>
      <c r="DR360" s="10"/>
      <c r="DS360" s="10"/>
      <c r="DT360" s="10"/>
      <c r="DU360" s="10"/>
      <c r="DV360" s="10"/>
      <c r="DW360" s="10"/>
      <c r="DX360" s="10"/>
      <c r="DY360" s="10"/>
      <c r="DZ360" s="10"/>
      <c r="EA360" s="10"/>
      <c r="EB360" s="10"/>
      <c r="EC360" s="107"/>
      <c r="ED360" s="107"/>
      <c r="EE360" s="10"/>
      <c r="EF360" s="107"/>
      <c r="EG360" s="7"/>
      <c r="EH360" s="10"/>
      <c r="EI360" s="107"/>
      <c r="EJ360" s="107"/>
      <c r="EK360" s="107"/>
      <c r="EL360" s="107"/>
      <c r="EM360" s="107"/>
      <c r="EN360" s="107"/>
      <c r="EO360" s="107"/>
      <c r="EP360" s="107"/>
      <c r="EQ360" s="107"/>
      <c r="ER360" s="107"/>
      <c r="ES360" s="107"/>
      <c r="ET360" s="107"/>
      <c r="EU360" s="107"/>
      <c r="EV360" s="107"/>
      <c r="EW360" s="107"/>
      <c r="EX360" s="107"/>
      <c r="EY360" s="107"/>
      <c r="EZ360" s="107"/>
      <c r="FA360" s="107"/>
      <c r="FB360" s="107"/>
      <c r="FC360" s="107"/>
      <c r="FD360" s="107"/>
      <c r="FE360" s="107"/>
      <c r="FF360" s="107"/>
      <c r="FG360" s="107"/>
      <c r="FH360" s="107"/>
      <c r="FI360" s="107"/>
      <c r="FJ360" s="107"/>
      <c r="FK360" s="107"/>
      <c r="FL360" s="107"/>
      <c r="FM360" s="107"/>
      <c r="FN360" s="107"/>
      <c r="FO360" s="10"/>
      <c r="FP360" s="10"/>
      <c r="FQ360" s="10"/>
      <c r="FR360" s="10"/>
      <c r="FS360" s="10"/>
      <c r="FT360" s="10"/>
      <c r="FU360" s="10"/>
      <c r="FV360" s="10"/>
      <c r="FW360" s="10"/>
      <c r="FX360" s="10"/>
      <c r="FY360" s="8"/>
      <c r="FZ360" s="266"/>
      <c r="GA360" s="266"/>
    </row>
    <row r="361" spans="1:183" s="268" customFormat="1" x14ac:dyDescent="0.25">
      <c r="A361" s="107"/>
      <c r="B361" s="7"/>
      <c r="C361" s="7"/>
      <c r="D361" s="7"/>
      <c r="E361" s="7"/>
      <c r="F361" s="10"/>
      <c r="G361" s="107"/>
      <c r="H361" s="7"/>
      <c r="I361" s="10"/>
      <c r="J361" s="10"/>
      <c r="K361" s="10"/>
      <c r="L361" s="10"/>
      <c r="M361" s="10"/>
      <c r="N361" s="10"/>
      <c r="O361" s="10"/>
      <c r="P361" s="8"/>
      <c r="Q361" s="8"/>
      <c r="R361" s="7"/>
      <c r="S361" s="7"/>
      <c r="T361" s="7"/>
      <c r="U361" s="107"/>
      <c r="V361" s="7"/>
      <c r="W361" s="10"/>
      <c r="X361" s="107"/>
      <c r="Y361" s="7"/>
      <c r="Z361" s="10"/>
      <c r="AA361" s="107"/>
      <c r="AB361" s="10"/>
      <c r="AC361" s="107"/>
      <c r="AD361" s="7"/>
      <c r="AE361" s="10"/>
      <c r="AF361" s="107"/>
      <c r="AG361" s="10"/>
      <c r="AH361" s="107"/>
      <c r="AI361" s="10"/>
      <c r="AJ361" s="107"/>
      <c r="AK361" s="10"/>
      <c r="AL361" s="107"/>
      <c r="AM361" s="10"/>
      <c r="AN361" s="10"/>
      <c r="AO361" s="10"/>
      <c r="AP361" s="8"/>
      <c r="AQ361" s="107"/>
      <c r="AR361" s="10"/>
      <c r="AS361" s="107"/>
      <c r="AT361" s="7"/>
      <c r="AU361" s="10"/>
      <c r="AV361" s="10"/>
      <c r="AW361" s="107"/>
      <c r="AX361" s="10"/>
      <c r="AY361" s="107"/>
      <c r="AZ361" s="10"/>
      <c r="BA361" s="107"/>
      <c r="BB361" s="107"/>
      <c r="BC361" s="107"/>
      <c r="BD361" s="10"/>
      <c r="BE361" s="107"/>
      <c r="BF361" s="10"/>
      <c r="BG361" s="10"/>
      <c r="BH361" s="10"/>
      <c r="BI361" s="107"/>
      <c r="BJ361" s="107"/>
      <c r="BK361" s="10"/>
      <c r="BL361" s="10"/>
      <c r="BM361" s="107"/>
      <c r="BN361" s="10"/>
      <c r="BO361" s="107"/>
      <c r="BP361" s="7"/>
      <c r="BQ361" s="10"/>
      <c r="BR361" s="107"/>
      <c r="BS361" s="10"/>
      <c r="BT361" s="107"/>
      <c r="BU361" s="107"/>
      <c r="BV361" s="107"/>
      <c r="BW361" s="107"/>
      <c r="BX361" s="107"/>
      <c r="BY361" s="10"/>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
      <c r="DL361" s="10"/>
      <c r="DM361" s="10"/>
      <c r="DN361" s="10"/>
      <c r="DO361" s="10"/>
      <c r="DP361" s="10"/>
      <c r="DQ361" s="10"/>
      <c r="DR361" s="10"/>
      <c r="DS361" s="10"/>
      <c r="DT361" s="10"/>
      <c r="DU361" s="10"/>
      <c r="DV361" s="10"/>
      <c r="DW361" s="10"/>
      <c r="DX361" s="10"/>
      <c r="DY361" s="10"/>
      <c r="DZ361" s="10"/>
      <c r="EA361" s="10"/>
      <c r="EB361" s="10"/>
      <c r="EC361" s="107"/>
      <c r="ED361" s="107"/>
      <c r="EE361" s="10"/>
      <c r="EF361" s="107"/>
      <c r="EG361" s="7"/>
      <c r="EH361" s="10"/>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107"/>
      <c r="FO361" s="10"/>
      <c r="FP361" s="10"/>
      <c r="FQ361" s="10"/>
      <c r="FR361" s="10"/>
      <c r="FS361" s="10"/>
      <c r="FT361" s="10"/>
      <c r="FU361" s="10"/>
      <c r="FV361" s="10"/>
      <c r="FW361" s="10"/>
      <c r="FX361" s="10"/>
      <c r="FY361" s="8"/>
      <c r="FZ361" s="266"/>
      <c r="GA361" s="266"/>
    </row>
    <row r="362" spans="1:183" s="268" customFormat="1" x14ac:dyDescent="0.25">
      <c r="A362" s="107"/>
      <c r="B362" s="7"/>
      <c r="C362" s="7"/>
      <c r="D362" s="7"/>
      <c r="E362" s="7"/>
      <c r="F362" s="10"/>
      <c r="G362" s="107"/>
      <c r="H362" s="7"/>
      <c r="I362" s="10"/>
      <c r="J362" s="10"/>
      <c r="K362" s="10"/>
      <c r="L362" s="10"/>
      <c r="M362" s="10"/>
      <c r="N362" s="10"/>
      <c r="O362" s="10"/>
      <c r="P362" s="8"/>
      <c r="Q362" s="8"/>
      <c r="R362" s="7"/>
      <c r="S362" s="7"/>
      <c r="T362" s="7"/>
      <c r="U362" s="107"/>
      <c r="V362" s="7"/>
      <c r="W362" s="10"/>
      <c r="X362" s="107"/>
      <c r="Y362" s="7"/>
      <c r="Z362" s="10"/>
      <c r="AA362" s="107"/>
      <c r="AB362" s="10"/>
      <c r="AC362" s="107"/>
      <c r="AD362" s="7"/>
      <c r="AE362" s="10"/>
      <c r="AF362" s="107"/>
      <c r="AG362" s="10"/>
      <c r="AH362" s="107"/>
      <c r="AI362" s="10"/>
      <c r="AJ362" s="107"/>
      <c r="AK362" s="10"/>
      <c r="AL362" s="107"/>
      <c r="AM362" s="10"/>
      <c r="AN362" s="10"/>
      <c r="AO362" s="10"/>
      <c r="AP362" s="8"/>
      <c r="AQ362" s="107"/>
      <c r="AR362" s="10"/>
      <c r="AS362" s="107"/>
      <c r="AT362" s="7"/>
      <c r="AU362" s="10"/>
      <c r="AV362" s="10"/>
      <c r="AW362" s="107"/>
      <c r="AX362" s="10"/>
      <c r="AY362" s="107"/>
      <c r="AZ362" s="10"/>
      <c r="BA362" s="107"/>
      <c r="BB362" s="107"/>
      <c r="BC362" s="107"/>
      <c r="BD362" s="10"/>
      <c r="BE362" s="107"/>
      <c r="BF362" s="10"/>
      <c r="BG362" s="10"/>
      <c r="BH362" s="10"/>
      <c r="BI362" s="107"/>
      <c r="BJ362" s="107"/>
      <c r="BK362" s="10"/>
      <c r="BL362" s="10"/>
      <c r="BM362" s="107"/>
      <c r="BN362" s="10"/>
      <c r="BO362" s="107"/>
      <c r="BP362" s="7"/>
      <c r="BQ362" s="10"/>
      <c r="BR362" s="107"/>
      <c r="BS362" s="10"/>
      <c r="BT362" s="107"/>
      <c r="BU362" s="107"/>
      <c r="BV362" s="107"/>
      <c r="BW362" s="107"/>
      <c r="BX362" s="107"/>
      <c r="BY362" s="10"/>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c r="CW362" s="107"/>
      <c r="CX362" s="107"/>
      <c r="CY362" s="107"/>
      <c r="CZ362" s="107"/>
      <c r="DA362" s="107"/>
      <c r="DB362" s="107"/>
      <c r="DC362" s="107"/>
      <c r="DD362" s="107"/>
      <c r="DE362" s="107"/>
      <c r="DF362" s="107"/>
      <c r="DG362" s="107"/>
      <c r="DH362" s="107"/>
      <c r="DI362" s="107"/>
      <c r="DJ362" s="107"/>
      <c r="DK362" s="10"/>
      <c r="DL362" s="10"/>
      <c r="DM362" s="10"/>
      <c r="DN362" s="10"/>
      <c r="DO362" s="10"/>
      <c r="DP362" s="10"/>
      <c r="DQ362" s="10"/>
      <c r="DR362" s="10"/>
      <c r="DS362" s="10"/>
      <c r="DT362" s="10"/>
      <c r="DU362" s="10"/>
      <c r="DV362" s="10"/>
      <c r="DW362" s="10"/>
      <c r="DX362" s="10"/>
      <c r="DY362" s="10"/>
      <c r="DZ362" s="10"/>
      <c r="EA362" s="10"/>
      <c r="EB362" s="10"/>
      <c r="EC362" s="107"/>
      <c r="ED362" s="107"/>
      <c r="EE362" s="10"/>
      <c r="EF362" s="107"/>
      <c r="EG362" s="7"/>
      <c r="EH362" s="10"/>
      <c r="EI362" s="107"/>
      <c r="EJ362" s="107"/>
      <c r="EK362" s="107"/>
      <c r="EL362" s="107"/>
      <c r="EM362" s="107"/>
      <c r="EN362" s="107"/>
      <c r="EO362" s="107"/>
      <c r="EP362" s="107"/>
      <c r="EQ362" s="107"/>
      <c r="ER362" s="107"/>
      <c r="ES362" s="107"/>
      <c r="ET362" s="107"/>
      <c r="EU362" s="107"/>
      <c r="EV362" s="107"/>
      <c r="EW362" s="107"/>
      <c r="EX362" s="107"/>
      <c r="EY362" s="107"/>
      <c r="EZ362" s="107"/>
      <c r="FA362" s="107"/>
      <c r="FB362" s="107"/>
      <c r="FC362" s="107"/>
      <c r="FD362" s="107"/>
      <c r="FE362" s="107"/>
      <c r="FF362" s="107"/>
      <c r="FG362" s="107"/>
      <c r="FH362" s="107"/>
      <c r="FI362" s="107"/>
      <c r="FJ362" s="107"/>
      <c r="FK362" s="107"/>
      <c r="FL362" s="107"/>
      <c r="FM362" s="107"/>
      <c r="FN362" s="107"/>
      <c r="FO362" s="10"/>
      <c r="FP362" s="10"/>
      <c r="FQ362" s="10"/>
      <c r="FR362" s="10"/>
      <c r="FS362" s="10"/>
      <c r="FT362" s="10"/>
      <c r="FU362" s="10"/>
      <c r="FV362" s="10"/>
      <c r="FW362" s="10"/>
      <c r="FX362" s="10"/>
      <c r="FY362" s="8"/>
      <c r="FZ362" s="266"/>
      <c r="GA362" s="266"/>
    </row>
    <row r="363" spans="1:183" s="268" customFormat="1" x14ac:dyDescent="0.25">
      <c r="A363" s="107"/>
      <c r="B363" s="7"/>
      <c r="C363" s="7"/>
      <c r="D363" s="7"/>
      <c r="E363" s="7"/>
      <c r="F363" s="10"/>
      <c r="G363" s="107"/>
      <c r="H363" s="7"/>
      <c r="I363" s="10"/>
      <c r="J363" s="10"/>
      <c r="K363" s="10"/>
      <c r="L363" s="10"/>
      <c r="M363" s="10"/>
      <c r="N363" s="10"/>
      <c r="O363" s="10"/>
      <c r="P363" s="8"/>
      <c r="Q363" s="8"/>
      <c r="R363" s="7"/>
      <c r="S363" s="7"/>
      <c r="T363" s="7"/>
      <c r="U363" s="107"/>
      <c r="V363" s="7"/>
      <c r="W363" s="10"/>
      <c r="X363" s="107"/>
      <c r="Y363" s="7"/>
      <c r="Z363" s="10"/>
      <c r="AA363" s="107"/>
      <c r="AB363" s="10"/>
      <c r="AC363" s="107"/>
      <c r="AD363" s="7"/>
      <c r="AE363" s="10"/>
      <c r="AF363" s="107"/>
      <c r="AG363" s="10"/>
      <c r="AH363" s="107"/>
      <c r="AI363" s="10"/>
      <c r="AJ363" s="107"/>
      <c r="AK363" s="10"/>
      <c r="AL363" s="107"/>
      <c r="AM363" s="10"/>
      <c r="AN363" s="10"/>
      <c r="AO363" s="10"/>
      <c r="AP363" s="8"/>
      <c r="AQ363" s="107"/>
      <c r="AR363" s="10"/>
      <c r="AS363" s="107"/>
      <c r="AT363" s="7"/>
      <c r="AU363" s="10"/>
      <c r="AV363" s="10"/>
      <c r="AW363" s="107"/>
      <c r="AX363" s="10"/>
      <c r="AY363" s="107"/>
      <c r="AZ363" s="10"/>
      <c r="BA363" s="107"/>
      <c r="BB363" s="107"/>
      <c r="BC363" s="107"/>
      <c r="BD363" s="10"/>
      <c r="BE363" s="107"/>
      <c r="BF363" s="10"/>
      <c r="BG363" s="10"/>
      <c r="BH363" s="10"/>
      <c r="BI363" s="107"/>
      <c r="BJ363" s="107"/>
      <c r="BK363" s="10"/>
      <c r="BL363" s="10"/>
      <c r="BM363" s="107"/>
      <c r="BN363" s="10"/>
      <c r="BO363" s="107"/>
      <c r="BP363" s="7"/>
      <c r="BQ363" s="10"/>
      <c r="BR363" s="107"/>
      <c r="BS363" s="10"/>
      <c r="BT363" s="107"/>
      <c r="BU363" s="107"/>
      <c r="BV363" s="107"/>
      <c r="BW363" s="107"/>
      <c r="BX363" s="107"/>
      <c r="BY363" s="10"/>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c r="CW363" s="107"/>
      <c r="CX363" s="107"/>
      <c r="CY363" s="107"/>
      <c r="CZ363" s="107"/>
      <c r="DA363" s="107"/>
      <c r="DB363" s="107"/>
      <c r="DC363" s="107"/>
      <c r="DD363" s="107"/>
      <c r="DE363" s="107"/>
      <c r="DF363" s="107"/>
      <c r="DG363" s="107"/>
      <c r="DH363" s="107"/>
      <c r="DI363" s="107"/>
      <c r="DJ363" s="107"/>
      <c r="DK363" s="10"/>
      <c r="DL363" s="10"/>
      <c r="DM363" s="10"/>
      <c r="DN363" s="10"/>
      <c r="DO363" s="10"/>
      <c r="DP363" s="10"/>
      <c r="DQ363" s="10"/>
      <c r="DR363" s="10"/>
      <c r="DS363" s="10"/>
      <c r="DT363" s="10"/>
      <c r="DU363" s="10"/>
      <c r="DV363" s="10"/>
      <c r="DW363" s="10"/>
      <c r="DX363" s="10"/>
      <c r="DY363" s="10"/>
      <c r="DZ363" s="10"/>
      <c r="EA363" s="10"/>
      <c r="EB363" s="10"/>
      <c r="EC363" s="107"/>
      <c r="ED363" s="107"/>
      <c r="EE363" s="10"/>
      <c r="EF363" s="107"/>
      <c r="EG363" s="7"/>
      <c r="EH363" s="10"/>
      <c r="EI363" s="107"/>
      <c r="EJ363" s="107"/>
      <c r="EK363" s="107"/>
      <c r="EL363" s="107"/>
      <c r="EM363" s="107"/>
      <c r="EN363" s="107"/>
      <c r="EO363" s="107"/>
      <c r="EP363" s="107"/>
      <c r="EQ363" s="107"/>
      <c r="ER363" s="107"/>
      <c r="ES363" s="107"/>
      <c r="ET363" s="107"/>
      <c r="EU363" s="107"/>
      <c r="EV363" s="107"/>
      <c r="EW363" s="107"/>
      <c r="EX363" s="107"/>
      <c r="EY363" s="107"/>
      <c r="EZ363" s="107"/>
      <c r="FA363" s="107"/>
      <c r="FB363" s="107"/>
      <c r="FC363" s="107"/>
      <c r="FD363" s="107"/>
      <c r="FE363" s="107"/>
      <c r="FF363" s="107"/>
      <c r="FG363" s="107"/>
      <c r="FH363" s="107"/>
      <c r="FI363" s="107"/>
      <c r="FJ363" s="107"/>
      <c r="FK363" s="107"/>
      <c r="FL363" s="107"/>
      <c r="FM363" s="107"/>
      <c r="FN363" s="107"/>
      <c r="FO363" s="10"/>
      <c r="FP363" s="10"/>
      <c r="FQ363" s="10"/>
      <c r="FR363" s="10"/>
      <c r="FS363" s="10"/>
      <c r="FT363" s="10"/>
      <c r="FU363" s="10"/>
      <c r="FV363" s="10"/>
      <c r="FW363" s="10"/>
      <c r="FX363" s="10"/>
      <c r="FY363" s="8"/>
      <c r="FZ363" s="266"/>
      <c r="GA363" s="266"/>
    </row>
    <row r="364" spans="1:183" s="268" customFormat="1" x14ac:dyDescent="0.25">
      <c r="A364" s="107"/>
      <c r="B364" s="7"/>
      <c r="C364" s="7"/>
      <c r="D364" s="7"/>
      <c r="E364" s="7"/>
      <c r="F364" s="10"/>
      <c r="G364" s="107"/>
      <c r="H364" s="7"/>
      <c r="I364" s="10"/>
      <c r="J364" s="10"/>
      <c r="K364" s="10"/>
      <c r="L364" s="10"/>
      <c r="M364" s="10"/>
      <c r="N364" s="10"/>
      <c r="O364" s="10"/>
      <c r="P364" s="8"/>
      <c r="Q364" s="8"/>
      <c r="R364" s="7"/>
      <c r="S364" s="7"/>
      <c r="T364" s="7"/>
      <c r="U364" s="107"/>
      <c r="V364" s="7"/>
      <c r="W364" s="10"/>
      <c r="X364" s="107"/>
      <c r="Y364" s="7"/>
      <c r="Z364" s="10"/>
      <c r="AA364" s="107"/>
      <c r="AB364" s="10"/>
      <c r="AC364" s="107"/>
      <c r="AD364" s="7"/>
      <c r="AE364" s="10"/>
      <c r="AF364" s="107"/>
      <c r="AG364" s="10"/>
      <c r="AH364" s="107"/>
      <c r="AI364" s="10"/>
      <c r="AJ364" s="107"/>
      <c r="AK364" s="10"/>
      <c r="AL364" s="107"/>
      <c r="AM364" s="10"/>
      <c r="AN364" s="10"/>
      <c r="AO364" s="10"/>
      <c r="AP364" s="8"/>
      <c r="AQ364" s="107"/>
      <c r="AR364" s="10"/>
      <c r="AS364" s="107"/>
      <c r="AT364" s="7"/>
      <c r="AU364" s="10"/>
      <c r="AV364" s="10"/>
      <c r="AW364" s="107"/>
      <c r="AX364" s="10"/>
      <c r="AY364" s="107"/>
      <c r="AZ364" s="10"/>
      <c r="BA364" s="107"/>
      <c r="BB364" s="107"/>
      <c r="BC364" s="107"/>
      <c r="BD364" s="10"/>
      <c r="BE364" s="107"/>
      <c r="BF364" s="10"/>
      <c r="BG364" s="10"/>
      <c r="BH364" s="10"/>
      <c r="BI364" s="107"/>
      <c r="BJ364" s="107"/>
      <c r="BK364" s="10"/>
      <c r="BL364" s="10"/>
      <c r="BM364" s="107"/>
      <c r="BN364" s="10"/>
      <c r="BO364" s="107"/>
      <c r="BP364" s="7"/>
      <c r="BQ364" s="10"/>
      <c r="BR364" s="107"/>
      <c r="BS364" s="10"/>
      <c r="BT364" s="107"/>
      <c r="BU364" s="107"/>
      <c r="BV364" s="107"/>
      <c r="BW364" s="107"/>
      <c r="BX364" s="107"/>
      <c r="BY364" s="10"/>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c r="CW364" s="107"/>
      <c r="CX364" s="107"/>
      <c r="CY364" s="107"/>
      <c r="CZ364" s="107"/>
      <c r="DA364" s="107"/>
      <c r="DB364" s="107"/>
      <c r="DC364" s="107"/>
      <c r="DD364" s="107"/>
      <c r="DE364" s="107"/>
      <c r="DF364" s="107"/>
      <c r="DG364" s="107"/>
      <c r="DH364" s="107"/>
      <c r="DI364" s="107"/>
      <c r="DJ364" s="107"/>
      <c r="DK364" s="10"/>
      <c r="DL364" s="10"/>
      <c r="DM364" s="10"/>
      <c r="DN364" s="10"/>
      <c r="DO364" s="10"/>
      <c r="DP364" s="10"/>
      <c r="DQ364" s="10"/>
      <c r="DR364" s="10"/>
      <c r="DS364" s="10"/>
      <c r="DT364" s="10"/>
      <c r="DU364" s="10"/>
      <c r="DV364" s="10"/>
      <c r="DW364" s="10"/>
      <c r="DX364" s="10"/>
      <c r="DY364" s="10"/>
      <c r="DZ364" s="10"/>
      <c r="EA364" s="10"/>
      <c r="EB364" s="10"/>
      <c r="EC364" s="107"/>
      <c r="ED364" s="107"/>
      <c r="EE364" s="10"/>
      <c r="EF364" s="107"/>
      <c r="EG364" s="7"/>
      <c r="EH364" s="10"/>
      <c r="EI364" s="107"/>
      <c r="EJ364" s="107"/>
      <c r="EK364" s="107"/>
      <c r="EL364" s="107"/>
      <c r="EM364" s="107"/>
      <c r="EN364" s="107"/>
      <c r="EO364" s="107"/>
      <c r="EP364" s="107"/>
      <c r="EQ364" s="107"/>
      <c r="ER364" s="107"/>
      <c r="ES364" s="107"/>
      <c r="ET364" s="107"/>
      <c r="EU364" s="107"/>
      <c r="EV364" s="107"/>
      <c r="EW364" s="107"/>
      <c r="EX364" s="107"/>
      <c r="EY364" s="107"/>
      <c r="EZ364" s="107"/>
      <c r="FA364" s="107"/>
      <c r="FB364" s="107"/>
      <c r="FC364" s="107"/>
      <c r="FD364" s="107"/>
      <c r="FE364" s="107"/>
      <c r="FF364" s="107"/>
      <c r="FG364" s="107"/>
      <c r="FH364" s="107"/>
      <c r="FI364" s="107"/>
      <c r="FJ364" s="107"/>
      <c r="FK364" s="107"/>
      <c r="FL364" s="107"/>
      <c r="FM364" s="107"/>
      <c r="FN364" s="107"/>
      <c r="FO364" s="10"/>
      <c r="FP364" s="10"/>
      <c r="FQ364" s="10"/>
      <c r="FR364" s="10"/>
      <c r="FS364" s="10"/>
      <c r="FT364" s="10"/>
      <c r="FU364" s="10"/>
      <c r="FV364" s="10"/>
      <c r="FW364" s="10"/>
      <c r="FX364" s="10"/>
      <c r="FY364" s="8"/>
      <c r="FZ364" s="266"/>
      <c r="GA364" s="266"/>
    </row>
    <row r="365" spans="1:183" s="268" customFormat="1" x14ac:dyDescent="0.25">
      <c r="A365" s="107"/>
      <c r="B365" s="7"/>
      <c r="C365" s="7"/>
      <c r="D365" s="7"/>
      <c r="E365" s="7"/>
      <c r="F365" s="10"/>
      <c r="G365" s="107"/>
      <c r="H365" s="7"/>
      <c r="I365" s="10"/>
      <c r="J365" s="10"/>
      <c r="K365" s="10"/>
      <c r="L365" s="10"/>
      <c r="M365" s="10"/>
      <c r="N365" s="10"/>
      <c r="O365" s="10"/>
      <c r="P365" s="8"/>
      <c r="Q365" s="8"/>
      <c r="R365" s="7"/>
      <c r="S365" s="7"/>
      <c r="T365" s="7"/>
      <c r="U365" s="107"/>
      <c r="V365" s="7"/>
      <c r="W365" s="10"/>
      <c r="X365" s="107"/>
      <c r="Y365" s="7"/>
      <c r="Z365" s="10"/>
      <c r="AA365" s="107"/>
      <c r="AB365" s="10"/>
      <c r="AC365" s="107"/>
      <c r="AD365" s="7"/>
      <c r="AE365" s="10"/>
      <c r="AF365" s="107"/>
      <c r="AG365" s="10"/>
      <c r="AH365" s="107"/>
      <c r="AI365" s="10"/>
      <c r="AJ365" s="107"/>
      <c r="AK365" s="10"/>
      <c r="AL365" s="107"/>
      <c r="AM365" s="10"/>
      <c r="AN365" s="10"/>
      <c r="AO365" s="10"/>
      <c r="AP365" s="8"/>
      <c r="AQ365" s="107"/>
      <c r="AR365" s="10"/>
      <c r="AS365" s="107"/>
      <c r="AT365" s="7"/>
      <c r="AU365" s="10"/>
      <c r="AV365" s="10"/>
      <c r="AW365" s="107"/>
      <c r="AX365" s="10"/>
      <c r="AY365" s="107"/>
      <c r="AZ365" s="10"/>
      <c r="BA365" s="107"/>
      <c r="BB365" s="107"/>
      <c r="BC365" s="107"/>
      <c r="BD365" s="10"/>
      <c r="BE365" s="107"/>
      <c r="BF365" s="10"/>
      <c r="BG365" s="10"/>
      <c r="BH365" s="10"/>
      <c r="BI365" s="107"/>
      <c r="BJ365" s="107"/>
      <c r="BK365" s="10"/>
      <c r="BL365" s="10"/>
      <c r="BM365" s="107"/>
      <c r="BN365" s="10"/>
      <c r="BO365" s="107"/>
      <c r="BP365" s="7"/>
      <c r="BQ365" s="10"/>
      <c r="BR365" s="107"/>
      <c r="BS365" s="10"/>
      <c r="BT365" s="107"/>
      <c r="BU365" s="107"/>
      <c r="BV365" s="107"/>
      <c r="BW365" s="107"/>
      <c r="BX365" s="107"/>
      <c r="BY365" s="10"/>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c r="CW365" s="107"/>
      <c r="CX365" s="107"/>
      <c r="CY365" s="107"/>
      <c r="CZ365" s="107"/>
      <c r="DA365" s="107"/>
      <c r="DB365" s="107"/>
      <c r="DC365" s="107"/>
      <c r="DD365" s="107"/>
      <c r="DE365" s="107"/>
      <c r="DF365" s="107"/>
      <c r="DG365" s="107"/>
      <c r="DH365" s="107"/>
      <c r="DI365" s="107"/>
      <c r="DJ365" s="107"/>
      <c r="DK365" s="10"/>
      <c r="DL365" s="10"/>
      <c r="DM365" s="10"/>
      <c r="DN365" s="10"/>
      <c r="DO365" s="10"/>
      <c r="DP365" s="10"/>
      <c r="DQ365" s="10"/>
      <c r="DR365" s="10"/>
      <c r="DS365" s="10"/>
      <c r="DT365" s="10"/>
      <c r="DU365" s="10"/>
      <c r="DV365" s="10"/>
      <c r="DW365" s="10"/>
      <c r="DX365" s="10"/>
      <c r="DY365" s="10"/>
      <c r="DZ365" s="10"/>
      <c r="EA365" s="10"/>
      <c r="EB365" s="10"/>
      <c r="EC365" s="107"/>
      <c r="ED365" s="107"/>
      <c r="EE365" s="10"/>
      <c r="EF365" s="107"/>
      <c r="EG365" s="7"/>
      <c r="EH365" s="10"/>
      <c r="EI365" s="107"/>
      <c r="EJ365" s="107"/>
      <c r="EK365" s="107"/>
      <c r="EL365" s="107"/>
      <c r="EM365" s="107"/>
      <c r="EN365" s="107"/>
      <c r="EO365" s="107"/>
      <c r="EP365" s="107"/>
      <c r="EQ365" s="107"/>
      <c r="ER365" s="107"/>
      <c r="ES365" s="107"/>
      <c r="ET365" s="107"/>
      <c r="EU365" s="107"/>
      <c r="EV365" s="107"/>
      <c r="EW365" s="107"/>
      <c r="EX365" s="107"/>
      <c r="EY365" s="107"/>
      <c r="EZ365" s="107"/>
      <c r="FA365" s="107"/>
      <c r="FB365" s="107"/>
      <c r="FC365" s="107"/>
      <c r="FD365" s="107"/>
      <c r="FE365" s="107"/>
      <c r="FF365" s="107"/>
      <c r="FG365" s="107"/>
      <c r="FH365" s="107"/>
      <c r="FI365" s="107"/>
      <c r="FJ365" s="107"/>
      <c r="FK365" s="107"/>
      <c r="FL365" s="107"/>
      <c r="FM365" s="107"/>
      <c r="FN365" s="107"/>
      <c r="FO365" s="10"/>
      <c r="FP365" s="10"/>
      <c r="FQ365" s="10"/>
      <c r="FR365" s="10"/>
      <c r="FS365" s="10"/>
      <c r="FT365" s="10"/>
      <c r="FU365" s="10"/>
      <c r="FV365" s="10"/>
      <c r="FW365" s="10"/>
      <c r="FX365" s="10"/>
      <c r="FY365" s="8"/>
      <c r="FZ365" s="266"/>
      <c r="GA365" s="266"/>
    </row>
    <row r="366" spans="1:183" s="268" customFormat="1" x14ac:dyDescent="0.25">
      <c r="A366" s="107"/>
      <c r="B366" s="7"/>
      <c r="C366" s="7"/>
      <c r="D366" s="7"/>
      <c r="E366" s="7"/>
      <c r="F366" s="10"/>
      <c r="G366" s="107"/>
      <c r="H366" s="7"/>
      <c r="I366" s="10"/>
      <c r="J366" s="10"/>
      <c r="K366" s="10"/>
      <c r="L366" s="10"/>
      <c r="M366" s="10"/>
      <c r="N366" s="10"/>
      <c r="O366" s="10"/>
      <c r="P366" s="8"/>
      <c r="Q366" s="8"/>
      <c r="R366" s="7"/>
      <c r="S366" s="7"/>
      <c r="T366" s="7"/>
      <c r="U366" s="107"/>
      <c r="V366" s="7"/>
      <c r="W366" s="10"/>
      <c r="X366" s="107"/>
      <c r="Y366" s="7"/>
      <c r="Z366" s="10"/>
      <c r="AA366" s="107"/>
      <c r="AB366" s="10"/>
      <c r="AC366" s="107"/>
      <c r="AD366" s="7"/>
      <c r="AE366" s="10"/>
      <c r="AF366" s="107"/>
      <c r="AG366" s="10"/>
      <c r="AH366" s="107"/>
      <c r="AI366" s="10"/>
      <c r="AJ366" s="107"/>
      <c r="AK366" s="10"/>
      <c r="AL366" s="107"/>
      <c r="AM366" s="10"/>
      <c r="AN366" s="10"/>
      <c r="AO366" s="10"/>
      <c r="AP366" s="8"/>
      <c r="AQ366" s="107"/>
      <c r="AR366" s="10"/>
      <c r="AS366" s="107"/>
      <c r="AT366" s="7"/>
      <c r="AU366" s="10"/>
      <c r="AV366" s="10"/>
      <c r="AW366" s="107"/>
      <c r="AX366" s="10"/>
      <c r="AY366" s="107"/>
      <c r="AZ366" s="10"/>
      <c r="BA366" s="107"/>
      <c r="BB366" s="107"/>
      <c r="BC366" s="107"/>
      <c r="BD366" s="10"/>
      <c r="BE366" s="107"/>
      <c r="BF366" s="10"/>
      <c r="BG366" s="10"/>
      <c r="BH366" s="10"/>
      <c r="BI366" s="107"/>
      <c r="BJ366" s="107"/>
      <c r="BK366" s="10"/>
      <c r="BL366" s="10"/>
      <c r="BM366" s="107"/>
      <c r="BN366" s="10"/>
      <c r="BO366" s="107"/>
      <c r="BP366" s="7"/>
      <c r="BQ366" s="10"/>
      <c r="BR366" s="107"/>
      <c r="BS366" s="10"/>
      <c r="BT366" s="107"/>
      <c r="BU366" s="107"/>
      <c r="BV366" s="107"/>
      <c r="BW366" s="107"/>
      <c r="BX366" s="107"/>
      <c r="BY366" s="10"/>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c r="CW366" s="107"/>
      <c r="CX366" s="107"/>
      <c r="CY366" s="107"/>
      <c r="CZ366" s="107"/>
      <c r="DA366" s="107"/>
      <c r="DB366" s="107"/>
      <c r="DC366" s="107"/>
      <c r="DD366" s="107"/>
      <c r="DE366" s="107"/>
      <c r="DF366" s="107"/>
      <c r="DG366" s="107"/>
      <c r="DH366" s="107"/>
      <c r="DI366" s="107"/>
      <c r="DJ366" s="107"/>
      <c r="DK366" s="10"/>
      <c r="DL366" s="10"/>
      <c r="DM366" s="10"/>
      <c r="DN366" s="10"/>
      <c r="DO366" s="10"/>
      <c r="DP366" s="10"/>
      <c r="DQ366" s="10"/>
      <c r="DR366" s="10"/>
      <c r="DS366" s="10"/>
      <c r="DT366" s="10"/>
      <c r="DU366" s="10"/>
      <c r="DV366" s="10"/>
      <c r="DW366" s="10"/>
      <c r="DX366" s="10"/>
      <c r="DY366" s="10"/>
      <c r="DZ366" s="10"/>
      <c r="EA366" s="10"/>
      <c r="EB366" s="10"/>
      <c r="EC366" s="107"/>
      <c r="ED366" s="107"/>
      <c r="EE366" s="10"/>
      <c r="EF366" s="107"/>
      <c r="EG366" s="7"/>
      <c r="EH366" s="10"/>
      <c r="EI366" s="107"/>
      <c r="EJ366" s="107"/>
      <c r="EK366" s="107"/>
      <c r="EL366" s="107"/>
      <c r="EM366" s="107"/>
      <c r="EN366" s="107"/>
      <c r="EO366" s="107"/>
      <c r="EP366" s="107"/>
      <c r="EQ366" s="107"/>
      <c r="ER366" s="107"/>
      <c r="ES366" s="107"/>
      <c r="ET366" s="107"/>
      <c r="EU366" s="107"/>
      <c r="EV366" s="107"/>
      <c r="EW366" s="107"/>
      <c r="EX366" s="107"/>
      <c r="EY366" s="107"/>
      <c r="EZ366" s="107"/>
      <c r="FA366" s="107"/>
      <c r="FB366" s="107"/>
      <c r="FC366" s="107"/>
      <c r="FD366" s="107"/>
      <c r="FE366" s="107"/>
      <c r="FF366" s="107"/>
      <c r="FG366" s="107"/>
      <c r="FH366" s="107"/>
      <c r="FI366" s="107"/>
      <c r="FJ366" s="107"/>
      <c r="FK366" s="107"/>
      <c r="FL366" s="107"/>
      <c r="FM366" s="107"/>
      <c r="FN366" s="107"/>
      <c r="FO366" s="10"/>
      <c r="FP366" s="10"/>
      <c r="FQ366" s="10"/>
      <c r="FR366" s="10"/>
      <c r="FS366" s="10"/>
      <c r="FT366" s="10"/>
      <c r="FU366" s="10"/>
      <c r="FV366" s="10"/>
      <c r="FW366" s="10"/>
      <c r="FX366" s="10"/>
      <c r="FY366" s="8"/>
      <c r="FZ366" s="266"/>
      <c r="GA366" s="266"/>
    </row>
    <row r="367" spans="1:183" s="268" customFormat="1" x14ac:dyDescent="0.25">
      <c r="A367" s="107"/>
      <c r="B367" s="7"/>
      <c r="C367" s="7"/>
      <c r="D367" s="7"/>
      <c r="E367" s="7"/>
      <c r="F367" s="10"/>
      <c r="G367" s="107"/>
      <c r="H367" s="7"/>
      <c r="I367" s="10"/>
      <c r="J367" s="10"/>
      <c r="K367" s="10"/>
      <c r="L367" s="10"/>
      <c r="M367" s="10"/>
      <c r="N367" s="10"/>
      <c r="O367" s="10"/>
      <c r="P367" s="8"/>
      <c r="Q367" s="8"/>
      <c r="R367" s="7"/>
      <c r="S367" s="7"/>
      <c r="T367" s="7"/>
      <c r="U367" s="107"/>
      <c r="V367" s="7"/>
      <c r="W367" s="10"/>
      <c r="X367" s="107"/>
      <c r="Y367" s="7"/>
      <c r="Z367" s="10"/>
      <c r="AA367" s="107"/>
      <c r="AB367" s="10"/>
      <c r="AC367" s="107"/>
      <c r="AD367" s="7"/>
      <c r="AE367" s="10"/>
      <c r="AF367" s="107"/>
      <c r="AG367" s="10"/>
      <c r="AH367" s="107"/>
      <c r="AI367" s="10"/>
      <c r="AJ367" s="107"/>
      <c r="AK367" s="10"/>
      <c r="AL367" s="107"/>
      <c r="AM367" s="10"/>
      <c r="AN367" s="10"/>
      <c r="AO367" s="10"/>
      <c r="AP367" s="8"/>
      <c r="AQ367" s="107"/>
      <c r="AR367" s="10"/>
      <c r="AS367" s="107"/>
      <c r="AT367" s="7"/>
      <c r="AU367" s="10"/>
      <c r="AV367" s="10"/>
      <c r="AW367" s="107"/>
      <c r="AX367" s="10"/>
      <c r="AY367" s="107"/>
      <c r="AZ367" s="10"/>
      <c r="BA367" s="107"/>
      <c r="BB367" s="107"/>
      <c r="BC367" s="107"/>
      <c r="BD367" s="10"/>
      <c r="BE367" s="107"/>
      <c r="BF367" s="10"/>
      <c r="BG367" s="10"/>
      <c r="BH367" s="10"/>
      <c r="BI367" s="107"/>
      <c r="BJ367" s="107"/>
      <c r="BK367" s="10"/>
      <c r="BL367" s="10"/>
      <c r="BM367" s="107"/>
      <c r="BN367" s="10"/>
      <c r="BO367" s="107"/>
      <c r="BP367" s="7"/>
      <c r="BQ367" s="10"/>
      <c r="BR367" s="107"/>
      <c r="BS367" s="10"/>
      <c r="BT367" s="107"/>
      <c r="BU367" s="107"/>
      <c r="BV367" s="107"/>
      <c r="BW367" s="107"/>
      <c r="BX367" s="107"/>
      <c r="BY367" s="10"/>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c r="CW367" s="107"/>
      <c r="CX367" s="107"/>
      <c r="CY367" s="107"/>
      <c r="CZ367" s="107"/>
      <c r="DA367" s="107"/>
      <c r="DB367" s="107"/>
      <c r="DC367" s="107"/>
      <c r="DD367" s="107"/>
      <c r="DE367" s="107"/>
      <c r="DF367" s="107"/>
      <c r="DG367" s="107"/>
      <c r="DH367" s="107"/>
      <c r="DI367" s="107"/>
      <c r="DJ367" s="107"/>
      <c r="DK367" s="10"/>
      <c r="DL367" s="10"/>
      <c r="DM367" s="10"/>
      <c r="DN367" s="10"/>
      <c r="DO367" s="10"/>
      <c r="DP367" s="10"/>
      <c r="DQ367" s="10"/>
      <c r="DR367" s="10"/>
      <c r="DS367" s="10"/>
      <c r="DT367" s="10"/>
      <c r="DU367" s="10"/>
      <c r="DV367" s="10"/>
      <c r="DW367" s="10"/>
      <c r="DX367" s="10"/>
      <c r="DY367" s="10"/>
      <c r="DZ367" s="10"/>
      <c r="EA367" s="10"/>
      <c r="EB367" s="10"/>
      <c r="EC367" s="107"/>
      <c r="ED367" s="107"/>
      <c r="EE367" s="10"/>
      <c r="EF367" s="107"/>
      <c r="EG367" s="7"/>
      <c r="EH367" s="10"/>
      <c r="EI367" s="107"/>
      <c r="EJ367" s="107"/>
      <c r="EK367" s="107"/>
      <c r="EL367" s="107"/>
      <c r="EM367" s="107"/>
      <c r="EN367" s="107"/>
      <c r="EO367" s="107"/>
      <c r="EP367" s="107"/>
      <c r="EQ367" s="107"/>
      <c r="ER367" s="107"/>
      <c r="ES367" s="107"/>
      <c r="ET367" s="107"/>
      <c r="EU367" s="107"/>
      <c r="EV367" s="107"/>
      <c r="EW367" s="107"/>
      <c r="EX367" s="107"/>
      <c r="EY367" s="107"/>
      <c r="EZ367" s="107"/>
      <c r="FA367" s="107"/>
      <c r="FB367" s="107"/>
      <c r="FC367" s="107"/>
      <c r="FD367" s="107"/>
      <c r="FE367" s="107"/>
      <c r="FF367" s="107"/>
      <c r="FG367" s="107"/>
      <c r="FH367" s="107"/>
      <c r="FI367" s="107"/>
      <c r="FJ367" s="107"/>
      <c r="FK367" s="107"/>
      <c r="FL367" s="107"/>
      <c r="FM367" s="107"/>
      <c r="FN367" s="107"/>
      <c r="FO367" s="10"/>
      <c r="FP367" s="10"/>
      <c r="FQ367" s="10"/>
      <c r="FR367" s="10"/>
      <c r="FS367" s="10"/>
      <c r="FT367" s="10"/>
      <c r="FU367" s="10"/>
      <c r="FV367" s="10"/>
      <c r="FW367" s="10"/>
      <c r="FX367" s="10"/>
      <c r="FY367" s="8"/>
      <c r="FZ367" s="266"/>
      <c r="GA367" s="266"/>
    </row>
    <row r="368" spans="1:183" s="268" customFormat="1" x14ac:dyDescent="0.25">
      <c r="A368" s="107"/>
      <c r="B368" s="108"/>
      <c r="C368" s="108"/>
      <c r="D368" s="108"/>
      <c r="E368" s="108"/>
      <c r="F368" s="11"/>
      <c r="G368" s="107"/>
      <c r="H368" s="108"/>
      <c r="I368" s="11"/>
      <c r="J368" s="11"/>
      <c r="K368" s="11"/>
      <c r="L368" s="11"/>
      <c r="M368" s="11"/>
      <c r="N368" s="11"/>
      <c r="O368" s="11"/>
      <c r="P368" s="3"/>
      <c r="Q368" s="3"/>
      <c r="R368" s="108"/>
      <c r="S368" s="108"/>
      <c r="T368" s="108"/>
      <c r="U368" s="107"/>
      <c r="V368" s="108"/>
      <c r="W368" s="11"/>
      <c r="X368" s="107"/>
      <c r="Y368" s="108"/>
      <c r="Z368" s="11"/>
      <c r="AA368" s="107"/>
      <c r="AB368" s="11"/>
      <c r="AC368" s="107"/>
      <c r="AD368" s="108"/>
      <c r="AE368" s="11"/>
      <c r="AF368" s="107"/>
      <c r="AG368" s="11"/>
      <c r="AH368" s="107"/>
      <c r="AI368" s="11"/>
      <c r="AJ368" s="107"/>
      <c r="AK368" s="11"/>
      <c r="AL368" s="107"/>
      <c r="AM368" s="11"/>
      <c r="AN368" s="11"/>
      <c r="AO368" s="11"/>
      <c r="AP368" s="3"/>
      <c r="AQ368" s="107"/>
      <c r="AR368" s="11"/>
      <c r="AS368" s="107"/>
      <c r="AT368" s="108"/>
      <c r="AU368" s="11"/>
      <c r="AV368" s="11"/>
      <c r="AW368" s="107"/>
      <c r="AX368" s="11"/>
      <c r="AY368" s="107"/>
      <c r="AZ368" s="11"/>
      <c r="BA368" s="107"/>
      <c r="BB368" s="107"/>
      <c r="BC368" s="107"/>
      <c r="BD368" s="11"/>
      <c r="BE368" s="107"/>
      <c r="BF368" s="11"/>
      <c r="BG368" s="11"/>
      <c r="BH368" s="11"/>
      <c r="BI368" s="107"/>
      <c r="BJ368" s="107"/>
      <c r="BK368" s="11"/>
      <c r="BL368" s="11"/>
      <c r="BM368" s="107"/>
      <c r="BN368" s="11"/>
      <c r="BO368" s="107"/>
      <c r="BP368" s="108"/>
      <c r="BQ368" s="11"/>
      <c r="BR368" s="107"/>
      <c r="BS368" s="11"/>
      <c r="BT368" s="107"/>
      <c r="BU368" s="107"/>
      <c r="BV368" s="107"/>
      <c r="BW368" s="107"/>
      <c r="BX368" s="107"/>
      <c r="BY368" s="11"/>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c r="CW368" s="107"/>
      <c r="CX368" s="107"/>
      <c r="CY368" s="107"/>
      <c r="CZ368" s="107"/>
      <c r="DA368" s="107"/>
      <c r="DB368" s="107"/>
      <c r="DC368" s="107"/>
      <c r="DD368" s="107"/>
      <c r="DE368" s="107"/>
      <c r="DF368" s="107"/>
      <c r="DG368" s="107"/>
      <c r="DH368" s="107"/>
      <c r="DI368" s="107"/>
      <c r="DJ368" s="107"/>
      <c r="DK368" s="11"/>
      <c r="DL368" s="11"/>
      <c r="DM368" s="11"/>
      <c r="DN368" s="11"/>
      <c r="DO368" s="11"/>
      <c r="DP368" s="11"/>
      <c r="DQ368" s="11"/>
      <c r="DR368" s="11"/>
      <c r="DS368" s="11"/>
      <c r="DT368" s="11"/>
      <c r="DU368" s="11"/>
      <c r="DV368" s="11"/>
      <c r="DW368" s="11"/>
      <c r="DX368" s="11"/>
      <c r="DY368" s="11"/>
      <c r="DZ368" s="11"/>
      <c r="EA368" s="11"/>
      <c r="EB368" s="11"/>
      <c r="EC368" s="107"/>
      <c r="ED368" s="107"/>
      <c r="EE368" s="11"/>
      <c r="EF368" s="107"/>
      <c r="EG368" s="108"/>
      <c r="EH368" s="11"/>
      <c r="EI368" s="107"/>
      <c r="EJ368" s="107"/>
      <c r="EK368" s="107"/>
      <c r="EL368" s="107"/>
      <c r="EM368" s="107"/>
      <c r="EN368" s="107"/>
      <c r="EO368" s="107"/>
      <c r="EP368" s="107"/>
      <c r="EQ368" s="107"/>
      <c r="ER368" s="107"/>
      <c r="ES368" s="107"/>
      <c r="ET368" s="107"/>
      <c r="EU368" s="107"/>
      <c r="EV368" s="107"/>
      <c r="EW368" s="107"/>
      <c r="EX368" s="107"/>
      <c r="EY368" s="107"/>
      <c r="EZ368" s="107"/>
      <c r="FA368" s="107"/>
      <c r="FB368" s="107"/>
      <c r="FC368" s="107"/>
      <c r="FD368" s="107"/>
      <c r="FE368" s="107"/>
      <c r="FF368" s="107"/>
      <c r="FG368" s="107"/>
      <c r="FH368" s="107"/>
      <c r="FI368" s="107"/>
      <c r="FJ368" s="107"/>
      <c r="FK368" s="107"/>
      <c r="FL368" s="107"/>
      <c r="FM368" s="107"/>
      <c r="FN368" s="107"/>
      <c r="FO368" s="11"/>
      <c r="FP368" s="11"/>
      <c r="FQ368" s="11"/>
      <c r="FR368" s="11"/>
      <c r="FS368" s="11"/>
      <c r="FT368" s="11"/>
      <c r="FU368" s="11"/>
      <c r="FV368" s="11"/>
      <c r="FW368" s="11"/>
      <c r="FX368" s="11"/>
      <c r="FY368" s="3"/>
      <c r="FZ368" s="270"/>
      <c r="GA368" s="270"/>
    </row>
    <row r="369" spans="1:183" s="268" customFormat="1" x14ac:dyDescent="0.25">
      <c r="A369" s="107"/>
      <c r="B369" s="108"/>
      <c r="C369" s="108"/>
      <c r="D369" s="108"/>
      <c r="E369" s="108"/>
      <c r="F369" s="11"/>
      <c r="G369" s="107"/>
      <c r="H369" s="108"/>
      <c r="I369" s="11"/>
      <c r="J369" s="11"/>
      <c r="K369" s="11"/>
      <c r="L369" s="11"/>
      <c r="M369" s="11"/>
      <c r="N369" s="11"/>
      <c r="O369" s="11"/>
      <c r="P369" s="3"/>
      <c r="Q369" s="3"/>
      <c r="R369" s="108"/>
      <c r="S369" s="108"/>
      <c r="T369" s="108"/>
      <c r="U369" s="107"/>
      <c r="V369" s="108"/>
      <c r="W369" s="11"/>
      <c r="X369" s="107"/>
      <c r="Y369" s="108"/>
      <c r="Z369" s="11"/>
      <c r="AA369" s="107"/>
      <c r="AB369" s="11"/>
      <c r="AC369" s="107"/>
      <c r="AD369" s="108"/>
      <c r="AE369" s="11"/>
      <c r="AF369" s="107"/>
      <c r="AG369" s="11"/>
      <c r="AH369" s="107"/>
      <c r="AI369" s="11"/>
      <c r="AJ369" s="107"/>
      <c r="AK369" s="11"/>
      <c r="AL369" s="107"/>
      <c r="AM369" s="11"/>
      <c r="AN369" s="11"/>
      <c r="AO369" s="11"/>
      <c r="AP369" s="3"/>
      <c r="AQ369" s="107"/>
      <c r="AR369" s="11"/>
      <c r="AS369" s="107"/>
      <c r="AT369" s="108"/>
      <c r="AU369" s="11"/>
      <c r="AV369" s="11"/>
      <c r="AW369" s="107"/>
      <c r="AX369" s="11"/>
      <c r="AY369" s="107"/>
      <c r="AZ369" s="11"/>
      <c r="BA369" s="107"/>
      <c r="BB369" s="107"/>
      <c r="BC369" s="107"/>
      <c r="BD369" s="11"/>
      <c r="BE369" s="107"/>
      <c r="BF369" s="11"/>
      <c r="BG369" s="11"/>
      <c r="BH369" s="11"/>
      <c r="BI369" s="107"/>
      <c r="BJ369" s="107"/>
      <c r="BK369" s="11"/>
      <c r="BL369" s="11"/>
      <c r="BM369" s="107"/>
      <c r="BN369" s="11"/>
      <c r="BO369" s="107"/>
      <c r="BP369" s="108"/>
      <c r="BQ369" s="11"/>
      <c r="BR369" s="107"/>
      <c r="BS369" s="11"/>
      <c r="BT369" s="107"/>
      <c r="BU369" s="107"/>
      <c r="BV369" s="107"/>
      <c r="BW369" s="107"/>
      <c r="BX369" s="107"/>
      <c r="BY369" s="11"/>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c r="CW369" s="107"/>
      <c r="CX369" s="107"/>
      <c r="CY369" s="107"/>
      <c r="CZ369" s="107"/>
      <c r="DA369" s="107"/>
      <c r="DB369" s="107"/>
      <c r="DC369" s="107"/>
      <c r="DD369" s="107"/>
      <c r="DE369" s="107"/>
      <c r="DF369" s="107"/>
      <c r="DG369" s="107"/>
      <c r="DH369" s="107"/>
      <c r="DI369" s="107"/>
      <c r="DJ369" s="107"/>
      <c r="DK369" s="11"/>
      <c r="DL369" s="11"/>
      <c r="DM369" s="11"/>
      <c r="DN369" s="11"/>
      <c r="DO369" s="11"/>
      <c r="DP369" s="11"/>
      <c r="DQ369" s="11"/>
      <c r="DR369" s="11"/>
      <c r="DS369" s="11"/>
      <c r="DT369" s="11"/>
      <c r="DU369" s="11"/>
      <c r="DV369" s="11"/>
      <c r="DW369" s="11"/>
      <c r="DX369" s="11"/>
      <c r="DY369" s="11"/>
      <c r="DZ369" s="11"/>
      <c r="EA369" s="11"/>
      <c r="EB369" s="11"/>
      <c r="EC369" s="107"/>
      <c r="ED369" s="107"/>
      <c r="EE369" s="11"/>
      <c r="EF369" s="107"/>
      <c r="EG369" s="108"/>
      <c r="EH369" s="11"/>
      <c r="EI369" s="107"/>
      <c r="EJ369" s="107"/>
      <c r="EK369" s="107"/>
      <c r="EL369" s="107"/>
      <c r="EM369" s="107"/>
      <c r="EN369" s="107"/>
      <c r="EO369" s="107"/>
      <c r="EP369" s="107"/>
      <c r="EQ369" s="107"/>
      <c r="ER369" s="107"/>
      <c r="ES369" s="107"/>
      <c r="ET369" s="107"/>
      <c r="EU369" s="107"/>
      <c r="EV369" s="107"/>
      <c r="EW369" s="107"/>
      <c r="EX369" s="107"/>
      <c r="EY369" s="107"/>
      <c r="EZ369" s="107"/>
      <c r="FA369" s="107"/>
      <c r="FB369" s="107"/>
      <c r="FC369" s="107"/>
      <c r="FD369" s="107"/>
      <c r="FE369" s="107"/>
      <c r="FF369" s="107"/>
      <c r="FG369" s="107"/>
      <c r="FH369" s="107"/>
      <c r="FI369" s="107"/>
      <c r="FJ369" s="107"/>
      <c r="FK369" s="107"/>
      <c r="FL369" s="107"/>
      <c r="FM369" s="107"/>
      <c r="FN369" s="107"/>
      <c r="FO369" s="11"/>
      <c r="FP369" s="11"/>
      <c r="FQ369" s="11"/>
      <c r="FR369" s="11"/>
      <c r="FS369" s="11"/>
      <c r="FT369" s="11"/>
      <c r="FU369" s="11"/>
      <c r="FV369" s="11"/>
      <c r="FW369" s="11"/>
      <c r="FX369" s="11"/>
      <c r="FY369" s="3"/>
      <c r="FZ369" s="270"/>
      <c r="GA369" s="270"/>
    </row>
    <row r="370" spans="1:183" s="268" customFormat="1" x14ac:dyDescent="0.25">
      <c r="A370" s="107"/>
      <c r="B370" s="108"/>
      <c r="C370" s="108"/>
      <c r="D370" s="108"/>
      <c r="E370" s="108"/>
      <c r="F370" s="11"/>
      <c r="G370" s="107"/>
      <c r="H370" s="108"/>
      <c r="I370" s="11"/>
      <c r="J370" s="11"/>
      <c r="K370" s="11"/>
      <c r="L370" s="11"/>
      <c r="M370" s="11"/>
      <c r="N370" s="11"/>
      <c r="O370" s="11"/>
      <c r="P370" s="3"/>
      <c r="Q370" s="3"/>
      <c r="R370" s="108"/>
      <c r="S370" s="108"/>
      <c r="T370" s="108"/>
      <c r="U370" s="107"/>
      <c r="V370" s="108"/>
      <c r="W370" s="11"/>
      <c r="X370" s="107"/>
      <c r="Y370" s="108"/>
      <c r="Z370" s="11"/>
      <c r="AA370" s="107"/>
      <c r="AB370" s="11"/>
      <c r="AC370" s="107"/>
      <c r="AD370" s="108"/>
      <c r="AE370" s="11"/>
      <c r="AF370" s="107"/>
      <c r="AG370" s="11"/>
      <c r="AH370" s="107"/>
      <c r="AI370" s="11"/>
      <c r="AJ370" s="107"/>
      <c r="AK370" s="11"/>
      <c r="AL370" s="107"/>
      <c r="AM370" s="11"/>
      <c r="AN370" s="11"/>
      <c r="AO370" s="11"/>
      <c r="AP370" s="3"/>
      <c r="AQ370" s="107"/>
      <c r="AR370" s="11"/>
      <c r="AS370" s="107"/>
      <c r="AT370" s="108"/>
      <c r="AU370" s="11"/>
      <c r="AV370" s="11"/>
      <c r="AW370" s="107"/>
      <c r="AX370" s="11"/>
      <c r="AY370" s="107"/>
      <c r="AZ370" s="11"/>
      <c r="BA370" s="107"/>
      <c r="BB370" s="107"/>
      <c r="BC370" s="107"/>
      <c r="BD370" s="11"/>
      <c r="BE370" s="107"/>
      <c r="BF370" s="11"/>
      <c r="BG370" s="11"/>
      <c r="BH370" s="11"/>
      <c r="BI370" s="107"/>
      <c r="BJ370" s="107"/>
      <c r="BK370" s="11"/>
      <c r="BL370" s="11"/>
      <c r="BM370" s="107"/>
      <c r="BN370" s="11"/>
      <c r="BO370" s="107"/>
      <c r="BP370" s="108"/>
      <c r="BQ370" s="11"/>
      <c r="BR370" s="107"/>
      <c r="BS370" s="11"/>
      <c r="BT370" s="107"/>
      <c r="BU370" s="107"/>
      <c r="BV370" s="107"/>
      <c r="BW370" s="107"/>
      <c r="BX370" s="107"/>
      <c r="BY370" s="11"/>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c r="CW370" s="107"/>
      <c r="CX370" s="107"/>
      <c r="CY370" s="107"/>
      <c r="CZ370" s="107"/>
      <c r="DA370" s="107"/>
      <c r="DB370" s="107"/>
      <c r="DC370" s="107"/>
      <c r="DD370" s="107"/>
      <c r="DE370" s="107"/>
      <c r="DF370" s="107"/>
      <c r="DG370" s="107"/>
      <c r="DH370" s="107"/>
      <c r="DI370" s="107"/>
      <c r="DJ370" s="107"/>
      <c r="DK370" s="11"/>
      <c r="DL370" s="11"/>
      <c r="DM370" s="11"/>
      <c r="DN370" s="11"/>
      <c r="DO370" s="11"/>
      <c r="DP370" s="11"/>
      <c r="DQ370" s="11"/>
      <c r="DR370" s="11"/>
      <c r="DS370" s="11"/>
      <c r="DT370" s="11"/>
      <c r="DU370" s="11"/>
      <c r="DV370" s="11"/>
      <c r="DW370" s="11"/>
      <c r="DX370" s="11"/>
      <c r="DY370" s="11"/>
      <c r="DZ370" s="11"/>
      <c r="EA370" s="11"/>
      <c r="EB370" s="11"/>
      <c r="EC370" s="107"/>
      <c r="ED370" s="107"/>
      <c r="EE370" s="11"/>
      <c r="EF370" s="107"/>
      <c r="EG370" s="108"/>
      <c r="EH370" s="11"/>
      <c r="EI370" s="107"/>
      <c r="EJ370" s="107"/>
      <c r="EK370" s="107"/>
      <c r="EL370" s="107"/>
      <c r="EM370" s="107"/>
      <c r="EN370" s="107"/>
      <c r="EO370" s="107"/>
      <c r="EP370" s="107"/>
      <c r="EQ370" s="107"/>
      <c r="ER370" s="107"/>
      <c r="ES370" s="107"/>
      <c r="ET370" s="107"/>
      <c r="EU370" s="107"/>
      <c r="EV370" s="107"/>
      <c r="EW370" s="107"/>
      <c r="EX370" s="107"/>
      <c r="EY370" s="107"/>
      <c r="EZ370" s="107"/>
      <c r="FA370" s="107"/>
      <c r="FB370" s="107"/>
      <c r="FC370" s="107"/>
      <c r="FD370" s="107"/>
      <c r="FE370" s="107"/>
      <c r="FF370" s="107"/>
      <c r="FG370" s="107"/>
      <c r="FH370" s="107"/>
      <c r="FI370" s="107"/>
      <c r="FJ370" s="107"/>
      <c r="FK370" s="107"/>
      <c r="FL370" s="107"/>
      <c r="FM370" s="107"/>
      <c r="FN370" s="107"/>
      <c r="FO370" s="11"/>
      <c r="FP370" s="11"/>
      <c r="FQ370" s="11"/>
      <c r="FR370" s="11"/>
      <c r="FS370" s="11"/>
      <c r="FT370" s="11"/>
      <c r="FU370" s="11"/>
      <c r="FV370" s="11"/>
      <c r="FW370" s="11"/>
      <c r="FX370" s="11"/>
      <c r="FY370" s="3"/>
      <c r="FZ370" s="270"/>
      <c r="GA370" s="270"/>
    </row>
    <row r="371" spans="1:183" s="268" customFormat="1" x14ac:dyDescent="0.25">
      <c r="A371" s="107"/>
      <c r="B371" s="108"/>
      <c r="C371" s="108"/>
      <c r="D371" s="108"/>
      <c r="E371" s="108"/>
      <c r="F371" s="11"/>
      <c r="G371" s="107"/>
      <c r="H371" s="108"/>
      <c r="I371" s="11"/>
      <c r="J371" s="11"/>
      <c r="K371" s="11"/>
      <c r="L371" s="11"/>
      <c r="M371" s="11"/>
      <c r="N371" s="11"/>
      <c r="O371" s="11"/>
      <c r="P371" s="3"/>
      <c r="Q371" s="3"/>
      <c r="R371" s="108"/>
      <c r="S371" s="108"/>
      <c r="T371" s="108"/>
      <c r="U371" s="107"/>
      <c r="V371" s="108"/>
      <c r="W371" s="11"/>
      <c r="X371" s="107"/>
      <c r="Y371" s="108"/>
      <c r="Z371" s="11"/>
      <c r="AA371" s="107"/>
      <c r="AB371" s="11"/>
      <c r="AC371" s="107"/>
      <c r="AD371" s="108"/>
      <c r="AE371" s="11"/>
      <c r="AF371" s="107"/>
      <c r="AG371" s="11"/>
      <c r="AH371" s="107"/>
      <c r="AI371" s="11"/>
      <c r="AJ371" s="107"/>
      <c r="AK371" s="11"/>
      <c r="AL371" s="107"/>
      <c r="AM371" s="11"/>
      <c r="AN371" s="11"/>
      <c r="AO371" s="11"/>
      <c r="AP371" s="3"/>
      <c r="AQ371" s="107"/>
      <c r="AR371" s="11"/>
      <c r="AS371" s="107"/>
      <c r="AT371" s="108"/>
      <c r="AU371" s="11"/>
      <c r="AV371" s="11"/>
      <c r="AW371" s="107"/>
      <c r="AX371" s="11"/>
      <c r="AY371" s="107"/>
      <c r="AZ371" s="11"/>
      <c r="BA371" s="107"/>
      <c r="BB371" s="107"/>
      <c r="BC371" s="107"/>
      <c r="BD371" s="11"/>
      <c r="BE371" s="107"/>
      <c r="BF371" s="11"/>
      <c r="BG371" s="11"/>
      <c r="BH371" s="11"/>
      <c r="BI371" s="107"/>
      <c r="BJ371" s="107"/>
      <c r="BK371" s="11"/>
      <c r="BL371" s="11"/>
      <c r="BM371" s="107"/>
      <c r="BN371" s="11"/>
      <c r="BO371" s="107"/>
      <c r="BP371" s="108"/>
      <c r="BQ371" s="11"/>
      <c r="BR371" s="107"/>
      <c r="BS371" s="11"/>
      <c r="BT371" s="107"/>
      <c r="BU371" s="107"/>
      <c r="BV371" s="107"/>
      <c r="BW371" s="107"/>
      <c r="BX371" s="107"/>
      <c r="BY371" s="11"/>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c r="CW371" s="107"/>
      <c r="CX371" s="107"/>
      <c r="CY371" s="107"/>
      <c r="CZ371" s="107"/>
      <c r="DA371" s="107"/>
      <c r="DB371" s="107"/>
      <c r="DC371" s="107"/>
      <c r="DD371" s="107"/>
      <c r="DE371" s="107"/>
      <c r="DF371" s="107"/>
      <c r="DG371" s="107"/>
      <c r="DH371" s="107"/>
      <c r="DI371" s="107"/>
      <c r="DJ371" s="107"/>
      <c r="DK371" s="11"/>
      <c r="DL371" s="11"/>
      <c r="DM371" s="11"/>
      <c r="DN371" s="11"/>
      <c r="DO371" s="11"/>
      <c r="DP371" s="11"/>
      <c r="DQ371" s="11"/>
      <c r="DR371" s="11"/>
      <c r="DS371" s="11"/>
      <c r="DT371" s="11"/>
      <c r="DU371" s="11"/>
      <c r="DV371" s="11"/>
      <c r="DW371" s="11"/>
      <c r="DX371" s="11"/>
      <c r="DY371" s="11"/>
      <c r="DZ371" s="11"/>
      <c r="EA371" s="11"/>
      <c r="EB371" s="11"/>
      <c r="EC371" s="107"/>
      <c r="ED371" s="107"/>
      <c r="EE371" s="11"/>
      <c r="EF371" s="107"/>
      <c r="EG371" s="108"/>
      <c r="EH371" s="11"/>
      <c r="EI371" s="107"/>
      <c r="EJ371" s="107"/>
      <c r="EK371" s="107"/>
      <c r="EL371" s="107"/>
      <c r="EM371" s="107"/>
      <c r="EN371" s="107"/>
      <c r="EO371" s="107"/>
      <c r="EP371" s="107"/>
      <c r="EQ371" s="107"/>
      <c r="ER371" s="107"/>
      <c r="ES371" s="107"/>
      <c r="ET371" s="107"/>
      <c r="EU371" s="107"/>
      <c r="EV371" s="107"/>
      <c r="EW371" s="107"/>
      <c r="EX371" s="107"/>
      <c r="EY371" s="107"/>
      <c r="EZ371" s="107"/>
      <c r="FA371" s="107"/>
      <c r="FB371" s="107"/>
      <c r="FC371" s="107"/>
      <c r="FD371" s="107"/>
      <c r="FE371" s="107"/>
      <c r="FF371" s="107"/>
      <c r="FG371" s="107"/>
      <c r="FH371" s="107"/>
      <c r="FI371" s="107"/>
      <c r="FJ371" s="107"/>
      <c r="FK371" s="107"/>
      <c r="FL371" s="107"/>
      <c r="FM371" s="107"/>
      <c r="FN371" s="107"/>
      <c r="FO371" s="11"/>
      <c r="FP371" s="11"/>
      <c r="FQ371" s="11"/>
      <c r="FR371" s="11"/>
      <c r="FS371" s="11"/>
      <c r="FT371" s="11"/>
      <c r="FU371" s="11"/>
      <c r="FV371" s="11"/>
      <c r="FW371" s="11"/>
      <c r="FX371" s="11"/>
      <c r="FY371" s="3"/>
      <c r="FZ371" s="270"/>
      <c r="GA371" s="270"/>
    </row>
    <row r="372" spans="1:183" s="268" customFormat="1" x14ac:dyDescent="0.25">
      <c r="A372" s="107"/>
      <c r="B372" s="108"/>
      <c r="C372" s="108"/>
      <c r="D372" s="108"/>
      <c r="E372" s="108"/>
      <c r="F372" s="11"/>
      <c r="G372" s="107"/>
      <c r="H372" s="108"/>
      <c r="I372" s="11"/>
      <c r="J372" s="11"/>
      <c r="K372" s="11"/>
      <c r="L372" s="11"/>
      <c r="M372" s="11"/>
      <c r="N372" s="11"/>
      <c r="O372" s="11"/>
      <c r="P372" s="3"/>
      <c r="Q372" s="3"/>
      <c r="R372" s="108"/>
      <c r="S372" s="108"/>
      <c r="T372" s="108"/>
      <c r="U372" s="107"/>
      <c r="V372" s="108"/>
      <c r="W372" s="11"/>
      <c r="X372" s="107"/>
      <c r="Y372" s="108"/>
      <c r="Z372" s="11"/>
      <c r="AA372" s="107"/>
      <c r="AB372" s="11"/>
      <c r="AC372" s="107"/>
      <c r="AD372" s="108"/>
      <c r="AE372" s="11"/>
      <c r="AF372" s="107"/>
      <c r="AG372" s="11"/>
      <c r="AH372" s="107"/>
      <c r="AI372" s="11"/>
      <c r="AJ372" s="107"/>
      <c r="AK372" s="11"/>
      <c r="AL372" s="107"/>
      <c r="AM372" s="11"/>
      <c r="AN372" s="11"/>
      <c r="AO372" s="11"/>
      <c r="AP372" s="3"/>
      <c r="AQ372" s="107"/>
      <c r="AR372" s="11"/>
      <c r="AS372" s="107"/>
      <c r="AT372" s="108"/>
      <c r="AU372" s="11"/>
      <c r="AV372" s="11"/>
      <c r="AW372" s="107"/>
      <c r="AX372" s="11"/>
      <c r="AY372" s="107"/>
      <c r="AZ372" s="11"/>
      <c r="BA372" s="107"/>
      <c r="BB372" s="107"/>
      <c r="BC372" s="107"/>
      <c r="BD372" s="11"/>
      <c r="BE372" s="107"/>
      <c r="BF372" s="11"/>
      <c r="BG372" s="11"/>
      <c r="BH372" s="11"/>
      <c r="BI372" s="107"/>
      <c r="BJ372" s="107"/>
      <c r="BK372" s="11"/>
      <c r="BL372" s="11"/>
      <c r="BM372" s="107"/>
      <c r="BN372" s="11"/>
      <c r="BO372" s="107"/>
      <c r="BP372" s="108"/>
      <c r="BQ372" s="11"/>
      <c r="BR372" s="107"/>
      <c r="BS372" s="11"/>
      <c r="BT372" s="107"/>
      <c r="BU372" s="107"/>
      <c r="BV372" s="107"/>
      <c r="BW372" s="107"/>
      <c r="BX372" s="107"/>
      <c r="BY372" s="11"/>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c r="CW372" s="107"/>
      <c r="CX372" s="107"/>
      <c r="CY372" s="107"/>
      <c r="CZ372" s="107"/>
      <c r="DA372" s="107"/>
      <c r="DB372" s="107"/>
      <c r="DC372" s="107"/>
      <c r="DD372" s="107"/>
      <c r="DE372" s="107"/>
      <c r="DF372" s="107"/>
      <c r="DG372" s="107"/>
      <c r="DH372" s="107"/>
      <c r="DI372" s="107"/>
      <c r="DJ372" s="107"/>
      <c r="DK372" s="11"/>
      <c r="DL372" s="11"/>
      <c r="DM372" s="11"/>
      <c r="DN372" s="11"/>
      <c r="DO372" s="11"/>
      <c r="DP372" s="11"/>
      <c r="DQ372" s="11"/>
      <c r="DR372" s="11"/>
      <c r="DS372" s="11"/>
      <c r="DT372" s="11"/>
      <c r="DU372" s="11"/>
      <c r="DV372" s="11"/>
      <c r="DW372" s="11"/>
      <c r="DX372" s="11"/>
      <c r="DY372" s="11"/>
      <c r="DZ372" s="11"/>
      <c r="EA372" s="11"/>
      <c r="EB372" s="11"/>
      <c r="EC372" s="107"/>
      <c r="ED372" s="107"/>
      <c r="EE372" s="11"/>
      <c r="EF372" s="107"/>
      <c r="EG372" s="108"/>
      <c r="EH372" s="11"/>
      <c r="EI372" s="107"/>
      <c r="EJ372" s="107"/>
      <c r="EK372" s="107"/>
      <c r="EL372" s="107"/>
      <c r="EM372" s="107"/>
      <c r="EN372" s="107"/>
      <c r="EO372" s="107"/>
      <c r="EP372" s="107"/>
      <c r="EQ372" s="107"/>
      <c r="ER372" s="107"/>
      <c r="ES372" s="107"/>
      <c r="ET372" s="107"/>
      <c r="EU372" s="107"/>
      <c r="EV372" s="107"/>
      <c r="EW372" s="107"/>
      <c r="EX372" s="107"/>
      <c r="EY372" s="107"/>
      <c r="EZ372" s="107"/>
      <c r="FA372" s="107"/>
      <c r="FB372" s="107"/>
      <c r="FC372" s="107"/>
      <c r="FD372" s="107"/>
      <c r="FE372" s="107"/>
      <c r="FF372" s="107"/>
      <c r="FG372" s="107"/>
      <c r="FH372" s="107"/>
      <c r="FI372" s="107"/>
      <c r="FJ372" s="107"/>
      <c r="FK372" s="107"/>
      <c r="FL372" s="107"/>
      <c r="FM372" s="107"/>
      <c r="FN372" s="107"/>
      <c r="FO372" s="11"/>
      <c r="FP372" s="11"/>
      <c r="FQ372" s="11"/>
      <c r="FR372" s="11"/>
      <c r="FS372" s="11"/>
      <c r="FT372" s="11"/>
      <c r="FU372" s="11"/>
      <c r="FV372" s="11"/>
      <c r="FW372" s="11"/>
      <c r="FX372" s="11"/>
      <c r="FY372" s="3"/>
      <c r="FZ372" s="270"/>
      <c r="GA372" s="270"/>
    </row>
    <row r="373" spans="1:183" s="268" customFormat="1" x14ac:dyDescent="0.25">
      <c r="A373" s="107"/>
      <c r="B373" s="108"/>
      <c r="C373" s="108"/>
      <c r="D373" s="108"/>
      <c r="E373" s="108"/>
      <c r="F373" s="11"/>
      <c r="G373" s="107"/>
      <c r="H373" s="108"/>
      <c r="I373" s="11"/>
      <c r="J373" s="11"/>
      <c r="K373" s="11"/>
      <c r="L373" s="11"/>
      <c r="M373" s="11"/>
      <c r="N373" s="11"/>
      <c r="O373" s="11"/>
      <c r="P373" s="3"/>
      <c r="Q373" s="3"/>
      <c r="R373" s="108"/>
      <c r="S373" s="108"/>
      <c r="T373" s="108"/>
      <c r="U373" s="107"/>
      <c r="V373" s="108"/>
      <c r="W373" s="11"/>
      <c r="X373" s="107"/>
      <c r="Y373" s="108"/>
      <c r="Z373" s="11"/>
      <c r="AA373" s="107"/>
      <c r="AB373" s="11"/>
      <c r="AC373" s="107"/>
      <c r="AD373" s="108"/>
      <c r="AE373" s="11"/>
      <c r="AF373" s="107"/>
      <c r="AG373" s="11"/>
      <c r="AH373" s="107"/>
      <c r="AI373" s="11"/>
      <c r="AJ373" s="107"/>
      <c r="AK373" s="11"/>
      <c r="AL373" s="107"/>
      <c r="AM373" s="11"/>
      <c r="AN373" s="11"/>
      <c r="AO373" s="11"/>
      <c r="AP373" s="3"/>
      <c r="AQ373" s="107"/>
      <c r="AR373" s="11"/>
      <c r="AS373" s="107"/>
      <c r="AT373" s="108"/>
      <c r="AU373" s="11"/>
      <c r="AV373" s="11"/>
      <c r="AW373" s="107"/>
      <c r="AX373" s="11"/>
      <c r="AY373" s="107"/>
      <c r="AZ373" s="11"/>
      <c r="BA373" s="107"/>
      <c r="BB373" s="107"/>
      <c r="BC373" s="107"/>
      <c r="BD373" s="11"/>
      <c r="BE373" s="107"/>
      <c r="BF373" s="11"/>
      <c r="BG373" s="11"/>
      <c r="BH373" s="11"/>
      <c r="BI373" s="107"/>
      <c r="BJ373" s="107"/>
      <c r="BK373" s="11"/>
      <c r="BL373" s="11"/>
      <c r="BM373" s="107"/>
      <c r="BN373" s="11"/>
      <c r="BO373" s="107"/>
      <c r="BP373" s="108"/>
      <c r="BQ373" s="11"/>
      <c r="BR373" s="107"/>
      <c r="BS373" s="11"/>
      <c r="BT373" s="107"/>
      <c r="BU373" s="107"/>
      <c r="BV373" s="107"/>
      <c r="BW373" s="107"/>
      <c r="BX373" s="107"/>
      <c r="BY373" s="11"/>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c r="CW373" s="107"/>
      <c r="CX373" s="107"/>
      <c r="CY373" s="107"/>
      <c r="CZ373" s="107"/>
      <c r="DA373" s="107"/>
      <c r="DB373" s="107"/>
      <c r="DC373" s="107"/>
      <c r="DD373" s="107"/>
      <c r="DE373" s="107"/>
      <c r="DF373" s="107"/>
      <c r="DG373" s="107"/>
      <c r="DH373" s="107"/>
      <c r="DI373" s="107"/>
      <c r="DJ373" s="107"/>
      <c r="DK373" s="11"/>
      <c r="DL373" s="11"/>
      <c r="DM373" s="11"/>
      <c r="DN373" s="11"/>
      <c r="DO373" s="11"/>
      <c r="DP373" s="11"/>
      <c r="DQ373" s="11"/>
      <c r="DR373" s="11"/>
      <c r="DS373" s="11"/>
      <c r="DT373" s="11"/>
      <c r="DU373" s="11"/>
      <c r="DV373" s="11"/>
      <c r="DW373" s="11"/>
      <c r="DX373" s="11"/>
      <c r="DY373" s="11"/>
      <c r="DZ373" s="11"/>
      <c r="EA373" s="11"/>
      <c r="EB373" s="11"/>
      <c r="EC373" s="107"/>
      <c r="ED373" s="107"/>
      <c r="EE373" s="11"/>
      <c r="EF373" s="107"/>
      <c r="EG373" s="108"/>
      <c r="EH373" s="11"/>
      <c r="EI373" s="107"/>
      <c r="EJ373" s="107"/>
      <c r="EK373" s="107"/>
      <c r="EL373" s="107"/>
      <c r="EM373" s="107"/>
      <c r="EN373" s="107"/>
      <c r="EO373" s="107"/>
      <c r="EP373" s="107"/>
      <c r="EQ373" s="107"/>
      <c r="ER373" s="107"/>
      <c r="ES373" s="107"/>
      <c r="ET373" s="107"/>
      <c r="EU373" s="107"/>
      <c r="EV373" s="107"/>
      <c r="EW373" s="107"/>
      <c r="EX373" s="107"/>
      <c r="EY373" s="107"/>
      <c r="EZ373" s="107"/>
      <c r="FA373" s="107"/>
      <c r="FB373" s="107"/>
      <c r="FC373" s="107"/>
      <c r="FD373" s="107"/>
      <c r="FE373" s="107"/>
      <c r="FF373" s="107"/>
      <c r="FG373" s="107"/>
      <c r="FH373" s="107"/>
      <c r="FI373" s="107"/>
      <c r="FJ373" s="107"/>
      <c r="FK373" s="107"/>
      <c r="FL373" s="107"/>
      <c r="FM373" s="107"/>
      <c r="FN373" s="107"/>
      <c r="FO373" s="11"/>
      <c r="FP373" s="11"/>
      <c r="FQ373" s="11"/>
      <c r="FR373" s="11"/>
      <c r="FS373" s="11"/>
      <c r="FT373" s="11"/>
      <c r="FU373" s="11"/>
      <c r="FV373" s="11"/>
      <c r="FW373" s="11"/>
      <c r="FX373" s="11"/>
      <c r="FY373" s="3"/>
      <c r="FZ373" s="270"/>
      <c r="GA373" s="270"/>
    </row>
    <row r="374" spans="1:183" s="268" customFormat="1" x14ac:dyDescent="0.25">
      <c r="A374" s="107"/>
      <c r="B374" s="108"/>
      <c r="C374" s="108"/>
      <c r="D374" s="108"/>
      <c r="E374" s="108"/>
      <c r="F374" s="11"/>
      <c r="G374" s="107"/>
      <c r="H374" s="108"/>
      <c r="I374" s="11"/>
      <c r="J374" s="11"/>
      <c r="K374" s="11"/>
      <c r="L374" s="11"/>
      <c r="M374" s="11"/>
      <c r="N374" s="11"/>
      <c r="O374" s="11"/>
      <c r="P374" s="3"/>
      <c r="Q374" s="3"/>
      <c r="R374" s="108"/>
      <c r="S374" s="108"/>
      <c r="T374" s="108"/>
      <c r="U374" s="107"/>
      <c r="V374" s="108"/>
      <c r="W374" s="11"/>
      <c r="X374" s="107"/>
      <c r="Y374" s="108"/>
      <c r="Z374" s="11"/>
      <c r="AA374" s="107"/>
      <c r="AB374" s="11"/>
      <c r="AC374" s="107"/>
      <c r="AD374" s="108"/>
      <c r="AE374" s="11"/>
      <c r="AF374" s="107"/>
      <c r="AG374" s="11"/>
      <c r="AH374" s="107"/>
      <c r="AI374" s="11"/>
      <c r="AJ374" s="107"/>
      <c r="AK374" s="11"/>
      <c r="AL374" s="107"/>
      <c r="AM374" s="11"/>
      <c r="AN374" s="11"/>
      <c r="AO374" s="11"/>
      <c r="AP374" s="3"/>
      <c r="AQ374" s="107"/>
      <c r="AR374" s="11"/>
      <c r="AS374" s="107"/>
      <c r="AT374" s="108"/>
      <c r="AU374" s="11"/>
      <c r="AV374" s="11"/>
      <c r="AW374" s="107"/>
      <c r="AX374" s="11"/>
      <c r="AY374" s="107"/>
      <c r="AZ374" s="11"/>
      <c r="BA374" s="107"/>
      <c r="BB374" s="107"/>
      <c r="BC374" s="107"/>
      <c r="BD374" s="11"/>
      <c r="BE374" s="107"/>
      <c r="BF374" s="11"/>
      <c r="BG374" s="11"/>
      <c r="BH374" s="11"/>
      <c r="BI374" s="107"/>
      <c r="BJ374" s="107"/>
      <c r="BK374" s="11"/>
      <c r="BL374" s="11"/>
      <c r="BM374" s="107"/>
      <c r="BN374" s="11"/>
      <c r="BO374" s="107"/>
      <c r="BP374" s="108"/>
      <c r="BQ374" s="11"/>
      <c r="BR374" s="107"/>
      <c r="BS374" s="11"/>
      <c r="BT374" s="107"/>
      <c r="BU374" s="107"/>
      <c r="BV374" s="107"/>
      <c r="BW374" s="107"/>
      <c r="BX374" s="107"/>
      <c r="BY374" s="11"/>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c r="CW374" s="107"/>
      <c r="CX374" s="107"/>
      <c r="CY374" s="107"/>
      <c r="CZ374" s="107"/>
      <c r="DA374" s="107"/>
      <c r="DB374" s="107"/>
      <c r="DC374" s="107"/>
      <c r="DD374" s="107"/>
      <c r="DE374" s="107"/>
      <c r="DF374" s="107"/>
      <c r="DG374" s="107"/>
      <c r="DH374" s="107"/>
      <c r="DI374" s="107"/>
      <c r="DJ374" s="107"/>
      <c r="DK374" s="11"/>
      <c r="DL374" s="11"/>
      <c r="DM374" s="11"/>
      <c r="DN374" s="11"/>
      <c r="DO374" s="11"/>
      <c r="DP374" s="11"/>
      <c r="DQ374" s="11"/>
      <c r="DR374" s="11"/>
      <c r="DS374" s="11"/>
      <c r="DT374" s="11"/>
      <c r="DU374" s="11"/>
      <c r="DV374" s="11"/>
      <c r="DW374" s="11"/>
      <c r="DX374" s="11"/>
      <c r="DY374" s="11"/>
      <c r="DZ374" s="11"/>
      <c r="EA374" s="11"/>
      <c r="EB374" s="11"/>
      <c r="EC374" s="107"/>
      <c r="ED374" s="107"/>
      <c r="EE374" s="11"/>
      <c r="EF374" s="107"/>
      <c r="EG374" s="108"/>
      <c r="EH374" s="11"/>
      <c r="EI374" s="107"/>
      <c r="EJ374" s="107"/>
      <c r="EK374" s="107"/>
      <c r="EL374" s="107"/>
      <c r="EM374" s="107"/>
      <c r="EN374" s="107"/>
      <c r="EO374" s="107"/>
      <c r="EP374" s="107"/>
      <c r="EQ374" s="107"/>
      <c r="ER374" s="107"/>
      <c r="ES374" s="107"/>
      <c r="ET374" s="107"/>
      <c r="EU374" s="107"/>
      <c r="EV374" s="107"/>
      <c r="EW374" s="107"/>
      <c r="EX374" s="107"/>
      <c r="EY374" s="107"/>
      <c r="EZ374" s="107"/>
      <c r="FA374" s="107"/>
      <c r="FB374" s="107"/>
      <c r="FC374" s="107"/>
      <c r="FD374" s="107"/>
      <c r="FE374" s="107"/>
      <c r="FF374" s="107"/>
      <c r="FG374" s="107"/>
      <c r="FH374" s="107"/>
      <c r="FI374" s="107"/>
      <c r="FJ374" s="107"/>
      <c r="FK374" s="107"/>
      <c r="FL374" s="107"/>
      <c r="FM374" s="107"/>
      <c r="FN374" s="107"/>
      <c r="FO374" s="11"/>
      <c r="FP374" s="11"/>
      <c r="FQ374" s="11"/>
      <c r="FR374" s="11"/>
      <c r="FS374" s="11"/>
      <c r="FT374" s="11"/>
      <c r="FU374" s="11"/>
      <c r="FV374" s="11"/>
      <c r="FW374" s="11"/>
      <c r="FX374" s="11"/>
      <c r="FY374" s="3"/>
      <c r="FZ374" s="270"/>
      <c r="GA374" s="270"/>
    </row>
    <row r="375" spans="1:183" s="268" customFormat="1" x14ac:dyDescent="0.25">
      <c r="A375" s="107"/>
      <c r="B375" s="108"/>
      <c r="C375" s="108"/>
      <c r="D375" s="108"/>
      <c r="E375" s="108"/>
      <c r="F375" s="11"/>
      <c r="G375" s="107"/>
      <c r="H375" s="108"/>
      <c r="I375" s="11"/>
      <c r="J375" s="11"/>
      <c r="K375" s="11"/>
      <c r="L375" s="11"/>
      <c r="M375" s="11"/>
      <c r="N375" s="11"/>
      <c r="O375" s="11"/>
      <c r="P375" s="3"/>
      <c r="Q375" s="3"/>
      <c r="R375" s="108"/>
      <c r="S375" s="108"/>
      <c r="T375" s="108"/>
      <c r="U375" s="107"/>
      <c r="V375" s="108"/>
      <c r="W375" s="11"/>
      <c r="X375" s="107"/>
      <c r="Y375" s="108"/>
      <c r="Z375" s="11"/>
      <c r="AA375" s="107"/>
      <c r="AB375" s="11"/>
      <c r="AC375" s="107"/>
      <c r="AD375" s="108"/>
      <c r="AE375" s="11"/>
      <c r="AF375" s="107"/>
      <c r="AG375" s="11"/>
      <c r="AH375" s="107"/>
      <c r="AI375" s="11"/>
      <c r="AJ375" s="107"/>
      <c r="AK375" s="11"/>
      <c r="AL375" s="107"/>
      <c r="AM375" s="11"/>
      <c r="AN375" s="11"/>
      <c r="AO375" s="11"/>
      <c r="AP375" s="3"/>
      <c r="AQ375" s="107"/>
      <c r="AR375" s="11"/>
      <c r="AS375" s="107"/>
      <c r="AT375" s="108"/>
      <c r="AU375" s="11"/>
      <c r="AV375" s="11"/>
      <c r="AW375" s="107"/>
      <c r="AX375" s="11"/>
      <c r="AY375" s="107"/>
      <c r="AZ375" s="11"/>
      <c r="BA375" s="107"/>
      <c r="BB375" s="107"/>
      <c r="BC375" s="107"/>
      <c r="BD375" s="11"/>
      <c r="BE375" s="107"/>
      <c r="BF375" s="11"/>
      <c r="BG375" s="11"/>
      <c r="BH375" s="11"/>
      <c r="BI375" s="107"/>
      <c r="BJ375" s="107"/>
      <c r="BK375" s="11"/>
      <c r="BL375" s="11"/>
      <c r="BM375" s="107"/>
      <c r="BN375" s="11"/>
      <c r="BO375" s="107"/>
      <c r="BP375" s="108"/>
      <c r="BQ375" s="11"/>
      <c r="BR375" s="107"/>
      <c r="BS375" s="11"/>
      <c r="BT375" s="107"/>
      <c r="BU375" s="107"/>
      <c r="BV375" s="107"/>
      <c r="BW375" s="107"/>
      <c r="BX375" s="107"/>
      <c r="BY375" s="11"/>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c r="CW375" s="107"/>
      <c r="CX375" s="107"/>
      <c r="CY375" s="107"/>
      <c r="CZ375" s="107"/>
      <c r="DA375" s="107"/>
      <c r="DB375" s="107"/>
      <c r="DC375" s="107"/>
      <c r="DD375" s="107"/>
      <c r="DE375" s="107"/>
      <c r="DF375" s="107"/>
      <c r="DG375" s="107"/>
      <c r="DH375" s="107"/>
      <c r="DI375" s="107"/>
      <c r="DJ375" s="107"/>
      <c r="DK375" s="11"/>
      <c r="DL375" s="11"/>
      <c r="DM375" s="11"/>
      <c r="DN375" s="11"/>
      <c r="DO375" s="11"/>
      <c r="DP375" s="11"/>
      <c r="DQ375" s="11"/>
      <c r="DR375" s="11"/>
      <c r="DS375" s="11"/>
      <c r="DT375" s="11"/>
      <c r="DU375" s="11"/>
      <c r="DV375" s="11"/>
      <c r="DW375" s="11"/>
      <c r="DX375" s="11"/>
      <c r="DY375" s="11"/>
      <c r="DZ375" s="11"/>
      <c r="EA375" s="11"/>
      <c r="EB375" s="11"/>
      <c r="EC375" s="107"/>
      <c r="ED375" s="107"/>
      <c r="EE375" s="11"/>
      <c r="EF375" s="107"/>
      <c r="EG375" s="108"/>
      <c r="EH375" s="11"/>
      <c r="EI375" s="107"/>
      <c r="EJ375" s="107"/>
      <c r="EK375" s="107"/>
      <c r="EL375" s="107"/>
      <c r="EM375" s="107"/>
      <c r="EN375" s="107"/>
      <c r="EO375" s="107"/>
      <c r="EP375" s="107"/>
      <c r="EQ375" s="107"/>
      <c r="ER375" s="107"/>
      <c r="ES375" s="107"/>
      <c r="ET375" s="107"/>
      <c r="EU375" s="107"/>
      <c r="EV375" s="107"/>
      <c r="EW375" s="107"/>
      <c r="EX375" s="107"/>
      <c r="EY375" s="107"/>
      <c r="EZ375" s="107"/>
      <c r="FA375" s="107"/>
      <c r="FB375" s="107"/>
      <c r="FC375" s="107"/>
      <c r="FD375" s="107"/>
      <c r="FE375" s="107"/>
      <c r="FF375" s="107"/>
      <c r="FG375" s="107"/>
      <c r="FH375" s="107"/>
      <c r="FI375" s="107"/>
      <c r="FJ375" s="107"/>
      <c r="FK375" s="107"/>
      <c r="FL375" s="107"/>
      <c r="FM375" s="107"/>
      <c r="FN375" s="107"/>
      <c r="FO375" s="11"/>
      <c r="FP375" s="11"/>
      <c r="FQ375" s="11"/>
      <c r="FR375" s="11"/>
      <c r="FS375" s="11"/>
      <c r="FT375" s="11"/>
      <c r="FU375" s="11"/>
      <c r="FV375" s="11"/>
      <c r="FW375" s="11"/>
      <c r="FX375" s="11"/>
      <c r="FY375" s="3"/>
      <c r="FZ375" s="270"/>
      <c r="GA375" s="270"/>
    </row>
    <row r="376" spans="1:183" s="268" customFormat="1" x14ac:dyDescent="0.25">
      <c r="A376" s="107"/>
      <c r="B376" s="108"/>
      <c r="C376" s="108"/>
      <c r="D376" s="108"/>
      <c r="E376" s="108"/>
      <c r="F376" s="11"/>
      <c r="G376" s="107"/>
      <c r="H376" s="108"/>
      <c r="I376" s="11"/>
      <c r="J376" s="11"/>
      <c r="K376" s="11"/>
      <c r="L376" s="11"/>
      <c r="M376" s="11"/>
      <c r="N376" s="11"/>
      <c r="O376" s="11"/>
      <c r="P376" s="3"/>
      <c r="Q376" s="3"/>
      <c r="R376" s="108"/>
      <c r="S376" s="108"/>
      <c r="T376" s="108"/>
      <c r="U376" s="107"/>
      <c r="V376" s="108"/>
      <c r="W376" s="11"/>
      <c r="X376" s="107"/>
      <c r="Y376" s="108"/>
      <c r="Z376" s="11"/>
      <c r="AA376" s="107"/>
      <c r="AB376" s="11"/>
      <c r="AC376" s="107"/>
      <c r="AD376" s="108"/>
      <c r="AE376" s="11"/>
      <c r="AF376" s="107"/>
      <c r="AG376" s="11"/>
      <c r="AH376" s="107"/>
      <c r="AI376" s="11"/>
      <c r="AJ376" s="107"/>
      <c r="AK376" s="11"/>
      <c r="AL376" s="107"/>
      <c r="AM376" s="11"/>
      <c r="AN376" s="11"/>
      <c r="AO376" s="11"/>
      <c r="AP376" s="3"/>
      <c r="AQ376" s="107"/>
      <c r="AR376" s="11"/>
      <c r="AS376" s="107"/>
      <c r="AT376" s="108"/>
      <c r="AU376" s="11"/>
      <c r="AV376" s="11"/>
      <c r="AW376" s="107"/>
      <c r="AX376" s="11"/>
      <c r="AY376" s="107"/>
      <c r="AZ376" s="11"/>
      <c r="BA376" s="107"/>
      <c r="BB376" s="107"/>
      <c r="BC376" s="107"/>
      <c r="BD376" s="11"/>
      <c r="BE376" s="107"/>
      <c r="BF376" s="11"/>
      <c r="BG376" s="11"/>
      <c r="BH376" s="11"/>
      <c r="BI376" s="107"/>
      <c r="BJ376" s="107"/>
      <c r="BK376" s="11"/>
      <c r="BL376" s="11"/>
      <c r="BM376" s="107"/>
      <c r="BN376" s="11"/>
      <c r="BO376" s="107"/>
      <c r="BP376" s="108"/>
      <c r="BQ376" s="11"/>
      <c r="BR376" s="107"/>
      <c r="BS376" s="11"/>
      <c r="BT376" s="107"/>
      <c r="BU376" s="107"/>
      <c r="BV376" s="107"/>
      <c r="BW376" s="107"/>
      <c r="BX376" s="107"/>
      <c r="BY376" s="11"/>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c r="CW376" s="107"/>
      <c r="CX376" s="107"/>
      <c r="CY376" s="107"/>
      <c r="CZ376" s="107"/>
      <c r="DA376" s="107"/>
      <c r="DB376" s="107"/>
      <c r="DC376" s="107"/>
      <c r="DD376" s="107"/>
      <c r="DE376" s="107"/>
      <c r="DF376" s="107"/>
      <c r="DG376" s="107"/>
      <c r="DH376" s="107"/>
      <c r="DI376" s="107"/>
      <c r="DJ376" s="107"/>
      <c r="DK376" s="11"/>
      <c r="DL376" s="11"/>
      <c r="DM376" s="11"/>
      <c r="DN376" s="11"/>
      <c r="DO376" s="11"/>
      <c r="DP376" s="11"/>
      <c r="DQ376" s="11"/>
      <c r="DR376" s="11"/>
      <c r="DS376" s="11"/>
      <c r="DT376" s="11"/>
      <c r="DU376" s="11"/>
      <c r="DV376" s="11"/>
      <c r="DW376" s="11"/>
      <c r="DX376" s="11"/>
      <c r="DY376" s="11"/>
      <c r="DZ376" s="11"/>
      <c r="EA376" s="11"/>
      <c r="EB376" s="11"/>
      <c r="EC376" s="107"/>
      <c r="ED376" s="107"/>
      <c r="EE376" s="11"/>
      <c r="EF376" s="107"/>
      <c r="EG376" s="108"/>
      <c r="EH376" s="11"/>
      <c r="EI376" s="107"/>
      <c r="EJ376" s="107"/>
      <c r="EK376" s="107"/>
      <c r="EL376" s="107"/>
      <c r="EM376" s="107"/>
      <c r="EN376" s="107"/>
      <c r="EO376" s="107"/>
      <c r="EP376" s="107"/>
      <c r="EQ376" s="107"/>
      <c r="ER376" s="107"/>
      <c r="ES376" s="107"/>
      <c r="ET376" s="107"/>
      <c r="EU376" s="107"/>
      <c r="EV376" s="107"/>
      <c r="EW376" s="107"/>
      <c r="EX376" s="107"/>
      <c r="EY376" s="107"/>
      <c r="EZ376" s="107"/>
      <c r="FA376" s="107"/>
      <c r="FB376" s="107"/>
      <c r="FC376" s="107"/>
      <c r="FD376" s="107"/>
      <c r="FE376" s="107"/>
      <c r="FF376" s="107"/>
      <c r="FG376" s="107"/>
      <c r="FH376" s="107"/>
      <c r="FI376" s="107"/>
      <c r="FJ376" s="107"/>
      <c r="FK376" s="107"/>
      <c r="FL376" s="107"/>
      <c r="FM376" s="107"/>
      <c r="FN376" s="107"/>
      <c r="FO376" s="11"/>
      <c r="FP376" s="11"/>
      <c r="FQ376" s="11"/>
      <c r="FR376" s="11"/>
      <c r="FS376" s="11"/>
      <c r="FT376" s="11"/>
      <c r="FU376" s="11"/>
      <c r="FV376" s="11"/>
      <c r="FW376" s="11"/>
      <c r="FX376" s="11"/>
      <c r="FY376" s="3"/>
      <c r="FZ376" s="270"/>
      <c r="GA376" s="270"/>
    </row>
    <row r="377" spans="1:183" s="268" customFormat="1" x14ac:dyDescent="0.25">
      <c r="A377" s="107"/>
      <c r="B377" s="108"/>
      <c r="C377" s="108"/>
      <c r="D377" s="108"/>
      <c r="E377" s="108"/>
      <c r="F377" s="11"/>
      <c r="G377" s="107"/>
      <c r="H377" s="108"/>
      <c r="I377" s="11"/>
      <c r="J377" s="11"/>
      <c r="K377" s="11"/>
      <c r="L377" s="11"/>
      <c r="M377" s="11"/>
      <c r="N377" s="11"/>
      <c r="O377" s="11"/>
      <c r="P377" s="3"/>
      <c r="Q377" s="3"/>
      <c r="R377" s="108"/>
      <c r="S377" s="108"/>
      <c r="T377" s="108"/>
      <c r="U377" s="107"/>
      <c r="V377" s="108"/>
      <c r="W377" s="11"/>
      <c r="X377" s="107"/>
      <c r="Y377" s="108"/>
      <c r="Z377" s="11"/>
      <c r="AA377" s="107"/>
      <c r="AB377" s="11"/>
      <c r="AC377" s="107"/>
      <c r="AD377" s="108"/>
      <c r="AE377" s="11"/>
      <c r="AF377" s="107"/>
      <c r="AG377" s="11"/>
      <c r="AH377" s="107"/>
      <c r="AI377" s="11"/>
      <c r="AJ377" s="107"/>
      <c r="AK377" s="11"/>
      <c r="AL377" s="107"/>
      <c r="AM377" s="11"/>
      <c r="AN377" s="11"/>
      <c r="AO377" s="11"/>
      <c r="AP377" s="3"/>
      <c r="AQ377" s="107"/>
      <c r="AR377" s="11"/>
      <c r="AS377" s="107"/>
      <c r="AT377" s="108"/>
      <c r="AU377" s="11"/>
      <c r="AV377" s="11"/>
      <c r="AW377" s="107"/>
      <c r="AX377" s="11"/>
      <c r="AY377" s="107"/>
      <c r="AZ377" s="11"/>
      <c r="BA377" s="107"/>
      <c r="BB377" s="107"/>
      <c r="BC377" s="107"/>
      <c r="BD377" s="11"/>
      <c r="BE377" s="107"/>
      <c r="BF377" s="11"/>
      <c r="BG377" s="11"/>
      <c r="BH377" s="11"/>
      <c r="BI377" s="107"/>
      <c r="BJ377" s="107"/>
      <c r="BK377" s="11"/>
      <c r="BL377" s="11"/>
      <c r="BM377" s="107"/>
      <c r="BN377" s="11"/>
      <c r="BO377" s="107"/>
      <c r="BP377" s="108"/>
      <c r="BQ377" s="11"/>
      <c r="BR377" s="107"/>
      <c r="BS377" s="11"/>
      <c r="BT377" s="107"/>
      <c r="BU377" s="107"/>
      <c r="BV377" s="107"/>
      <c r="BW377" s="107"/>
      <c r="BX377" s="107"/>
      <c r="BY377" s="11"/>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c r="CW377" s="107"/>
      <c r="CX377" s="107"/>
      <c r="CY377" s="107"/>
      <c r="CZ377" s="107"/>
      <c r="DA377" s="107"/>
      <c r="DB377" s="107"/>
      <c r="DC377" s="107"/>
      <c r="DD377" s="107"/>
      <c r="DE377" s="107"/>
      <c r="DF377" s="107"/>
      <c r="DG377" s="107"/>
      <c r="DH377" s="107"/>
      <c r="DI377" s="107"/>
      <c r="DJ377" s="107"/>
      <c r="DK377" s="11"/>
      <c r="DL377" s="11"/>
      <c r="DM377" s="11"/>
      <c r="DN377" s="11"/>
      <c r="DO377" s="11"/>
      <c r="DP377" s="11"/>
      <c r="DQ377" s="11"/>
      <c r="DR377" s="11"/>
      <c r="DS377" s="11"/>
      <c r="DT377" s="11"/>
      <c r="DU377" s="11"/>
      <c r="DV377" s="11"/>
      <c r="DW377" s="11"/>
      <c r="DX377" s="11"/>
      <c r="DY377" s="11"/>
      <c r="DZ377" s="11"/>
      <c r="EA377" s="11"/>
      <c r="EB377" s="11"/>
      <c r="EC377" s="107"/>
      <c r="ED377" s="107"/>
      <c r="EE377" s="11"/>
      <c r="EF377" s="107"/>
      <c r="EG377" s="108"/>
      <c r="EH377" s="11"/>
      <c r="EI377" s="107"/>
      <c r="EJ377" s="107"/>
      <c r="EK377" s="107"/>
      <c r="EL377" s="107"/>
      <c r="EM377" s="107"/>
      <c r="EN377" s="107"/>
      <c r="EO377" s="107"/>
      <c r="EP377" s="107"/>
      <c r="EQ377" s="107"/>
      <c r="ER377" s="107"/>
      <c r="ES377" s="107"/>
      <c r="ET377" s="107"/>
      <c r="EU377" s="107"/>
      <c r="EV377" s="107"/>
      <c r="EW377" s="107"/>
      <c r="EX377" s="107"/>
      <c r="EY377" s="107"/>
      <c r="EZ377" s="107"/>
      <c r="FA377" s="107"/>
      <c r="FB377" s="107"/>
      <c r="FC377" s="107"/>
      <c r="FD377" s="107"/>
      <c r="FE377" s="107"/>
      <c r="FF377" s="107"/>
      <c r="FG377" s="107"/>
      <c r="FH377" s="107"/>
      <c r="FI377" s="107"/>
      <c r="FJ377" s="107"/>
      <c r="FK377" s="107"/>
      <c r="FL377" s="107"/>
      <c r="FM377" s="107"/>
      <c r="FN377" s="107"/>
      <c r="FO377" s="11"/>
      <c r="FP377" s="11"/>
      <c r="FQ377" s="11"/>
      <c r="FR377" s="11"/>
      <c r="FS377" s="11"/>
      <c r="FT377" s="11"/>
      <c r="FU377" s="11"/>
      <c r="FV377" s="11"/>
      <c r="FW377" s="11"/>
      <c r="FX377" s="11"/>
      <c r="FY377" s="3"/>
      <c r="FZ377" s="270"/>
      <c r="GA377" s="270"/>
    </row>
    <row r="378" spans="1:183" s="268" customFormat="1" x14ac:dyDescent="0.25">
      <c r="A378" s="107"/>
      <c r="B378" s="108"/>
      <c r="C378" s="108"/>
      <c r="D378" s="108"/>
      <c r="E378" s="108"/>
      <c r="F378" s="11"/>
      <c r="G378" s="107"/>
      <c r="H378" s="108"/>
      <c r="I378" s="11"/>
      <c r="J378" s="11"/>
      <c r="K378" s="11"/>
      <c r="L378" s="11"/>
      <c r="M378" s="11"/>
      <c r="N378" s="11"/>
      <c r="O378" s="11"/>
      <c r="P378" s="3"/>
      <c r="Q378" s="3"/>
      <c r="R378" s="108"/>
      <c r="S378" s="108"/>
      <c r="T378" s="108"/>
      <c r="U378" s="107"/>
      <c r="V378" s="108"/>
      <c r="W378" s="11"/>
      <c r="X378" s="107"/>
      <c r="Y378" s="108"/>
      <c r="Z378" s="11"/>
      <c r="AA378" s="107"/>
      <c r="AB378" s="11"/>
      <c r="AC378" s="107"/>
      <c r="AD378" s="108"/>
      <c r="AE378" s="11"/>
      <c r="AF378" s="107"/>
      <c r="AG378" s="11"/>
      <c r="AH378" s="107"/>
      <c r="AI378" s="11"/>
      <c r="AJ378" s="107"/>
      <c r="AK378" s="11"/>
      <c r="AL378" s="107"/>
      <c r="AM378" s="11"/>
      <c r="AN378" s="11"/>
      <c r="AO378" s="11"/>
      <c r="AP378" s="3"/>
      <c r="AQ378" s="107"/>
      <c r="AR378" s="11"/>
      <c r="AS378" s="107"/>
      <c r="AT378" s="108"/>
      <c r="AU378" s="11"/>
      <c r="AV378" s="11"/>
      <c r="AW378" s="107"/>
      <c r="AX378" s="11"/>
      <c r="AY378" s="107"/>
      <c r="AZ378" s="11"/>
      <c r="BA378" s="107"/>
      <c r="BB378" s="107"/>
      <c r="BC378" s="107"/>
      <c r="BD378" s="11"/>
      <c r="BE378" s="107"/>
      <c r="BF378" s="11"/>
      <c r="BG378" s="11"/>
      <c r="BH378" s="11"/>
      <c r="BI378" s="107"/>
      <c r="BJ378" s="107"/>
      <c r="BK378" s="11"/>
      <c r="BL378" s="11"/>
      <c r="BM378" s="107"/>
      <c r="BN378" s="11"/>
      <c r="BO378" s="107"/>
      <c r="BP378" s="108"/>
      <c r="BQ378" s="11"/>
      <c r="BR378" s="107"/>
      <c r="BS378" s="11"/>
      <c r="BT378" s="107"/>
      <c r="BU378" s="107"/>
      <c r="BV378" s="107"/>
      <c r="BW378" s="107"/>
      <c r="BX378" s="107"/>
      <c r="BY378" s="11"/>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c r="CW378" s="107"/>
      <c r="CX378" s="107"/>
      <c r="CY378" s="107"/>
      <c r="CZ378" s="107"/>
      <c r="DA378" s="107"/>
      <c r="DB378" s="107"/>
      <c r="DC378" s="107"/>
      <c r="DD378" s="107"/>
      <c r="DE378" s="107"/>
      <c r="DF378" s="107"/>
      <c r="DG378" s="107"/>
      <c r="DH378" s="107"/>
      <c r="DI378" s="107"/>
      <c r="DJ378" s="107"/>
      <c r="DK378" s="11"/>
      <c r="DL378" s="11"/>
      <c r="DM378" s="11"/>
      <c r="DN378" s="11"/>
      <c r="DO378" s="11"/>
      <c r="DP378" s="11"/>
      <c r="DQ378" s="11"/>
      <c r="DR378" s="11"/>
      <c r="DS378" s="11"/>
      <c r="DT378" s="11"/>
      <c r="DU378" s="11"/>
      <c r="DV378" s="11"/>
      <c r="DW378" s="11"/>
      <c r="DX378" s="11"/>
      <c r="DY378" s="11"/>
      <c r="DZ378" s="11"/>
      <c r="EA378" s="11"/>
      <c r="EB378" s="11"/>
      <c r="EC378" s="107"/>
      <c r="ED378" s="107"/>
      <c r="EE378" s="11"/>
      <c r="EF378" s="107"/>
      <c r="EG378" s="108"/>
      <c r="EH378" s="11"/>
      <c r="EI378" s="107"/>
      <c r="EJ378" s="107"/>
      <c r="EK378" s="107"/>
      <c r="EL378" s="107"/>
      <c r="EM378" s="107"/>
      <c r="EN378" s="107"/>
      <c r="EO378" s="107"/>
      <c r="EP378" s="107"/>
      <c r="EQ378" s="107"/>
      <c r="ER378" s="107"/>
      <c r="ES378" s="107"/>
      <c r="ET378" s="107"/>
      <c r="EU378" s="107"/>
      <c r="EV378" s="107"/>
      <c r="EW378" s="107"/>
      <c r="EX378" s="107"/>
      <c r="EY378" s="107"/>
      <c r="EZ378" s="107"/>
      <c r="FA378" s="107"/>
      <c r="FB378" s="107"/>
      <c r="FC378" s="107"/>
      <c r="FD378" s="107"/>
      <c r="FE378" s="107"/>
      <c r="FF378" s="107"/>
      <c r="FG378" s="107"/>
      <c r="FH378" s="107"/>
      <c r="FI378" s="107"/>
      <c r="FJ378" s="107"/>
      <c r="FK378" s="107"/>
      <c r="FL378" s="107"/>
      <c r="FM378" s="107"/>
      <c r="FN378" s="107"/>
      <c r="FO378" s="11"/>
      <c r="FP378" s="11"/>
      <c r="FQ378" s="11"/>
      <c r="FR378" s="11"/>
      <c r="FS378" s="11"/>
      <c r="FT378" s="11"/>
      <c r="FU378" s="11"/>
      <c r="FV378" s="11"/>
      <c r="FW378" s="11"/>
      <c r="FX378" s="11"/>
      <c r="FY378" s="3"/>
      <c r="FZ378" s="270"/>
      <c r="GA378" s="270"/>
    </row>
    <row r="379" spans="1:183" s="268" customFormat="1" x14ac:dyDescent="0.25">
      <c r="A379" s="107"/>
      <c r="B379" s="108"/>
      <c r="C379" s="108"/>
      <c r="D379" s="108"/>
      <c r="E379" s="108"/>
      <c r="F379" s="11"/>
      <c r="G379" s="107"/>
      <c r="H379" s="108"/>
      <c r="I379" s="11"/>
      <c r="J379" s="11"/>
      <c r="K379" s="11"/>
      <c r="L379" s="11"/>
      <c r="M379" s="11"/>
      <c r="N379" s="11"/>
      <c r="O379" s="11"/>
      <c r="P379" s="3"/>
      <c r="Q379" s="3"/>
      <c r="R379" s="108"/>
      <c r="S379" s="108"/>
      <c r="T379" s="108"/>
      <c r="U379" s="107"/>
      <c r="V379" s="108"/>
      <c r="W379" s="11"/>
      <c r="X379" s="107"/>
      <c r="Y379" s="108"/>
      <c r="Z379" s="11"/>
      <c r="AA379" s="107"/>
      <c r="AB379" s="11"/>
      <c r="AC379" s="107"/>
      <c r="AD379" s="108"/>
      <c r="AE379" s="11"/>
      <c r="AF379" s="107"/>
      <c r="AG379" s="11"/>
      <c r="AH379" s="107"/>
      <c r="AI379" s="11"/>
      <c r="AJ379" s="107"/>
      <c r="AK379" s="11"/>
      <c r="AL379" s="107"/>
      <c r="AM379" s="11"/>
      <c r="AN379" s="11"/>
      <c r="AO379" s="11"/>
      <c r="AP379" s="3"/>
      <c r="AQ379" s="107"/>
      <c r="AR379" s="11"/>
      <c r="AS379" s="107"/>
      <c r="AT379" s="108"/>
      <c r="AU379" s="11"/>
      <c r="AV379" s="11"/>
      <c r="AW379" s="107"/>
      <c r="AX379" s="11"/>
      <c r="AY379" s="107"/>
      <c r="AZ379" s="11"/>
      <c r="BA379" s="107"/>
      <c r="BB379" s="107"/>
      <c r="BC379" s="107"/>
      <c r="BD379" s="11"/>
      <c r="BE379" s="107"/>
      <c r="BF379" s="11"/>
      <c r="BG379" s="11"/>
      <c r="BH379" s="11"/>
      <c r="BI379" s="107"/>
      <c r="BJ379" s="107"/>
      <c r="BK379" s="11"/>
      <c r="BL379" s="11"/>
      <c r="BM379" s="107"/>
      <c r="BN379" s="11"/>
      <c r="BO379" s="107"/>
      <c r="BP379" s="108"/>
      <c r="BQ379" s="11"/>
      <c r="BR379" s="107"/>
      <c r="BS379" s="11"/>
      <c r="BT379" s="107"/>
      <c r="BU379" s="107"/>
      <c r="BV379" s="107"/>
      <c r="BW379" s="107"/>
      <c r="BX379" s="107"/>
      <c r="BY379" s="11"/>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c r="CW379" s="107"/>
      <c r="CX379" s="107"/>
      <c r="CY379" s="107"/>
      <c r="CZ379" s="107"/>
      <c r="DA379" s="107"/>
      <c r="DB379" s="107"/>
      <c r="DC379" s="107"/>
      <c r="DD379" s="107"/>
      <c r="DE379" s="107"/>
      <c r="DF379" s="107"/>
      <c r="DG379" s="107"/>
      <c r="DH379" s="107"/>
      <c r="DI379" s="107"/>
      <c r="DJ379" s="107"/>
      <c r="DK379" s="11"/>
      <c r="DL379" s="11"/>
      <c r="DM379" s="11"/>
      <c r="DN379" s="11"/>
      <c r="DO379" s="11"/>
      <c r="DP379" s="11"/>
      <c r="DQ379" s="11"/>
      <c r="DR379" s="11"/>
      <c r="DS379" s="11"/>
      <c r="DT379" s="11"/>
      <c r="DU379" s="11"/>
      <c r="DV379" s="11"/>
      <c r="DW379" s="11"/>
      <c r="DX379" s="11"/>
      <c r="DY379" s="11"/>
      <c r="DZ379" s="11"/>
      <c r="EA379" s="11"/>
      <c r="EB379" s="11"/>
      <c r="EC379" s="107"/>
      <c r="ED379" s="107"/>
      <c r="EE379" s="11"/>
      <c r="EF379" s="107"/>
      <c r="EG379" s="108"/>
      <c r="EH379" s="11"/>
      <c r="EI379" s="107"/>
      <c r="EJ379" s="107"/>
      <c r="EK379" s="107"/>
      <c r="EL379" s="107"/>
      <c r="EM379" s="107"/>
      <c r="EN379" s="107"/>
      <c r="EO379" s="107"/>
      <c r="EP379" s="107"/>
      <c r="EQ379" s="107"/>
      <c r="ER379" s="107"/>
      <c r="ES379" s="107"/>
      <c r="ET379" s="107"/>
      <c r="EU379" s="107"/>
      <c r="EV379" s="107"/>
      <c r="EW379" s="107"/>
      <c r="EX379" s="107"/>
      <c r="EY379" s="107"/>
      <c r="EZ379" s="107"/>
      <c r="FA379" s="107"/>
      <c r="FB379" s="107"/>
      <c r="FC379" s="107"/>
      <c r="FD379" s="107"/>
      <c r="FE379" s="107"/>
      <c r="FF379" s="107"/>
      <c r="FG379" s="107"/>
      <c r="FH379" s="107"/>
      <c r="FI379" s="107"/>
      <c r="FJ379" s="107"/>
      <c r="FK379" s="107"/>
      <c r="FL379" s="107"/>
      <c r="FM379" s="107"/>
      <c r="FN379" s="107"/>
      <c r="FO379" s="11"/>
      <c r="FP379" s="11"/>
      <c r="FQ379" s="11"/>
      <c r="FR379" s="11"/>
      <c r="FS379" s="11"/>
      <c r="FT379" s="11"/>
      <c r="FU379" s="11"/>
      <c r="FV379" s="11"/>
      <c r="FW379" s="11"/>
      <c r="FX379" s="11"/>
      <c r="FY379" s="3"/>
      <c r="FZ379" s="270"/>
      <c r="GA379" s="270"/>
    </row>
    <row r="380" spans="1:183" s="268" customFormat="1" x14ac:dyDescent="0.25">
      <c r="A380" s="107"/>
      <c r="B380" s="108"/>
      <c r="C380" s="108"/>
      <c r="D380" s="108"/>
      <c r="E380" s="108"/>
      <c r="F380" s="11"/>
      <c r="G380" s="107"/>
      <c r="H380" s="108"/>
      <c r="I380" s="11"/>
      <c r="J380" s="11"/>
      <c r="K380" s="11"/>
      <c r="L380" s="11"/>
      <c r="M380" s="11"/>
      <c r="N380" s="11"/>
      <c r="O380" s="11"/>
      <c r="P380" s="3"/>
      <c r="Q380" s="3"/>
      <c r="R380" s="108"/>
      <c r="S380" s="108"/>
      <c r="T380" s="108"/>
      <c r="U380" s="107"/>
      <c r="V380" s="108"/>
      <c r="W380" s="11"/>
      <c r="X380" s="107"/>
      <c r="Y380" s="108"/>
      <c r="Z380" s="11"/>
      <c r="AA380" s="107"/>
      <c r="AB380" s="11"/>
      <c r="AC380" s="107"/>
      <c r="AD380" s="108"/>
      <c r="AE380" s="11"/>
      <c r="AF380" s="107"/>
      <c r="AG380" s="11"/>
      <c r="AH380" s="107"/>
      <c r="AI380" s="11"/>
      <c r="AJ380" s="107"/>
      <c r="AK380" s="11"/>
      <c r="AL380" s="107"/>
      <c r="AM380" s="11"/>
      <c r="AN380" s="11"/>
      <c r="AO380" s="11"/>
      <c r="AP380" s="3"/>
      <c r="AQ380" s="107"/>
      <c r="AR380" s="11"/>
      <c r="AS380" s="107"/>
      <c r="AT380" s="108"/>
      <c r="AU380" s="11"/>
      <c r="AV380" s="11"/>
      <c r="AW380" s="107"/>
      <c r="AX380" s="11"/>
      <c r="AY380" s="107"/>
      <c r="AZ380" s="11"/>
      <c r="BA380" s="107"/>
      <c r="BB380" s="107"/>
      <c r="BC380" s="107"/>
      <c r="BD380" s="11"/>
      <c r="BE380" s="107"/>
      <c r="BF380" s="11"/>
      <c r="BG380" s="11"/>
      <c r="BH380" s="11"/>
      <c r="BI380" s="107"/>
      <c r="BJ380" s="107"/>
      <c r="BK380" s="11"/>
      <c r="BL380" s="11"/>
      <c r="BM380" s="107"/>
      <c r="BN380" s="11"/>
      <c r="BO380" s="107"/>
      <c r="BP380" s="108"/>
      <c r="BQ380" s="11"/>
      <c r="BR380" s="107"/>
      <c r="BS380" s="11"/>
      <c r="BT380" s="107"/>
      <c r="BU380" s="107"/>
      <c r="BV380" s="107"/>
      <c r="BW380" s="107"/>
      <c r="BX380" s="107"/>
      <c r="BY380" s="11"/>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1"/>
      <c r="DL380" s="11"/>
      <c r="DM380" s="11"/>
      <c r="DN380" s="11"/>
      <c r="DO380" s="11"/>
      <c r="DP380" s="11"/>
      <c r="DQ380" s="11"/>
      <c r="DR380" s="11"/>
      <c r="DS380" s="11"/>
      <c r="DT380" s="11"/>
      <c r="DU380" s="11"/>
      <c r="DV380" s="11"/>
      <c r="DW380" s="11"/>
      <c r="DX380" s="11"/>
      <c r="DY380" s="11"/>
      <c r="DZ380" s="11"/>
      <c r="EA380" s="11"/>
      <c r="EB380" s="11"/>
      <c r="EC380" s="107"/>
      <c r="ED380" s="107"/>
      <c r="EE380" s="11"/>
      <c r="EF380" s="107"/>
      <c r="EG380" s="108"/>
      <c r="EH380" s="11"/>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107"/>
      <c r="FO380" s="11"/>
      <c r="FP380" s="11"/>
      <c r="FQ380" s="11"/>
      <c r="FR380" s="11"/>
      <c r="FS380" s="11"/>
      <c r="FT380" s="11"/>
      <c r="FU380" s="11"/>
      <c r="FV380" s="11"/>
      <c r="FW380" s="11"/>
      <c r="FX380" s="11"/>
      <c r="FY380" s="3"/>
      <c r="FZ380" s="270"/>
      <c r="GA380" s="270"/>
    </row>
    <row r="381" spans="1:183" s="268" customFormat="1" x14ac:dyDescent="0.25">
      <c r="A381" s="107"/>
      <c r="B381" s="7"/>
      <c r="C381" s="7"/>
      <c r="D381" s="7"/>
      <c r="E381" s="7"/>
      <c r="F381" s="10"/>
      <c r="G381" s="107"/>
      <c r="H381" s="7"/>
      <c r="I381" s="10"/>
      <c r="J381" s="10"/>
      <c r="K381" s="10"/>
      <c r="L381" s="10"/>
      <c r="M381" s="10"/>
      <c r="N381" s="10"/>
      <c r="O381" s="10"/>
      <c r="P381" s="8"/>
      <c r="Q381" s="8"/>
      <c r="R381" s="7"/>
      <c r="S381" s="7"/>
      <c r="T381" s="7"/>
      <c r="U381" s="107"/>
      <c r="V381" s="7"/>
      <c r="W381" s="10"/>
      <c r="X381" s="107"/>
      <c r="Y381" s="7"/>
      <c r="Z381" s="10"/>
      <c r="AA381" s="107"/>
      <c r="AB381" s="10"/>
      <c r="AC381" s="107"/>
      <c r="AD381" s="7"/>
      <c r="AE381" s="10"/>
      <c r="AF381" s="107"/>
      <c r="AG381" s="10"/>
      <c r="AH381" s="107"/>
      <c r="AI381" s="10"/>
      <c r="AJ381" s="107"/>
      <c r="AK381" s="10"/>
      <c r="AL381" s="107"/>
      <c r="AM381" s="10"/>
      <c r="AN381" s="10"/>
      <c r="AO381" s="10"/>
      <c r="AP381" s="8"/>
      <c r="AQ381" s="107"/>
      <c r="AR381" s="10"/>
      <c r="AS381" s="107"/>
      <c r="AT381" s="7"/>
      <c r="AU381" s="10"/>
      <c r="AV381" s="10"/>
      <c r="AW381" s="107"/>
      <c r="AX381" s="10"/>
      <c r="AY381" s="107"/>
      <c r="AZ381" s="10"/>
      <c r="BA381" s="107"/>
      <c r="BB381" s="107"/>
      <c r="BC381" s="107"/>
      <c r="BD381" s="10"/>
      <c r="BE381" s="107"/>
      <c r="BF381" s="10"/>
      <c r="BG381" s="10"/>
      <c r="BH381" s="10"/>
      <c r="BI381" s="107"/>
      <c r="BJ381" s="107"/>
      <c r="BK381" s="10"/>
      <c r="BL381" s="10"/>
      <c r="BM381" s="107"/>
      <c r="BN381" s="10"/>
      <c r="BO381" s="107"/>
      <c r="BP381" s="7"/>
      <c r="BQ381" s="10"/>
      <c r="BR381" s="107"/>
      <c r="BS381" s="10"/>
      <c r="BT381" s="107"/>
      <c r="BU381" s="107"/>
      <c r="BV381" s="107"/>
      <c r="BW381" s="107"/>
      <c r="BX381" s="107"/>
      <c r="BY381" s="10"/>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c r="CW381" s="107"/>
      <c r="CX381" s="107"/>
      <c r="CY381" s="107"/>
      <c r="CZ381" s="107"/>
      <c r="DA381" s="107"/>
      <c r="DB381" s="107"/>
      <c r="DC381" s="107"/>
      <c r="DD381" s="107"/>
      <c r="DE381" s="107"/>
      <c r="DF381" s="107"/>
      <c r="DG381" s="107"/>
      <c r="DH381" s="107"/>
      <c r="DI381" s="107"/>
      <c r="DJ381" s="107"/>
      <c r="DK381" s="10"/>
      <c r="DL381" s="10"/>
      <c r="DM381" s="10"/>
      <c r="DN381" s="10"/>
      <c r="DO381" s="10"/>
      <c r="DP381" s="10"/>
      <c r="DQ381" s="10"/>
      <c r="DR381" s="10"/>
      <c r="DS381" s="10"/>
      <c r="DT381" s="10"/>
      <c r="DU381" s="10"/>
      <c r="DV381" s="10"/>
      <c r="DW381" s="10"/>
      <c r="DX381" s="10"/>
      <c r="DY381" s="10"/>
      <c r="DZ381" s="10"/>
      <c r="EA381" s="10"/>
      <c r="EB381" s="10"/>
      <c r="EC381" s="107"/>
      <c r="ED381" s="107"/>
      <c r="EE381" s="10"/>
      <c r="EF381" s="107"/>
      <c r="EG381" s="7"/>
      <c r="EH381" s="10"/>
      <c r="EI381" s="107"/>
      <c r="EJ381" s="107"/>
      <c r="EK381" s="107"/>
      <c r="EL381" s="107"/>
      <c r="EM381" s="107"/>
      <c r="EN381" s="107"/>
      <c r="EO381" s="107"/>
      <c r="EP381" s="107"/>
      <c r="EQ381" s="107"/>
      <c r="ER381" s="107"/>
      <c r="ES381" s="107"/>
      <c r="ET381" s="107"/>
      <c r="EU381" s="107"/>
      <c r="EV381" s="107"/>
      <c r="EW381" s="107"/>
      <c r="EX381" s="107"/>
      <c r="EY381" s="107"/>
      <c r="EZ381" s="107"/>
      <c r="FA381" s="107"/>
      <c r="FB381" s="107"/>
      <c r="FC381" s="107"/>
      <c r="FD381" s="107"/>
      <c r="FE381" s="107"/>
      <c r="FF381" s="107"/>
      <c r="FG381" s="107"/>
      <c r="FH381" s="107"/>
      <c r="FI381" s="107"/>
      <c r="FJ381" s="107"/>
      <c r="FK381" s="107"/>
      <c r="FL381" s="107"/>
      <c r="FM381" s="107"/>
      <c r="FN381" s="107"/>
      <c r="FO381" s="10"/>
      <c r="FP381" s="10"/>
      <c r="FQ381" s="10"/>
      <c r="FR381" s="10"/>
      <c r="FS381" s="10"/>
      <c r="FT381" s="10"/>
      <c r="FU381" s="10"/>
      <c r="FV381" s="10"/>
      <c r="FW381" s="10"/>
      <c r="FX381" s="10"/>
      <c r="FY381" s="8"/>
      <c r="FZ381" s="266"/>
      <c r="GA381" s="266"/>
    </row>
    <row r="382" spans="1:183" s="268" customFormat="1" x14ac:dyDescent="0.25">
      <c r="A382" s="107"/>
      <c r="B382" s="7"/>
      <c r="C382" s="7"/>
      <c r="D382" s="7"/>
      <c r="E382" s="7"/>
      <c r="F382" s="10"/>
      <c r="G382" s="107"/>
      <c r="H382" s="7"/>
      <c r="I382" s="10"/>
      <c r="J382" s="10"/>
      <c r="K382" s="10"/>
      <c r="L382" s="10"/>
      <c r="M382" s="10"/>
      <c r="N382" s="10"/>
      <c r="O382" s="10"/>
      <c r="P382" s="8"/>
      <c r="Q382" s="8"/>
      <c r="R382" s="7"/>
      <c r="S382" s="7"/>
      <c r="T382" s="7"/>
      <c r="U382" s="107"/>
      <c r="V382" s="7"/>
      <c r="W382" s="10"/>
      <c r="X382" s="107"/>
      <c r="Y382" s="7"/>
      <c r="Z382" s="10"/>
      <c r="AA382" s="107"/>
      <c r="AB382" s="10"/>
      <c r="AC382" s="107"/>
      <c r="AD382" s="7"/>
      <c r="AE382" s="10"/>
      <c r="AF382" s="107"/>
      <c r="AG382" s="10"/>
      <c r="AH382" s="107"/>
      <c r="AI382" s="10"/>
      <c r="AJ382" s="107"/>
      <c r="AK382" s="10"/>
      <c r="AL382" s="107"/>
      <c r="AM382" s="10"/>
      <c r="AN382" s="10"/>
      <c r="AO382" s="10"/>
      <c r="AP382" s="8"/>
      <c r="AQ382" s="107"/>
      <c r="AR382" s="10"/>
      <c r="AS382" s="107"/>
      <c r="AT382" s="7"/>
      <c r="AU382" s="10"/>
      <c r="AV382" s="10"/>
      <c r="AW382" s="107"/>
      <c r="AX382" s="10"/>
      <c r="AY382" s="107"/>
      <c r="AZ382" s="10"/>
      <c r="BA382" s="107"/>
      <c r="BB382" s="107"/>
      <c r="BC382" s="107"/>
      <c r="BD382" s="10"/>
      <c r="BE382" s="107"/>
      <c r="BF382" s="10"/>
      <c r="BG382" s="10"/>
      <c r="BH382" s="10"/>
      <c r="BI382" s="107"/>
      <c r="BJ382" s="107"/>
      <c r="BK382" s="10"/>
      <c r="BL382" s="10"/>
      <c r="BM382" s="107"/>
      <c r="BN382" s="10"/>
      <c r="BO382" s="107"/>
      <c r="BP382" s="7"/>
      <c r="BQ382" s="10"/>
      <c r="BR382" s="107"/>
      <c r="BS382" s="10"/>
      <c r="BT382" s="107"/>
      <c r="BU382" s="107"/>
      <c r="BV382" s="107"/>
      <c r="BW382" s="107"/>
      <c r="BX382" s="107"/>
      <c r="BY382" s="10"/>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c r="CW382" s="107"/>
      <c r="CX382" s="107"/>
      <c r="CY382" s="107"/>
      <c r="CZ382" s="107"/>
      <c r="DA382" s="107"/>
      <c r="DB382" s="107"/>
      <c r="DC382" s="107"/>
      <c r="DD382" s="107"/>
      <c r="DE382" s="107"/>
      <c r="DF382" s="107"/>
      <c r="DG382" s="107"/>
      <c r="DH382" s="107"/>
      <c r="DI382" s="107"/>
      <c r="DJ382" s="107"/>
      <c r="DK382" s="10"/>
      <c r="DL382" s="10"/>
      <c r="DM382" s="10"/>
      <c r="DN382" s="10"/>
      <c r="DO382" s="10"/>
      <c r="DP382" s="10"/>
      <c r="DQ382" s="10"/>
      <c r="DR382" s="10"/>
      <c r="DS382" s="10"/>
      <c r="DT382" s="10"/>
      <c r="DU382" s="10"/>
      <c r="DV382" s="10"/>
      <c r="DW382" s="10"/>
      <c r="DX382" s="10"/>
      <c r="DY382" s="10"/>
      <c r="DZ382" s="10"/>
      <c r="EA382" s="10"/>
      <c r="EB382" s="10"/>
      <c r="EC382" s="107"/>
      <c r="ED382" s="107"/>
      <c r="EE382" s="10"/>
      <c r="EF382" s="107"/>
      <c r="EG382" s="7"/>
      <c r="EH382" s="10"/>
      <c r="EI382" s="107"/>
      <c r="EJ382" s="107"/>
      <c r="EK382" s="107"/>
      <c r="EL382" s="107"/>
      <c r="EM382" s="107"/>
      <c r="EN382" s="107"/>
      <c r="EO382" s="107"/>
      <c r="EP382" s="107"/>
      <c r="EQ382" s="107"/>
      <c r="ER382" s="107"/>
      <c r="ES382" s="107"/>
      <c r="ET382" s="107"/>
      <c r="EU382" s="107"/>
      <c r="EV382" s="107"/>
      <c r="EW382" s="107"/>
      <c r="EX382" s="107"/>
      <c r="EY382" s="107"/>
      <c r="EZ382" s="107"/>
      <c r="FA382" s="107"/>
      <c r="FB382" s="107"/>
      <c r="FC382" s="107"/>
      <c r="FD382" s="107"/>
      <c r="FE382" s="107"/>
      <c r="FF382" s="107"/>
      <c r="FG382" s="107"/>
      <c r="FH382" s="107"/>
      <c r="FI382" s="107"/>
      <c r="FJ382" s="107"/>
      <c r="FK382" s="107"/>
      <c r="FL382" s="107"/>
      <c r="FM382" s="107"/>
      <c r="FN382" s="107"/>
      <c r="FO382" s="10"/>
      <c r="FP382" s="10"/>
      <c r="FQ382" s="10"/>
      <c r="FR382" s="10"/>
      <c r="FS382" s="10"/>
      <c r="FT382" s="10"/>
      <c r="FU382" s="10"/>
      <c r="FV382" s="10"/>
      <c r="FW382" s="10"/>
      <c r="FX382" s="10"/>
      <c r="FY382" s="8"/>
      <c r="FZ382" s="266"/>
      <c r="GA382" s="266"/>
    </row>
    <row r="383" spans="1:183" s="268" customFormat="1" x14ac:dyDescent="0.25">
      <c r="A383" s="107"/>
      <c r="B383" s="7"/>
      <c r="C383" s="7"/>
      <c r="D383" s="7"/>
      <c r="E383" s="7"/>
      <c r="F383" s="10"/>
      <c r="G383" s="107"/>
      <c r="H383" s="7"/>
      <c r="I383" s="10"/>
      <c r="J383" s="10"/>
      <c r="K383" s="10"/>
      <c r="L383" s="10"/>
      <c r="M383" s="10"/>
      <c r="N383" s="10"/>
      <c r="O383" s="10"/>
      <c r="P383" s="8"/>
      <c r="Q383" s="8"/>
      <c r="R383" s="7"/>
      <c r="S383" s="7"/>
      <c r="T383" s="7"/>
      <c r="U383" s="107"/>
      <c r="V383" s="7"/>
      <c r="W383" s="10"/>
      <c r="X383" s="107"/>
      <c r="Y383" s="7"/>
      <c r="Z383" s="10"/>
      <c r="AA383" s="107"/>
      <c r="AB383" s="10"/>
      <c r="AC383" s="107"/>
      <c r="AD383" s="7"/>
      <c r="AE383" s="10"/>
      <c r="AF383" s="107"/>
      <c r="AG383" s="10"/>
      <c r="AH383" s="107"/>
      <c r="AI383" s="10"/>
      <c r="AJ383" s="107"/>
      <c r="AK383" s="10"/>
      <c r="AL383" s="107"/>
      <c r="AM383" s="10"/>
      <c r="AN383" s="10"/>
      <c r="AO383" s="10"/>
      <c r="AP383" s="8"/>
      <c r="AQ383" s="107"/>
      <c r="AR383" s="10"/>
      <c r="AS383" s="107"/>
      <c r="AT383" s="7"/>
      <c r="AU383" s="10"/>
      <c r="AV383" s="10"/>
      <c r="AW383" s="107"/>
      <c r="AX383" s="10"/>
      <c r="AY383" s="107"/>
      <c r="AZ383" s="10"/>
      <c r="BA383" s="107"/>
      <c r="BB383" s="107"/>
      <c r="BC383" s="107"/>
      <c r="BD383" s="10"/>
      <c r="BE383" s="107"/>
      <c r="BF383" s="10"/>
      <c r="BG383" s="10"/>
      <c r="BH383" s="10"/>
      <c r="BI383" s="107"/>
      <c r="BJ383" s="107"/>
      <c r="BK383" s="10"/>
      <c r="BL383" s="10"/>
      <c r="BM383" s="107"/>
      <c r="BN383" s="10"/>
      <c r="BO383" s="107"/>
      <c r="BP383" s="7"/>
      <c r="BQ383" s="10"/>
      <c r="BR383" s="107"/>
      <c r="BS383" s="10"/>
      <c r="BT383" s="107"/>
      <c r="BU383" s="107"/>
      <c r="BV383" s="107"/>
      <c r="BW383" s="107"/>
      <c r="BX383" s="107"/>
      <c r="BY383" s="10"/>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c r="CW383" s="107"/>
      <c r="CX383" s="107"/>
      <c r="CY383" s="107"/>
      <c r="CZ383" s="107"/>
      <c r="DA383" s="107"/>
      <c r="DB383" s="107"/>
      <c r="DC383" s="107"/>
      <c r="DD383" s="107"/>
      <c r="DE383" s="107"/>
      <c r="DF383" s="107"/>
      <c r="DG383" s="107"/>
      <c r="DH383" s="107"/>
      <c r="DI383" s="107"/>
      <c r="DJ383" s="107"/>
      <c r="DK383" s="10"/>
      <c r="DL383" s="10"/>
      <c r="DM383" s="10"/>
      <c r="DN383" s="10"/>
      <c r="DO383" s="10"/>
      <c r="DP383" s="10"/>
      <c r="DQ383" s="10"/>
      <c r="DR383" s="10"/>
      <c r="DS383" s="10"/>
      <c r="DT383" s="10"/>
      <c r="DU383" s="10"/>
      <c r="DV383" s="10"/>
      <c r="DW383" s="10"/>
      <c r="DX383" s="10"/>
      <c r="DY383" s="10"/>
      <c r="DZ383" s="10"/>
      <c r="EA383" s="10"/>
      <c r="EB383" s="10"/>
      <c r="EC383" s="107"/>
      <c r="ED383" s="107"/>
      <c r="EE383" s="10"/>
      <c r="EF383" s="107"/>
      <c r="EG383" s="7"/>
      <c r="EH383" s="10"/>
      <c r="EI383" s="107"/>
      <c r="EJ383" s="107"/>
      <c r="EK383" s="107"/>
      <c r="EL383" s="107"/>
      <c r="EM383" s="107"/>
      <c r="EN383" s="107"/>
      <c r="EO383" s="107"/>
      <c r="EP383" s="107"/>
      <c r="EQ383" s="107"/>
      <c r="ER383" s="107"/>
      <c r="ES383" s="107"/>
      <c r="ET383" s="107"/>
      <c r="EU383" s="107"/>
      <c r="EV383" s="107"/>
      <c r="EW383" s="107"/>
      <c r="EX383" s="107"/>
      <c r="EY383" s="107"/>
      <c r="EZ383" s="107"/>
      <c r="FA383" s="107"/>
      <c r="FB383" s="107"/>
      <c r="FC383" s="107"/>
      <c r="FD383" s="107"/>
      <c r="FE383" s="107"/>
      <c r="FF383" s="107"/>
      <c r="FG383" s="107"/>
      <c r="FH383" s="107"/>
      <c r="FI383" s="107"/>
      <c r="FJ383" s="107"/>
      <c r="FK383" s="107"/>
      <c r="FL383" s="107"/>
      <c r="FM383" s="107"/>
      <c r="FN383" s="107"/>
      <c r="FO383" s="10"/>
      <c r="FP383" s="10"/>
      <c r="FQ383" s="10"/>
      <c r="FR383" s="10"/>
      <c r="FS383" s="10"/>
      <c r="FT383" s="10"/>
      <c r="FU383" s="10"/>
      <c r="FV383" s="10"/>
      <c r="FW383" s="10"/>
      <c r="FX383" s="10"/>
      <c r="FY383" s="8"/>
      <c r="FZ383" s="266"/>
      <c r="GA383" s="266"/>
    </row>
    <row r="384" spans="1:183" s="268" customFormat="1" x14ac:dyDescent="0.25">
      <c r="A384" s="107"/>
      <c r="B384" s="7"/>
      <c r="C384" s="7"/>
      <c r="D384" s="7"/>
      <c r="E384" s="7"/>
      <c r="F384" s="10"/>
      <c r="G384" s="107"/>
      <c r="H384" s="7"/>
      <c r="I384" s="10"/>
      <c r="J384" s="10"/>
      <c r="K384" s="10"/>
      <c r="L384" s="10"/>
      <c r="M384" s="10"/>
      <c r="N384" s="10"/>
      <c r="O384" s="10"/>
      <c r="P384" s="8"/>
      <c r="Q384" s="8"/>
      <c r="R384" s="7"/>
      <c r="S384" s="7"/>
      <c r="T384" s="7"/>
      <c r="U384" s="107"/>
      <c r="V384" s="7"/>
      <c r="W384" s="10"/>
      <c r="X384" s="107"/>
      <c r="Y384" s="7"/>
      <c r="Z384" s="10"/>
      <c r="AA384" s="107"/>
      <c r="AB384" s="10"/>
      <c r="AC384" s="107"/>
      <c r="AD384" s="7"/>
      <c r="AE384" s="10"/>
      <c r="AF384" s="107"/>
      <c r="AG384" s="10"/>
      <c r="AH384" s="107"/>
      <c r="AI384" s="10"/>
      <c r="AJ384" s="107"/>
      <c r="AK384" s="10"/>
      <c r="AL384" s="107"/>
      <c r="AM384" s="10"/>
      <c r="AN384" s="10"/>
      <c r="AO384" s="10"/>
      <c r="AP384" s="8"/>
      <c r="AQ384" s="107"/>
      <c r="AR384" s="10"/>
      <c r="AS384" s="107"/>
      <c r="AT384" s="7"/>
      <c r="AU384" s="10"/>
      <c r="AV384" s="10"/>
      <c r="AW384" s="107"/>
      <c r="AX384" s="10"/>
      <c r="AY384" s="107"/>
      <c r="AZ384" s="10"/>
      <c r="BA384" s="107"/>
      <c r="BB384" s="107"/>
      <c r="BC384" s="107"/>
      <c r="BD384" s="10"/>
      <c r="BE384" s="107"/>
      <c r="BF384" s="10"/>
      <c r="BG384" s="10"/>
      <c r="BH384" s="10"/>
      <c r="BI384" s="107"/>
      <c r="BJ384" s="107"/>
      <c r="BK384" s="10"/>
      <c r="BL384" s="10"/>
      <c r="BM384" s="107"/>
      <c r="BN384" s="10"/>
      <c r="BO384" s="107"/>
      <c r="BP384" s="7"/>
      <c r="BQ384" s="10"/>
      <c r="BR384" s="107"/>
      <c r="BS384" s="10"/>
      <c r="BT384" s="107"/>
      <c r="BU384" s="107"/>
      <c r="BV384" s="107"/>
      <c r="BW384" s="107"/>
      <c r="BX384" s="107"/>
      <c r="BY384" s="10"/>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c r="CW384" s="107"/>
      <c r="CX384" s="107"/>
      <c r="CY384" s="107"/>
      <c r="CZ384" s="107"/>
      <c r="DA384" s="107"/>
      <c r="DB384" s="107"/>
      <c r="DC384" s="107"/>
      <c r="DD384" s="107"/>
      <c r="DE384" s="107"/>
      <c r="DF384" s="107"/>
      <c r="DG384" s="107"/>
      <c r="DH384" s="107"/>
      <c r="DI384" s="107"/>
      <c r="DJ384" s="107"/>
      <c r="DK384" s="10"/>
      <c r="DL384" s="10"/>
      <c r="DM384" s="10"/>
      <c r="DN384" s="10"/>
      <c r="DO384" s="10"/>
      <c r="DP384" s="10"/>
      <c r="DQ384" s="10"/>
      <c r="DR384" s="10"/>
      <c r="DS384" s="10"/>
      <c r="DT384" s="10"/>
      <c r="DU384" s="10"/>
      <c r="DV384" s="10"/>
      <c r="DW384" s="10"/>
      <c r="DX384" s="10"/>
      <c r="DY384" s="10"/>
      <c r="DZ384" s="10"/>
      <c r="EA384" s="10"/>
      <c r="EB384" s="10"/>
      <c r="EC384" s="107"/>
      <c r="ED384" s="107"/>
      <c r="EE384" s="10"/>
      <c r="EF384" s="107"/>
      <c r="EG384" s="7"/>
      <c r="EH384" s="10"/>
      <c r="EI384" s="107"/>
      <c r="EJ384" s="107"/>
      <c r="EK384" s="107"/>
      <c r="EL384" s="107"/>
      <c r="EM384" s="107"/>
      <c r="EN384" s="107"/>
      <c r="EO384" s="107"/>
      <c r="EP384" s="107"/>
      <c r="EQ384" s="107"/>
      <c r="ER384" s="107"/>
      <c r="ES384" s="107"/>
      <c r="ET384" s="107"/>
      <c r="EU384" s="107"/>
      <c r="EV384" s="107"/>
      <c r="EW384" s="107"/>
      <c r="EX384" s="107"/>
      <c r="EY384" s="107"/>
      <c r="EZ384" s="107"/>
      <c r="FA384" s="107"/>
      <c r="FB384" s="107"/>
      <c r="FC384" s="107"/>
      <c r="FD384" s="107"/>
      <c r="FE384" s="107"/>
      <c r="FF384" s="107"/>
      <c r="FG384" s="107"/>
      <c r="FH384" s="107"/>
      <c r="FI384" s="107"/>
      <c r="FJ384" s="107"/>
      <c r="FK384" s="107"/>
      <c r="FL384" s="107"/>
      <c r="FM384" s="107"/>
      <c r="FN384" s="107"/>
      <c r="FO384" s="10"/>
      <c r="FP384" s="10"/>
      <c r="FQ384" s="10"/>
      <c r="FR384" s="10"/>
      <c r="FS384" s="10"/>
      <c r="FT384" s="10"/>
      <c r="FU384" s="10"/>
      <c r="FV384" s="10"/>
      <c r="FW384" s="10"/>
      <c r="FX384" s="10"/>
      <c r="FY384" s="8"/>
      <c r="FZ384" s="266"/>
      <c r="GA384" s="266"/>
    </row>
    <row r="385" spans="1:183" s="268" customFormat="1" x14ac:dyDescent="0.25">
      <c r="A385" s="107"/>
      <c r="B385" s="7"/>
      <c r="C385" s="7"/>
      <c r="D385" s="7"/>
      <c r="E385" s="7"/>
      <c r="F385" s="10"/>
      <c r="G385" s="107"/>
      <c r="H385" s="7"/>
      <c r="I385" s="10"/>
      <c r="J385" s="10"/>
      <c r="K385" s="10"/>
      <c r="L385" s="10"/>
      <c r="M385" s="10"/>
      <c r="N385" s="10"/>
      <c r="O385" s="10"/>
      <c r="P385" s="8"/>
      <c r="Q385" s="8"/>
      <c r="R385" s="7"/>
      <c r="S385" s="7"/>
      <c r="T385" s="7"/>
      <c r="U385" s="107"/>
      <c r="V385" s="7"/>
      <c r="W385" s="10"/>
      <c r="X385" s="107"/>
      <c r="Y385" s="7"/>
      <c r="Z385" s="10"/>
      <c r="AA385" s="107"/>
      <c r="AB385" s="10"/>
      <c r="AC385" s="107"/>
      <c r="AD385" s="7"/>
      <c r="AE385" s="10"/>
      <c r="AF385" s="107"/>
      <c r="AG385" s="10"/>
      <c r="AH385" s="107"/>
      <c r="AI385" s="10"/>
      <c r="AJ385" s="107"/>
      <c r="AK385" s="10"/>
      <c r="AL385" s="107"/>
      <c r="AM385" s="10"/>
      <c r="AN385" s="10"/>
      <c r="AO385" s="10"/>
      <c r="AP385" s="8"/>
      <c r="AQ385" s="107"/>
      <c r="AR385" s="10"/>
      <c r="AS385" s="107"/>
      <c r="AT385" s="7"/>
      <c r="AU385" s="10"/>
      <c r="AV385" s="10"/>
      <c r="AW385" s="107"/>
      <c r="AX385" s="10"/>
      <c r="AY385" s="107"/>
      <c r="AZ385" s="10"/>
      <c r="BA385" s="107"/>
      <c r="BB385" s="107"/>
      <c r="BC385" s="107"/>
      <c r="BD385" s="10"/>
      <c r="BE385" s="107"/>
      <c r="BF385" s="10"/>
      <c r="BG385" s="10"/>
      <c r="BH385" s="10"/>
      <c r="BI385" s="107"/>
      <c r="BJ385" s="107"/>
      <c r="BK385" s="10"/>
      <c r="BL385" s="10"/>
      <c r="BM385" s="107"/>
      <c r="BN385" s="10"/>
      <c r="BO385" s="107"/>
      <c r="BP385" s="7"/>
      <c r="BQ385" s="10"/>
      <c r="BR385" s="107"/>
      <c r="BS385" s="10"/>
      <c r="BT385" s="107"/>
      <c r="BU385" s="107"/>
      <c r="BV385" s="107"/>
      <c r="BW385" s="107"/>
      <c r="BX385" s="107"/>
      <c r="BY385" s="10"/>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c r="CW385" s="107"/>
      <c r="CX385" s="107"/>
      <c r="CY385" s="107"/>
      <c r="CZ385" s="107"/>
      <c r="DA385" s="107"/>
      <c r="DB385" s="107"/>
      <c r="DC385" s="107"/>
      <c r="DD385" s="107"/>
      <c r="DE385" s="107"/>
      <c r="DF385" s="107"/>
      <c r="DG385" s="107"/>
      <c r="DH385" s="107"/>
      <c r="DI385" s="107"/>
      <c r="DJ385" s="107"/>
      <c r="DK385" s="10"/>
      <c r="DL385" s="10"/>
      <c r="DM385" s="10"/>
      <c r="DN385" s="10"/>
      <c r="DO385" s="10"/>
      <c r="DP385" s="10"/>
      <c r="DQ385" s="10"/>
      <c r="DR385" s="10"/>
      <c r="DS385" s="10"/>
      <c r="DT385" s="10"/>
      <c r="DU385" s="10"/>
      <c r="DV385" s="10"/>
      <c r="DW385" s="10"/>
      <c r="DX385" s="10"/>
      <c r="DY385" s="10"/>
      <c r="DZ385" s="10"/>
      <c r="EA385" s="10"/>
      <c r="EB385" s="10"/>
      <c r="EC385" s="107"/>
      <c r="ED385" s="107"/>
      <c r="EE385" s="10"/>
      <c r="EF385" s="107"/>
      <c r="EG385" s="7"/>
      <c r="EH385" s="10"/>
      <c r="EI385" s="107"/>
      <c r="EJ385" s="107"/>
      <c r="EK385" s="107"/>
      <c r="EL385" s="107"/>
      <c r="EM385" s="107"/>
      <c r="EN385" s="107"/>
      <c r="EO385" s="107"/>
      <c r="EP385" s="107"/>
      <c r="EQ385" s="107"/>
      <c r="ER385" s="107"/>
      <c r="ES385" s="107"/>
      <c r="ET385" s="107"/>
      <c r="EU385" s="107"/>
      <c r="EV385" s="107"/>
      <c r="EW385" s="107"/>
      <c r="EX385" s="107"/>
      <c r="EY385" s="107"/>
      <c r="EZ385" s="107"/>
      <c r="FA385" s="107"/>
      <c r="FB385" s="107"/>
      <c r="FC385" s="107"/>
      <c r="FD385" s="107"/>
      <c r="FE385" s="107"/>
      <c r="FF385" s="107"/>
      <c r="FG385" s="107"/>
      <c r="FH385" s="107"/>
      <c r="FI385" s="107"/>
      <c r="FJ385" s="107"/>
      <c r="FK385" s="107"/>
      <c r="FL385" s="107"/>
      <c r="FM385" s="107"/>
      <c r="FN385" s="107"/>
      <c r="FO385" s="10"/>
      <c r="FP385" s="10"/>
      <c r="FQ385" s="10"/>
      <c r="FR385" s="10"/>
      <c r="FS385" s="10"/>
      <c r="FT385" s="10"/>
      <c r="FU385" s="10"/>
      <c r="FV385" s="10"/>
      <c r="FW385" s="10"/>
      <c r="FX385" s="10"/>
      <c r="FY385" s="8"/>
      <c r="FZ385" s="266"/>
      <c r="GA385" s="266"/>
    </row>
    <row r="386" spans="1:183" s="268" customFormat="1" x14ac:dyDescent="0.25">
      <c r="A386" s="107"/>
      <c r="B386" s="7"/>
      <c r="C386" s="7"/>
      <c r="D386" s="7"/>
      <c r="E386" s="7"/>
      <c r="F386" s="10"/>
      <c r="G386" s="107"/>
      <c r="H386" s="7"/>
      <c r="I386" s="10"/>
      <c r="J386" s="10"/>
      <c r="K386" s="10"/>
      <c r="L386" s="10"/>
      <c r="M386" s="10"/>
      <c r="N386" s="10"/>
      <c r="O386" s="10"/>
      <c r="P386" s="8"/>
      <c r="Q386" s="8"/>
      <c r="R386" s="7"/>
      <c r="S386" s="7"/>
      <c r="T386" s="7"/>
      <c r="U386" s="107"/>
      <c r="V386" s="7"/>
      <c r="W386" s="10"/>
      <c r="X386" s="107"/>
      <c r="Y386" s="7"/>
      <c r="Z386" s="10"/>
      <c r="AA386" s="107"/>
      <c r="AB386" s="10"/>
      <c r="AC386" s="107"/>
      <c r="AD386" s="7"/>
      <c r="AE386" s="10"/>
      <c r="AF386" s="107"/>
      <c r="AG386" s="10"/>
      <c r="AH386" s="107"/>
      <c r="AI386" s="10"/>
      <c r="AJ386" s="107"/>
      <c r="AK386" s="10"/>
      <c r="AL386" s="107"/>
      <c r="AM386" s="10"/>
      <c r="AN386" s="10"/>
      <c r="AO386" s="10"/>
      <c r="AP386" s="8"/>
      <c r="AQ386" s="107"/>
      <c r="AR386" s="10"/>
      <c r="AS386" s="107"/>
      <c r="AT386" s="7"/>
      <c r="AU386" s="10"/>
      <c r="AV386" s="10"/>
      <c r="AW386" s="107"/>
      <c r="AX386" s="10"/>
      <c r="AY386" s="107"/>
      <c r="AZ386" s="10"/>
      <c r="BA386" s="107"/>
      <c r="BB386" s="107"/>
      <c r="BC386" s="107"/>
      <c r="BD386" s="10"/>
      <c r="BE386" s="107"/>
      <c r="BF386" s="10"/>
      <c r="BG386" s="10"/>
      <c r="BH386" s="10"/>
      <c r="BI386" s="107"/>
      <c r="BJ386" s="107"/>
      <c r="BK386" s="10"/>
      <c r="BL386" s="10"/>
      <c r="BM386" s="107"/>
      <c r="BN386" s="10"/>
      <c r="BO386" s="107"/>
      <c r="BP386" s="7"/>
      <c r="BQ386" s="10"/>
      <c r="BR386" s="107"/>
      <c r="BS386" s="10"/>
      <c r="BT386" s="107"/>
      <c r="BU386" s="107"/>
      <c r="BV386" s="107"/>
      <c r="BW386" s="107"/>
      <c r="BX386" s="107"/>
      <c r="BY386" s="10"/>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c r="CW386" s="107"/>
      <c r="CX386" s="107"/>
      <c r="CY386" s="107"/>
      <c r="CZ386" s="107"/>
      <c r="DA386" s="107"/>
      <c r="DB386" s="107"/>
      <c r="DC386" s="107"/>
      <c r="DD386" s="107"/>
      <c r="DE386" s="107"/>
      <c r="DF386" s="107"/>
      <c r="DG386" s="107"/>
      <c r="DH386" s="107"/>
      <c r="DI386" s="107"/>
      <c r="DJ386" s="107"/>
      <c r="DK386" s="10"/>
      <c r="DL386" s="10"/>
      <c r="DM386" s="10"/>
      <c r="DN386" s="10"/>
      <c r="DO386" s="10"/>
      <c r="DP386" s="10"/>
      <c r="DQ386" s="10"/>
      <c r="DR386" s="10"/>
      <c r="DS386" s="10"/>
      <c r="DT386" s="10"/>
      <c r="DU386" s="10"/>
      <c r="DV386" s="10"/>
      <c r="DW386" s="10"/>
      <c r="DX386" s="10"/>
      <c r="DY386" s="10"/>
      <c r="DZ386" s="10"/>
      <c r="EA386" s="10"/>
      <c r="EB386" s="10"/>
      <c r="EC386" s="107"/>
      <c r="ED386" s="107"/>
      <c r="EE386" s="10"/>
      <c r="EF386" s="107"/>
      <c r="EG386" s="7"/>
      <c r="EH386" s="10"/>
      <c r="EI386" s="107"/>
      <c r="EJ386" s="107"/>
      <c r="EK386" s="107"/>
      <c r="EL386" s="107"/>
      <c r="EM386" s="107"/>
      <c r="EN386" s="107"/>
      <c r="EO386" s="107"/>
      <c r="EP386" s="107"/>
      <c r="EQ386" s="107"/>
      <c r="ER386" s="107"/>
      <c r="ES386" s="107"/>
      <c r="ET386" s="107"/>
      <c r="EU386" s="107"/>
      <c r="EV386" s="107"/>
      <c r="EW386" s="107"/>
      <c r="EX386" s="107"/>
      <c r="EY386" s="107"/>
      <c r="EZ386" s="107"/>
      <c r="FA386" s="107"/>
      <c r="FB386" s="107"/>
      <c r="FC386" s="107"/>
      <c r="FD386" s="107"/>
      <c r="FE386" s="107"/>
      <c r="FF386" s="107"/>
      <c r="FG386" s="107"/>
      <c r="FH386" s="107"/>
      <c r="FI386" s="107"/>
      <c r="FJ386" s="107"/>
      <c r="FK386" s="107"/>
      <c r="FL386" s="107"/>
      <c r="FM386" s="107"/>
      <c r="FN386" s="107"/>
      <c r="FO386" s="10"/>
      <c r="FP386" s="10"/>
      <c r="FQ386" s="10"/>
      <c r="FR386" s="10"/>
      <c r="FS386" s="10"/>
      <c r="FT386" s="10"/>
      <c r="FU386" s="10"/>
      <c r="FV386" s="10"/>
      <c r="FW386" s="10"/>
      <c r="FX386" s="10"/>
      <c r="FY386" s="8"/>
      <c r="FZ386" s="266"/>
      <c r="GA386" s="266"/>
    </row>
    <row r="387" spans="1:183" s="268" customFormat="1" x14ac:dyDescent="0.25">
      <c r="A387" s="107"/>
      <c r="B387" s="7"/>
      <c r="C387" s="7"/>
      <c r="D387" s="7"/>
      <c r="E387" s="7"/>
      <c r="F387" s="10"/>
      <c r="G387" s="107"/>
      <c r="H387" s="7"/>
      <c r="I387" s="10"/>
      <c r="J387" s="10"/>
      <c r="K387" s="10"/>
      <c r="L387" s="10"/>
      <c r="M387" s="10"/>
      <c r="N387" s="10"/>
      <c r="O387" s="10"/>
      <c r="P387" s="8"/>
      <c r="Q387" s="8"/>
      <c r="R387" s="7"/>
      <c r="S387" s="7"/>
      <c r="T387" s="7"/>
      <c r="U387" s="107"/>
      <c r="V387" s="7"/>
      <c r="W387" s="10"/>
      <c r="X387" s="107"/>
      <c r="Y387" s="7"/>
      <c r="Z387" s="10"/>
      <c r="AA387" s="107"/>
      <c r="AB387" s="10"/>
      <c r="AC387" s="107"/>
      <c r="AD387" s="7"/>
      <c r="AE387" s="10"/>
      <c r="AF387" s="107"/>
      <c r="AG387" s="10"/>
      <c r="AH387" s="107"/>
      <c r="AI387" s="10"/>
      <c r="AJ387" s="107"/>
      <c r="AK387" s="10"/>
      <c r="AL387" s="107"/>
      <c r="AM387" s="10"/>
      <c r="AN387" s="10"/>
      <c r="AO387" s="10"/>
      <c r="AP387" s="8"/>
      <c r="AQ387" s="107"/>
      <c r="AR387" s="10"/>
      <c r="AS387" s="107"/>
      <c r="AT387" s="7"/>
      <c r="AU387" s="10"/>
      <c r="AV387" s="10"/>
      <c r="AW387" s="107"/>
      <c r="AX387" s="10"/>
      <c r="AY387" s="107"/>
      <c r="AZ387" s="10"/>
      <c r="BA387" s="107"/>
      <c r="BB387" s="107"/>
      <c r="BC387" s="107"/>
      <c r="BD387" s="10"/>
      <c r="BE387" s="107"/>
      <c r="BF387" s="10"/>
      <c r="BG387" s="10"/>
      <c r="BH387" s="10"/>
      <c r="BI387" s="107"/>
      <c r="BJ387" s="107"/>
      <c r="BK387" s="10"/>
      <c r="BL387" s="10"/>
      <c r="BM387" s="107"/>
      <c r="BN387" s="10"/>
      <c r="BO387" s="107"/>
      <c r="BP387" s="7"/>
      <c r="BQ387" s="10"/>
      <c r="BR387" s="107"/>
      <c r="BS387" s="10"/>
      <c r="BT387" s="107"/>
      <c r="BU387" s="107"/>
      <c r="BV387" s="107"/>
      <c r="BW387" s="107"/>
      <c r="BX387" s="107"/>
      <c r="BY387" s="10"/>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c r="CW387" s="107"/>
      <c r="CX387" s="107"/>
      <c r="CY387" s="107"/>
      <c r="CZ387" s="107"/>
      <c r="DA387" s="107"/>
      <c r="DB387" s="107"/>
      <c r="DC387" s="107"/>
      <c r="DD387" s="107"/>
      <c r="DE387" s="107"/>
      <c r="DF387" s="107"/>
      <c r="DG387" s="107"/>
      <c r="DH387" s="107"/>
      <c r="DI387" s="107"/>
      <c r="DJ387" s="107"/>
      <c r="DK387" s="10"/>
      <c r="DL387" s="10"/>
      <c r="DM387" s="10"/>
      <c r="DN387" s="10"/>
      <c r="DO387" s="10"/>
      <c r="DP387" s="10"/>
      <c r="DQ387" s="10"/>
      <c r="DR387" s="10"/>
      <c r="DS387" s="10"/>
      <c r="DT387" s="10"/>
      <c r="DU387" s="10"/>
      <c r="DV387" s="10"/>
      <c r="DW387" s="10"/>
      <c r="DX387" s="10"/>
      <c r="DY387" s="10"/>
      <c r="DZ387" s="10"/>
      <c r="EA387" s="10"/>
      <c r="EB387" s="10"/>
      <c r="EC387" s="107"/>
      <c r="ED387" s="107"/>
      <c r="EE387" s="10"/>
      <c r="EF387" s="107"/>
      <c r="EG387" s="7"/>
      <c r="EH387" s="10"/>
      <c r="EI387" s="107"/>
      <c r="EJ387" s="107"/>
      <c r="EK387" s="107"/>
      <c r="EL387" s="107"/>
      <c r="EM387" s="107"/>
      <c r="EN387" s="107"/>
      <c r="EO387" s="107"/>
      <c r="EP387" s="107"/>
      <c r="EQ387" s="107"/>
      <c r="ER387" s="107"/>
      <c r="ES387" s="107"/>
      <c r="ET387" s="107"/>
      <c r="EU387" s="107"/>
      <c r="EV387" s="107"/>
      <c r="EW387" s="107"/>
      <c r="EX387" s="107"/>
      <c r="EY387" s="107"/>
      <c r="EZ387" s="107"/>
      <c r="FA387" s="107"/>
      <c r="FB387" s="107"/>
      <c r="FC387" s="107"/>
      <c r="FD387" s="107"/>
      <c r="FE387" s="107"/>
      <c r="FF387" s="107"/>
      <c r="FG387" s="107"/>
      <c r="FH387" s="107"/>
      <c r="FI387" s="107"/>
      <c r="FJ387" s="107"/>
      <c r="FK387" s="107"/>
      <c r="FL387" s="107"/>
      <c r="FM387" s="107"/>
      <c r="FN387" s="107"/>
      <c r="FO387" s="10"/>
      <c r="FP387" s="10"/>
      <c r="FQ387" s="10"/>
      <c r="FR387" s="10"/>
      <c r="FS387" s="10"/>
      <c r="FT387" s="10"/>
      <c r="FU387" s="10"/>
      <c r="FV387" s="10"/>
      <c r="FW387" s="10"/>
      <c r="FX387" s="10"/>
      <c r="FY387" s="8"/>
      <c r="FZ387" s="266"/>
      <c r="GA387" s="266"/>
    </row>
    <row r="388" spans="1:183" s="268" customFormat="1" x14ac:dyDescent="0.25">
      <c r="A388" s="107"/>
      <c r="B388" s="7"/>
      <c r="C388" s="7"/>
      <c r="D388" s="7"/>
      <c r="E388" s="7"/>
      <c r="F388" s="10"/>
      <c r="G388" s="107"/>
      <c r="H388" s="7"/>
      <c r="I388" s="10"/>
      <c r="J388" s="10"/>
      <c r="K388" s="10"/>
      <c r="L388" s="10"/>
      <c r="M388" s="10"/>
      <c r="N388" s="10"/>
      <c r="O388" s="10"/>
      <c r="P388" s="8"/>
      <c r="Q388" s="8"/>
      <c r="R388" s="7"/>
      <c r="S388" s="7"/>
      <c r="T388" s="7"/>
      <c r="U388" s="107"/>
      <c r="V388" s="7"/>
      <c r="W388" s="10"/>
      <c r="X388" s="107"/>
      <c r="Y388" s="7"/>
      <c r="Z388" s="10"/>
      <c r="AA388" s="107"/>
      <c r="AB388" s="10"/>
      <c r="AC388" s="107"/>
      <c r="AD388" s="7"/>
      <c r="AE388" s="10"/>
      <c r="AF388" s="107"/>
      <c r="AG388" s="10"/>
      <c r="AH388" s="107"/>
      <c r="AI388" s="10"/>
      <c r="AJ388" s="107"/>
      <c r="AK388" s="10"/>
      <c r="AL388" s="107"/>
      <c r="AM388" s="10"/>
      <c r="AN388" s="10"/>
      <c r="AO388" s="10"/>
      <c r="AP388" s="8"/>
      <c r="AQ388" s="107"/>
      <c r="AR388" s="10"/>
      <c r="AS388" s="107"/>
      <c r="AT388" s="7"/>
      <c r="AU388" s="10"/>
      <c r="AV388" s="10"/>
      <c r="AW388" s="107"/>
      <c r="AX388" s="10"/>
      <c r="AY388" s="107"/>
      <c r="AZ388" s="10"/>
      <c r="BA388" s="107"/>
      <c r="BB388" s="107"/>
      <c r="BC388" s="107"/>
      <c r="BD388" s="10"/>
      <c r="BE388" s="107"/>
      <c r="BF388" s="10"/>
      <c r="BG388" s="10"/>
      <c r="BH388" s="10"/>
      <c r="BI388" s="107"/>
      <c r="BJ388" s="107"/>
      <c r="BK388" s="10"/>
      <c r="BL388" s="10"/>
      <c r="BM388" s="107"/>
      <c r="BN388" s="10"/>
      <c r="BO388" s="107"/>
      <c r="BP388" s="7"/>
      <c r="BQ388" s="10"/>
      <c r="BR388" s="107"/>
      <c r="BS388" s="10"/>
      <c r="BT388" s="107"/>
      <c r="BU388" s="107"/>
      <c r="BV388" s="107"/>
      <c r="BW388" s="107"/>
      <c r="BX388" s="107"/>
      <c r="BY388" s="10"/>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c r="CW388" s="107"/>
      <c r="CX388" s="107"/>
      <c r="CY388" s="107"/>
      <c r="CZ388" s="107"/>
      <c r="DA388" s="107"/>
      <c r="DB388" s="107"/>
      <c r="DC388" s="107"/>
      <c r="DD388" s="107"/>
      <c r="DE388" s="107"/>
      <c r="DF388" s="107"/>
      <c r="DG388" s="107"/>
      <c r="DH388" s="107"/>
      <c r="DI388" s="107"/>
      <c r="DJ388" s="107"/>
      <c r="DK388" s="10"/>
      <c r="DL388" s="10"/>
      <c r="DM388" s="10"/>
      <c r="DN388" s="10"/>
      <c r="DO388" s="10"/>
      <c r="DP388" s="10"/>
      <c r="DQ388" s="10"/>
      <c r="DR388" s="10"/>
      <c r="DS388" s="10"/>
      <c r="DT388" s="10"/>
      <c r="DU388" s="10"/>
      <c r="DV388" s="10"/>
      <c r="DW388" s="10"/>
      <c r="DX388" s="10"/>
      <c r="DY388" s="10"/>
      <c r="DZ388" s="10"/>
      <c r="EA388" s="10"/>
      <c r="EB388" s="10"/>
      <c r="EC388" s="107"/>
      <c r="ED388" s="107"/>
      <c r="EE388" s="10"/>
      <c r="EF388" s="107"/>
      <c r="EG388" s="7"/>
      <c r="EH388" s="10"/>
      <c r="EI388" s="107"/>
      <c r="EJ388" s="107"/>
      <c r="EK388" s="107"/>
      <c r="EL388" s="107"/>
      <c r="EM388" s="107"/>
      <c r="EN388" s="107"/>
      <c r="EO388" s="107"/>
      <c r="EP388" s="107"/>
      <c r="EQ388" s="107"/>
      <c r="ER388" s="107"/>
      <c r="ES388" s="107"/>
      <c r="ET388" s="107"/>
      <c r="EU388" s="107"/>
      <c r="EV388" s="107"/>
      <c r="EW388" s="107"/>
      <c r="EX388" s="107"/>
      <c r="EY388" s="107"/>
      <c r="EZ388" s="107"/>
      <c r="FA388" s="107"/>
      <c r="FB388" s="107"/>
      <c r="FC388" s="107"/>
      <c r="FD388" s="107"/>
      <c r="FE388" s="107"/>
      <c r="FF388" s="107"/>
      <c r="FG388" s="107"/>
      <c r="FH388" s="107"/>
      <c r="FI388" s="107"/>
      <c r="FJ388" s="107"/>
      <c r="FK388" s="107"/>
      <c r="FL388" s="107"/>
      <c r="FM388" s="107"/>
      <c r="FN388" s="107"/>
      <c r="FO388" s="10"/>
      <c r="FP388" s="10"/>
      <c r="FQ388" s="10"/>
      <c r="FR388" s="10"/>
      <c r="FS388" s="10"/>
      <c r="FT388" s="10"/>
      <c r="FU388" s="10"/>
      <c r="FV388" s="10"/>
      <c r="FW388" s="10"/>
      <c r="FX388" s="10"/>
      <c r="FY388" s="8"/>
      <c r="FZ388" s="266"/>
      <c r="GA388" s="266"/>
    </row>
    <row r="389" spans="1:183" s="268" customFormat="1" x14ac:dyDescent="0.25">
      <c r="A389" s="107"/>
      <c r="B389" s="7"/>
      <c r="C389" s="7"/>
      <c r="D389" s="7"/>
      <c r="E389" s="7"/>
      <c r="F389" s="10"/>
      <c r="G389" s="107"/>
      <c r="H389" s="7"/>
      <c r="I389" s="10"/>
      <c r="J389" s="10"/>
      <c r="K389" s="10"/>
      <c r="L389" s="10"/>
      <c r="M389" s="10"/>
      <c r="N389" s="10"/>
      <c r="O389" s="10"/>
      <c r="P389" s="8"/>
      <c r="Q389" s="8"/>
      <c r="R389" s="7"/>
      <c r="S389" s="7"/>
      <c r="T389" s="7"/>
      <c r="U389" s="107"/>
      <c r="V389" s="7"/>
      <c r="W389" s="10"/>
      <c r="X389" s="107"/>
      <c r="Y389" s="7"/>
      <c r="Z389" s="10"/>
      <c r="AA389" s="107"/>
      <c r="AB389" s="10"/>
      <c r="AC389" s="107"/>
      <c r="AD389" s="7"/>
      <c r="AE389" s="10"/>
      <c r="AF389" s="107"/>
      <c r="AG389" s="10"/>
      <c r="AH389" s="107"/>
      <c r="AI389" s="10"/>
      <c r="AJ389" s="107"/>
      <c r="AK389" s="10"/>
      <c r="AL389" s="107"/>
      <c r="AM389" s="10"/>
      <c r="AN389" s="10"/>
      <c r="AO389" s="10"/>
      <c r="AP389" s="8"/>
      <c r="AQ389" s="107"/>
      <c r="AR389" s="10"/>
      <c r="AS389" s="107"/>
      <c r="AT389" s="7"/>
      <c r="AU389" s="10"/>
      <c r="AV389" s="10"/>
      <c r="AW389" s="107"/>
      <c r="AX389" s="10"/>
      <c r="AY389" s="107"/>
      <c r="AZ389" s="10"/>
      <c r="BA389" s="107"/>
      <c r="BB389" s="107"/>
      <c r="BC389" s="107"/>
      <c r="BD389" s="10"/>
      <c r="BE389" s="107"/>
      <c r="BF389" s="10"/>
      <c r="BG389" s="10"/>
      <c r="BH389" s="10"/>
      <c r="BI389" s="107"/>
      <c r="BJ389" s="107"/>
      <c r="BK389" s="10"/>
      <c r="BL389" s="10"/>
      <c r="BM389" s="107"/>
      <c r="BN389" s="10"/>
      <c r="BO389" s="107"/>
      <c r="BP389" s="7"/>
      <c r="BQ389" s="10"/>
      <c r="BR389" s="107"/>
      <c r="BS389" s="10"/>
      <c r="BT389" s="107"/>
      <c r="BU389" s="107"/>
      <c r="BV389" s="107"/>
      <c r="BW389" s="107"/>
      <c r="BX389" s="107"/>
      <c r="BY389" s="10"/>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c r="CW389" s="107"/>
      <c r="CX389" s="107"/>
      <c r="CY389" s="107"/>
      <c r="CZ389" s="107"/>
      <c r="DA389" s="107"/>
      <c r="DB389" s="107"/>
      <c r="DC389" s="107"/>
      <c r="DD389" s="107"/>
      <c r="DE389" s="107"/>
      <c r="DF389" s="107"/>
      <c r="DG389" s="107"/>
      <c r="DH389" s="107"/>
      <c r="DI389" s="107"/>
      <c r="DJ389" s="107"/>
      <c r="DK389" s="10"/>
      <c r="DL389" s="10"/>
      <c r="DM389" s="10"/>
      <c r="DN389" s="10"/>
      <c r="DO389" s="10"/>
      <c r="DP389" s="10"/>
      <c r="DQ389" s="10"/>
      <c r="DR389" s="10"/>
      <c r="DS389" s="10"/>
      <c r="DT389" s="10"/>
      <c r="DU389" s="10"/>
      <c r="DV389" s="10"/>
      <c r="DW389" s="10"/>
      <c r="DX389" s="10"/>
      <c r="DY389" s="10"/>
      <c r="DZ389" s="10"/>
      <c r="EA389" s="10"/>
      <c r="EB389" s="10"/>
      <c r="EC389" s="107"/>
      <c r="ED389" s="107"/>
      <c r="EE389" s="10"/>
      <c r="EF389" s="107"/>
      <c r="EG389" s="7"/>
      <c r="EH389" s="10"/>
      <c r="EI389" s="107"/>
      <c r="EJ389" s="107"/>
      <c r="EK389" s="107"/>
      <c r="EL389" s="107"/>
      <c r="EM389" s="107"/>
      <c r="EN389" s="107"/>
      <c r="EO389" s="107"/>
      <c r="EP389" s="107"/>
      <c r="EQ389" s="107"/>
      <c r="ER389" s="107"/>
      <c r="ES389" s="107"/>
      <c r="ET389" s="107"/>
      <c r="EU389" s="107"/>
      <c r="EV389" s="107"/>
      <c r="EW389" s="107"/>
      <c r="EX389" s="107"/>
      <c r="EY389" s="107"/>
      <c r="EZ389" s="107"/>
      <c r="FA389" s="107"/>
      <c r="FB389" s="107"/>
      <c r="FC389" s="107"/>
      <c r="FD389" s="107"/>
      <c r="FE389" s="107"/>
      <c r="FF389" s="107"/>
      <c r="FG389" s="107"/>
      <c r="FH389" s="107"/>
      <c r="FI389" s="107"/>
      <c r="FJ389" s="107"/>
      <c r="FK389" s="107"/>
      <c r="FL389" s="107"/>
      <c r="FM389" s="107"/>
      <c r="FN389" s="107"/>
      <c r="FO389" s="10"/>
      <c r="FP389" s="10"/>
      <c r="FQ389" s="10"/>
      <c r="FR389" s="10"/>
      <c r="FS389" s="10"/>
      <c r="FT389" s="10"/>
      <c r="FU389" s="10"/>
      <c r="FV389" s="10"/>
      <c r="FW389" s="10"/>
      <c r="FX389" s="10"/>
      <c r="FY389" s="8"/>
      <c r="FZ389" s="266"/>
      <c r="GA389" s="266"/>
    </row>
    <row r="390" spans="1:183" s="268" customFormat="1" x14ac:dyDescent="0.25">
      <c r="A390" s="107"/>
      <c r="B390" s="7"/>
      <c r="C390" s="7"/>
      <c r="D390" s="7"/>
      <c r="E390" s="7"/>
      <c r="F390" s="10"/>
      <c r="G390" s="107"/>
      <c r="H390" s="7"/>
      <c r="I390" s="10"/>
      <c r="J390" s="10"/>
      <c r="K390" s="10"/>
      <c r="L390" s="10"/>
      <c r="M390" s="10"/>
      <c r="N390" s="10"/>
      <c r="O390" s="10"/>
      <c r="P390" s="8"/>
      <c r="Q390" s="8"/>
      <c r="R390" s="7"/>
      <c r="S390" s="7"/>
      <c r="T390" s="7"/>
      <c r="U390" s="107"/>
      <c r="V390" s="7"/>
      <c r="W390" s="10"/>
      <c r="X390" s="107"/>
      <c r="Y390" s="7"/>
      <c r="Z390" s="10"/>
      <c r="AA390" s="107"/>
      <c r="AB390" s="10"/>
      <c r="AC390" s="107"/>
      <c r="AD390" s="7"/>
      <c r="AE390" s="10"/>
      <c r="AF390" s="107"/>
      <c r="AG390" s="10"/>
      <c r="AH390" s="107"/>
      <c r="AI390" s="10"/>
      <c r="AJ390" s="107"/>
      <c r="AK390" s="10"/>
      <c r="AL390" s="107"/>
      <c r="AM390" s="10"/>
      <c r="AN390" s="10"/>
      <c r="AO390" s="10"/>
      <c r="AP390" s="8"/>
      <c r="AQ390" s="107"/>
      <c r="AR390" s="10"/>
      <c r="AS390" s="107"/>
      <c r="AT390" s="7"/>
      <c r="AU390" s="10"/>
      <c r="AV390" s="10"/>
      <c r="AW390" s="107"/>
      <c r="AX390" s="10"/>
      <c r="AY390" s="107"/>
      <c r="AZ390" s="10"/>
      <c r="BA390" s="107"/>
      <c r="BB390" s="107"/>
      <c r="BC390" s="107"/>
      <c r="BD390" s="10"/>
      <c r="BE390" s="107"/>
      <c r="BF390" s="10"/>
      <c r="BG390" s="10"/>
      <c r="BH390" s="10"/>
      <c r="BI390" s="107"/>
      <c r="BJ390" s="107"/>
      <c r="BK390" s="10"/>
      <c r="BL390" s="10"/>
      <c r="BM390" s="107"/>
      <c r="BN390" s="10"/>
      <c r="BO390" s="107"/>
      <c r="BP390" s="7"/>
      <c r="BQ390" s="10"/>
      <c r="BR390" s="107"/>
      <c r="BS390" s="10"/>
      <c r="BT390" s="107"/>
      <c r="BU390" s="107"/>
      <c r="BV390" s="107"/>
      <c r="BW390" s="107"/>
      <c r="BX390" s="107"/>
      <c r="BY390" s="10"/>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c r="CW390" s="107"/>
      <c r="CX390" s="107"/>
      <c r="CY390" s="107"/>
      <c r="CZ390" s="107"/>
      <c r="DA390" s="107"/>
      <c r="DB390" s="107"/>
      <c r="DC390" s="107"/>
      <c r="DD390" s="107"/>
      <c r="DE390" s="107"/>
      <c r="DF390" s="107"/>
      <c r="DG390" s="107"/>
      <c r="DH390" s="107"/>
      <c r="DI390" s="107"/>
      <c r="DJ390" s="107"/>
      <c r="DK390" s="10"/>
      <c r="DL390" s="10"/>
      <c r="DM390" s="10"/>
      <c r="DN390" s="10"/>
      <c r="DO390" s="10"/>
      <c r="DP390" s="10"/>
      <c r="DQ390" s="10"/>
      <c r="DR390" s="10"/>
      <c r="DS390" s="10"/>
      <c r="DT390" s="10"/>
      <c r="DU390" s="10"/>
      <c r="DV390" s="10"/>
      <c r="DW390" s="10"/>
      <c r="DX390" s="10"/>
      <c r="DY390" s="10"/>
      <c r="DZ390" s="10"/>
      <c r="EA390" s="10"/>
      <c r="EB390" s="10"/>
      <c r="EC390" s="107"/>
      <c r="ED390" s="107"/>
      <c r="EE390" s="10"/>
      <c r="EF390" s="107"/>
      <c r="EG390" s="7"/>
      <c r="EH390" s="10"/>
      <c r="EI390" s="107"/>
      <c r="EJ390" s="107"/>
      <c r="EK390" s="107"/>
      <c r="EL390" s="107"/>
      <c r="EM390" s="107"/>
      <c r="EN390" s="107"/>
      <c r="EO390" s="107"/>
      <c r="EP390" s="107"/>
      <c r="EQ390" s="107"/>
      <c r="ER390" s="107"/>
      <c r="ES390" s="107"/>
      <c r="ET390" s="107"/>
      <c r="EU390" s="107"/>
      <c r="EV390" s="107"/>
      <c r="EW390" s="107"/>
      <c r="EX390" s="107"/>
      <c r="EY390" s="107"/>
      <c r="EZ390" s="107"/>
      <c r="FA390" s="107"/>
      <c r="FB390" s="107"/>
      <c r="FC390" s="107"/>
      <c r="FD390" s="107"/>
      <c r="FE390" s="107"/>
      <c r="FF390" s="107"/>
      <c r="FG390" s="107"/>
      <c r="FH390" s="107"/>
      <c r="FI390" s="107"/>
      <c r="FJ390" s="107"/>
      <c r="FK390" s="107"/>
      <c r="FL390" s="107"/>
      <c r="FM390" s="107"/>
      <c r="FN390" s="107"/>
      <c r="FO390" s="10"/>
      <c r="FP390" s="10"/>
      <c r="FQ390" s="10"/>
      <c r="FR390" s="10"/>
      <c r="FS390" s="10"/>
      <c r="FT390" s="10"/>
      <c r="FU390" s="10"/>
      <c r="FV390" s="10"/>
      <c r="FW390" s="10"/>
      <c r="FX390" s="10"/>
      <c r="FY390" s="8"/>
      <c r="FZ390" s="266"/>
      <c r="GA390" s="266"/>
    </row>
    <row r="391" spans="1:183" s="268" customFormat="1" x14ac:dyDescent="0.25">
      <c r="A391" s="107"/>
      <c r="B391" s="7"/>
      <c r="C391" s="7"/>
      <c r="D391" s="7"/>
      <c r="E391" s="7"/>
      <c r="F391" s="10"/>
      <c r="G391" s="107"/>
      <c r="H391" s="7"/>
      <c r="I391" s="10"/>
      <c r="J391" s="10"/>
      <c r="K391" s="10"/>
      <c r="L391" s="10"/>
      <c r="M391" s="10"/>
      <c r="N391" s="10"/>
      <c r="O391" s="10"/>
      <c r="P391" s="8"/>
      <c r="Q391" s="8"/>
      <c r="R391" s="7"/>
      <c r="S391" s="7"/>
      <c r="T391" s="7"/>
      <c r="U391" s="107"/>
      <c r="V391" s="7"/>
      <c r="W391" s="10"/>
      <c r="X391" s="107"/>
      <c r="Y391" s="7"/>
      <c r="Z391" s="10"/>
      <c r="AA391" s="107"/>
      <c r="AB391" s="10"/>
      <c r="AC391" s="107"/>
      <c r="AD391" s="7"/>
      <c r="AE391" s="10"/>
      <c r="AF391" s="107"/>
      <c r="AG391" s="10"/>
      <c r="AH391" s="107"/>
      <c r="AI391" s="10"/>
      <c r="AJ391" s="107"/>
      <c r="AK391" s="10"/>
      <c r="AL391" s="107"/>
      <c r="AM391" s="10"/>
      <c r="AN391" s="10"/>
      <c r="AO391" s="10"/>
      <c r="AP391" s="8"/>
      <c r="AQ391" s="107"/>
      <c r="AR391" s="10"/>
      <c r="AS391" s="107"/>
      <c r="AT391" s="7"/>
      <c r="AU391" s="10"/>
      <c r="AV391" s="10"/>
      <c r="AW391" s="107"/>
      <c r="AX391" s="10"/>
      <c r="AY391" s="107"/>
      <c r="AZ391" s="10"/>
      <c r="BA391" s="107"/>
      <c r="BB391" s="107"/>
      <c r="BC391" s="107"/>
      <c r="BD391" s="10"/>
      <c r="BE391" s="107"/>
      <c r="BF391" s="10"/>
      <c r="BG391" s="10"/>
      <c r="BH391" s="10"/>
      <c r="BI391" s="107"/>
      <c r="BJ391" s="107"/>
      <c r="BK391" s="10"/>
      <c r="BL391" s="10"/>
      <c r="BM391" s="107"/>
      <c r="BN391" s="10"/>
      <c r="BO391" s="107"/>
      <c r="BP391" s="7"/>
      <c r="BQ391" s="10"/>
      <c r="BR391" s="107"/>
      <c r="BS391" s="10"/>
      <c r="BT391" s="107"/>
      <c r="BU391" s="107"/>
      <c r="BV391" s="107"/>
      <c r="BW391" s="107"/>
      <c r="BX391" s="107"/>
      <c r="BY391" s="10"/>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c r="CW391" s="107"/>
      <c r="CX391" s="107"/>
      <c r="CY391" s="107"/>
      <c r="CZ391" s="107"/>
      <c r="DA391" s="107"/>
      <c r="DB391" s="107"/>
      <c r="DC391" s="107"/>
      <c r="DD391" s="107"/>
      <c r="DE391" s="107"/>
      <c r="DF391" s="107"/>
      <c r="DG391" s="107"/>
      <c r="DH391" s="107"/>
      <c r="DI391" s="107"/>
      <c r="DJ391" s="107"/>
      <c r="DK391" s="10"/>
      <c r="DL391" s="10"/>
      <c r="DM391" s="10"/>
      <c r="DN391" s="10"/>
      <c r="DO391" s="10"/>
      <c r="DP391" s="10"/>
      <c r="DQ391" s="10"/>
      <c r="DR391" s="10"/>
      <c r="DS391" s="10"/>
      <c r="DT391" s="10"/>
      <c r="DU391" s="10"/>
      <c r="DV391" s="10"/>
      <c r="DW391" s="10"/>
      <c r="DX391" s="10"/>
      <c r="DY391" s="10"/>
      <c r="DZ391" s="10"/>
      <c r="EA391" s="10"/>
      <c r="EB391" s="10"/>
      <c r="EC391" s="107"/>
      <c r="ED391" s="107"/>
      <c r="EE391" s="10"/>
      <c r="EF391" s="107"/>
      <c r="EG391" s="7"/>
      <c r="EH391" s="10"/>
      <c r="EI391" s="107"/>
      <c r="EJ391" s="107"/>
      <c r="EK391" s="107"/>
      <c r="EL391" s="107"/>
      <c r="EM391" s="107"/>
      <c r="EN391" s="107"/>
      <c r="EO391" s="107"/>
      <c r="EP391" s="107"/>
      <c r="EQ391" s="107"/>
      <c r="ER391" s="107"/>
      <c r="ES391" s="107"/>
      <c r="ET391" s="107"/>
      <c r="EU391" s="107"/>
      <c r="EV391" s="107"/>
      <c r="EW391" s="107"/>
      <c r="EX391" s="107"/>
      <c r="EY391" s="107"/>
      <c r="EZ391" s="107"/>
      <c r="FA391" s="107"/>
      <c r="FB391" s="107"/>
      <c r="FC391" s="107"/>
      <c r="FD391" s="107"/>
      <c r="FE391" s="107"/>
      <c r="FF391" s="107"/>
      <c r="FG391" s="107"/>
      <c r="FH391" s="107"/>
      <c r="FI391" s="107"/>
      <c r="FJ391" s="107"/>
      <c r="FK391" s="107"/>
      <c r="FL391" s="107"/>
      <c r="FM391" s="107"/>
      <c r="FN391" s="107"/>
      <c r="FO391" s="10"/>
      <c r="FP391" s="10"/>
      <c r="FQ391" s="10"/>
      <c r="FR391" s="10"/>
      <c r="FS391" s="10"/>
      <c r="FT391" s="10"/>
      <c r="FU391" s="10"/>
      <c r="FV391" s="10"/>
      <c r="FW391" s="10"/>
      <c r="FX391" s="10"/>
      <c r="FY391" s="8"/>
      <c r="FZ391" s="266"/>
      <c r="GA391" s="266"/>
    </row>
    <row r="392" spans="1:183" s="268" customFormat="1" x14ac:dyDescent="0.25">
      <c r="A392" s="107"/>
      <c r="B392" s="7"/>
      <c r="C392" s="7"/>
      <c r="D392" s="7"/>
      <c r="E392" s="7"/>
      <c r="F392" s="10"/>
      <c r="G392" s="107"/>
      <c r="H392" s="7"/>
      <c r="I392" s="10"/>
      <c r="J392" s="10"/>
      <c r="K392" s="10"/>
      <c r="L392" s="10"/>
      <c r="M392" s="10"/>
      <c r="N392" s="10"/>
      <c r="O392" s="10"/>
      <c r="P392" s="8"/>
      <c r="Q392" s="8"/>
      <c r="R392" s="7"/>
      <c r="S392" s="7"/>
      <c r="T392" s="7"/>
      <c r="U392" s="107"/>
      <c r="V392" s="7"/>
      <c r="W392" s="10"/>
      <c r="X392" s="107"/>
      <c r="Y392" s="7"/>
      <c r="Z392" s="10"/>
      <c r="AA392" s="107"/>
      <c r="AB392" s="10"/>
      <c r="AC392" s="107"/>
      <c r="AD392" s="7"/>
      <c r="AE392" s="10"/>
      <c r="AF392" s="107"/>
      <c r="AG392" s="10"/>
      <c r="AH392" s="107"/>
      <c r="AI392" s="10"/>
      <c r="AJ392" s="107"/>
      <c r="AK392" s="10"/>
      <c r="AL392" s="107"/>
      <c r="AM392" s="10"/>
      <c r="AN392" s="10"/>
      <c r="AO392" s="10"/>
      <c r="AP392" s="8"/>
      <c r="AQ392" s="107"/>
      <c r="AR392" s="10"/>
      <c r="AS392" s="107"/>
      <c r="AT392" s="7"/>
      <c r="AU392" s="10"/>
      <c r="AV392" s="10"/>
      <c r="AW392" s="107"/>
      <c r="AX392" s="10"/>
      <c r="AY392" s="107"/>
      <c r="AZ392" s="10"/>
      <c r="BA392" s="107"/>
      <c r="BB392" s="107"/>
      <c r="BC392" s="107"/>
      <c r="BD392" s="10"/>
      <c r="BE392" s="107"/>
      <c r="BF392" s="10"/>
      <c r="BG392" s="10"/>
      <c r="BH392" s="10"/>
      <c r="BI392" s="107"/>
      <c r="BJ392" s="107"/>
      <c r="BK392" s="10"/>
      <c r="BL392" s="10"/>
      <c r="BM392" s="107"/>
      <c r="BN392" s="10"/>
      <c r="BO392" s="107"/>
      <c r="BP392" s="7"/>
      <c r="BQ392" s="10"/>
      <c r="BR392" s="107"/>
      <c r="BS392" s="10"/>
      <c r="BT392" s="107"/>
      <c r="BU392" s="107"/>
      <c r="BV392" s="107"/>
      <c r="BW392" s="107"/>
      <c r="BX392" s="107"/>
      <c r="BY392" s="10"/>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c r="CW392" s="107"/>
      <c r="CX392" s="107"/>
      <c r="CY392" s="107"/>
      <c r="CZ392" s="107"/>
      <c r="DA392" s="107"/>
      <c r="DB392" s="107"/>
      <c r="DC392" s="107"/>
      <c r="DD392" s="107"/>
      <c r="DE392" s="107"/>
      <c r="DF392" s="107"/>
      <c r="DG392" s="107"/>
      <c r="DH392" s="107"/>
      <c r="DI392" s="107"/>
      <c r="DJ392" s="107"/>
      <c r="DK392" s="10"/>
      <c r="DL392" s="10"/>
      <c r="DM392" s="10"/>
      <c r="DN392" s="10"/>
      <c r="DO392" s="10"/>
      <c r="DP392" s="10"/>
      <c r="DQ392" s="10"/>
      <c r="DR392" s="10"/>
      <c r="DS392" s="10"/>
      <c r="DT392" s="10"/>
      <c r="DU392" s="10"/>
      <c r="DV392" s="10"/>
      <c r="DW392" s="10"/>
      <c r="DX392" s="10"/>
      <c r="DY392" s="10"/>
      <c r="DZ392" s="10"/>
      <c r="EA392" s="10"/>
      <c r="EB392" s="10"/>
      <c r="EC392" s="107"/>
      <c r="ED392" s="107"/>
      <c r="EE392" s="10"/>
      <c r="EF392" s="107"/>
      <c r="EG392" s="7"/>
      <c r="EH392" s="10"/>
      <c r="EI392" s="107"/>
      <c r="EJ392" s="107"/>
      <c r="EK392" s="107"/>
      <c r="EL392" s="107"/>
      <c r="EM392" s="107"/>
      <c r="EN392" s="107"/>
      <c r="EO392" s="107"/>
      <c r="EP392" s="107"/>
      <c r="EQ392" s="107"/>
      <c r="ER392" s="107"/>
      <c r="ES392" s="107"/>
      <c r="ET392" s="107"/>
      <c r="EU392" s="107"/>
      <c r="EV392" s="107"/>
      <c r="EW392" s="107"/>
      <c r="EX392" s="107"/>
      <c r="EY392" s="107"/>
      <c r="EZ392" s="107"/>
      <c r="FA392" s="107"/>
      <c r="FB392" s="107"/>
      <c r="FC392" s="107"/>
      <c r="FD392" s="107"/>
      <c r="FE392" s="107"/>
      <c r="FF392" s="107"/>
      <c r="FG392" s="107"/>
      <c r="FH392" s="107"/>
      <c r="FI392" s="107"/>
      <c r="FJ392" s="107"/>
      <c r="FK392" s="107"/>
      <c r="FL392" s="107"/>
      <c r="FM392" s="107"/>
      <c r="FN392" s="107"/>
      <c r="FO392" s="10"/>
      <c r="FP392" s="10"/>
      <c r="FQ392" s="10"/>
      <c r="FR392" s="10"/>
      <c r="FS392" s="10"/>
      <c r="FT392" s="10"/>
      <c r="FU392" s="10"/>
      <c r="FV392" s="10"/>
      <c r="FW392" s="10"/>
      <c r="FX392" s="10"/>
      <c r="FY392" s="8"/>
      <c r="FZ392" s="266"/>
      <c r="GA392" s="266"/>
    </row>
    <row r="393" spans="1:183" s="268" customFormat="1" x14ac:dyDescent="0.25">
      <c r="A393" s="107"/>
      <c r="B393" s="7"/>
      <c r="C393" s="7"/>
      <c r="D393" s="7"/>
      <c r="E393" s="7"/>
      <c r="F393" s="10"/>
      <c r="G393" s="107"/>
      <c r="H393" s="7"/>
      <c r="I393" s="10"/>
      <c r="J393" s="10"/>
      <c r="K393" s="10"/>
      <c r="L393" s="10"/>
      <c r="M393" s="10"/>
      <c r="N393" s="10"/>
      <c r="O393" s="10"/>
      <c r="P393" s="8"/>
      <c r="Q393" s="8"/>
      <c r="R393" s="7"/>
      <c r="S393" s="7"/>
      <c r="T393" s="7"/>
      <c r="U393" s="107"/>
      <c r="V393" s="7"/>
      <c r="W393" s="10"/>
      <c r="X393" s="107"/>
      <c r="Y393" s="7"/>
      <c r="Z393" s="10"/>
      <c r="AA393" s="107"/>
      <c r="AB393" s="10"/>
      <c r="AC393" s="107"/>
      <c r="AD393" s="7"/>
      <c r="AE393" s="10"/>
      <c r="AF393" s="107"/>
      <c r="AG393" s="10"/>
      <c r="AH393" s="107"/>
      <c r="AI393" s="10"/>
      <c r="AJ393" s="107"/>
      <c r="AK393" s="10"/>
      <c r="AL393" s="107"/>
      <c r="AM393" s="10"/>
      <c r="AN393" s="10"/>
      <c r="AO393" s="10"/>
      <c r="AP393" s="8"/>
      <c r="AQ393" s="107"/>
      <c r="AR393" s="10"/>
      <c r="AS393" s="107"/>
      <c r="AT393" s="7"/>
      <c r="AU393" s="10"/>
      <c r="AV393" s="10"/>
      <c r="AW393" s="107"/>
      <c r="AX393" s="10"/>
      <c r="AY393" s="107"/>
      <c r="AZ393" s="10"/>
      <c r="BA393" s="107"/>
      <c r="BB393" s="107"/>
      <c r="BC393" s="107"/>
      <c r="BD393" s="10"/>
      <c r="BE393" s="107"/>
      <c r="BF393" s="10"/>
      <c r="BG393" s="10"/>
      <c r="BH393" s="10"/>
      <c r="BI393" s="107"/>
      <c r="BJ393" s="107"/>
      <c r="BK393" s="10"/>
      <c r="BL393" s="10"/>
      <c r="BM393" s="107"/>
      <c r="BN393" s="10"/>
      <c r="BO393" s="107"/>
      <c r="BP393" s="7"/>
      <c r="BQ393" s="10"/>
      <c r="BR393" s="107"/>
      <c r="BS393" s="10"/>
      <c r="BT393" s="107"/>
      <c r="BU393" s="107"/>
      <c r="BV393" s="107"/>
      <c r="BW393" s="107"/>
      <c r="BX393" s="107"/>
      <c r="BY393" s="10"/>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c r="CW393" s="107"/>
      <c r="CX393" s="107"/>
      <c r="CY393" s="107"/>
      <c r="CZ393" s="107"/>
      <c r="DA393" s="107"/>
      <c r="DB393" s="107"/>
      <c r="DC393" s="107"/>
      <c r="DD393" s="107"/>
      <c r="DE393" s="107"/>
      <c r="DF393" s="107"/>
      <c r="DG393" s="107"/>
      <c r="DH393" s="107"/>
      <c r="DI393" s="107"/>
      <c r="DJ393" s="107"/>
      <c r="DK393" s="10"/>
      <c r="DL393" s="10"/>
      <c r="DM393" s="10"/>
      <c r="DN393" s="10"/>
      <c r="DO393" s="10"/>
      <c r="DP393" s="10"/>
      <c r="DQ393" s="10"/>
      <c r="DR393" s="10"/>
      <c r="DS393" s="10"/>
      <c r="DT393" s="10"/>
      <c r="DU393" s="10"/>
      <c r="DV393" s="10"/>
      <c r="DW393" s="10"/>
      <c r="DX393" s="10"/>
      <c r="DY393" s="10"/>
      <c r="DZ393" s="10"/>
      <c r="EA393" s="10"/>
      <c r="EB393" s="10"/>
      <c r="EC393" s="107"/>
      <c r="ED393" s="107"/>
      <c r="EE393" s="10"/>
      <c r="EF393" s="107"/>
      <c r="EG393" s="7"/>
      <c r="EH393" s="10"/>
      <c r="EI393" s="107"/>
      <c r="EJ393" s="107"/>
      <c r="EK393" s="107"/>
      <c r="EL393" s="107"/>
      <c r="EM393" s="107"/>
      <c r="EN393" s="107"/>
      <c r="EO393" s="107"/>
      <c r="EP393" s="107"/>
      <c r="EQ393" s="107"/>
      <c r="ER393" s="107"/>
      <c r="ES393" s="107"/>
      <c r="ET393" s="107"/>
      <c r="EU393" s="107"/>
      <c r="EV393" s="107"/>
      <c r="EW393" s="107"/>
      <c r="EX393" s="107"/>
      <c r="EY393" s="107"/>
      <c r="EZ393" s="107"/>
      <c r="FA393" s="107"/>
      <c r="FB393" s="107"/>
      <c r="FC393" s="107"/>
      <c r="FD393" s="107"/>
      <c r="FE393" s="107"/>
      <c r="FF393" s="107"/>
      <c r="FG393" s="107"/>
      <c r="FH393" s="107"/>
      <c r="FI393" s="107"/>
      <c r="FJ393" s="107"/>
      <c r="FK393" s="107"/>
      <c r="FL393" s="107"/>
      <c r="FM393" s="107"/>
      <c r="FN393" s="107"/>
      <c r="FO393" s="10"/>
      <c r="FP393" s="10"/>
      <c r="FQ393" s="10"/>
      <c r="FR393" s="10"/>
      <c r="FS393" s="10"/>
      <c r="FT393" s="10"/>
      <c r="FU393" s="10"/>
      <c r="FV393" s="10"/>
      <c r="FW393" s="10"/>
      <c r="FX393" s="10"/>
      <c r="FY393" s="8"/>
      <c r="FZ393" s="266"/>
      <c r="GA393" s="266"/>
    </row>
    <row r="394" spans="1:183" s="268" customFormat="1" x14ac:dyDescent="0.25">
      <c r="A394" s="107"/>
      <c r="B394" s="7"/>
      <c r="C394" s="7"/>
      <c r="D394" s="7"/>
      <c r="E394" s="7"/>
      <c r="F394" s="10"/>
      <c r="G394" s="107"/>
      <c r="H394" s="7"/>
      <c r="I394" s="10"/>
      <c r="J394" s="10"/>
      <c r="K394" s="10"/>
      <c r="L394" s="10"/>
      <c r="M394" s="10"/>
      <c r="N394" s="10"/>
      <c r="O394" s="10"/>
      <c r="P394" s="8"/>
      <c r="Q394" s="8"/>
      <c r="R394" s="7"/>
      <c r="S394" s="7"/>
      <c r="T394" s="7"/>
      <c r="U394" s="107"/>
      <c r="V394" s="7"/>
      <c r="W394" s="10"/>
      <c r="X394" s="107"/>
      <c r="Y394" s="7"/>
      <c r="Z394" s="10"/>
      <c r="AA394" s="107"/>
      <c r="AB394" s="10"/>
      <c r="AC394" s="107"/>
      <c r="AD394" s="7"/>
      <c r="AE394" s="10"/>
      <c r="AF394" s="107"/>
      <c r="AG394" s="10"/>
      <c r="AH394" s="107"/>
      <c r="AI394" s="10"/>
      <c r="AJ394" s="107"/>
      <c r="AK394" s="10"/>
      <c r="AL394" s="107"/>
      <c r="AM394" s="10"/>
      <c r="AN394" s="10"/>
      <c r="AO394" s="10"/>
      <c r="AP394" s="8"/>
      <c r="AQ394" s="107"/>
      <c r="AR394" s="10"/>
      <c r="AS394" s="107"/>
      <c r="AT394" s="7"/>
      <c r="AU394" s="10"/>
      <c r="AV394" s="10"/>
      <c r="AW394" s="107"/>
      <c r="AX394" s="10"/>
      <c r="AY394" s="107"/>
      <c r="AZ394" s="10"/>
      <c r="BA394" s="107"/>
      <c r="BB394" s="107"/>
      <c r="BC394" s="107"/>
      <c r="BD394" s="10"/>
      <c r="BE394" s="107"/>
      <c r="BF394" s="10"/>
      <c r="BG394" s="10"/>
      <c r="BH394" s="10"/>
      <c r="BI394" s="107"/>
      <c r="BJ394" s="107"/>
      <c r="BK394" s="10"/>
      <c r="BL394" s="10"/>
      <c r="BM394" s="107"/>
      <c r="BN394" s="10"/>
      <c r="BO394" s="107"/>
      <c r="BP394" s="7"/>
      <c r="BQ394" s="10"/>
      <c r="BR394" s="107"/>
      <c r="BS394" s="10"/>
      <c r="BT394" s="107"/>
      <c r="BU394" s="107"/>
      <c r="BV394" s="107"/>
      <c r="BW394" s="107"/>
      <c r="BX394" s="107"/>
      <c r="BY394" s="10"/>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c r="CW394" s="107"/>
      <c r="CX394" s="107"/>
      <c r="CY394" s="107"/>
      <c r="CZ394" s="107"/>
      <c r="DA394" s="107"/>
      <c r="DB394" s="107"/>
      <c r="DC394" s="107"/>
      <c r="DD394" s="107"/>
      <c r="DE394" s="107"/>
      <c r="DF394" s="107"/>
      <c r="DG394" s="107"/>
      <c r="DH394" s="107"/>
      <c r="DI394" s="107"/>
      <c r="DJ394" s="107"/>
      <c r="DK394" s="10"/>
      <c r="DL394" s="10"/>
      <c r="DM394" s="10"/>
      <c r="DN394" s="10"/>
      <c r="DO394" s="10"/>
      <c r="DP394" s="10"/>
      <c r="DQ394" s="10"/>
      <c r="DR394" s="10"/>
      <c r="DS394" s="10"/>
      <c r="DT394" s="10"/>
      <c r="DU394" s="10"/>
      <c r="DV394" s="10"/>
      <c r="DW394" s="10"/>
      <c r="DX394" s="10"/>
      <c r="DY394" s="10"/>
      <c r="DZ394" s="10"/>
      <c r="EA394" s="10"/>
      <c r="EB394" s="10"/>
      <c r="EC394" s="107"/>
      <c r="ED394" s="107"/>
      <c r="EE394" s="10"/>
      <c r="EF394" s="107"/>
      <c r="EG394" s="7"/>
      <c r="EH394" s="10"/>
      <c r="EI394" s="107"/>
      <c r="EJ394" s="107"/>
      <c r="EK394" s="107"/>
      <c r="EL394" s="107"/>
      <c r="EM394" s="107"/>
      <c r="EN394" s="107"/>
      <c r="EO394" s="107"/>
      <c r="EP394" s="107"/>
      <c r="EQ394" s="107"/>
      <c r="ER394" s="107"/>
      <c r="ES394" s="107"/>
      <c r="ET394" s="107"/>
      <c r="EU394" s="107"/>
      <c r="EV394" s="107"/>
      <c r="EW394" s="107"/>
      <c r="EX394" s="107"/>
      <c r="EY394" s="107"/>
      <c r="EZ394" s="107"/>
      <c r="FA394" s="107"/>
      <c r="FB394" s="107"/>
      <c r="FC394" s="107"/>
      <c r="FD394" s="107"/>
      <c r="FE394" s="107"/>
      <c r="FF394" s="107"/>
      <c r="FG394" s="107"/>
      <c r="FH394" s="107"/>
      <c r="FI394" s="107"/>
      <c r="FJ394" s="107"/>
      <c r="FK394" s="107"/>
      <c r="FL394" s="107"/>
      <c r="FM394" s="107"/>
      <c r="FN394" s="107"/>
      <c r="FO394" s="10"/>
      <c r="FP394" s="10"/>
      <c r="FQ394" s="10"/>
      <c r="FR394" s="10"/>
      <c r="FS394" s="10"/>
      <c r="FT394" s="10"/>
      <c r="FU394" s="10"/>
      <c r="FV394" s="10"/>
      <c r="FW394" s="10"/>
      <c r="FX394" s="10"/>
      <c r="FY394" s="8"/>
      <c r="FZ394" s="266"/>
      <c r="GA394" s="266"/>
    </row>
    <row r="395" spans="1:183" s="268" customFormat="1" x14ac:dyDescent="0.25">
      <c r="A395" s="107"/>
      <c r="B395" s="7"/>
      <c r="C395" s="7"/>
      <c r="D395" s="7"/>
      <c r="E395" s="7"/>
      <c r="F395" s="10"/>
      <c r="G395" s="107"/>
      <c r="H395" s="7"/>
      <c r="I395" s="10"/>
      <c r="J395" s="10"/>
      <c r="K395" s="10"/>
      <c r="L395" s="10"/>
      <c r="M395" s="10"/>
      <c r="N395" s="10"/>
      <c r="O395" s="10"/>
      <c r="P395" s="8"/>
      <c r="Q395" s="8"/>
      <c r="R395" s="7"/>
      <c r="S395" s="7"/>
      <c r="T395" s="7"/>
      <c r="U395" s="107"/>
      <c r="V395" s="7"/>
      <c r="W395" s="10"/>
      <c r="X395" s="107"/>
      <c r="Y395" s="7"/>
      <c r="Z395" s="10"/>
      <c r="AA395" s="107"/>
      <c r="AB395" s="10"/>
      <c r="AC395" s="107"/>
      <c r="AD395" s="7"/>
      <c r="AE395" s="10"/>
      <c r="AF395" s="107"/>
      <c r="AG395" s="10"/>
      <c r="AH395" s="107"/>
      <c r="AI395" s="10"/>
      <c r="AJ395" s="107"/>
      <c r="AK395" s="10"/>
      <c r="AL395" s="107"/>
      <c r="AM395" s="10"/>
      <c r="AN395" s="10"/>
      <c r="AO395" s="10"/>
      <c r="AP395" s="8"/>
      <c r="AQ395" s="107"/>
      <c r="AR395" s="10"/>
      <c r="AS395" s="107"/>
      <c r="AT395" s="7"/>
      <c r="AU395" s="10"/>
      <c r="AV395" s="10"/>
      <c r="AW395" s="107"/>
      <c r="AX395" s="10"/>
      <c r="AY395" s="107"/>
      <c r="AZ395" s="10"/>
      <c r="BA395" s="107"/>
      <c r="BB395" s="107"/>
      <c r="BC395" s="107"/>
      <c r="BD395" s="10"/>
      <c r="BE395" s="107"/>
      <c r="BF395" s="10"/>
      <c r="BG395" s="10"/>
      <c r="BH395" s="10"/>
      <c r="BI395" s="107"/>
      <c r="BJ395" s="107"/>
      <c r="BK395" s="10"/>
      <c r="BL395" s="10"/>
      <c r="BM395" s="107"/>
      <c r="BN395" s="10"/>
      <c r="BO395" s="107"/>
      <c r="BP395" s="7"/>
      <c r="BQ395" s="10"/>
      <c r="BR395" s="107"/>
      <c r="BS395" s="10"/>
      <c r="BT395" s="107"/>
      <c r="BU395" s="107"/>
      <c r="BV395" s="107"/>
      <c r="BW395" s="107"/>
      <c r="BX395" s="107"/>
      <c r="BY395" s="10"/>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c r="CW395" s="107"/>
      <c r="CX395" s="107"/>
      <c r="CY395" s="107"/>
      <c r="CZ395" s="107"/>
      <c r="DA395" s="107"/>
      <c r="DB395" s="107"/>
      <c r="DC395" s="107"/>
      <c r="DD395" s="107"/>
      <c r="DE395" s="107"/>
      <c r="DF395" s="107"/>
      <c r="DG395" s="107"/>
      <c r="DH395" s="107"/>
      <c r="DI395" s="107"/>
      <c r="DJ395" s="107"/>
      <c r="DK395" s="10"/>
      <c r="DL395" s="10"/>
      <c r="DM395" s="10"/>
      <c r="DN395" s="10"/>
      <c r="DO395" s="10"/>
      <c r="DP395" s="10"/>
      <c r="DQ395" s="10"/>
      <c r="DR395" s="10"/>
      <c r="DS395" s="10"/>
      <c r="DT395" s="10"/>
      <c r="DU395" s="10"/>
      <c r="DV395" s="10"/>
      <c r="DW395" s="10"/>
      <c r="DX395" s="10"/>
      <c r="DY395" s="10"/>
      <c r="DZ395" s="10"/>
      <c r="EA395" s="10"/>
      <c r="EB395" s="10"/>
      <c r="EC395" s="107"/>
      <c r="ED395" s="107"/>
      <c r="EE395" s="10"/>
      <c r="EF395" s="107"/>
      <c r="EG395" s="7"/>
      <c r="EH395" s="10"/>
      <c r="EI395" s="107"/>
      <c r="EJ395" s="107"/>
      <c r="EK395" s="107"/>
      <c r="EL395" s="107"/>
      <c r="EM395" s="107"/>
      <c r="EN395" s="107"/>
      <c r="EO395" s="107"/>
      <c r="EP395" s="107"/>
      <c r="EQ395" s="107"/>
      <c r="ER395" s="107"/>
      <c r="ES395" s="107"/>
      <c r="ET395" s="107"/>
      <c r="EU395" s="107"/>
      <c r="EV395" s="107"/>
      <c r="EW395" s="107"/>
      <c r="EX395" s="107"/>
      <c r="EY395" s="107"/>
      <c r="EZ395" s="107"/>
      <c r="FA395" s="107"/>
      <c r="FB395" s="107"/>
      <c r="FC395" s="107"/>
      <c r="FD395" s="107"/>
      <c r="FE395" s="107"/>
      <c r="FF395" s="107"/>
      <c r="FG395" s="107"/>
      <c r="FH395" s="107"/>
      <c r="FI395" s="107"/>
      <c r="FJ395" s="107"/>
      <c r="FK395" s="107"/>
      <c r="FL395" s="107"/>
      <c r="FM395" s="107"/>
      <c r="FN395" s="107"/>
      <c r="FO395" s="10"/>
      <c r="FP395" s="10"/>
      <c r="FQ395" s="10"/>
      <c r="FR395" s="10"/>
      <c r="FS395" s="10"/>
      <c r="FT395" s="10"/>
      <c r="FU395" s="10"/>
      <c r="FV395" s="10"/>
      <c r="FW395" s="10"/>
      <c r="FX395" s="10"/>
      <c r="FY395" s="8"/>
      <c r="FZ395" s="266"/>
      <c r="GA395" s="266"/>
    </row>
    <row r="396" spans="1:183" s="268" customFormat="1" x14ac:dyDescent="0.25">
      <c r="A396" s="107"/>
      <c r="B396" s="7"/>
      <c r="C396" s="7"/>
      <c r="D396" s="7"/>
      <c r="E396" s="7"/>
      <c r="F396" s="10"/>
      <c r="G396" s="107"/>
      <c r="H396" s="7"/>
      <c r="I396" s="10"/>
      <c r="J396" s="10"/>
      <c r="K396" s="10"/>
      <c r="L396" s="10"/>
      <c r="M396" s="10"/>
      <c r="N396" s="10"/>
      <c r="O396" s="10"/>
      <c r="P396" s="8"/>
      <c r="Q396" s="8"/>
      <c r="R396" s="7"/>
      <c r="S396" s="7"/>
      <c r="T396" s="7"/>
      <c r="U396" s="107"/>
      <c r="V396" s="7"/>
      <c r="W396" s="10"/>
      <c r="X396" s="107"/>
      <c r="Y396" s="7"/>
      <c r="Z396" s="10"/>
      <c r="AA396" s="107"/>
      <c r="AB396" s="10"/>
      <c r="AC396" s="107"/>
      <c r="AD396" s="7"/>
      <c r="AE396" s="10"/>
      <c r="AF396" s="107"/>
      <c r="AG396" s="10"/>
      <c r="AH396" s="107"/>
      <c r="AI396" s="10"/>
      <c r="AJ396" s="107"/>
      <c r="AK396" s="10"/>
      <c r="AL396" s="107"/>
      <c r="AM396" s="10"/>
      <c r="AN396" s="10"/>
      <c r="AO396" s="10"/>
      <c r="AP396" s="8"/>
      <c r="AQ396" s="107"/>
      <c r="AR396" s="10"/>
      <c r="AS396" s="107"/>
      <c r="AT396" s="7"/>
      <c r="AU396" s="10"/>
      <c r="AV396" s="10"/>
      <c r="AW396" s="107"/>
      <c r="AX396" s="10"/>
      <c r="AY396" s="107"/>
      <c r="AZ396" s="10"/>
      <c r="BA396" s="107"/>
      <c r="BB396" s="107"/>
      <c r="BC396" s="107"/>
      <c r="BD396" s="10"/>
      <c r="BE396" s="107"/>
      <c r="BF396" s="10"/>
      <c r="BG396" s="10"/>
      <c r="BH396" s="10"/>
      <c r="BI396" s="107"/>
      <c r="BJ396" s="107"/>
      <c r="BK396" s="10"/>
      <c r="BL396" s="10"/>
      <c r="BM396" s="107"/>
      <c r="BN396" s="10"/>
      <c r="BO396" s="107"/>
      <c r="BP396" s="7"/>
      <c r="BQ396" s="10"/>
      <c r="BR396" s="107"/>
      <c r="BS396" s="10"/>
      <c r="BT396" s="107"/>
      <c r="BU396" s="107"/>
      <c r="BV396" s="107"/>
      <c r="BW396" s="107"/>
      <c r="BX396" s="107"/>
      <c r="BY396" s="10"/>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c r="CW396" s="107"/>
      <c r="CX396" s="107"/>
      <c r="CY396" s="107"/>
      <c r="CZ396" s="107"/>
      <c r="DA396" s="107"/>
      <c r="DB396" s="107"/>
      <c r="DC396" s="107"/>
      <c r="DD396" s="107"/>
      <c r="DE396" s="107"/>
      <c r="DF396" s="107"/>
      <c r="DG396" s="107"/>
      <c r="DH396" s="107"/>
      <c r="DI396" s="107"/>
      <c r="DJ396" s="107"/>
      <c r="DK396" s="10"/>
      <c r="DL396" s="10"/>
      <c r="DM396" s="10"/>
      <c r="DN396" s="10"/>
      <c r="DO396" s="10"/>
      <c r="DP396" s="10"/>
      <c r="DQ396" s="10"/>
      <c r="DR396" s="10"/>
      <c r="DS396" s="10"/>
      <c r="DT396" s="10"/>
      <c r="DU396" s="10"/>
      <c r="DV396" s="10"/>
      <c r="DW396" s="10"/>
      <c r="DX396" s="10"/>
      <c r="DY396" s="10"/>
      <c r="DZ396" s="10"/>
      <c r="EA396" s="10"/>
      <c r="EB396" s="10"/>
      <c r="EC396" s="107"/>
      <c r="ED396" s="107"/>
      <c r="EE396" s="10"/>
      <c r="EF396" s="107"/>
      <c r="EG396" s="7"/>
      <c r="EH396" s="10"/>
      <c r="EI396" s="107"/>
      <c r="EJ396" s="107"/>
      <c r="EK396" s="107"/>
      <c r="EL396" s="107"/>
      <c r="EM396" s="107"/>
      <c r="EN396" s="107"/>
      <c r="EO396" s="107"/>
      <c r="EP396" s="107"/>
      <c r="EQ396" s="107"/>
      <c r="ER396" s="107"/>
      <c r="ES396" s="107"/>
      <c r="ET396" s="107"/>
      <c r="EU396" s="107"/>
      <c r="EV396" s="107"/>
      <c r="EW396" s="107"/>
      <c r="EX396" s="107"/>
      <c r="EY396" s="107"/>
      <c r="EZ396" s="107"/>
      <c r="FA396" s="107"/>
      <c r="FB396" s="107"/>
      <c r="FC396" s="107"/>
      <c r="FD396" s="107"/>
      <c r="FE396" s="107"/>
      <c r="FF396" s="107"/>
      <c r="FG396" s="107"/>
      <c r="FH396" s="107"/>
      <c r="FI396" s="107"/>
      <c r="FJ396" s="107"/>
      <c r="FK396" s="107"/>
      <c r="FL396" s="107"/>
      <c r="FM396" s="107"/>
      <c r="FN396" s="107"/>
      <c r="FO396" s="10"/>
      <c r="FP396" s="10"/>
      <c r="FQ396" s="10"/>
      <c r="FR396" s="10"/>
      <c r="FS396" s="10"/>
      <c r="FT396" s="10"/>
      <c r="FU396" s="10"/>
      <c r="FV396" s="10"/>
      <c r="FW396" s="10"/>
      <c r="FX396" s="10"/>
      <c r="FY396" s="8"/>
      <c r="FZ396" s="266"/>
      <c r="GA396" s="266"/>
    </row>
    <row r="397" spans="1:183" s="268" customFormat="1" x14ac:dyDescent="0.25">
      <c r="A397" s="107"/>
      <c r="B397" s="7"/>
      <c r="C397" s="7"/>
      <c r="D397" s="7"/>
      <c r="E397" s="7"/>
      <c r="F397" s="10"/>
      <c r="G397" s="107"/>
      <c r="H397" s="7"/>
      <c r="I397" s="10"/>
      <c r="J397" s="10"/>
      <c r="K397" s="10"/>
      <c r="L397" s="10"/>
      <c r="M397" s="10"/>
      <c r="N397" s="10"/>
      <c r="O397" s="10"/>
      <c r="P397" s="8"/>
      <c r="Q397" s="8"/>
      <c r="R397" s="7"/>
      <c r="S397" s="7"/>
      <c r="T397" s="7"/>
      <c r="U397" s="107"/>
      <c r="V397" s="7"/>
      <c r="W397" s="10"/>
      <c r="X397" s="107"/>
      <c r="Y397" s="7"/>
      <c r="Z397" s="10"/>
      <c r="AA397" s="107"/>
      <c r="AB397" s="10"/>
      <c r="AC397" s="107"/>
      <c r="AD397" s="7"/>
      <c r="AE397" s="10"/>
      <c r="AF397" s="107"/>
      <c r="AG397" s="10"/>
      <c r="AH397" s="107"/>
      <c r="AI397" s="10"/>
      <c r="AJ397" s="107"/>
      <c r="AK397" s="10"/>
      <c r="AL397" s="107"/>
      <c r="AM397" s="10"/>
      <c r="AN397" s="10"/>
      <c r="AO397" s="10"/>
      <c r="AP397" s="8"/>
      <c r="AQ397" s="107"/>
      <c r="AR397" s="10"/>
      <c r="AS397" s="107"/>
      <c r="AT397" s="7"/>
      <c r="AU397" s="10"/>
      <c r="AV397" s="10"/>
      <c r="AW397" s="107"/>
      <c r="AX397" s="10"/>
      <c r="AY397" s="107"/>
      <c r="AZ397" s="10"/>
      <c r="BA397" s="107"/>
      <c r="BB397" s="107"/>
      <c r="BC397" s="107"/>
      <c r="BD397" s="10"/>
      <c r="BE397" s="107"/>
      <c r="BF397" s="10"/>
      <c r="BG397" s="10"/>
      <c r="BH397" s="10"/>
      <c r="BI397" s="107"/>
      <c r="BJ397" s="107"/>
      <c r="BK397" s="10"/>
      <c r="BL397" s="10"/>
      <c r="BM397" s="107"/>
      <c r="BN397" s="10"/>
      <c r="BO397" s="107"/>
      <c r="BP397" s="7"/>
      <c r="BQ397" s="10"/>
      <c r="BR397" s="107"/>
      <c r="BS397" s="10"/>
      <c r="BT397" s="107"/>
      <c r="BU397" s="107"/>
      <c r="BV397" s="107"/>
      <c r="BW397" s="107"/>
      <c r="BX397" s="107"/>
      <c r="BY397" s="10"/>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c r="CW397" s="107"/>
      <c r="CX397" s="107"/>
      <c r="CY397" s="107"/>
      <c r="CZ397" s="107"/>
      <c r="DA397" s="107"/>
      <c r="DB397" s="107"/>
      <c r="DC397" s="107"/>
      <c r="DD397" s="107"/>
      <c r="DE397" s="107"/>
      <c r="DF397" s="107"/>
      <c r="DG397" s="107"/>
      <c r="DH397" s="107"/>
      <c r="DI397" s="107"/>
      <c r="DJ397" s="107"/>
      <c r="DK397" s="10"/>
      <c r="DL397" s="10"/>
      <c r="DM397" s="10"/>
      <c r="DN397" s="10"/>
      <c r="DO397" s="10"/>
      <c r="DP397" s="10"/>
      <c r="DQ397" s="10"/>
      <c r="DR397" s="10"/>
      <c r="DS397" s="10"/>
      <c r="DT397" s="10"/>
      <c r="DU397" s="10"/>
      <c r="DV397" s="10"/>
      <c r="DW397" s="10"/>
      <c r="DX397" s="10"/>
      <c r="DY397" s="10"/>
      <c r="DZ397" s="10"/>
      <c r="EA397" s="10"/>
      <c r="EB397" s="10"/>
      <c r="EC397" s="107"/>
      <c r="ED397" s="107"/>
      <c r="EE397" s="10"/>
      <c r="EF397" s="107"/>
      <c r="EG397" s="7"/>
      <c r="EH397" s="10"/>
      <c r="EI397" s="107"/>
      <c r="EJ397" s="107"/>
      <c r="EK397" s="107"/>
      <c r="EL397" s="107"/>
      <c r="EM397" s="107"/>
      <c r="EN397" s="107"/>
      <c r="EO397" s="107"/>
      <c r="EP397" s="107"/>
      <c r="EQ397" s="107"/>
      <c r="ER397" s="107"/>
      <c r="ES397" s="107"/>
      <c r="ET397" s="107"/>
      <c r="EU397" s="107"/>
      <c r="EV397" s="107"/>
      <c r="EW397" s="107"/>
      <c r="EX397" s="107"/>
      <c r="EY397" s="107"/>
      <c r="EZ397" s="107"/>
      <c r="FA397" s="107"/>
      <c r="FB397" s="107"/>
      <c r="FC397" s="107"/>
      <c r="FD397" s="107"/>
      <c r="FE397" s="107"/>
      <c r="FF397" s="107"/>
      <c r="FG397" s="107"/>
      <c r="FH397" s="107"/>
      <c r="FI397" s="107"/>
      <c r="FJ397" s="107"/>
      <c r="FK397" s="107"/>
      <c r="FL397" s="107"/>
      <c r="FM397" s="107"/>
      <c r="FN397" s="107"/>
      <c r="FO397" s="10"/>
      <c r="FP397" s="10"/>
      <c r="FQ397" s="10"/>
      <c r="FR397" s="10"/>
      <c r="FS397" s="10"/>
      <c r="FT397" s="10"/>
      <c r="FU397" s="10"/>
      <c r="FV397" s="10"/>
      <c r="FW397" s="10"/>
      <c r="FX397" s="10"/>
      <c r="FY397" s="8"/>
      <c r="FZ397" s="266"/>
      <c r="GA397" s="266"/>
    </row>
    <row r="398" spans="1:183" s="268" customFormat="1" x14ac:dyDescent="0.25">
      <c r="A398" s="107"/>
      <c r="B398" s="7"/>
      <c r="C398" s="7"/>
      <c r="D398" s="7"/>
      <c r="E398" s="7"/>
      <c r="F398" s="10"/>
      <c r="G398" s="107"/>
      <c r="H398" s="7"/>
      <c r="I398" s="10"/>
      <c r="J398" s="10"/>
      <c r="K398" s="10"/>
      <c r="L398" s="10"/>
      <c r="M398" s="10"/>
      <c r="N398" s="10"/>
      <c r="O398" s="10"/>
      <c r="P398" s="8"/>
      <c r="Q398" s="8"/>
      <c r="R398" s="7"/>
      <c r="S398" s="7"/>
      <c r="T398" s="7"/>
      <c r="U398" s="107"/>
      <c r="V398" s="7"/>
      <c r="W398" s="10"/>
      <c r="X398" s="107"/>
      <c r="Y398" s="7"/>
      <c r="Z398" s="10"/>
      <c r="AA398" s="107"/>
      <c r="AB398" s="10"/>
      <c r="AC398" s="107"/>
      <c r="AD398" s="7"/>
      <c r="AE398" s="10"/>
      <c r="AF398" s="107"/>
      <c r="AG398" s="10"/>
      <c r="AH398" s="107"/>
      <c r="AI398" s="10"/>
      <c r="AJ398" s="107"/>
      <c r="AK398" s="10"/>
      <c r="AL398" s="107"/>
      <c r="AM398" s="10"/>
      <c r="AN398" s="10"/>
      <c r="AO398" s="10"/>
      <c r="AP398" s="8"/>
      <c r="AQ398" s="107"/>
      <c r="AR398" s="10"/>
      <c r="AS398" s="107"/>
      <c r="AT398" s="7"/>
      <c r="AU398" s="10"/>
      <c r="AV398" s="10"/>
      <c r="AW398" s="107"/>
      <c r="AX398" s="10"/>
      <c r="AY398" s="107"/>
      <c r="AZ398" s="10"/>
      <c r="BA398" s="107"/>
      <c r="BB398" s="107"/>
      <c r="BC398" s="107"/>
      <c r="BD398" s="10"/>
      <c r="BE398" s="107"/>
      <c r="BF398" s="10"/>
      <c r="BG398" s="10"/>
      <c r="BH398" s="10"/>
      <c r="BI398" s="107"/>
      <c r="BJ398" s="107"/>
      <c r="BK398" s="10"/>
      <c r="BL398" s="10"/>
      <c r="BM398" s="107"/>
      <c r="BN398" s="10"/>
      <c r="BO398" s="107"/>
      <c r="BP398" s="7"/>
      <c r="BQ398" s="10"/>
      <c r="BR398" s="107"/>
      <c r="BS398" s="10"/>
      <c r="BT398" s="107"/>
      <c r="BU398" s="107"/>
      <c r="BV398" s="107"/>
      <c r="BW398" s="107"/>
      <c r="BX398" s="107"/>
      <c r="BY398" s="10"/>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c r="CW398" s="107"/>
      <c r="CX398" s="107"/>
      <c r="CY398" s="107"/>
      <c r="CZ398" s="107"/>
      <c r="DA398" s="107"/>
      <c r="DB398" s="107"/>
      <c r="DC398" s="107"/>
      <c r="DD398" s="107"/>
      <c r="DE398" s="107"/>
      <c r="DF398" s="107"/>
      <c r="DG398" s="107"/>
      <c r="DH398" s="107"/>
      <c r="DI398" s="107"/>
      <c r="DJ398" s="107"/>
      <c r="DK398" s="10"/>
      <c r="DL398" s="10"/>
      <c r="DM398" s="10"/>
      <c r="DN398" s="10"/>
      <c r="DO398" s="10"/>
      <c r="DP398" s="10"/>
      <c r="DQ398" s="10"/>
      <c r="DR398" s="10"/>
      <c r="DS398" s="10"/>
      <c r="DT398" s="10"/>
      <c r="DU398" s="10"/>
      <c r="DV398" s="10"/>
      <c r="DW398" s="10"/>
      <c r="DX398" s="10"/>
      <c r="DY398" s="10"/>
      <c r="DZ398" s="10"/>
      <c r="EA398" s="10"/>
      <c r="EB398" s="10"/>
      <c r="EC398" s="107"/>
      <c r="ED398" s="107"/>
      <c r="EE398" s="10"/>
      <c r="EF398" s="107"/>
      <c r="EG398" s="7"/>
      <c r="EH398" s="10"/>
      <c r="EI398" s="107"/>
      <c r="EJ398" s="107"/>
      <c r="EK398" s="107"/>
      <c r="EL398" s="107"/>
      <c r="EM398" s="107"/>
      <c r="EN398" s="107"/>
      <c r="EO398" s="107"/>
      <c r="EP398" s="107"/>
      <c r="EQ398" s="107"/>
      <c r="ER398" s="107"/>
      <c r="ES398" s="107"/>
      <c r="ET398" s="107"/>
      <c r="EU398" s="107"/>
      <c r="EV398" s="107"/>
      <c r="EW398" s="107"/>
      <c r="EX398" s="107"/>
      <c r="EY398" s="107"/>
      <c r="EZ398" s="107"/>
      <c r="FA398" s="107"/>
      <c r="FB398" s="107"/>
      <c r="FC398" s="107"/>
      <c r="FD398" s="107"/>
      <c r="FE398" s="107"/>
      <c r="FF398" s="107"/>
      <c r="FG398" s="107"/>
      <c r="FH398" s="107"/>
      <c r="FI398" s="107"/>
      <c r="FJ398" s="107"/>
      <c r="FK398" s="107"/>
      <c r="FL398" s="107"/>
      <c r="FM398" s="107"/>
      <c r="FN398" s="107"/>
      <c r="FO398" s="10"/>
      <c r="FP398" s="10"/>
      <c r="FQ398" s="10"/>
      <c r="FR398" s="10"/>
      <c r="FS398" s="10"/>
      <c r="FT398" s="10"/>
      <c r="FU398" s="10"/>
      <c r="FV398" s="10"/>
      <c r="FW398" s="10"/>
      <c r="FX398" s="10"/>
      <c r="FY398" s="8"/>
      <c r="FZ398" s="266"/>
      <c r="GA398" s="266"/>
    </row>
    <row r="399" spans="1:183" s="268" customFormat="1" x14ac:dyDescent="0.25">
      <c r="A399" s="107"/>
      <c r="B399" s="7"/>
      <c r="C399" s="7"/>
      <c r="D399" s="7"/>
      <c r="E399" s="7"/>
      <c r="F399" s="10"/>
      <c r="G399" s="107"/>
      <c r="H399" s="7"/>
      <c r="I399" s="10"/>
      <c r="J399" s="10"/>
      <c r="K399" s="10"/>
      <c r="L399" s="10"/>
      <c r="M399" s="10"/>
      <c r="N399" s="10"/>
      <c r="O399" s="10"/>
      <c r="P399" s="8"/>
      <c r="Q399" s="8"/>
      <c r="R399" s="7"/>
      <c r="S399" s="7"/>
      <c r="T399" s="7"/>
      <c r="U399" s="107"/>
      <c r="V399" s="7"/>
      <c r="W399" s="10"/>
      <c r="X399" s="107"/>
      <c r="Y399" s="7"/>
      <c r="Z399" s="10"/>
      <c r="AA399" s="107"/>
      <c r="AB399" s="10"/>
      <c r="AC399" s="107"/>
      <c r="AD399" s="7"/>
      <c r="AE399" s="10"/>
      <c r="AF399" s="107"/>
      <c r="AG399" s="10"/>
      <c r="AH399" s="107"/>
      <c r="AI399" s="10"/>
      <c r="AJ399" s="107"/>
      <c r="AK399" s="10"/>
      <c r="AL399" s="107"/>
      <c r="AM399" s="10"/>
      <c r="AN399" s="10"/>
      <c r="AO399" s="10"/>
      <c r="AP399" s="8"/>
      <c r="AQ399" s="107"/>
      <c r="AR399" s="10"/>
      <c r="AS399" s="107"/>
      <c r="AT399" s="7"/>
      <c r="AU399" s="10"/>
      <c r="AV399" s="10"/>
      <c r="AW399" s="107"/>
      <c r="AX399" s="10"/>
      <c r="AY399" s="107"/>
      <c r="AZ399" s="10"/>
      <c r="BA399" s="107"/>
      <c r="BB399" s="107"/>
      <c r="BC399" s="107"/>
      <c r="BD399" s="10"/>
      <c r="BE399" s="107"/>
      <c r="BF399" s="10"/>
      <c r="BG399" s="10"/>
      <c r="BH399" s="10"/>
      <c r="BI399" s="107"/>
      <c r="BJ399" s="107"/>
      <c r="BK399" s="10"/>
      <c r="BL399" s="10"/>
      <c r="BM399" s="107"/>
      <c r="BN399" s="10"/>
      <c r="BO399" s="107"/>
      <c r="BP399" s="7"/>
      <c r="BQ399" s="10"/>
      <c r="BR399" s="107"/>
      <c r="BS399" s="10"/>
      <c r="BT399" s="107"/>
      <c r="BU399" s="107"/>
      <c r="BV399" s="107"/>
      <c r="BW399" s="107"/>
      <c r="BX399" s="107"/>
      <c r="BY399" s="10"/>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
      <c r="DL399" s="10"/>
      <c r="DM399" s="10"/>
      <c r="DN399" s="10"/>
      <c r="DO399" s="10"/>
      <c r="DP399" s="10"/>
      <c r="DQ399" s="10"/>
      <c r="DR399" s="10"/>
      <c r="DS399" s="10"/>
      <c r="DT399" s="10"/>
      <c r="DU399" s="10"/>
      <c r="DV399" s="10"/>
      <c r="DW399" s="10"/>
      <c r="DX399" s="10"/>
      <c r="DY399" s="10"/>
      <c r="DZ399" s="10"/>
      <c r="EA399" s="10"/>
      <c r="EB399" s="10"/>
      <c r="EC399" s="107"/>
      <c r="ED399" s="107"/>
      <c r="EE399" s="10"/>
      <c r="EF399" s="107"/>
      <c r="EG399" s="7"/>
      <c r="EH399" s="10"/>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107"/>
      <c r="FO399" s="10"/>
      <c r="FP399" s="10"/>
      <c r="FQ399" s="10"/>
      <c r="FR399" s="10"/>
      <c r="FS399" s="10"/>
      <c r="FT399" s="10"/>
      <c r="FU399" s="10"/>
      <c r="FV399" s="10"/>
      <c r="FW399" s="10"/>
      <c r="FX399" s="10"/>
      <c r="FY399" s="8"/>
      <c r="FZ399" s="266"/>
      <c r="GA399" s="266"/>
    </row>
    <row r="400" spans="1:183" s="268" customFormat="1" x14ac:dyDescent="0.25">
      <c r="A400" s="107"/>
      <c r="B400" s="7"/>
      <c r="C400" s="7"/>
      <c r="D400" s="7"/>
      <c r="E400" s="7"/>
      <c r="F400" s="10"/>
      <c r="G400" s="107"/>
      <c r="H400" s="7"/>
      <c r="I400" s="10"/>
      <c r="J400" s="10"/>
      <c r="K400" s="10"/>
      <c r="L400" s="10"/>
      <c r="M400" s="10"/>
      <c r="N400" s="10"/>
      <c r="O400" s="10"/>
      <c r="P400" s="8"/>
      <c r="Q400" s="8"/>
      <c r="R400" s="7"/>
      <c r="S400" s="7"/>
      <c r="T400" s="7"/>
      <c r="U400" s="107"/>
      <c r="V400" s="7"/>
      <c r="W400" s="10"/>
      <c r="X400" s="107"/>
      <c r="Y400" s="7"/>
      <c r="Z400" s="10"/>
      <c r="AA400" s="107"/>
      <c r="AB400" s="10"/>
      <c r="AC400" s="107"/>
      <c r="AD400" s="7"/>
      <c r="AE400" s="10"/>
      <c r="AF400" s="107"/>
      <c r="AG400" s="10"/>
      <c r="AH400" s="107"/>
      <c r="AI400" s="10"/>
      <c r="AJ400" s="107"/>
      <c r="AK400" s="10"/>
      <c r="AL400" s="107"/>
      <c r="AM400" s="10"/>
      <c r="AN400" s="10"/>
      <c r="AO400" s="10"/>
      <c r="AP400" s="8"/>
      <c r="AQ400" s="107"/>
      <c r="AR400" s="10"/>
      <c r="AS400" s="107"/>
      <c r="AT400" s="7"/>
      <c r="AU400" s="10"/>
      <c r="AV400" s="10"/>
      <c r="AW400" s="107"/>
      <c r="AX400" s="10"/>
      <c r="AY400" s="107"/>
      <c r="AZ400" s="10"/>
      <c r="BA400" s="107"/>
      <c r="BB400" s="107"/>
      <c r="BC400" s="107"/>
      <c r="BD400" s="10"/>
      <c r="BE400" s="107"/>
      <c r="BF400" s="10"/>
      <c r="BG400" s="10"/>
      <c r="BH400" s="10"/>
      <c r="BI400" s="107"/>
      <c r="BJ400" s="107"/>
      <c r="BK400" s="10"/>
      <c r="BL400" s="10"/>
      <c r="BM400" s="107"/>
      <c r="BN400" s="10"/>
      <c r="BO400" s="107"/>
      <c r="BP400" s="7"/>
      <c r="BQ400" s="10"/>
      <c r="BR400" s="107"/>
      <c r="BS400" s="10"/>
      <c r="BT400" s="107"/>
      <c r="BU400" s="107"/>
      <c r="BV400" s="107"/>
      <c r="BW400" s="107"/>
      <c r="BX400" s="107"/>
      <c r="BY400" s="10"/>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c r="CW400" s="107"/>
      <c r="CX400" s="107"/>
      <c r="CY400" s="107"/>
      <c r="CZ400" s="107"/>
      <c r="DA400" s="107"/>
      <c r="DB400" s="107"/>
      <c r="DC400" s="107"/>
      <c r="DD400" s="107"/>
      <c r="DE400" s="107"/>
      <c r="DF400" s="107"/>
      <c r="DG400" s="107"/>
      <c r="DH400" s="107"/>
      <c r="DI400" s="107"/>
      <c r="DJ400" s="107"/>
      <c r="DK400" s="10"/>
      <c r="DL400" s="10"/>
      <c r="DM400" s="10"/>
      <c r="DN400" s="10"/>
      <c r="DO400" s="10"/>
      <c r="DP400" s="10"/>
      <c r="DQ400" s="10"/>
      <c r="DR400" s="10"/>
      <c r="DS400" s="10"/>
      <c r="DT400" s="10"/>
      <c r="DU400" s="10"/>
      <c r="DV400" s="10"/>
      <c r="DW400" s="10"/>
      <c r="DX400" s="10"/>
      <c r="DY400" s="10"/>
      <c r="DZ400" s="10"/>
      <c r="EA400" s="10"/>
      <c r="EB400" s="10"/>
      <c r="EC400" s="107"/>
      <c r="ED400" s="107"/>
      <c r="EE400" s="10"/>
      <c r="EF400" s="107"/>
      <c r="EG400" s="7"/>
      <c r="EH400" s="10"/>
      <c r="EI400" s="107"/>
      <c r="EJ400" s="107"/>
      <c r="EK400" s="107"/>
      <c r="EL400" s="107"/>
      <c r="EM400" s="107"/>
      <c r="EN400" s="107"/>
      <c r="EO400" s="107"/>
      <c r="EP400" s="107"/>
      <c r="EQ400" s="107"/>
      <c r="ER400" s="107"/>
      <c r="ES400" s="107"/>
      <c r="ET400" s="107"/>
      <c r="EU400" s="107"/>
      <c r="EV400" s="107"/>
      <c r="EW400" s="107"/>
      <c r="EX400" s="107"/>
      <c r="EY400" s="107"/>
      <c r="EZ400" s="107"/>
      <c r="FA400" s="107"/>
      <c r="FB400" s="107"/>
      <c r="FC400" s="107"/>
      <c r="FD400" s="107"/>
      <c r="FE400" s="107"/>
      <c r="FF400" s="107"/>
      <c r="FG400" s="107"/>
      <c r="FH400" s="107"/>
      <c r="FI400" s="107"/>
      <c r="FJ400" s="107"/>
      <c r="FK400" s="107"/>
      <c r="FL400" s="107"/>
      <c r="FM400" s="107"/>
      <c r="FN400" s="107"/>
      <c r="FO400" s="10"/>
      <c r="FP400" s="10"/>
      <c r="FQ400" s="10"/>
      <c r="FR400" s="10"/>
      <c r="FS400" s="10"/>
      <c r="FT400" s="10"/>
      <c r="FU400" s="10"/>
      <c r="FV400" s="10"/>
      <c r="FW400" s="10"/>
      <c r="FX400" s="10"/>
      <c r="FY400" s="8"/>
      <c r="FZ400" s="266"/>
      <c r="GA400" s="266"/>
    </row>
    <row r="401" spans="1:183" s="268" customFormat="1" x14ac:dyDescent="0.25">
      <c r="A401" s="107"/>
      <c r="B401" s="7"/>
      <c r="C401" s="7"/>
      <c r="D401" s="7"/>
      <c r="E401" s="7"/>
      <c r="F401" s="10"/>
      <c r="G401" s="107"/>
      <c r="H401" s="7"/>
      <c r="I401" s="10"/>
      <c r="J401" s="10"/>
      <c r="K401" s="10"/>
      <c r="L401" s="10"/>
      <c r="M401" s="10"/>
      <c r="N401" s="10"/>
      <c r="O401" s="10"/>
      <c r="P401" s="8"/>
      <c r="Q401" s="8"/>
      <c r="R401" s="7"/>
      <c r="S401" s="7"/>
      <c r="T401" s="7"/>
      <c r="U401" s="107"/>
      <c r="V401" s="7"/>
      <c r="W401" s="10"/>
      <c r="X401" s="107"/>
      <c r="Y401" s="7"/>
      <c r="Z401" s="10"/>
      <c r="AA401" s="107"/>
      <c r="AB401" s="10"/>
      <c r="AC401" s="107"/>
      <c r="AD401" s="7"/>
      <c r="AE401" s="10"/>
      <c r="AF401" s="107"/>
      <c r="AG401" s="10"/>
      <c r="AH401" s="107"/>
      <c r="AI401" s="10"/>
      <c r="AJ401" s="107"/>
      <c r="AK401" s="10"/>
      <c r="AL401" s="107"/>
      <c r="AM401" s="10"/>
      <c r="AN401" s="10"/>
      <c r="AO401" s="10"/>
      <c r="AP401" s="8"/>
      <c r="AQ401" s="107"/>
      <c r="AR401" s="10"/>
      <c r="AS401" s="107"/>
      <c r="AT401" s="7"/>
      <c r="AU401" s="10"/>
      <c r="AV401" s="10"/>
      <c r="AW401" s="107"/>
      <c r="AX401" s="10"/>
      <c r="AY401" s="107"/>
      <c r="AZ401" s="10"/>
      <c r="BA401" s="107"/>
      <c r="BB401" s="107"/>
      <c r="BC401" s="107"/>
      <c r="BD401" s="10"/>
      <c r="BE401" s="107"/>
      <c r="BF401" s="10"/>
      <c r="BG401" s="10"/>
      <c r="BH401" s="10"/>
      <c r="BI401" s="107"/>
      <c r="BJ401" s="107"/>
      <c r="BK401" s="10"/>
      <c r="BL401" s="10"/>
      <c r="BM401" s="107"/>
      <c r="BN401" s="10"/>
      <c r="BO401" s="107"/>
      <c r="BP401" s="7"/>
      <c r="BQ401" s="10"/>
      <c r="BR401" s="107"/>
      <c r="BS401" s="10"/>
      <c r="BT401" s="107"/>
      <c r="BU401" s="107"/>
      <c r="BV401" s="107"/>
      <c r="BW401" s="107"/>
      <c r="BX401" s="107"/>
      <c r="BY401" s="10"/>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c r="CW401" s="107"/>
      <c r="CX401" s="107"/>
      <c r="CY401" s="107"/>
      <c r="CZ401" s="107"/>
      <c r="DA401" s="107"/>
      <c r="DB401" s="107"/>
      <c r="DC401" s="107"/>
      <c r="DD401" s="107"/>
      <c r="DE401" s="107"/>
      <c r="DF401" s="107"/>
      <c r="DG401" s="107"/>
      <c r="DH401" s="107"/>
      <c r="DI401" s="107"/>
      <c r="DJ401" s="107"/>
      <c r="DK401" s="10"/>
      <c r="DL401" s="10"/>
      <c r="DM401" s="10"/>
      <c r="DN401" s="10"/>
      <c r="DO401" s="10"/>
      <c r="DP401" s="10"/>
      <c r="DQ401" s="10"/>
      <c r="DR401" s="10"/>
      <c r="DS401" s="10"/>
      <c r="DT401" s="10"/>
      <c r="DU401" s="10"/>
      <c r="DV401" s="10"/>
      <c r="DW401" s="10"/>
      <c r="DX401" s="10"/>
      <c r="DY401" s="10"/>
      <c r="DZ401" s="10"/>
      <c r="EA401" s="10"/>
      <c r="EB401" s="10"/>
      <c r="EC401" s="107"/>
      <c r="ED401" s="107"/>
      <c r="EE401" s="10"/>
      <c r="EF401" s="107"/>
      <c r="EG401" s="7"/>
      <c r="EH401" s="10"/>
      <c r="EI401" s="107"/>
      <c r="EJ401" s="107"/>
      <c r="EK401" s="107"/>
      <c r="EL401" s="107"/>
      <c r="EM401" s="107"/>
      <c r="EN401" s="107"/>
      <c r="EO401" s="107"/>
      <c r="EP401" s="107"/>
      <c r="EQ401" s="107"/>
      <c r="ER401" s="107"/>
      <c r="ES401" s="107"/>
      <c r="ET401" s="107"/>
      <c r="EU401" s="107"/>
      <c r="EV401" s="107"/>
      <c r="EW401" s="107"/>
      <c r="EX401" s="107"/>
      <c r="EY401" s="107"/>
      <c r="EZ401" s="107"/>
      <c r="FA401" s="107"/>
      <c r="FB401" s="107"/>
      <c r="FC401" s="107"/>
      <c r="FD401" s="107"/>
      <c r="FE401" s="107"/>
      <c r="FF401" s="107"/>
      <c r="FG401" s="107"/>
      <c r="FH401" s="107"/>
      <c r="FI401" s="107"/>
      <c r="FJ401" s="107"/>
      <c r="FK401" s="107"/>
      <c r="FL401" s="107"/>
      <c r="FM401" s="107"/>
      <c r="FN401" s="107"/>
      <c r="FO401" s="10"/>
      <c r="FP401" s="10"/>
      <c r="FQ401" s="10"/>
      <c r="FR401" s="10"/>
      <c r="FS401" s="10"/>
      <c r="FT401" s="10"/>
      <c r="FU401" s="10"/>
      <c r="FV401" s="10"/>
      <c r="FW401" s="10"/>
      <c r="FX401" s="10"/>
      <c r="FY401" s="8"/>
      <c r="FZ401" s="266"/>
      <c r="GA401" s="266"/>
    </row>
    <row r="402" spans="1:183" s="268" customFormat="1" x14ac:dyDescent="0.25">
      <c r="A402" s="107"/>
      <c r="B402" s="7"/>
      <c r="C402" s="7"/>
      <c r="D402" s="7"/>
      <c r="E402" s="7"/>
      <c r="F402" s="10"/>
      <c r="G402" s="107"/>
      <c r="H402" s="7"/>
      <c r="I402" s="10"/>
      <c r="J402" s="10"/>
      <c r="K402" s="10"/>
      <c r="L402" s="10"/>
      <c r="M402" s="10"/>
      <c r="N402" s="10"/>
      <c r="O402" s="10"/>
      <c r="P402" s="8"/>
      <c r="Q402" s="8"/>
      <c r="R402" s="7"/>
      <c r="S402" s="7"/>
      <c r="T402" s="7"/>
      <c r="U402" s="107"/>
      <c r="V402" s="7"/>
      <c r="W402" s="10"/>
      <c r="X402" s="107"/>
      <c r="Y402" s="7"/>
      <c r="Z402" s="10"/>
      <c r="AA402" s="107"/>
      <c r="AB402" s="10"/>
      <c r="AC402" s="107"/>
      <c r="AD402" s="7"/>
      <c r="AE402" s="10"/>
      <c r="AF402" s="107"/>
      <c r="AG402" s="10"/>
      <c r="AH402" s="107"/>
      <c r="AI402" s="10"/>
      <c r="AJ402" s="107"/>
      <c r="AK402" s="10"/>
      <c r="AL402" s="107"/>
      <c r="AM402" s="10"/>
      <c r="AN402" s="10"/>
      <c r="AO402" s="10"/>
      <c r="AP402" s="8"/>
      <c r="AQ402" s="107"/>
      <c r="AR402" s="10"/>
      <c r="AS402" s="107"/>
      <c r="AT402" s="7"/>
      <c r="AU402" s="10"/>
      <c r="AV402" s="10"/>
      <c r="AW402" s="107"/>
      <c r="AX402" s="10"/>
      <c r="AY402" s="107"/>
      <c r="AZ402" s="10"/>
      <c r="BA402" s="107"/>
      <c r="BB402" s="107"/>
      <c r="BC402" s="107"/>
      <c r="BD402" s="10"/>
      <c r="BE402" s="107"/>
      <c r="BF402" s="10"/>
      <c r="BG402" s="10"/>
      <c r="BH402" s="10"/>
      <c r="BI402" s="107"/>
      <c r="BJ402" s="107"/>
      <c r="BK402" s="10"/>
      <c r="BL402" s="10"/>
      <c r="BM402" s="107"/>
      <c r="BN402" s="10"/>
      <c r="BO402" s="107"/>
      <c r="BP402" s="7"/>
      <c r="BQ402" s="10"/>
      <c r="BR402" s="107"/>
      <c r="BS402" s="10"/>
      <c r="BT402" s="107"/>
      <c r="BU402" s="107"/>
      <c r="BV402" s="107"/>
      <c r="BW402" s="107"/>
      <c r="BX402" s="107"/>
      <c r="BY402" s="10"/>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c r="CW402" s="107"/>
      <c r="CX402" s="107"/>
      <c r="CY402" s="107"/>
      <c r="CZ402" s="107"/>
      <c r="DA402" s="107"/>
      <c r="DB402" s="107"/>
      <c r="DC402" s="107"/>
      <c r="DD402" s="107"/>
      <c r="DE402" s="107"/>
      <c r="DF402" s="107"/>
      <c r="DG402" s="107"/>
      <c r="DH402" s="107"/>
      <c r="DI402" s="107"/>
      <c r="DJ402" s="107"/>
      <c r="DK402" s="10"/>
      <c r="DL402" s="10"/>
      <c r="DM402" s="10"/>
      <c r="DN402" s="10"/>
      <c r="DO402" s="10"/>
      <c r="DP402" s="10"/>
      <c r="DQ402" s="10"/>
      <c r="DR402" s="10"/>
      <c r="DS402" s="10"/>
      <c r="DT402" s="10"/>
      <c r="DU402" s="10"/>
      <c r="DV402" s="10"/>
      <c r="DW402" s="10"/>
      <c r="DX402" s="10"/>
      <c r="DY402" s="10"/>
      <c r="DZ402" s="10"/>
      <c r="EA402" s="10"/>
      <c r="EB402" s="10"/>
      <c r="EC402" s="107"/>
      <c r="ED402" s="107"/>
      <c r="EE402" s="10"/>
      <c r="EF402" s="107"/>
      <c r="EG402" s="7"/>
      <c r="EH402" s="10"/>
      <c r="EI402" s="107"/>
      <c r="EJ402" s="107"/>
      <c r="EK402" s="107"/>
      <c r="EL402" s="107"/>
      <c r="EM402" s="107"/>
      <c r="EN402" s="107"/>
      <c r="EO402" s="107"/>
      <c r="EP402" s="107"/>
      <c r="EQ402" s="107"/>
      <c r="ER402" s="107"/>
      <c r="ES402" s="107"/>
      <c r="ET402" s="107"/>
      <c r="EU402" s="107"/>
      <c r="EV402" s="107"/>
      <c r="EW402" s="107"/>
      <c r="EX402" s="107"/>
      <c r="EY402" s="107"/>
      <c r="EZ402" s="107"/>
      <c r="FA402" s="107"/>
      <c r="FB402" s="107"/>
      <c r="FC402" s="107"/>
      <c r="FD402" s="107"/>
      <c r="FE402" s="107"/>
      <c r="FF402" s="107"/>
      <c r="FG402" s="107"/>
      <c r="FH402" s="107"/>
      <c r="FI402" s="107"/>
      <c r="FJ402" s="107"/>
      <c r="FK402" s="107"/>
      <c r="FL402" s="107"/>
      <c r="FM402" s="107"/>
      <c r="FN402" s="107"/>
      <c r="FO402" s="10"/>
      <c r="FP402" s="10"/>
      <c r="FQ402" s="10"/>
      <c r="FR402" s="10"/>
      <c r="FS402" s="10"/>
      <c r="FT402" s="10"/>
      <c r="FU402" s="10"/>
      <c r="FV402" s="10"/>
      <c r="FW402" s="10"/>
      <c r="FX402" s="10"/>
      <c r="FY402" s="8"/>
      <c r="FZ402" s="266"/>
      <c r="GA402" s="266"/>
    </row>
    <row r="403" spans="1:183" s="268" customFormat="1" x14ac:dyDescent="0.25">
      <c r="A403" s="107"/>
      <c r="B403" s="7"/>
      <c r="C403" s="7"/>
      <c r="D403" s="7"/>
      <c r="E403" s="7"/>
      <c r="F403" s="10"/>
      <c r="G403" s="107"/>
      <c r="H403" s="7"/>
      <c r="I403" s="10"/>
      <c r="J403" s="10"/>
      <c r="K403" s="10"/>
      <c r="L403" s="10"/>
      <c r="M403" s="10"/>
      <c r="N403" s="10"/>
      <c r="O403" s="10"/>
      <c r="P403" s="8"/>
      <c r="Q403" s="8"/>
      <c r="R403" s="7"/>
      <c r="S403" s="7"/>
      <c r="T403" s="7"/>
      <c r="U403" s="107"/>
      <c r="V403" s="7"/>
      <c r="W403" s="10"/>
      <c r="X403" s="107"/>
      <c r="Y403" s="7"/>
      <c r="Z403" s="10"/>
      <c r="AA403" s="107"/>
      <c r="AB403" s="10"/>
      <c r="AC403" s="107"/>
      <c r="AD403" s="7"/>
      <c r="AE403" s="10"/>
      <c r="AF403" s="107"/>
      <c r="AG403" s="10"/>
      <c r="AH403" s="107"/>
      <c r="AI403" s="10"/>
      <c r="AJ403" s="107"/>
      <c r="AK403" s="10"/>
      <c r="AL403" s="107"/>
      <c r="AM403" s="10"/>
      <c r="AN403" s="10"/>
      <c r="AO403" s="10"/>
      <c r="AP403" s="8"/>
      <c r="AQ403" s="107"/>
      <c r="AR403" s="10"/>
      <c r="AS403" s="107"/>
      <c r="AT403" s="7"/>
      <c r="AU403" s="10"/>
      <c r="AV403" s="10"/>
      <c r="AW403" s="107"/>
      <c r="AX403" s="10"/>
      <c r="AY403" s="107"/>
      <c r="AZ403" s="10"/>
      <c r="BA403" s="107"/>
      <c r="BB403" s="107"/>
      <c r="BC403" s="107"/>
      <c r="BD403" s="10"/>
      <c r="BE403" s="107"/>
      <c r="BF403" s="10"/>
      <c r="BG403" s="10"/>
      <c r="BH403" s="10"/>
      <c r="BI403" s="107"/>
      <c r="BJ403" s="107"/>
      <c r="BK403" s="10"/>
      <c r="BL403" s="10"/>
      <c r="BM403" s="107"/>
      <c r="BN403" s="10"/>
      <c r="BO403" s="107"/>
      <c r="BP403" s="7"/>
      <c r="BQ403" s="10"/>
      <c r="BR403" s="107"/>
      <c r="BS403" s="10"/>
      <c r="BT403" s="107"/>
      <c r="BU403" s="107"/>
      <c r="BV403" s="107"/>
      <c r="BW403" s="107"/>
      <c r="BX403" s="107"/>
      <c r="BY403" s="10"/>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c r="CW403" s="107"/>
      <c r="CX403" s="107"/>
      <c r="CY403" s="107"/>
      <c r="CZ403" s="107"/>
      <c r="DA403" s="107"/>
      <c r="DB403" s="107"/>
      <c r="DC403" s="107"/>
      <c r="DD403" s="107"/>
      <c r="DE403" s="107"/>
      <c r="DF403" s="107"/>
      <c r="DG403" s="107"/>
      <c r="DH403" s="107"/>
      <c r="DI403" s="107"/>
      <c r="DJ403" s="107"/>
      <c r="DK403" s="10"/>
      <c r="DL403" s="10"/>
      <c r="DM403" s="10"/>
      <c r="DN403" s="10"/>
      <c r="DO403" s="10"/>
      <c r="DP403" s="10"/>
      <c r="DQ403" s="10"/>
      <c r="DR403" s="10"/>
      <c r="DS403" s="10"/>
      <c r="DT403" s="10"/>
      <c r="DU403" s="10"/>
      <c r="DV403" s="10"/>
      <c r="DW403" s="10"/>
      <c r="DX403" s="10"/>
      <c r="DY403" s="10"/>
      <c r="DZ403" s="10"/>
      <c r="EA403" s="10"/>
      <c r="EB403" s="10"/>
      <c r="EC403" s="107"/>
      <c r="ED403" s="107"/>
      <c r="EE403" s="10"/>
      <c r="EF403" s="107"/>
      <c r="EG403" s="7"/>
      <c r="EH403" s="10"/>
      <c r="EI403" s="107"/>
      <c r="EJ403" s="107"/>
      <c r="EK403" s="107"/>
      <c r="EL403" s="107"/>
      <c r="EM403" s="107"/>
      <c r="EN403" s="107"/>
      <c r="EO403" s="107"/>
      <c r="EP403" s="107"/>
      <c r="EQ403" s="107"/>
      <c r="ER403" s="107"/>
      <c r="ES403" s="107"/>
      <c r="ET403" s="107"/>
      <c r="EU403" s="107"/>
      <c r="EV403" s="107"/>
      <c r="EW403" s="107"/>
      <c r="EX403" s="107"/>
      <c r="EY403" s="107"/>
      <c r="EZ403" s="107"/>
      <c r="FA403" s="107"/>
      <c r="FB403" s="107"/>
      <c r="FC403" s="107"/>
      <c r="FD403" s="107"/>
      <c r="FE403" s="107"/>
      <c r="FF403" s="107"/>
      <c r="FG403" s="107"/>
      <c r="FH403" s="107"/>
      <c r="FI403" s="107"/>
      <c r="FJ403" s="107"/>
      <c r="FK403" s="107"/>
      <c r="FL403" s="107"/>
      <c r="FM403" s="107"/>
      <c r="FN403" s="107"/>
      <c r="FO403" s="10"/>
      <c r="FP403" s="10"/>
      <c r="FQ403" s="10"/>
      <c r="FR403" s="10"/>
      <c r="FS403" s="10"/>
      <c r="FT403" s="10"/>
      <c r="FU403" s="10"/>
      <c r="FV403" s="10"/>
      <c r="FW403" s="10"/>
      <c r="FX403" s="10"/>
      <c r="FY403" s="8"/>
      <c r="FZ403" s="266"/>
      <c r="GA403" s="266"/>
    </row>
    <row r="404" spans="1:183" s="268" customFormat="1" x14ac:dyDescent="0.25">
      <c r="A404" s="107"/>
      <c r="B404" s="7"/>
      <c r="C404" s="7"/>
      <c r="D404" s="7"/>
      <c r="E404" s="7"/>
      <c r="F404" s="10"/>
      <c r="G404" s="107"/>
      <c r="H404" s="7"/>
      <c r="I404" s="10"/>
      <c r="J404" s="10"/>
      <c r="K404" s="10"/>
      <c r="L404" s="10"/>
      <c r="M404" s="10"/>
      <c r="N404" s="10"/>
      <c r="O404" s="10"/>
      <c r="P404" s="8"/>
      <c r="Q404" s="8"/>
      <c r="R404" s="7"/>
      <c r="S404" s="7"/>
      <c r="T404" s="7"/>
      <c r="U404" s="107"/>
      <c r="V404" s="7"/>
      <c r="W404" s="10"/>
      <c r="X404" s="107"/>
      <c r="Y404" s="7"/>
      <c r="Z404" s="10"/>
      <c r="AA404" s="107"/>
      <c r="AB404" s="10"/>
      <c r="AC404" s="107"/>
      <c r="AD404" s="7"/>
      <c r="AE404" s="10"/>
      <c r="AF404" s="107"/>
      <c r="AG404" s="10"/>
      <c r="AH404" s="107"/>
      <c r="AI404" s="10"/>
      <c r="AJ404" s="107"/>
      <c r="AK404" s="10"/>
      <c r="AL404" s="107"/>
      <c r="AM404" s="10"/>
      <c r="AN404" s="10"/>
      <c r="AO404" s="10"/>
      <c r="AP404" s="8"/>
      <c r="AQ404" s="107"/>
      <c r="AR404" s="10"/>
      <c r="AS404" s="107"/>
      <c r="AT404" s="7"/>
      <c r="AU404" s="10"/>
      <c r="AV404" s="10"/>
      <c r="AW404" s="107"/>
      <c r="AX404" s="10"/>
      <c r="AY404" s="107"/>
      <c r="AZ404" s="10"/>
      <c r="BA404" s="107"/>
      <c r="BB404" s="107"/>
      <c r="BC404" s="107"/>
      <c r="BD404" s="10"/>
      <c r="BE404" s="107"/>
      <c r="BF404" s="10"/>
      <c r="BG404" s="10"/>
      <c r="BH404" s="10"/>
      <c r="BI404" s="107"/>
      <c r="BJ404" s="107"/>
      <c r="BK404" s="10"/>
      <c r="BL404" s="10"/>
      <c r="BM404" s="107"/>
      <c r="BN404" s="10"/>
      <c r="BO404" s="107"/>
      <c r="BP404" s="7"/>
      <c r="BQ404" s="10"/>
      <c r="BR404" s="107"/>
      <c r="BS404" s="10"/>
      <c r="BT404" s="107"/>
      <c r="BU404" s="107"/>
      <c r="BV404" s="107"/>
      <c r="BW404" s="107"/>
      <c r="BX404" s="107"/>
      <c r="BY404" s="10"/>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c r="CW404" s="107"/>
      <c r="CX404" s="107"/>
      <c r="CY404" s="107"/>
      <c r="CZ404" s="107"/>
      <c r="DA404" s="107"/>
      <c r="DB404" s="107"/>
      <c r="DC404" s="107"/>
      <c r="DD404" s="107"/>
      <c r="DE404" s="107"/>
      <c r="DF404" s="107"/>
      <c r="DG404" s="107"/>
      <c r="DH404" s="107"/>
      <c r="DI404" s="107"/>
      <c r="DJ404" s="107"/>
      <c r="DK404" s="10"/>
      <c r="DL404" s="10"/>
      <c r="DM404" s="10"/>
      <c r="DN404" s="10"/>
      <c r="DO404" s="10"/>
      <c r="DP404" s="10"/>
      <c r="DQ404" s="10"/>
      <c r="DR404" s="10"/>
      <c r="DS404" s="10"/>
      <c r="DT404" s="10"/>
      <c r="DU404" s="10"/>
      <c r="DV404" s="10"/>
      <c r="DW404" s="10"/>
      <c r="DX404" s="10"/>
      <c r="DY404" s="10"/>
      <c r="DZ404" s="10"/>
      <c r="EA404" s="10"/>
      <c r="EB404" s="10"/>
      <c r="EC404" s="107"/>
      <c r="ED404" s="107"/>
      <c r="EE404" s="10"/>
      <c r="EF404" s="107"/>
      <c r="EG404" s="7"/>
      <c r="EH404" s="10"/>
      <c r="EI404" s="107"/>
      <c r="EJ404" s="107"/>
      <c r="EK404" s="107"/>
      <c r="EL404" s="107"/>
      <c r="EM404" s="107"/>
      <c r="EN404" s="107"/>
      <c r="EO404" s="107"/>
      <c r="EP404" s="107"/>
      <c r="EQ404" s="107"/>
      <c r="ER404" s="107"/>
      <c r="ES404" s="107"/>
      <c r="ET404" s="107"/>
      <c r="EU404" s="107"/>
      <c r="EV404" s="107"/>
      <c r="EW404" s="107"/>
      <c r="EX404" s="107"/>
      <c r="EY404" s="107"/>
      <c r="EZ404" s="107"/>
      <c r="FA404" s="107"/>
      <c r="FB404" s="107"/>
      <c r="FC404" s="107"/>
      <c r="FD404" s="107"/>
      <c r="FE404" s="107"/>
      <c r="FF404" s="107"/>
      <c r="FG404" s="107"/>
      <c r="FH404" s="107"/>
      <c r="FI404" s="107"/>
      <c r="FJ404" s="107"/>
      <c r="FK404" s="107"/>
      <c r="FL404" s="107"/>
      <c r="FM404" s="107"/>
      <c r="FN404" s="107"/>
      <c r="FO404" s="10"/>
      <c r="FP404" s="10"/>
      <c r="FQ404" s="10"/>
      <c r="FR404" s="10"/>
      <c r="FS404" s="10"/>
      <c r="FT404" s="10"/>
      <c r="FU404" s="10"/>
      <c r="FV404" s="10"/>
      <c r="FW404" s="10"/>
      <c r="FX404" s="10"/>
      <c r="FY404" s="8"/>
      <c r="FZ404" s="266"/>
      <c r="GA404" s="266"/>
    </row>
    <row r="405" spans="1:183" s="268" customFormat="1" x14ac:dyDescent="0.25">
      <c r="A405" s="107"/>
      <c r="B405" s="7"/>
      <c r="C405" s="7"/>
      <c r="D405" s="7"/>
      <c r="E405" s="7"/>
      <c r="F405" s="10"/>
      <c r="G405" s="107"/>
      <c r="H405" s="7"/>
      <c r="I405" s="10"/>
      <c r="J405" s="10"/>
      <c r="K405" s="10"/>
      <c r="L405" s="10"/>
      <c r="M405" s="10"/>
      <c r="N405" s="10"/>
      <c r="O405" s="10"/>
      <c r="P405" s="8"/>
      <c r="Q405" s="8"/>
      <c r="R405" s="7"/>
      <c r="S405" s="7"/>
      <c r="T405" s="7"/>
      <c r="U405" s="107"/>
      <c r="V405" s="7"/>
      <c r="W405" s="10"/>
      <c r="X405" s="107"/>
      <c r="Y405" s="7"/>
      <c r="Z405" s="10"/>
      <c r="AA405" s="107"/>
      <c r="AB405" s="10"/>
      <c r="AC405" s="107"/>
      <c r="AD405" s="7"/>
      <c r="AE405" s="10"/>
      <c r="AF405" s="107"/>
      <c r="AG405" s="10"/>
      <c r="AH405" s="107"/>
      <c r="AI405" s="10"/>
      <c r="AJ405" s="107"/>
      <c r="AK405" s="10"/>
      <c r="AL405" s="107"/>
      <c r="AM405" s="10"/>
      <c r="AN405" s="10"/>
      <c r="AO405" s="10"/>
      <c r="AP405" s="8"/>
      <c r="AQ405" s="107"/>
      <c r="AR405" s="10"/>
      <c r="AS405" s="107"/>
      <c r="AT405" s="7"/>
      <c r="AU405" s="10"/>
      <c r="AV405" s="10"/>
      <c r="AW405" s="107"/>
      <c r="AX405" s="10"/>
      <c r="AY405" s="107"/>
      <c r="AZ405" s="10"/>
      <c r="BA405" s="107"/>
      <c r="BB405" s="107"/>
      <c r="BC405" s="107"/>
      <c r="BD405" s="10"/>
      <c r="BE405" s="107"/>
      <c r="BF405" s="10"/>
      <c r="BG405" s="10"/>
      <c r="BH405" s="10"/>
      <c r="BI405" s="107"/>
      <c r="BJ405" s="107"/>
      <c r="BK405" s="10"/>
      <c r="BL405" s="10"/>
      <c r="BM405" s="107"/>
      <c r="BN405" s="10"/>
      <c r="BO405" s="107"/>
      <c r="BP405" s="7"/>
      <c r="BQ405" s="10"/>
      <c r="BR405" s="107"/>
      <c r="BS405" s="10"/>
      <c r="BT405" s="107"/>
      <c r="BU405" s="107"/>
      <c r="BV405" s="107"/>
      <c r="BW405" s="107"/>
      <c r="BX405" s="107"/>
      <c r="BY405" s="10"/>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c r="CW405" s="107"/>
      <c r="CX405" s="107"/>
      <c r="CY405" s="107"/>
      <c r="CZ405" s="107"/>
      <c r="DA405" s="107"/>
      <c r="DB405" s="107"/>
      <c r="DC405" s="107"/>
      <c r="DD405" s="107"/>
      <c r="DE405" s="107"/>
      <c r="DF405" s="107"/>
      <c r="DG405" s="107"/>
      <c r="DH405" s="107"/>
      <c r="DI405" s="107"/>
      <c r="DJ405" s="107"/>
      <c r="DK405" s="10"/>
      <c r="DL405" s="10"/>
      <c r="DM405" s="10"/>
      <c r="DN405" s="10"/>
      <c r="DO405" s="10"/>
      <c r="DP405" s="10"/>
      <c r="DQ405" s="10"/>
      <c r="DR405" s="10"/>
      <c r="DS405" s="10"/>
      <c r="DT405" s="10"/>
      <c r="DU405" s="10"/>
      <c r="DV405" s="10"/>
      <c r="DW405" s="10"/>
      <c r="DX405" s="10"/>
      <c r="DY405" s="10"/>
      <c r="DZ405" s="10"/>
      <c r="EA405" s="10"/>
      <c r="EB405" s="10"/>
      <c r="EC405" s="107"/>
      <c r="ED405" s="107"/>
      <c r="EE405" s="10"/>
      <c r="EF405" s="107"/>
      <c r="EG405" s="7"/>
      <c r="EH405" s="10"/>
      <c r="EI405" s="107"/>
      <c r="EJ405" s="107"/>
      <c r="EK405" s="107"/>
      <c r="EL405" s="107"/>
      <c r="EM405" s="107"/>
      <c r="EN405" s="107"/>
      <c r="EO405" s="107"/>
      <c r="EP405" s="107"/>
      <c r="EQ405" s="107"/>
      <c r="ER405" s="107"/>
      <c r="ES405" s="107"/>
      <c r="ET405" s="107"/>
      <c r="EU405" s="107"/>
      <c r="EV405" s="107"/>
      <c r="EW405" s="107"/>
      <c r="EX405" s="107"/>
      <c r="EY405" s="107"/>
      <c r="EZ405" s="107"/>
      <c r="FA405" s="107"/>
      <c r="FB405" s="107"/>
      <c r="FC405" s="107"/>
      <c r="FD405" s="107"/>
      <c r="FE405" s="107"/>
      <c r="FF405" s="107"/>
      <c r="FG405" s="107"/>
      <c r="FH405" s="107"/>
      <c r="FI405" s="107"/>
      <c r="FJ405" s="107"/>
      <c r="FK405" s="107"/>
      <c r="FL405" s="107"/>
      <c r="FM405" s="107"/>
      <c r="FN405" s="107"/>
      <c r="FO405" s="10"/>
      <c r="FP405" s="10"/>
      <c r="FQ405" s="10"/>
      <c r="FR405" s="10"/>
      <c r="FS405" s="10"/>
      <c r="FT405" s="10"/>
      <c r="FU405" s="10"/>
      <c r="FV405" s="10"/>
      <c r="FW405" s="10"/>
      <c r="FX405" s="10"/>
      <c r="FY405" s="8"/>
      <c r="FZ405" s="266"/>
      <c r="GA405" s="266"/>
    </row>
    <row r="406" spans="1:183" s="268" customFormat="1" x14ac:dyDescent="0.25">
      <c r="A406" s="107"/>
      <c r="B406" s="7"/>
      <c r="C406" s="7"/>
      <c r="D406" s="7"/>
      <c r="E406" s="7"/>
      <c r="F406" s="10"/>
      <c r="G406" s="107"/>
      <c r="H406" s="7"/>
      <c r="I406" s="10"/>
      <c r="J406" s="10"/>
      <c r="K406" s="10"/>
      <c r="L406" s="10"/>
      <c r="M406" s="10"/>
      <c r="N406" s="10"/>
      <c r="O406" s="10"/>
      <c r="P406" s="8"/>
      <c r="Q406" s="8"/>
      <c r="R406" s="7"/>
      <c r="S406" s="7"/>
      <c r="T406" s="7"/>
      <c r="U406" s="107"/>
      <c r="V406" s="7"/>
      <c r="W406" s="10"/>
      <c r="X406" s="107"/>
      <c r="Y406" s="7"/>
      <c r="Z406" s="10"/>
      <c r="AA406" s="107"/>
      <c r="AB406" s="10"/>
      <c r="AC406" s="107"/>
      <c r="AD406" s="7"/>
      <c r="AE406" s="10"/>
      <c r="AF406" s="107"/>
      <c r="AG406" s="10"/>
      <c r="AH406" s="107"/>
      <c r="AI406" s="10"/>
      <c r="AJ406" s="107"/>
      <c r="AK406" s="10"/>
      <c r="AL406" s="107"/>
      <c r="AM406" s="10"/>
      <c r="AN406" s="10"/>
      <c r="AO406" s="10"/>
      <c r="AP406" s="8"/>
      <c r="AQ406" s="107"/>
      <c r="AR406" s="10"/>
      <c r="AS406" s="107"/>
      <c r="AT406" s="7"/>
      <c r="AU406" s="10"/>
      <c r="AV406" s="10"/>
      <c r="AW406" s="107"/>
      <c r="AX406" s="10"/>
      <c r="AY406" s="107"/>
      <c r="AZ406" s="10"/>
      <c r="BA406" s="107"/>
      <c r="BB406" s="107"/>
      <c r="BC406" s="107"/>
      <c r="BD406" s="10"/>
      <c r="BE406" s="107"/>
      <c r="BF406" s="10"/>
      <c r="BG406" s="10"/>
      <c r="BH406" s="10"/>
      <c r="BI406" s="107"/>
      <c r="BJ406" s="107"/>
      <c r="BK406" s="10"/>
      <c r="BL406" s="10"/>
      <c r="BM406" s="107"/>
      <c r="BN406" s="10"/>
      <c r="BO406" s="107"/>
      <c r="BP406" s="7"/>
      <c r="BQ406" s="10"/>
      <c r="BR406" s="107"/>
      <c r="BS406" s="10"/>
      <c r="BT406" s="107"/>
      <c r="BU406" s="107"/>
      <c r="BV406" s="107"/>
      <c r="BW406" s="107"/>
      <c r="BX406" s="107"/>
      <c r="BY406" s="10"/>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c r="CW406" s="107"/>
      <c r="CX406" s="107"/>
      <c r="CY406" s="107"/>
      <c r="CZ406" s="107"/>
      <c r="DA406" s="107"/>
      <c r="DB406" s="107"/>
      <c r="DC406" s="107"/>
      <c r="DD406" s="107"/>
      <c r="DE406" s="107"/>
      <c r="DF406" s="107"/>
      <c r="DG406" s="107"/>
      <c r="DH406" s="107"/>
      <c r="DI406" s="107"/>
      <c r="DJ406" s="107"/>
      <c r="DK406" s="10"/>
      <c r="DL406" s="10"/>
      <c r="DM406" s="10"/>
      <c r="DN406" s="10"/>
      <c r="DO406" s="10"/>
      <c r="DP406" s="10"/>
      <c r="DQ406" s="10"/>
      <c r="DR406" s="10"/>
      <c r="DS406" s="10"/>
      <c r="DT406" s="10"/>
      <c r="DU406" s="10"/>
      <c r="DV406" s="10"/>
      <c r="DW406" s="10"/>
      <c r="DX406" s="10"/>
      <c r="DY406" s="10"/>
      <c r="DZ406" s="10"/>
      <c r="EA406" s="10"/>
      <c r="EB406" s="10"/>
      <c r="EC406" s="107"/>
      <c r="ED406" s="107"/>
      <c r="EE406" s="10"/>
      <c r="EF406" s="107"/>
      <c r="EG406" s="7"/>
      <c r="EH406" s="10"/>
      <c r="EI406" s="107"/>
      <c r="EJ406" s="107"/>
      <c r="EK406" s="107"/>
      <c r="EL406" s="107"/>
      <c r="EM406" s="107"/>
      <c r="EN406" s="107"/>
      <c r="EO406" s="107"/>
      <c r="EP406" s="107"/>
      <c r="EQ406" s="107"/>
      <c r="ER406" s="107"/>
      <c r="ES406" s="107"/>
      <c r="ET406" s="107"/>
      <c r="EU406" s="107"/>
      <c r="EV406" s="107"/>
      <c r="EW406" s="107"/>
      <c r="EX406" s="107"/>
      <c r="EY406" s="107"/>
      <c r="EZ406" s="107"/>
      <c r="FA406" s="107"/>
      <c r="FB406" s="107"/>
      <c r="FC406" s="107"/>
      <c r="FD406" s="107"/>
      <c r="FE406" s="107"/>
      <c r="FF406" s="107"/>
      <c r="FG406" s="107"/>
      <c r="FH406" s="107"/>
      <c r="FI406" s="107"/>
      <c r="FJ406" s="107"/>
      <c r="FK406" s="107"/>
      <c r="FL406" s="107"/>
      <c r="FM406" s="107"/>
      <c r="FN406" s="107"/>
      <c r="FO406" s="10"/>
      <c r="FP406" s="10"/>
      <c r="FQ406" s="10"/>
      <c r="FR406" s="10"/>
      <c r="FS406" s="10"/>
      <c r="FT406" s="10"/>
      <c r="FU406" s="10"/>
      <c r="FV406" s="10"/>
      <c r="FW406" s="10"/>
      <c r="FX406" s="10"/>
      <c r="FY406" s="8"/>
      <c r="FZ406" s="266"/>
      <c r="GA406" s="266"/>
    </row>
    <row r="407" spans="1:183" s="268" customFormat="1" x14ac:dyDescent="0.25">
      <c r="A407" s="107"/>
      <c r="B407" s="7"/>
      <c r="C407" s="7"/>
      <c r="D407" s="7"/>
      <c r="E407" s="7"/>
      <c r="F407" s="10"/>
      <c r="G407" s="107"/>
      <c r="H407" s="7"/>
      <c r="I407" s="10"/>
      <c r="J407" s="10"/>
      <c r="K407" s="10"/>
      <c r="L407" s="10"/>
      <c r="M407" s="10"/>
      <c r="N407" s="10"/>
      <c r="O407" s="10"/>
      <c r="P407" s="8"/>
      <c r="Q407" s="8"/>
      <c r="R407" s="7"/>
      <c r="S407" s="7"/>
      <c r="T407" s="7"/>
      <c r="U407" s="107"/>
      <c r="V407" s="7"/>
      <c r="W407" s="10"/>
      <c r="X407" s="107"/>
      <c r="Y407" s="7"/>
      <c r="Z407" s="10"/>
      <c r="AA407" s="107"/>
      <c r="AB407" s="10"/>
      <c r="AC407" s="107"/>
      <c r="AD407" s="7"/>
      <c r="AE407" s="10"/>
      <c r="AF407" s="107"/>
      <c r="AG407" s="10"/>
      <c r="AH407" s="107"/>
      <c r="AI407" s="10"/>
      <c r="AJ407" s="107"/>
      <c r="AK407" s="10"/>
      <c r="AL407" s="107"/>
      <c r="AM407" s="10"/>
      <c r="AN407" s="10"/>
      <c r="AO407" s="10"/>
      <c r="AP407" s="8"/>
      <c r="AQ407" s="107"/>
      <c r="AR407" s="10"/>
      <c r="AS407" s="107"/>
      <c r="AT407" s="7"/>
      <c r="AU407" s="10"/>
      <c r="AV407" s="10"/>
      <c r="AW407" s="107"/>
      <c r="AX407" s="10"/>
      <c r="AY407" s="107"/>
      <c r="AZ407" s="10"/>
      <c r="BA407" s="107"/>
      <c r="BB407" s="107"/>
      <c r="BC407" s="107"/>
      <c r="BD407" s="10"/>
      <c r="BE407" s="107"/>
      <c r="BF407" s="10"/>
      <c r="BG407" s="10"/>
      <c r="BH407" s="10"/>
      <c r="BI407" s="107"/>
      <c r="BJ407" s="107"/>
      <c r="BK407" s="10"/>
      <c r="BL407" s="10"/>
      <c r="BM407" s="107"/>
      <c r="BN407" s="10"/>
      <c r="BO407" s="107"/>
      <c r="BP407" s="7"/>
      <c r="BQ407" s="10"/>
      <c r="BR407" s="107"/>
      <c r="BS407" s="10"/>
      <c r="BT407" s="107"/>
      <c r="BU407" s="107"/>
      <c r="BV407" s="107"/>
      <c r="BW407" s="107"/>
      <c r="BX407" s="107"/>
      <c r="BY407" s="10"/>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c r="CW407" s="107"/>
      <c r="CX407" s="107"/>
      <c r="CY407" s="107"/>
      <c r="CZ407" s="107"/>
      <c r="DA407" s="107"/>
      <c r="DB407" s="107"/>
      <c r="DC407" s="107"/>
      <c r="DD407" s="107"/>
      <c r="DE407" s="107"/>
      <c r="DF407" s="107"/>
      <c r="DG407" s="107"/>
      <c r="DH407" s="107"/>
      <c r="DI407" s="107"/>
      <c r="DJ407" s="107"/>
      <c r="DK407" s="10"/>
      <c r="DL407" s="10"/>
      <c r="DM407" s="10"/>
      <c r="DN407" s="10"/>
      <c r="DO407" s="10"/>
      <c r="DP407" s="10"/>
      <c r="DQ407" s="10"/>
      <c r="DR407" s="10"/>
      <c r="DS407" s="10"/>
      <c r="DT407" s="10"/>
      <c r="DU407" s="10"/>
      <c r="DV407" s="10"/>
      <c r="DW407" s="10"/>
      <c r="DX407" s="10"/>
      <c r="DY407" s="10"/>
      <c r="DZ407" s="10"/>
      <c r="EA407" s="10"/>
      <c r="EB407" s="10"/>
      <c r="EC407" s="107"/>
      <c r="ED407" s="107"/>
      <c r="EE407" s="10"/>
      <c r="EF407" s="107"/>
      <c r="EG407" s="7"/>
      <c r="EH407" s="10"/>
      <c r="EI407" s="107"/>
      <c r="EJ407" s="107"/>
      <c r="EK407" s="107"/>
      <c r="EL407" s="107"/>
      <c r="EM407" s="107"/>
      <c r="EN407" s="107"/>
      <c r="EO407" s="107"/>
      <c r="EP407" s="107"/>
      <c r="EQ407" s="107"/>
      <c r="ER407" s="107"/>
      <c r="ES407" s="107"/>
      <c r="ET407" s="107"/>
      <c r="EU407" s="107"/>
      <c r="EV407" s="107"/>
      <c r="EW407" s="107"/>
      <c r="EX407" s="107"/>
      <c r="EY407" s="107"/>
      <c r="EZ407" s="107"/>
      <c r="FA407" s="107"/>
      <c r="FB407" s="107"/>
      <c r="FC407" s="107"/>
      <c r="FD407" s="107"/>
      <c r="FE407" s="107"/>
      <c r="FF407" s="107"/>
      <c r="FG407" s="107"/>
      <c r="FH407" s="107"/>
      <c r="FI407" s="107"/>
      <c r="FJ407" s="107"/>
      <c r="FK407" s="107"/>
      <c r="FL407" s="107"/>
      <c r="FM407" s="107"/>
      <c r="FN407" s="107"/>
      <c r="FO407" s="10"/>
      <c r="FP407" s="10"/>
      <c r="FQ407" s="10"/>
      <c r="FR407" s="10"/>
      <c r="FS407" s="10"/>
      <c r="FT407" s="10"/>
      <c r="FU407" s="10"/>
      <c r="FV407" s="10"/>
      <c r="FW407" s="10"/>
      <c r="FX407" s="10"/>
      <c r="FY407" s="8"/>
      <c r="FZ407" s="266"/>
      <c r="GA407" s="266"/>
    </row>
    <row r="408" spans="1:183" s="268" customFormat="1" x14ac:dyDescent="0.25">
      <c r="A408" s="107"/>
      <c r="B408" s="7"/>
      <c r="C408" s="7"/>
      <c r="D408" s="7"/>
      <c r="E408" s="7"/>
      <c r="F408" s="10"/>
      <c r="G408" s="107"/>
      <c r="H408" s="7"/>
      <c r="I408" s="10"/>
      <c r="J408" s="10"/>
      <c r="K408" s="10"/>
      <c r="L408" s="10"/>
      <c r="M408" s="10"/>
      <c r="N408" s="10"/>
      <c r="O408" s="10"/>
      <c r="P408" s="8"/>
      <c r="Q408" s="8"/>
      <c r="R408" s="7"/>
      <c r="S408" s="7"/>
      <c r="T408" s="7"/>
      <c r="U408" s="107"/>
      <c r="V408" s="7"/>
      <c r="W408" s="10"/>
      <c r="X408" s="107"/>
      <c r="Y408" s="7"/>
      <c r="Z408" s="10"/>
      <c r="AA408" s="107"/>
      <c r="AB408" s="10"/>
      <c r="AC408" s="107"/>
      <c r="AD408" s="7"/>
      <c r="AE408" s="10"/>
      <c r="AF408" s="107"/>
      <c r="AG408" s="10"/>
      <c r="AH408" s="107"/>
      <c r="AI408" s="10"/>
      <c r="AJ408" s="107"/>
      <c r="AK408" s="10"/>
      <c r="AL408" s="107"/>
      <c r="AM408" s="10"/>
      <c r="AN408" s="10"/>
      <c r="AO408" s="10"/>
      <c r="AP408" s="8"/>
      <c r="AQ408" s="107"/>
      <c r="AR408" s="10"/>
      <c r="AS408" s="107"/>
      <c r="AT408" s="7"/>
      <c r="AU408" s="10"/>
      <c r="AV408" s="10"/>
      <c r="AW408" s="107"/>
      <c r="AX408" s="10"/>
      <c r="AY408" s="107"/>
      <c r="AZ408" s="10"/>
      <c r="BA408" s="107"/>
      <c r="BB408" s="107"/>
      <c r="BC408" s="107"/>
      <c r="BD408" s="10"/>
      <c r="BE408" s="107"/>
      <c r="BF408" s="10"/>
      <c r="BG408" s="10"/>
      <c r="BH408" s="10"/>
      <c r="BI408" s="107"/>
      <c r="BJ408" s="107"/>
      <c r="BK408" s="10"/>
      <c r="BL408" s="10"/>
      <c r="BM408" s="107"/>
      <c r="BN408" s="10"/>
      <c r="BO408" s="107"/>
      <c r="BP408" s="7"/>
      <c r="BQ408" s="10"/>
      <c r="BR408" s="107"/>
      <c r="BS408" s="10"/>
      <c r="BT408" s="107"/>
      <c r="BU408" s="107"/>
      <c r="BV408" s="107"/>
      <c r="BW408" s="107"/>
      <c r="BX408" s="107"/>
      <c r="BY408" s="10"/>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c r="CW408" s="107"/>
      <c r="CX408" s="107"/>
      <c r="CY408" s="107"/>
      <c r="CZ408" s="107"/>
      <c r="DA408" s="107"/>
      <c r="DB408" s="107"/>
      <c r="DC408" s="107"/>
      <c r="DD408" s="107"/>
      <c r="DE408" s="107"/>
      <c r="DF408" s="107"/>
      <c r="DG408" s="107"/>
      <c r="DH408" s="107"/>
      <c r="DI408" s="107"/>
      <c r="DJ408" s="107"/>
      <c r="DK408" s="10"/>
      <c r="DL408" s="10"/>
      <c r="DM408" s="10"/>
      <c r="DN408" s="10"/>
      <c r="DO408" s="10"/>
      <c r="DP408" s="10"/>
      <c r="DQ408" s="10"/>
      <c r="DR408" s="10"/>
      <c r="DS408" s="10"/>
      <c r="DT408" s="10"/>
      <c r="DU408" s="10"/>
      <c r="DV408" s="10"/>
      <c r="DW408" s="10"/>
      <c r="DX408" s="10"/>
      <c r="DY408" s="10"/>
      <c r="DZ408" s="10"/>
      <c r="EA408" s="10"/>
      <c r="EB408" s="10"/>
      <c r="EC408" s="107"/>
      <c r="ED408" s="107"/>
      <c r="EE408" s="10"/>
      <c r="EF408" s="107"/>
      <c r="EG408" s="7"/>
      <c r="EH408" s="10"/>
      <c r="EI408" s="107"/>
      <c r="EJ408" s="107"/>
      <c r="EK408" s="107"/>
      <c r="EL408" s="107"/>
      <c r="EM408" s="107"/>
      <c r="EN408" s="107"/>
      <c r="EO408" s="107"/>
      <c r="EP408" s="107"/>
      <c r="EQ408" s="107"/>
      <c r="ER408" s="107"/>
      <c r="ES408" s="107"/>
      <c r="ET408" s="107"/>
      <c r="EU408" s="107"/>
      <c r="EV408" s="107"/>
      <c r="EW408" s="107"/>
      <c r="EX408" s="107"/>
      <c r="EY408" s="107"/>
      <c r="EZ408" s="107"/>
      <c r="FA408" s="107"/>
      <c r="FB408" s="107"/>
      <c r="FC408" s="107"/>
      <c r="FD408" s="107"/>
      <c r="FE408" s="107"/>
      <c r="FF408" s="107"/>
      <c r="FG408" s="107"/>
      <c r="FH408" s="107"/>
      <c r="FI408" s="107"/>
      <c r="FJ408" s="107"/>
      <c r="FK408" s="107"/>
      <c r="FL408" s="107"/>
      <c r="FM408" s="107"/>
      <c r="FN408" s="107"/>
      <c r="FO408" s="10"/>
      <c r="FP408" s="10"/>
      <c r="FQ408" s="10"/>
      <c r="FR408" s="10"/>
      <c r="FS408" s="10"/>
      <c r="FT408" s="10"/>
      <c r="FU408" s="10"/>
      <c r="FV408" s="10"/>
      <c r="FW408" s="10"/>
      <c r="FX408" s="10"/>
      <c r="FY408" s="8"/>
      <c r="FZ408" s="266"/>
      <c r="GA408" s="266"/>
    </row>
    <row r="409" spans="1:183" s="268" customFormat="1" x14ac:dyDescent="0.25">
      <c r="A409" s="107"/>
      <c r="B409" s="7"/>
      <c r="C409" s="7"/>
      <c r="D409" s="7"/>
      <c r="E409" s="7"/>
      <c r="F409" s="10"/>
      <c r="G409" s="107"/>
      <c r="H409" s="7"/>
      <c r="I409" s="10"/>
      <c r="J409" s="10"/>
      <c r="K409" s="10"/>
      <c r="L409" s="10"/>
      <c r="M409" s="10"/>
      <c r="N409" s="10"/>
      <c r="O409" s="10"/>
      <c r="P409" s="8"/>
      <c r="Q409" s="8"/>
      <c r="R409" s="7"/>
      <c r="S409" s="7"/>
      <c r="T409" s="7"/>
      <c r="U409" s="107"/>
      <c r="V409" s="7"/>
      <c r="W409" s="10"/>
      <c r="X409" s="107"/>
      <c r="Y409" s="7"/>
      <c r="Z409" s="10"/>
      <c r="AA409" s="107"/>
      <c r="AB409" s="10"/>
      <c r="AC409" s="107"/>
      <c r="AD409" s="7"/>
      <c r="AE409" s="10"/>
      <c r="AF409" s="107"/>
      <c r="AG409" s="10"/>
      <c r="AH409" s="107"/>
      <c r="AI409" s="10"/>
      <c r="AJ409" s="107"/>
      <c r="AK409" s="10"/>
      <c r="AL409" s="107"/>
      <c r="AM409" s="10"/>
      <c r="AN409" s="10"/>
      <c r="AO409" s="10"/>
      <c r="AP409" s="8"/>
      <c r="AQ409" s="107"/>
      <c r="AR409" s="10"/>
      <c r="AS409" s="107"/>
      <c r="AT409" s="7"/>
      <c r="AU409" s="10"/>
      <c r="AV409" s="10"/>
      <c r="AW409" s="107"/>
      <c r="AX409" s="10"/>
      <c r="AY409" s="107"/>
      <c r="AZ409" s="10"/>
      <c r="BA409" s="107"/>
      <c r="BB409" s="107"/>
      <c r="BC409" s="107"/>
      <c r="BD409" s="10"/>
      <c r="BE409" s="107"/>
      <c r="BF409" s="10"/>
      <c r="BG409" s="10"/>
      <c r="BH409" s="10"/>
      <c r="BI409" s="107"/>
      <c r="BJ409" s="107"/>
      <c r="BK409" s="10"/>
      <c r="BL409" s="10"/>
      <c r="BM409" s="107"/>
      <c r="BN409" s="10"/>
      <c r="BO409" s="107"/>
      <c r="BP409" s="7"/>
      <c r="BQ409" s="10"/>
      <c r="BR409" s="107"/>
      <c r="BS409" s="10"/>
      <c r="BT409" s="107"/>
      <c r="BU409" s="107"/>
      <c r="BV409" s="107"/>
      <c r="BW409" s="107"/>
      <c r="BX409" s="107"/>
      <c r="BY409" s="10"/>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c r="CW409" s="107"/>
      <c r="CX409" s="107"/>
      <c r="CY409" s="107"/>
      <c r="CZ409" s="107"/>
      <c r="DA409" s="107"/>
      <c r="DB409" s="107"/>
      <c r="DC409" s="107"/>
      <c r="DD409" s="107"/>
      <c r="DE409" s="107"/>
      <c r="DF409" s="107"/>
      <c r="DG409" s="107"/>
      <c r="DH409" s="107"/>
      <c r="DI409" s="107"/>
      <c r="DJ409" s="107"/>
      <c r="DK409" s="10"/>
      <c r="DL409" s="10"/>
      <c r="DM409" s="10"/>
      <c r="DN409" s="10"/>
      <c r="DO409" s="10"/>
      <c r="DP409" s="10"/>
      <c r="DQ409" s="10"/>
      <c r="DR409" s="10"/>
      <c r="DS409" s="10"/>
      <c r="DT409" s="10"/>
      <c r="DU409" s="10"/>
      <c r="DV409" s="10"/>
      <c r="DW409" s="10"/>
      <c r="DX409" s="10"/>
      <c r="DY409" s="10"/>
      <c r="DZ409" s="10"/>
      <c r="EA409" s="10"/>
      <c r="EB409" s="10"/>
      <c r="EC409" s="107"/>
      <c r="ED409" s="107"/>
      <c r="EE409" s="10"/>
      <c r="EF409" s="107"/>
      <c r="EG409" s="7"/>
      <c r="EH409" s="10"/>
      <c r="EI409" s="107"/>
      <c r="EJ409" s="107"/>
      <c r="EK409" s="107"/>
      <c r="EL409" s="107"/>
      <c r="EM409" s="107"/>
      <c r="EN409" s="107"/>
      <c r="EO409" s="107"/>
      <c r="EP409" s="107"/>
      <c r="EQ409" s="107"/>
      <c r="ER409" s="107"/>
      <c r="ES409" s="107"/>
      <c r="ET409" s="107"/>
      <c r="EU409" s="107"/>
      <c r="EV409" s="107"/>
      <c r="EW409" s="107"/>
      <c r="EX409" s="107"/>
      <c r="EY409" s="107"/>
      <c r="EZ409" s="107"/>
      <c r="FA409" s="107"/>
      <c r="FB409" s="107"/>
      <c r="FC409" s="107"/>
      <c r="FD409" s="107"/>
      <c r="FE409" s="107"/>
      <c r="FF409" s="107"/>
      <c r="FG409" s="107"/>
      <c r="FH409" s="107"/>
      <c r="FI409" s="107"/>
      <c r="FJ409" s="107"/>
      <c r="FK409" s="107"/>
      <c r="FL409" s="107"/>
      <c r="FM409" s="107"/>
      <c r="FN409" s="107"/>
      <c r="FO409" s="10"/>
      <c r="FP409" s="10"/>
      <c r="FQ409" s="10"/>
      <c r="FR409" s="10"/>
      <c r="FS409" s="10"/>
      <c r="FT409" s="10"/>
      <c r="FU409" s="10"/>
      <c r="FV409" s="10"/>
      <c r="FW409" s="10"/>
      <c r="FX409" s="10"/>
      <c r="FY409" s="8"/>
      <c r="FZ409" s="266"/>
      <c r="GA409" s="266"/>
    </row>
    <row r="410" spans="1:183" s="268" customFormat="1" x14ac:dyDescent="0.25">
      <c r="A410" s="107"/>
      <c r="B410" s="7"/>
      <c r="C410" s="7"/>
      <c r="D410" s="7"/>
      <c r="E410" s="7"/>
      <c r="F410" s="10"/>
      <c r="G410" s="107"/>
      <c r="H410" s="7"/>
      <c r="I410" s="10"/>
      <c r="J410" s="10"/>
      <c r="K410" s="10"/>
      <c r="L410" s="10"/>
      <c r="M410" s="10"/>
      <c r="N410" s="10"/>
      <c r="O410" s="10"/>
      <c r="P410" s="8"/>
      <c r="Q410" s="8"/>
      <c r="R410" s="7"/>
      <c r="S410" s="7"/>
      <c r="T410" s="7"/>
      <c r="U410" s="107"/>
      <c r="V410" s="7"/>
      <c r="W410" s="10"/>
      <c r="X410" s="107"/>
      <c r="Y410" s="7"/>
      <c r="Z410" s="10"/>
      <c r="AA410" s="107"/>
      <c r="AB410" s="10"/>
      <c r="AC410" s="107"/>
      <c r="AD410" s="7"/>
      <c r="AE410" s="10"/>
      <c r="AF410" s="107"/>
      <c r="AG410" s="10"/>
      <c r="AH410" s="107"/>
      <c r="AI410" s="10"/>
      <c r="AJ410" s="107"/>
      <c r="AK410" s="10"/>
      <c r="AL410" s="107"/>
      <c r="AM410" s="10"/>
      <c r="AN410" s="10"/>
      <c r="AO410" s="10"/>
      <c r="AP410" s="8"/>
      <c r="AQ410" s="107"/>
      <c r="AR410" s="10"/>
      <c r="AS410" s="107"/>
      <c r="AT410" s="7"/>
      <c r="AU410" s="10"/>
      <c r="AV410" s="10"/>
      <c r="AW410" s="107"/>
      <c r="AX410" s="10"/>
      <c r="AY410" s="107"/>
      <c r="AZ410" s="10"/>
      <c r="BA410" s="107"/>
      <c r="BB410" s="107"/>
      <c r="BC410" s="107"/>
      <c r="BD410" s="10"/>
      <c r="BE410" s="107"/>
      <c r="BF410" s="10"/>
      <c r="BG410" s="10"/>
      <c r="BH410" s="10"/>
      <c r="BI410" s="107"/>
      <c r="BJ410" s="107"/>
      <c r="BK410" s="10"/>
      <c r="BL410" s="10"/>
      <c r="BM410" s="107"/>
      <c r="BN410" s="10"/>
      <c r="BO410" s="107"/>
      <c r="BP410" s="7"/>
      <c r="BQ410" s="10"/>
      <c r="BR410" s="107"/>
      <c r="BS410" s="10"/>
      <c r="BT410" s="107"/>
      <c r="BU410" s="107"/>
      <c r="BV410" s="107"/>
      <c r="BW410" s="107"/>
      <c r="BX410" s="107"/>
      <c r="BY410" s="10"/>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c r="CW410" s="107"/>
      <c r="CX410" s="107"/>
      <c r="CY410" s="107"/>
      <c r="CZ410" s="107"/>
      <c r="DA410" s="107"/>
      <c r="DB410" s="107"/>
      <c r="DC410" s="107"/>
      <c r="DD410" s="107"/>
      <c r="DE410" s="107"/>
      <c r="DF410" s="107"/>
      <c r="DG410" s="107"/>
      <c r="DH410" s="107"/>
      <c r="DI410" s="107"/>
      <c r="DJ410" s="107"/>
      <c r="DK410" s="10"/>
      <c r="DL410" s="10"/>
      <c r="DM410" s="10"/>
      <c r="DN410" s="10"/>
      <c r="DO410" s="10"/>
      <c r="DP410" s="10"/>
      <c r="DQ410" s="10"/>
      <c r="DR410" s="10"/>
      <c r="DS410" s="10"/>
      <c r="DT410" s="10"/>
      <c r="DU410" s="10"/>
      <c r="DV410" s="10"/>
      <c r="DW410" s="10"/>
      <c r="DX410" s="10"/>
      <c r="DY410" s="10"/>
      <c r="DZ410" s="10"/>
      <c r="EA410" s="10"/>
      <c r="EB410" s="10"/>
      <c r="EC410" s="107"/>
      <c r="ED410" s="107"/>
      <c r="EE410" s="10"/>
      <c r="EF410" s="107"/>
      <c r="EG410" s="7"/>
      <c r="EH410" s="10"/>
      <c r="EI410" s="107"/>
      <c r="EJ410" s="107"/>
      <c r="EK410" s="107"/>
      <c r="EL410" s="107"/>
      <c r="EM410" s="107"/>
      <c r="EN410" s="107"/>
      <c r="EO410" s="107"/>
      <c r="EP410" s="107"/>
      <c r="EQ410" s="107"/>
      <c r="ER410" s="107"/>
      <c r="ES410" s="107"/>
      <c r="ET410" s="107"/>
      <c r="EU410" s="107"/>
      <c r="EV410" s="107"/>
      <c r="EW410" s="107"/>
      <c r="EX410" s="107"/>
      <c r="EY410" s="107"/>
      <c r="EZ410" s="107"/>
      <c r="FA410" s="107"/>
      <c r="FB410" s="107"/>
      <c r="FC410" s="107"/>
      <c r="FD410" s="107"/>
      <c r="FE410" s="107"/>
      <c r="FF410" s="107"/>
      <c r="FG410" s="107"/>
      <c r="FH410" s="107"/>
      <c r="FI410" s="107"/>
      <c r="FJ410" s="107"/>
      <c r="FK410" s="107"/>
      <c r="FL410" s="107"/>
      <c r="FM410" s="107"/>
      <c r="FN410" s="107"/>
      <c r="FO410" s="10"/>
      <c r="FP410" s="10"/>
      <c r="FQ410" s="10"/>
      <c r="FR410" s="10"/>
      <c r="FS410" s="10"/>
      <c r="FT410" s="10"/>
      <c r="FU410" s="10"/>
      <c r="FV410" s="10"/>
      <c r="FW410" s="10"/>
      <c r="FX410" s="10"/>
      <c r="FY410" s="8"/>
      <c r="FZ410" s="266"/>
      <c r="GA410" s="266"/>
    </row>
    <row r="411" spans="1:183" s="268" customFormat="1" x14ac:dyDescent="0.25">
      <c r="A411" s="107"/>
      <c r="B411" s="7"/>
      <c r="C411" s="7"/>
      <c r="D411" s="7"/>
      <c r="E411" s="7"/>
      <c r="F411" s="10"/>
      <c r="G411" s="107"/>
      <c r="H411" s="7"/>
      <c r="I411" s="10"/>
      <c r="J411" s="10"/>
      <c r="K411" s="10"/>
      <c r="L411" s="10"/>
      <c r="M411" s="10"/>
      <c r="N411" s="10"/>
      <c r="O411" s="10"/>
      <c r="P411" s="8"/>
      <c r="Q411" s="8"/>
      <c r="R411" s="7"/>
      <c r="S411" s="7"/>
      <c r="T411" s="7"/>
      <c r="U411" s="107"/>
      <c r="V411" s="7"/>
      <c r="W411" s="10"/>
      <c r="X411" s="107"/>
      <c r="Y411" s="7"/>
      <c r="Z411" s="10"/>
      <c r="AA411" s="107"/>
      <c r="AB411" s="10"/>
      <c r="AC411" s="107"/>
      <c r="AD411" s="7"/>
      <c r="AE411" s="10"/>
      <c r="AF411" s="107"/>
      <c r="AG411" s="10"/>
      <c r="AH411" s="107"/>
      <c r="AI411" s="10"/>
      <c r="AJ411" s="107"/>
      <c r="AK411" s="10"/>
      <c r="AL411" s="107"/>
      <c r="AM411" s="10"/>
      <c r="AN411" s="10"/>
      <c r="AO411" s="10"/>
      <c r="AP411" s="8"/>
      <c r="AQ411" s="107"/>
      <c r="AR411" s="10"/>
      <c r="AS411" s="107"/>
      <c r="AT411" s="7"/>
      <c r="AU411" s="10"/>
      <c r="AV411" s="10"/>
      <c r="AW411" s="107"/>
      <c r="AX411" s="10"/>
      <c r="AY411" s="107"/>
      <c r="AZ411" s="10"/>
      <c r="BA411" s="107"/>
      <c r="BB411" s="107"/>
      <c r="BC411" s="107"/>
      <c r="BD411" s="10"/>
      <c r="BE411" s="107"/>
      <c r="BF411" s="10"/>
      <c r="BG411" s="10"/>
      <c r="BH411" s="10"/>
      <c r="BI411" s="107"/>
      <c r="BJ411" s="107"/>
      <c r="BK411" s="10"/>
      <c r="BL411" s="10"/>
      <c r="BM411" s="107"/>
      <c r="BN411" s="10"/>
      <c r="BO411" s="107"/>
      <c r="BP411" s="7"/>
      <c r="BQ411" s="10"/>
      <c r="BR411" s="107"/>
      <c r="BS411" s="10"/>
      <c r="BT411" s="107"/>
      <c r="BU411" s="107"/>
      <c r="BV411" s="107"/>
      <c r="BW411" s="107"/>
      <c r="BX411" s="107"/>
      <c r="BY411" s="10"/>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c r="CW411" s="107"/>
      <c r="CX411" s="107"/>
      <c r="CY411" s="107"/>
      <c r="CZ411" s="107"/>
      <c r="DA411" s="107"/>
      <c r="DB411" s="107"/>
      <c r="DC411" s="107"/>
      <c r="DD411" s="107"/>
      <c r="DE411" s="107"/>
      <c r="DF411" s="107"/>
      <c r="DG411" s="107"/>
      <c r="DH411" s="107"/>
      <c r="DI411" s="107"/>
      <c r="DJ411" s="107"/>
      <c r="DK411" s="10"/>
      <c r="DL411" s="10"/>
      <c r="DM411" s="10"/>
      <c r="DN411" s="10"/>
      <c r="DO411" s="10"/>
      <c r="DP411" s="10"/>
      <c r="DQ411" s="10"/>
      <c r="DR411" s="10"/>
      <c r="DS411" s="10"/>
      <c r="DT411" s="10"/>
      <c r="DU411" s="10"/>
      <c r="DV411" s="10"/>
      <c r="DW411" s="10"/>
      <c r="DX411" s="10"/>
      <c r="DY411" s="10"/>
      <c r="DZ411" s="10"/>
      <c r="EA411" s="10"/>
      <c r="EB411" s="10"/>
      <c r="EC411" s="107"/>
      <c r="ED411" s="107"/>
      <c r="EE411" s="10"/>
      <c r="EF411" s="107"/>
      <c r="EG411" s="7"/>
      <c r="EH411" s="10"/>
      <c r="EI411" s="107"/>
      <c r="EJ411" s="107"/>
      <c r="EK411" s="107"/>
      <c r="EL411" s="107"/>
      <c r="EM411" s="107"/>
      <c r="EN411" s="107"/>
      <c r="EO411" s="107"/>
      <c r="EP411" s="107"/>
      <c r="EQ411" s="107"/>
      <c r="ER411" s="107"/>
      <c r="ES411" s="107"/>
      <c r="ET411" s="107"/>
      <c r="EU411" s="107"/>
      <c r="EV411" s="107"/>
      <c r="EW411" s="107"/>
      <c r="EX411" s="107"/>
      <c r="EY411" s="107"/>
      <c r="EZ411" s="107"/>
      <c r="FA411" s="107"/>
      <c r="FB411" s="107"/>
      <c r="FC411" s="107"/>
      <c r="FD411" s="107"/>
      <c r="FE411" s="107"/>
      <c r="FF411" s="107"/>
      <c r="FG411" s="107"/>
      <c r="FH411" s="107"/>
      <c r="FI411" s="107"/>
      <c r="FJ411" s="107"/>
      <c r="FK411" s="107"/>
      <c r="FL411" s="107"/>
      <c r="FM411" s="107"/>
      <c r="FN411" s="107"/>
      <c r="FO411" s="10"/>
      <c r="FP411" s="10"/>
      <c r="FQ411" s="10"/>
      <c r="FR411" s="10"/>
      <c r="FS411" s="10"/>
      <c r="FT411" s="10"/>
      <c r="FU411" s="10"/>
      <c r="FV411" s="10"/>
      <c r="FW411" s="10"/>
      <c r="FX411" s="10"/>
      <c r="FY411" s="8"/>
      <c r="FZ411" s="266"/>
      <c r="GA411" s="266"/>
    </row>
    <row r="412" spans="1:183" s="268" customFormat="1" x14ac:dyDescent="0.25">
      <c r="A412" s="107"/>
      <c r="B412" s="7"/>
      <c r="C412" s="7"/>
      <c r="D412" s="7"/>
      <c r="E412" s="7"/>
      <c r="F412" s="10"/>
      <c r="G412" s="107"/>
      <c r="H412" s="7"/>
      <c r="I412" s="10"/>
      <c r="J412" s="10"/>
      <c r="K412" s="10"/>
      <c r="L412" s="10"/>
      <c r="M412" s="10"/>
      <c r="N412" s="10"/>
      <c r="O412" s="10"/>
      <c r="P412" s="8"/>
      <c r="Q412" s="8"/>
      <c r="R412" s="7"/>
      <c r="S412" s="7"/>
      <c r="T412" s="7"/>
      <c r="U412" s="107"/>
      <c r="V412" s="7"/>
      <c r="W412" s="10"/>
      <c r="X412" s="107"/>
      <c r="Y412" s="7"/>
      <c r="Z412" s="10"/>
      <c r="AA412" s="107"/>
      <c r="AB412" s="10"/>
      <c r="AC412" s="107"/>
      <c r="AD412" s="7"/>
      <c r="AE412" s="10"/>
      <c r="AF412" s="107"/>
      <c r="AG412" s="10"/>
      <c r="AH412" s="107"/>
      <c r="AI412" s="10"/>
      <c r="AJ412" s="107"/>
      <c r="AK412" s="10"/>
      <c r="AL412" s="107"/>
      <c r="AM412" s="10"/>
      <c r="AN412" s="10"/>
      <c r="AO412" s="10"/>
      <c r="AP412" s="8"/>
      <c r="AQ412" s="107"/>
      <c r="AR412" s="10"/>
      <c r="AS412" s="107"/>
      <c r="AT412" s="7"/>
      <c r="AU412" s="10"/>
      <c r="AV412" s="10"/>
      <c r="AW412" s="107"/>
      <c r="AX412" s="10"/>
      <c r="AY412" s="107"/>
      <c r="AZ412" s="10"/>
      <c r="BA412" s="107"/>
      <c r="BB412" s="107"/>
      <c r="BC412" s="107"/>
      <c r="BD412" s="10"/>
      <c r="BE412" s="107"/>
      <c r="BF412" s="10"/>
      <c r="BG412" s="10"/>
      <c r="BH412" s="10"/>
      <c r="BI412" s="107"/>
      <c r="BJ412" s="107"/>
      <c r="BK412" s="10"/>
      <c r="BL412" s="10"/>
      <c r="BM412" s="107"/>
      <c r="BN412" s="10"/>
      <c r="BO412" s="107"/>
      <c r="BP412" s="7"/>
      <c r="BQ412" s="10"/>
      <c r="BR412" s="107"/>
      <c r="BS412" s="10"/>
      <c r="BT412" s="107"/>
      <c r="BU412" s="107"/>
      <c r="BV412" s="107"/>
      <c r="BW412" s="107"/>
      <c r="BX412" s="107"/>
      <c r="BY412" s="10"/>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c r="CW412" s="107"/>
      <c r="CX412" s="107"/>
      <c r="CY412" s="107"/>
      <c r="CZ412" s="107"/>
      <c r="DA412" s="107"/>
      <c r="DB412" s="107"/>
      <c r="DC412" s="107"/>
      <c r="DD412" s="107"/>
      <c r="DE412" s="107"/>
      <c r="DF412" s="107"/>
      <c r="DG412" s="107"/>
      <c r="DH412" s="107"/>
      <c r="DI412" s="107"/>
      <c r="DJ412" s="107"/>
      <c r="DK412" s="10"/>
      <c r="DL412" s="10"/>
      <c r="DM412" s="10"/>
      <c r="DN412" s="10"/>
      <c r="DO412" s="10"/>
      <c r="DP412" s="10"/>
      <c r="DQ412" s="10"/>
      <c r="DR412" s="10"/>
      <c r="DS412" s="10"/>
      <c r="DT412" s="10"/>
      <c r="DU412" s="10"/>
      <c r="DV412" s="10"/>
      <c r="DW412" s="10"/>
      <c r="DX412" s="10"/>
      <c r="DY412" s="10"/>
      <c r="DZ412" s="10"/>
      <c r="EA412" s="10"/>
      <c r="EB412" s="10"/>
      <c r="EC412" s="107"/>
      <c r="ED412" s="107"/>
      <c r="EE412" s="10"/>
      <c r="EF412" s="107"/>
      <c r="EG412" s="7"/>
      <c r="EH412" s="10"/>
      <c r="EI412" s="107"/>
      <c r="EJ412" s="107"/>
      <c r="EK412" s="107"/>
      <c r="EL412" s="107"/>
      <c r="EM412" s="107"/>
      <c r="EN412" s="107"/>
      <c r="EO412" s="107"/>
      <c r="EP412" s="107"/>
      <c r="EQ412" s="107"/>
      <c r="ER412" s="107"/>
      <c r="ES412" s="107"/>
      <c r="ET412" s="107"/>
      <c r="EU412" s="107"/>
      <c r="EV412" s="107"/>
      <c r="EW412" s="107"/>
      <c r="EX412" s="107"/>
      <c r="EY412" s="107"/>
      <c r="EZ412" s="107"/>
      <c r="FA412" s="107"/>
      <c r="FB412" s="107"/>
      <c r="FC412" s="107"/>
      <c r="FD412" s="107"/>
      <c r="FE412" s="107"/>
      <c r="FF412" s="107"/>
      <c r="FG412" s="107"/>
      <c r="FH412" s="107"/>
      <c r="FI412" s="107"/>
      <c r="FJ412" s="107"/>
      <c r="FK412" s="107"/>
      <c r="FL412" s="107"/>
      <c r="FM412" s="107"/>
      <c r="FN412" s="107"/>
      <c r="FO412" s="10"/>
      <c r="FP412" s="10"/>
      <c r="FQ412" s="10"/>
      <c r="FR412" s="10"/>
      <c r="FS412" s="10"/>
      <c r="FT412" s="10"/>
      <c r="FU412" s="10"/>
      <c r="FV412" s="10"/>
      <c r="FW412" s="10"/>
      <c r="FX412" s="10"/>
      <c r="FY412" s="8"/>
      <c r="FZ412" s="266"/>
      <c r="GA412" s="266"/>
    </row>
    <row r="413" spans="1:183" s="268" customFormat="1" x14ac:dyDescent="0.25">
      <c r="A413" s="107"/>
      <c r="B413" s="7"/>
      <c r="C413" s="7"/>
      <c r="D413" s="7"/>
      <c r="E413" s="7"/>
      <c r="F413" s="10"/>
      <c r="G413" s="107"/>
      <c r="H413" s="7"/>
      <c r="I413" s="10"/>
      <c r="J413" s="10"/>
      <c r="K413" s="10"/>
      <c r="L413" s="10"/>
      <c r="M413" s="10"/>
      <c r="N413" s="10"/>
      <c r="O413" s="10"/>
      <c r="P413" s="8"/>
      <c r="Q413" s="8"/>
      <c r="R413" s="7"/>
      <c r="S413" s="7"/>
      <c r="T413" s="7"/>
      <c r="U413" s="107"/>
      <c r="V413" s="7"/>
      <c r="W413" s="10"/>
      <c r="X413" s="107"/>
      <c r="Y413" s="7"/>
      <c r="Z413" s="10"/>
      <c r="AA413" s="107"/>
      <c r="AB413" s="10"/>
      <c r="AC413" s="107"/>
      <c r="AD413" s="7"/>
      <c r="AE413" s="10"/>
      <c r="AF413" s="107"/>
      <c r="AG413" s="10"/>
      <c r="AH413" s="107"/>
      <c r="AI413" s="10"/>
      <c r="AJ413" s="107"/>
      <c r="AK413" s="10"/>
      <c r="AL413" s="107"/>
      <c r="AM413" s="10"/>
      <c r="AN413" s="10"/>
      <c r="AO413" s="10"/>
      <c r="AP413" s="8"/>
      <c r="AQ413" s="107"/>
      <c r="AR413" s="10"/>
      <c r="AS413" s="107"/>
      <c r="AT413" s="7"/>
      <c r="AU413" s="10"/>
      <c r="AV413" s="10"/>
      <c r="AW413" s="107"/>
      <c r="AX413" s="10"/>
      <c r="AY413" s="107"/>
      <c r="AZ413" s="10"/>
      <c r="BA413" s="107"/>
      <c r="BB413" s="107"/>
      <c r="BC413" s="107"/>
      <c r="BD413" s="10"/>
      <c r="BE413" s="107"/>
      <c r="BF413" s="10"/>
      <c r="BG413" s="10"/>
      <c r="BH413" s="10"/>
      <c r="BI413" s="107"/>
      <c r="BJ413" s="107"/>
      <c r="BK413" s="10"/>
      <c r="BL413" s="10"/>
      <c r="BM413" s="107"/>
      <c r="BN413" s="10"/>
      <c r="BO413" s="107"/>
      <c r="BP413" s="7"/>
      <c r="BQ413" s="10"/>
      <c r="BR413" s="107"/>
      <c r="BS413" s="10"/>
      <c r="BT413" s="107"/>
      <c r="BU413" s="107"/>
      <c r="BV413" s="107"/>
      <c r="BW413" s="107"/>
      <c r="BX413" s="107"/>
      <c r="BY413" s="10"/>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c r="CW413" s="107"/>
      <c r="CX413" s="107"/>
      <c r="CY413" s="107"/>
      <c r="CZ413" s="107"/>
      <c r="DA413" s="107"/>
      <c r="DB413" s="107"/>
      <c r="DC413" s="107"/>
      <c r="DD413" s="107"/>
      <c r="DE413" s="107"/>
      <c r="DF413" s="107"/>
      <c r="DG413" s="107"/>
      <c r="DH413" s="107"/>
      <c r="DI413" s="107"/>
      <c r="DJ413" s="107"/>
      <c r="DK413" s="10"/>
      <c r="DL413" s="10"/>
      <c r="DM413" s="10"/>
      <c r="DN413" s="10"/>
      <c r="DO413" s="10"/>
      <c r="DP413" s="10"/>
      <c r="DQ413" s="10"/>
      <c r="DR413" s="10"/>
      <c r="DS413" s="10"/>
      <c r="DT413" s="10"/>
      <c r="DU413" s="10"/>
      <c r="DV413" s="10"/>
      <c r="DW413" s="10"/>
      <c r="DX413" s="10"/>
      <c r="DY413" s="10"/>
      <c r="DZ413" s="10"/>
      <c r="EA413" s="10"/>
      <c r="EB413" s="10"/>
      <c r="EC413" s="107"/>
      <c r="ED413" s="107"/>
      <c r="EE413" s="10"/>
      <c r="EF413" s="107"/>
      <c r="EG413" s="7"/>
      <c r="EH413" s="10"/>
      <c r="EI413" s="107"/>
      <c r="EJ413" s="107"/>
      <c r="EK413" s="107"/>
      <c r="EL413" s="107"/>
      <c r="EM413" s="107"/>
      <c r="EN413" s="107"/>
      <c r="EO413" s="107"/>
      <c r="EP413" s="107"/>
      <c r="EQ413" s="107"/>
      <c r="ER413" s="107"/>
      <c r="ES413" s="107"/>
      <c r="ET413" s="107"/>
      <c r="EU413" s="107"/>
      <c r="EV413" s="107"/>
      <c r="EW413" s="107"/>
      <c r="EX413" s="107"/>
      <c r="EY413" s="107"/>
      <c r="EZ413" s="107"/>
      <c r="FA413" s="107"/>
      <c r="FB413" s="107"/>
      <c r="FC413" s="107"/>
      <c r="FD413" s="107"/>
      <c r="FE413" s="107"/>
      <c r="FF413" s="107"/>
      <c r="FG413" s="107"/>
      <c r="FH413" s="107"/>
      <c r="FI413" s="107"/>
      <c r="FJ413" s="107"/>
      <c r="FK413" s="107"/>
      <c r="FL413" s="107"/>
      <c r="FM413" s="107"/>
      <c r="FN413" s="107"/>
      <c r="FO413" s="10"/>
      <c r="FP413" s="10"/>
      <c r="FQ413" s="10"/>
      <c r="FR413" s="10"/>
      <c r="FS413" s="10"/>
      <c r="FT413" s="10"/>
      <c r="FU413" s="10"/>
      <c r="FV413" s="10"/>
      <c r="FW413" s="10"/>
      <c r="FX413" s="10"/>
      <c r="FY413" s="8"/>
      <c r="FZ413" s="266"/>
      <c r="GA413" s="266"/>
    </row>
    <row r="414" spans="1:183" s="268" customFormat="1" x14ac:dyDescent="0.25">
      <c r="A414" s="107"/>
      <c r="B414" s="7"/>
      <c r="C414" s="7"/>
      <c r="D414" s="7"/>
      <c r="E414" s="7"/>
      <c r="F414" s="10"/>
      <c r="G414" s="107"/>
      <c r="H414" s="7"/>
      <c r="I414" s="10"/>
      <c r="J414" s="10"/>
      <c r="K414" s="10"/>
      <c r="L414" s="10"/>
      <c r="M414" s="10"/>
      <c r="N414" s="10"/>
      <c r="O414" s="10"/>
      <c r="P414" s="8"/>
      <c r="Q414" s="8"/>
      <c r="R414" s="7"/>
      <c r="S414" s="7"/>
      <c r="T414" s="7"/>
      <c r="U414" s="107"/>
      <c r="V414" s="7"/>
      <c r="W414" s="10"/>
      <c r="X414" s="107"/>
      <c r="Y414" s="7"/>
      <c r="Z414" s="10"/>
      <c r="AA414" s="107"/>
      <c r="AB414" s="10"/>
      <c r="AC414" s="107"/>
      <c r="AD414" s="7"/>
      <c r="AE414" s="10"/>
      <c r="AF414" s="107"/>
      <c r="AG414" s="10"/>
      <c r="AH414" s="107"/>
      <c r="AI414" s="10"/>
      <c r="AJ414" s="107"/>
      <c r="AK414" s="10"/>
      <c r="AL414" s="107"/>
      <c r="AM414" s="10"/>
      <c r="AN414" s="10"/>
      <c r="AO414" s="10"/>
      <c r="AP414" s="8"/>
      <c r="AQ414" s="107"/>
      <c r="AR414" s="10"/>
      <c r="AS414" s="107"/>
      <c r="AT414" s="7"/>
      <c r="AU414" s="10"/>
      <c r="AV414" s="10"/>
      <c r="AW414" s="107"/>
      <c r="AX414" s="10"/>
      <c r="AY414" s="107"/>
      <c r="AZ414" s="10"/>
      <c r="BA414" s="107"/>
      <c r="BB414" s="107"/>
      <c r="BC414" s="107"/>
      <c r="BD414" s="10"/>
      <c r="BE414" s="107"/>
      <c r="BF414" s="10"/>
      <c r="BG414" s="10"/>
      <c r="BH414" s="10"/>
      <c r="BI414" s="107"/>
      <c r="BJ414" s="107"/>
      <c r="BK414" s="10"/>
      <c r="BL414" s="10"/>
      <c r="BM414" s="107"/>
      <c r="BN414" s="10"/>
      <c r="BO414" s="107"/>
      <c r="BP414" s="7"/>
      <c r="BQ414" s="10"/>
      <c r="BR414" s="107"/>
      <c r="BS414" s="10"/>
      <c r="BT414" s="107"/>
      <c r="BU414" s="107"/>
      <c r="BV414" s="107"/>
      <c r="BW414" s="107"/>
      <c r="BX414" s="107"/>
      <c r="BY414" s="10"/>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c r="CW414" s="107"/>
      <c r="CX414" s="107"/>
      <c r="CY414" s="107"/>
      <c r="CZ414" s="107"/>
      <c r="DA414" s="107"/>
      <c r="DB414" s="107"/>
      <c r="DC414" s="107"/>
      <c r="DD414" s="107"/>
      <c r="DE414" s="107"/>
      <c r="DF414" s="107"/>
      <c r="DG414" s="107"/>
      <c r="DH414" s="107"/>
      <c r="DI414" s="107"/>
      <c r="DJ414" s="107"/>
      <c r="DK414" s="10"/>
      <c r="DL414" s="10"/>
      <c r="DM414" s="10"/>
      <c r="DN414" s="10"/>
      <c r="DO414" s="10"/>
      <c r="DP414" s="10"/>
      <c r="DQ414" s="10"/>
      <c r="DR414" s="10"/>
      <c r="DS414" s="10"/>
      <c r="DT414" s="10"/>
      <c r="DU414" s="10"/>
      <c r="DV414" s="10"/>
      <c r="DW414" s="10"/>
      <c r="DX414" s="10"/>
      <c r="DY414" s="10"/>
      <c r="DZ414" s="10"/>
      <c r="EA414" s="10"/>
      <c r="EB414" s="10"/>
      <c r="EC414" s="107"/>
      <c r="ED414" s="107"/>
      <c r="EE414" s="10"/>
      <c r="EF414" s="107"/>
      <c r="EG414" s="7"/>
      <c r="EH414" s="10"/>
      <c r="EI414" s="107"/>
      <c r="EJ414" s="107"/>
      <c r="EK414" s="107"/>
      <c r="EL414" s="107"/>
      <c r="EM414" s="107"/>
      <c r="EN414" s="107"/>
      <c r="EO414" s="107"/>
      <c r="EP414" s="107"/>
      <c r="EQ414" s="107"/>
      <c r="ER414" s="107"/>
      <c r="ES414" s="107"/>
      <c r="ET414" s="107"/>
      <c r="EU414" s="107"/>
      <c r="EV414" s="107"/>
      <c r="EW414" s="107"/>
      <c r="EX414" s="107"/>
      <c r="EY414" s="107"/>
      <c r="EZ414" s="107"/>
      <c r="FA414" s="107"/>
      <c r="FB414" s="107"/>
      <c r="FC414" s="107"/>
      <c r="FD414" s="107"/>
      <c r="FE414" s="107"/>
      <c r="FF414" s="107"/>
      <c r="FG414" s="107"/>
      <c r="FH414" s="107"/>
      <c r="FI414" s="107"/>
      <c r="FJ414" s="107"/>
      <c r="FK414" s="107"/>
      <c r="FL414" s="107"/>
      <c r="FM414" s="107"/>
      <c r="FN414" s="107"/>
      <c r="FO414" s="10"/>
      <c r="FP414" s="10"/>
      <c r="FQ414" s="10"/>
      <c r="FR414" s="10"/>
      <c r="FS414" s="10"/>
      <c r="FT414" s="10"/>
      <c r="FU414" s="10"/>
      <c r="FV414" s="10"/>
      <c r="FW414" s="10"/>
      <c r="FX414" s="10"/>
      <c r="FY414" s="8"/>
      <c r="FZ414" s="266"/>
      <c r="GA414" s="266"/>
    </row>
    <row r="415" spans="1:183" s="268" customFormat="1" x14ac:dyDescent="0.25">
      <c r="A415" s="107"/>
      <c r="B415" s="7"/>
      <c r="C415" s="7"/>
      <c r="D415" s="7"/>
      <c r="E415" s="7"/>
      <c r="F415" s="10"/>
      <c r="G415" s="107"/>
      <c r="H415" s="7"/>
      <c r="I415" s="10"/>
      <c r="J415" s="10"/>
      <c r="K415" s="10"/>
      <c r="L415" s="10"/>
      <c r="M415" s="10"/>
      <c r="N415" s="10"/>
      <c r="O415" s="10"/>
      <c r="P415" s="8"/>
      <c r="Q415" s="8"/>
      <c r="R415" s="7"/>
      <c r="S415" s="7"/>
      <c r="T415" s="7"/>
      <c r="U415" s="107"/>
      <c r="V415" s="7"/>
      <c r="W415" s="10"/>
      <c r="X415" s="107"/>
      <c r="Y415" s="7"/>
      <c r="Z415" s="10"/>
      <c r="AA415" s="107"/>
      <c r="AB415" s="10"/>
      <c r="AC415" s="107"/>
      <c r="AD415" s="7"/>
      <c r="AE415" s="10"/>
      <c r="AF415" s="107"/>
      <c r="AG415" s="10"/>
      <c r="AH415" s="107"/>
      <c r="AI415" s="10"/>
      <c r="AJ415" s="107"/>
      <c r="AK415" s="10"/>
      <c r="AL415" s="107"/>
      <c r="AM415" s="10"/>
      <c r="AN415" s="10"/>
      <c r="AO415" s="10"/>
      <c r="AP415" s="8"/>
      <c r="AQ415" s="107"/>
      <c r="AR415" s="10"/>
      <c r="AS415" s="107"/>
      <c r="AT415" s="7"/>
      <c r="AU415" s="10"/>
      <c r="AV415" s="10"/>
      <c r="AW415" s="107"/>
      <c r="AX415" s="10"/>
      <c r="AY415" s="107"/>
      <c r="AZ415" s="10"/>
      <c r="BA415" s="107"/>
      <c r="BB415" s="107"/>
      <c r="BC415" s="107"/>
      <c r="BD415" s="10"/>
      <c r="BE415" s="107"/>
      <c r="BF415" s="10"/>
      <c r="BG415" s="10"/>
      <c r="BH415" s="10"/>
      <c r="BI415" s="107"/>
      <c r="BJ415" s="107"/>
      <c r="BK415" s="10"/>
      <c r="BL415" s="10"/>
      <c r="BM415" s="107"/>
      <c r="BN415" s="10"/>
      <c r="BO415" s="107"/>
      <c r="BP415" s="7"/>
      <c r="BQ415" s="10"/>
      <c r="BR415" s="107"/>
      <c r="BS415" s="10"/>
      <c r="BT415" s="107"/>
      <c r="BU415" s="107"/>
      <c r="BV415" s="107"/>
      <c r="BW415" s="107"/>
      <c r="BX415" s="107"/>
      <c r="BY415" s="10"/>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c r="CW415" s="107"/>
      <c r="CX415" s="107"/>
      <c r="CY415" s="107"/>
      <c r="CZ415" s="107"/>
      <c r="DA415" s="107"/>
      <c r="DB415" s="107"/>
      <c r="DC415" s="107"/>
      <c r="DD415" s="107"/>
      <c r="DE415" s="107"/>
      <c r="DF415" s="107"/>
      <c r="DG415" s="107"/>
      <c r="DH415" s="107"/>
      <c r="DI415" s="107"/>
      <c r="DJ415" s="107"/>
      <c r="DK415" s="10"/>
      <c r="DL415" s="10"/>
      <c r="DM415" s="10"/>
      <c r="DN415" s="10"/>
      <c r="DO415" s="10"/>
      <c r="DP415" s="10"/>
      <c r="DQ415" s="10"/>
      <c r="DR415" s="10"/>
      <c r="DS415" s="10"/>
      <c r="DT415" s="10"/>
      <c r="DU415" s="10"/>
      <c r="DV415" s="10"/>
      <c r="DW415" s="10"/>
      <c r="DX415" s="10"/>
      <c r="DY415" s="10"/>
      <c r="DZ415" s="10"/>
      <c r="EA415" s="10"/>
      <c r="EB415" s="10"/>
      <c r="EC415" s="107"/>
      <c r="ED415" s="107"/>
      <c r="EE415" s="10"/>
      <c r="EF415" s="107"/>
      <c r="EG415" s="7"/>
      <c r="EH415" s="10"/>
      <c r="EI415" s="107"/>
      <c r="EJ415" s="107"/>
      <c r="EK415" s="107"/>
      <c r="EL415" s="107"/>
      <c r="EM415" s="107"/>
      <c r="EN415" s="107"/>
      <c r="EO415" s="107"/>
      <c r="EP415" s="107"/>
      <c r="EQ415" s="107"/>
      <c r="ER415" s="107"/>
      <c r="ES415" s="107"/>
      <c r="ET415" s="107"/>
      <c r="EU415" s="107"/>
      <c r="EV415" s="107"/>
      <c r="EW415" s="107"/>
      <c r="EX415" s="107"/>
      <c r="EY415" s="107"/>
      <c r="EZ415" s="107"/>
      <c r="FA415" s="107"/>
      <c r="FB415" s="107"/>
      <c r="FC415" s="107"/>
      <c r="FD415" s="107"/>
      <c r="FE415" s="107"/>
      <c r="FF415" s="107"/>
      <c r="FG415" s="107"/>
      <c r="FH415" s="107"/>
      <c r="FI415" s="107"/>
      <c r="FJ415" s="107"/>
      <c r="FK415" s="107"/>
      <c r="FL415" s="107"/>
      <c r="FM415" s="107"/>
      <c r="FN415" s="107"/>
      <c r="FO415" s="10"/>
      <c r="FP415" s="10"/>
      <c r="FQ415" s="10"/>
      <c r="FR415" s="10"/>
      <c r="FS415" s="10"/>
      <c r="FT415" s="10"/>
      <c r="FU415" s="10"/>
      <c r="FV415" s="10"/>
      <c r="FW415" s="10"/>
      <c r="FX415" s="10"/>
      <c r="FY415" s="8"/>
      <c r="FZ415" s="266"/>
      <c r="GA415" s="266"/>
    </row>
    <row r="416" spans="1:183" s="268" customFormat="1" x14ac:dyDescent="0.25">
      <c r="A416" s="107"/>
      <c r="B416" s="7"/>
      <c r="C416" s="7"/>
      <c r="D416" s="7"/>
      <c r="E416" s="7"/>
      <c r="F416" s="10"/>
      <c r="G416" s="107"/>
      <c r="H416" s="7"/>
      <c r="I416" s="10"/>
      <c r="J416" s="10"/>
      <c r="K416" s="10"/>
      <c r="L416" s="10"/>
      <c r="M416" s="10"/>
      <c r="N416" s="10"/>
      <c r="O416" s="10"/>
      <c r="P416" s="8"/>
      <c r="Q416" s="8"/>
      <c r="R416" s="7"/>
      <c r="S416" s="7"/>
      <c r="T416" s="7"/>
      <c r="U416" s="107"/>
      <c r="V416" s="7"/>
      <c r="W416" s="10"/>
      <c r="X416" s="107"/>
      <c r="Y416" s="7"/>
      <c r="Z416" s="10"/>
      <c r="AA416" s="107"/>
      <c r="AB416" s="10"/>
      <c r="AC416" s="107"/>
      <c r="AD416" s="7"/>
      <c r="AE416" s="10"/>
      <c r="AF416" s="107"/>
      <c r="AG416" s="10"/>
      <c r="AH416" s="107"/>
      <c r="AI416" s="10"/>
      <c r="AJ416" s="107"/>
      <c r="AK416" s="10"/>
      <c r="AL416" s="107"/>
      <c r="AM416" s="10"/>
      <c r="AN416" s="10"/>
      <c r="AO416" s="10"/>
      <c r="AP416" s="8"/>
      <c r="AQ416" s="107"/>
      <c r="AR416" s="10"/>
      <c r="AS416" s="107"/>
      <c r="AT416" s="7"/>
      <c r="AU416" s="10"/>
      <c r="AV416" s="10"/>
      <c r="AW416" s="107"/>
      <c r="AX416" s="10"/>
      <c r="AY416" s="107"/>
      <c r="AZ416" s="10"/>
      <c r="BA416" s="107"/>
      <c r="BB416" s="107"/>
      <c r="BC416" s="107"/>
      <c r="BD416" s="10"/>
      <c r="BE416" s="107"/>
      <c r="BF416" s="10"/>
      <c r="BG416" s="10"/>
      <c r="BH416" s="10"/>
      <c r="BI416" s="107"/>
      <c r="BJ416" s="107"/>
      <c r="BK416" s="10"/>
      <c r="BL416" s="10"/>
      <c r="BM416" s="107"/>
      <c r="BN416" s="10"/>
      <c r="BO416" s="107"/>
      <c r="BP416" s="7"/>
      <c r="BQ416" s="10"/>
      <c r="BR416" s="107"/>
      <c r="BS416" s="10"/>
      <c r="BT416" s="107"/>
      <c r="BU416" s="107"/>
      <c r="BV416" s="107"/>
      <c r="BW416" s="107"/>
      <c r="BX416" s="107"/>
      <c r="BY416" s="10"/>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c r="CW416" s="107"/>
      <c r="CX416" s="107"/>
      <c r="CY416" s="107"/>
      <c r="CZ416" s="107"/>
      <c r="DA416" s="107"/>
      <c r="DB416" s="107"/>
      <c r="DC416" s="107"/>
      <c r="DD416" s="107"/>
      <c r="DE416" s="107"/>
      <c r="DF416" s="107"/>
      <c r="DG416" s="107"/>
      <c r="DH416" s="107"/>
      <c r="DI416" s="107"/>
      <c r="DJ416" s="107"/>
      <c r="DK416" s="10"/>
      <c r="DL416" s="10"/>
      <c r="DM416" s="10"/>
      <c r="DN416" s="10"/>
      <c r="DO416" s="10"/>
      <c r="DP416" s="10"/>
      <c r="DQ416" s="10"/>
      <c r="DR416" s="10"/>
      <c r="DS416" s="10"/>
      <c r="DT416" s="10"/>
      <c r="DU416" s="10"/>
      <c r="DV416" s="10"/>
      <c r="DW416" s="10"/>
      <c r="DX416" s="10"/>
      <c r="DY416" s="10"/>
      <c r="DZ416" s="10"/>
      <c r="EA416" s="10"/>
      <c r="EB416" s="10"/>
      <c r="EC416" s="107"/>
      <c r="ED416" s="107"/>
      <c r="EE416" s="10"/>
      <c r="EF416" s="107"/>
      <c r="EG416" s="7"/>
      <c r="EH416" s="10"/>
      <c r="EI416" s="107"/>
      <c r="EJ416" s="107"/>
      <c r="EK416" s="107"/>
      <c r="EL416" s="107"/>
      <c r="EM416" s="107"/>
      <c r="EN416" s="107"/>
      <c r="EO416" s="107"/>
      <c r="EP416" s="107"/>
      <c r="EQ416" s="107"/>
      <c r="ER416" s="107"/>
      <c r="ES416" s="107"/>
      <c r="ET416" s="107"/>
      <c r="EU416" s="107"/>
      <c r="EV416" s="107"/>
      <c r="EW416" s="107"/>
      <c r="EX416" s="107"/>
      <c r="EY416" s="107"/>
      <c r="EZ416" s="107"/>
      <c r="FA416" s="107"/>
      <c r="FB416" s="107"/>
      <c r="FC416" s="107"/>
      <c r="FD416" s="107"/>
      <c r="FE416" s="107"/>
      <c r="FF416" s="107"/>
      <c r="FG416" s="107"/>
      <c r="FH416" s="107"/>
      <c r="FI416" s="107"/>
      <c r="FJ416" s="107"/>
      <c r="FK416" s="107"/>
      <c r="FL416" s="107"/>
      <c r="FM416" s="107"/>
      <c r="FN416" s="107"/>
      <c r="FO416" s="10"/>
      <c r="FP416" s="10"/>
      <c r="FQ416" s="10"/>
      <c r="FR416" s="10"/>
      <c r="FS416" s="10"/>
      <c r="FT416" s="10"/>
      <c r="FU416" s="10"/>
      <c r="FV416" s="10"/>
      <c r="FW416" s="10"/>
      <c r="FX416" s="10"/>
      <c r="FY416" s="8"/>
      <c r="FZ416" s="266"/>
      <c r="GA416" s="266"/>
    </row>
    <row r="417" spans="1:183" s="268" customFormat="1" x14ac:dyDescent="0.25">
      <c r="A417" s="107"/>
      <c r="B417" s="7"/>
      <c r="C417" s="7"/>
      <c r="D417" s="7"/>
      <c r="E417" s="7"/>
      <c r="F417" s="10"/>
      <c r="G417" s="107"/>
      <c r="H417" s="7"/>
      <c r="I417" s="10"/>
      <c r="J417" s="10"/>
      <c r="K417" s="10"/>
      <c r="L417" s="10"/>
      <c r="M417" s="10"/>
      <c r="N417" s="10"/>
      <c r="O417" s="10"/>
      <c r="P417" s="8"/>
      <c r="Q417" s="8"/>
      <c r="R417" s="7"/>
      <c r="S417" s="7"/>
      <c r="T417" s="7"/>
      <c r="U417" s="107"/>
      <c r="V417" s="7"/>
      <c r="W417" s="10"/>
      <c r="X417" s="107"/>
      <c r="Y417" s="7"/>
      <c r="Z417" s="10"/>
      <c r="AA417" s="107"/>
      <c r="AB417" s="10"/>
      <c r="AC417" s="107"/>
      <c r="AD417" s="7"/>
      <c r="AE417" s="10"/>
      <c r="AF417" s="107"/>
      <c r="AG417" s="10"/>
      <c r="AH417" s="107"/>
      <c r="AI417" s="10"/>
      <c r="AJ417" s="107"/>
      <c r="AK417" s="10"/>
      <c r="AL417" s="107"/>
      <c r="AM417" s="10"/>
      <c r="AN417" s="10"/>
      <c r="AO417" s="10"/>
      <c r="AP417" s="8"/>
      <c r="AQ417" s="107"/>
      <c r="AR417" s="10"/>
      <c r="AS417" s="107"/>
      <c r="AT417" s="7"/>
      <c r="AU417" s="10"/>
      <c r="AV417" s="10"/>
      <c r="AW417" s="107"/>
      <c r="AX417" s="10"/>
      <c r="AY417" s="107"/>
      <c r="AZ417" s="10"/>
      <c r="BA417" s="107"/>
      <c r="BB417" s="107"/>
      <c r="BC417" s="107"/>
      <c r="BD417" s="10"/>
      <c r="BE417" s="107"/>
      <c r="BF417" s="10"/>
      <c r="BG417" s="10"/>
      <c r="BH417" s="10"/>
      <c r="BI417" s="107"/>
      <c r="BJ417" s="107"/>
      <c r="BK417" s="10"/>
      <c r="BL417" s="10"/>
      <c r="BM417" s="107"/>
      <c r="BN417" s="10"/>
      <c r="BO417" s="107"/>
      <c r="BP417" s="7"/>
      <c r="BQ417" s="10"/>
      <c r="BR417" s="107"/>
      <c r="BS417" s="10"/>
      <c r="BT417" s="107"/>
      <c r="BU417" s="107"/>
      <c r="BV417" s="107"/>
      <c r="BW417" s="107"/>
      <c r="BX417" s="107"/>
      <c r="BY417" s="10"/>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c r="CW417" s="107"/>
      <c r="CX417" s="107"/>
      <c r="CY417" s="107"/>
      <c r="CZ417" s="107"/>
      <c r="DA417" s="107"/>
      <c r="DB417" s="107"/>
      <c r="DC417" s="107"/>
      <c r="DD417" s="107"/>
      <c r="DE417" s="107"/>
      <c r="DF417" s="107"/>
      <c r="DG417" s="107"/>
      <c r="DH417" s="107"/>
      <c r="DI417" s="107"/>
      <c r="DJ417" s="107"/>
      <c r="DK417" s="10"/>
      <c r="DL417" s="10"/>
      <c r="DM417" s="10"/>
      <c r="DN417" s="10"/>
      <c r="DO417" s="10"/>
      <c r="DP417" s="10"/>
      <c r="DQ417" s="10"/>
      <c r="DR417" s="10"/>
      <c r="DS417" s="10"/>
      <c r="DT417" s="10"/>
      <c r="DU417" s="10"/>
      <c r="DV417" s="10"/>
      <c r="DW417" s="10"/>
      <c r="DX417" s="10"/>
      <c r="DY417" s="10"/>
      <c r="DZ417" s="10"/>
      <c r="EA417" s="10"/>
      <c r="EB417" s="10"/>
      <c r="EC417" s="107"/>
      <c r="ED417" s="107"/>
      <c r="EE417" s="10"/>
      <c r="EF417" s="107"/>
      <c r="EG417" s="7"/>
      <c r="EH417" s="10"/>
      <c r="EI417" s="107"/>
      <c r="EJ417" s="107"/>
      <c r="EK417" s="107"/>
      <c r="EL417" s="107"/>
      <c r="EM417" s="107"/>
      <c r="EN417" s="107"/>
      <c r="EO417" s="107"/>
      <c r="EP417" s="107"/>
      <c r="EQ417" s="107"/>
      <c r="ER417" s="107"/>
      <c r="ES417" s="107"/>
      <c r="ET417" s="107"/>
      <c r="EU417" s="107"/>
      <c r="EV417" s="107"/>
      <c r="EW417" s="107"/>
      <c r="EX417" s="107"/>
      <c r="EY417" s="107"/>
      <c r="EZ417" s="107"/>
      <c r="FA417" s="107"/>
      <c r="FB417" s="107"/>
      <c r="FC417" s="107"/>
      <c r="FD417" s="107"/>
      <c r="FE417" s="107"/>
      <c r="FF417" s="107"/>
      <c r="FG417" s="107"/>
      <c r="FH417" s="107"/>
      <c r="FI417" s="107"/>
      <c r="FJ417" s="107"/>
      <c r="FK417" s="107"/>
      <c r="FL417" s="107"/>
      <c r="FM417" s="107"/>
      <c r="FN417" s="107"/>
      <c r="FO417" s="10"/>
      <c r="FP417" s="10"/>
      <c r="FQ417" s="10"/>
      <c r="FR417" s="10"/>
      <c r="FS417" s="10"/>
      <c r="FT417" s="10"/>
      <c r="FU417" s="10"/>
      <c r="FV417" s="10"/>
      <c r="FW417" s="10"/>
      <c r="FX417" s="10"/>
      <c r="FY417" s="8"/>
      <c r="FZ417" s="266"/>
      <c r="GA417" s="266"/>
    </row>
    <row r="418" spans="1:183" s="268" customFormat="1" x14ac:dyDescent="0.25">
      <c r="A418" s="107"/>
      <c r="B418" s="7"/>
      <c r="C418" s="7"/>
      <c r="D418" s="7"/>
      <c r="E418" s="7"/>
      <c r="F418" s="10"/>
      <c r="G418" s="107"/>
      <c r="H418" s="7"/>
      <c r="I418" s="10"/>
      <c r="J418" s="10"/>
      <c r="K418" s="10"/>
      <c r="L418" s="10"/>
      <c r="M418" s="10"/>
      <c r="N418" s="10"/>
      <c r="O418" s="10"/>
      <c r="P418" s="8"/>
      <c r="Q418" s="8"/>
      <c r="R418" s="7"/>
      <c r="S418" s="7"/>
      <c r="T418" s="7"/>
      <c r="U418" s="107"/>
      <c r="V418" s="7"/>
      <c r="W418" s="10"/>
      <c r="X418" s="107"/>
      <c r="Y418" s="7"/>
      <c r="Z418" s="10"/>
      <c r="AA418" s="107"/>
      <c r="AB418" s="10"/>
      <c r="AC418" s="107"/>
      <c r="AD418" s="7"/>
      <c r="AE418" s="10"/>
      <c r="AF418" s="107"/>
      <c r="AG418" s="10"/>
      <c r="AH418" s="107"/>
      <c r="AI418" s="10"/>
      <c r="AJ418" s="107"/>
      <c r="AK418" s="10"/>
      <c r="AL418" s="107"/>
      <c r="AM418" s="10"/>
      <c r="AN418" s="10"/>
      <c r="AO418" s="10"/>
      <c r="AP418" s="8"/>
      <c r="AQ418" s="107"/>
      <c r="AR418" s="10"/>
      <c r="AS418" s="107"/>
      <c r="AT418" s="7"/>
      <c r="AU418" s="10"/>
      <c r="AV418" s="10"/>
      <c r="AW418" s="107"/>
      <c r="AX418" s="10"/>
      <c r="AY418" s="107"/>
      <c r="AZ418" s="10"/>
      <c r="BA418" s="107"/>
      <c r="BB418" s="107"/>
      <c r="BC418" s="107"/>
      <c r="BD418" s="10"/>
      <c r="BE418" s="107"/>
      <c r="BF418" s="10"/>
      <c r="BG418" s="10"/>
      <c r="BH418" s="10"/>
      <c r="BI418" s="107"/>
      <c r="BJ418" s="107"/>
      <c r="BK418" s="10"/>
      <c r="BL418" s="10"/>
      <c r="BM418" s="107"/>
      <c r="BN418" s="10"/>
      <c r="BO418" s="107"/>
      <c r="BP418" s="7"/>
      <c r="BQ418" s="10"/>
      <c r="BR418" s="107"/>
      <c r="BS418" s="10"/>
      <c r="BT418" s="107"/>
      <c r="BU418" s="107"/>
      <c r="BV418" s="107"/>
      <c r="BW418" s="107"/>
      <c r="BX418" s="107"/>
      <c r="BY418" s="10"/>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
      <c r="DL418" s="10"/>
      <c r="DM418" s="10"/>
      <c r="DN418" s="10"/>
      <c r="DO418" s="10"/>
      <c r="DP418" s="10"/>
      <c r="DQ418" s="10"/>
      <c r="DR418" s="10"/>
      <c r="DS418" s="10"/>
      <c r="DT418" s="10"/>
      <c r="DU418" s="10"/>
      <c r="DV418" s="10"/>
      <c r="DW418" s="10"/>
      <c r="DX418" s="10"/>
      <c r="DY418" s="10"/>
      <c r="DZ418" s="10"/>
      <c r="EA418" s="10"/>
      <c r="EB418" s="10"/>
      <c r="EC418" s="107"/>
      <c r="ED418" s="107"/>
      <c r="EE418" s="10"/>
      <c r="EF418" s="107"/>
      <c r="EG418" s="7"/>
      <c r="EH418" s="10"/>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107"/>
      <c r="FO418" s="10"/>
      <c r="FP418" s="10"/>
      <c r="FQ418" s="10"/>
      <c r="FR418" s="10"/>
      <c r="FS418" s="10"/>
      <c r="FT418" s="10"/>
      <c r="FU418" s="10"/>
      <c r="FV418" s="10"/>
      <c r="FW418" s="10"/>
      <c r="FX418" s="10"/>
      <c r="FY418" s="8"/>
      <c r="FZ418" s="266"/>
      <c r="GA418" s="266"/>
    </row>
    <row r="419" spans="1:183" s="268" customFormat="1" x14ac:dyDescent="0.25">
      <c r="A419" s="107"/>
      <c r="B419" s="7"/>
      <c r="C419" s="7"/>
      <c r="D419" s="7"/>
      <c r="E419" s="7"/>
      <c r="F419" s="10"/>
      <c r="G419" s="107"/>
      <c r="H419" s="7"/>
      <c r="I419" s="10"/>
      <c r="J419" s="10"/>
      <c r="K419" s="10"/>
      <c r="L419" s="10"/>
      <c r="M419" s="10"/>
      <c r="N419" s="10"/>
      <c r="O419" s="10"/>
      <c r="P419" s="8"/>
      <c r="Q419" s="8"/>
      <c r="R419" s="7"/>
      <c r="S419" s="7"/>
      <c r="T419" s="7"/>
      <c r="U419" s="107"/>
      <c r="V419" s="7"/>
      <c r="W419" s="10"/>
      <c r="X419" s="107"/>
      <c r="Y419" s="7"/>
      <c r="Z419" s="10"/>
      <c r="AA419" s="107"/>
      <c r="AB419" s="10"/>
      <c r="AC419" s="107"/>
      <c r="AD419" s="7"/>
      <c r="AE419" s="10"/>
      <c r="AF419" s="107"/>
      <c r="AG419" s="10"/>
      <c r="AH419" s="107"/>
      <c r="AI419" s="10"/>
      <c r="AJ419" s="107"/>
      <c r="AK419" s="10"/>
      <c r="AL419" s="107"/>
      <c r="AM419" s="10"/>
      <c r="AN419" s="10"/>
      <c r="AO419" s="10"/>
      <c r="AP419" s="8"/>
      <c r="AQ419" s="107"/>
      <c r="AR419" s="10"/>
      <c r="AS419" s="107"/>
      <c r="AT419" s="7"/>
      <c r="AU419" s="10"/>
      <c r="AV419" s="10"/>
      <c r="AW419" s="107"/>
      <c r="AX419" s="10"/>
      <c r="AY419" s="107"/>
      <c r="AZ419" s="10"/>
      <c r="BA419" s="107"/>
      <c r="BB419" s="107"/>
      <c r="BC419" s="107"/>
      <c r="BD419" s="10"/>
      <c r="BE419" s="107"/>
      <c r="BF419" s="10"/>
      <c r="BG419" s="10"/>
      <c r="BH419" s="10"/>
      <c r="BI419" s="107"/>
      <c r="BJ419" s="107"/>
      <c r="BK419" s="10"/>
      <c r="BL419" s="10"/>
      <c r="BM419" s="107"/>
      <c r="BN419" s="10"/>
      <c r="BO419" s="107"/>
      <c r="BP419" s="7"/>
      <c r="BQ419" s="10"/>
      <c r="BR419" s="107"/>
      <c r="BS419" s="10"/>
      <c r="BT419" s="107"/>
      <c r="BU419" s="107"/>
      <c r="BV419" s="107"/>
      <c r="BW419" s="107"/>
      <c r="BX419" s="107"/>
      <c r="BY419" s="10"/>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c r="CW419" s="107"/>
      <c r="CX419" s="107"/>
      <c r="CY419" s="107"/>
      <c r="CZ419" s="107"/>
      <c r="DA419" s="107"/>
      <c r="DB419" s="107"/>
      <c r="DC419" s="107"/>
      <c r="DD419" s="107"/>
      <c r="DE419" s="107"/>
      <c r="DF419" s="107"/>
      <c r="DG419" s="107"/>
      <c r="DH419" s="107"/>
      <c r="DI419" s="107"/>
      <c r="DJ419" s="107"/>
      <c r="DK419" s="10"/>
      <c r="DL419" s="10"/>
      <c r="DM419" s="10"/>
      <c r="DN419" s="10"/>
      <c r="DO419" s="10"/>
      <c r="DP419" s="10"/>
      <c r="DQ419" s="10"/>
      <c r="DR419" s="10"/>
      <c r="DS419" s="10"/>
      <c r="DT419" s="10"/>
      <c r="DU419" s="10"/>
      <c r="DV419" s="10"/>
      <c r="DW419" s="10"/>
      <c r="DX419" s="10"/>
      <c r="DY419" s="10"/>
      <c r="DZ419" s="10"/>
      <c r="EA419" s="10"/>
      <c r="EB419" s="10"/>
      <c r="EC419" s="107"/>
      <c r="ED419" s="107"/>
      <c r="EE419" s="10"/>
      <c r="EF419" s="107"/>
      <c r="EG419" s="7"/>
      <c r="EH419" s="10"/>
      <c r="EI419" s="107"/>
      <c r="EJ419" s="107"/>
      <c r="EK419" s="107"/>
      <c r="EL419" s="107"/>
      <c r="EM419" s="107"/>
      <c r="EN419" s="107"/>
      <c r="EO419" s="107"/>
      <c r="EP419" s="107"/>
      <c r="EQ419" s="107"/>
      <c r="ER419" s="107"/>
      <c r="ES419" s="107"/>
      <c r="ET419" s="107"/>
      <c r="EU419" s="107"/>
      <c r="EV419" s="107"/>
      <c r="EW419" s="107"/>
      <c r="EX419" s="107"/>
      <c r="EY419" s="107"/>
      <c r="EZ419" s="107"/>
      <c r="FA419" s="107"/>
      <c r="FB419" s="107"/>
      <c r="FC419" s="107"/>
      <c r="FD419" s="107"/>
      <c r="FE419" s="107"/>
      <c r="FF419" s="107"/>
      <c r="FG419" s="107"/>
      <c r="FH419" s="107"/>
      <c r="FI419" s="107"/>
      <c r="FJ419" s="107"/>
      <c r="FK419" s="107"/>
      <c r="FL419" s="107"/>
      <c r="FM419" s="107"/>
      <c r="FN419" s="107"/>
      <c r="FO419" s="10"/>
      <c r="FP419" s="10"/>
      <c r="FQ419" s="10"/>
      <c r="FR419" s="10"/>
      <c r="FS419" s="10"/>
      <c r="FT419" s="10"/>
      <c r="FU419" s="10"/>
      <c r="FV419" s="10"/>
      <c r="FW419" s="10"/>
      <c r="FX419" s="10"/>
      <c r="FY419" s="8"/>
      <c r="FZ419" s="266"/>
      <c r="GA419" s="266"/>
    </row>
    <row r="420" spans="1:183" s="268" customFormat="1" x14ac:dyDescent="0.25">
      <c r="A420" s="107"/>
      <c r="B420" s="7"/>
      <c r="C420" s="7"/>
      <c r="D420" s="7"/>
      <c r="E420" s="7"/>
      <c r="F420" s="10"/>
      <c r="G420" s="107"/>
      <c r="H420" s="7"/>
      <c r="I420" s="10"/>
      <c r="J420" s="10"/>
      <c r="K420" s="10"/>
      <c r="L420" s="10"/>
      <c r="M420" s="10"/>
      <c r="N420" s="10"/>
      <c r="O420" s="10"/>
      <c r="P420" s="8"/>
      <c r="Q420" s="8"/>
      <c r="R420" s="7"/>
      <c r="S420" s="7"/>
      <c r="T420" s="7"/>
      <c r="U420" s="107"/>
      <c r="V420" s="7"/>
      <c r="W420" s="10"/>
      <c r="X420" s="107"/>
      <c r="Y420" s="7"/>
      <c r="Z420" s="10"/>
      <c r="AA420" s="107"/>
      <c r="AB420" s="10"/>
      <c r="AC420" s="107"/>
      <c r="AD420" s="7"/>
      <c r="AE420" s="10"/>
      <c r="AF420" s="107"/>
      <c r="AG420" s="10"/>
      <c r="AH420" s="107"/>
      <c r="AI420" s="10"/>
      <c r="AJ420" s="107"/>
      <c r="AK420" s="10"/>
      <c r="AL420" s="107"/>
      <c r="AM420" s="10"/>
      <c r="AN420" s="10"/>
      <c r="AO420" s="10"/>
      <c r="AP420" s="8"/>
      <c r="AQ420" s="107"/>
      <c r="AR420" s="10"/>
      <c r="AS420" s="107"/>
      <c r="AT420" s="7"/>
      <c r="AU420" s="10"/>
      <c r="AV420" s="10"/>
      <c r="AW420" s="107"/>
      <c r="AX420" s="10"/>
      <c r="AY420" s="107"/>
      <c r="AZ420" s="10"/>
      <c r="BA420" s="107"/>
      <c r="BB420" s="107"/>
      <c r="BC420" s="107"/>
      <c r="BD420" s="10"/>
      <c r="BE420" s="107"/>
      <c r="BF420" s="10"/>
      <c r="BG420" s="10"/>
      <c r="BH420" s="10"/>
      <c r="BI420" s="107"/>
      <c r="BJ420" s="107"/>
      <c r="BK420" s="10"/>
      <c r="BL420" s="10"/>
      <c r="BM420" s="107"/>
      <c r="BN420" s="10"/>
      <c r="BO420" s="107"/>
      <c r="BP420" s="7"/>
      <c r="BQ420" s="10"/>
      <c r="BR420" s="107"/>
      <c r="BS420" s="10"/>
      <c r="BT420" s="107"/>
      <c r="BU420" s="107"/>
      <c r="BV420" s="107"/>
      <c r="BW420" s="107"/>
      <c r="BX420" s="107"/>
      <c r="BY420" s="10"/>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c r="CW420" s="107"/>
      <c r="CX420" s="107"/>
      <c r="CY420" s="107"/>
      <c r="CZ420" s="107"/>
      <c r="DA420" s="107"/>
      <c r="DB420" s="107"/>
      <c r="DC420" s="107"/>
      <c r="DD420" s="107"/>
      <c r="DE420" s="107"/>
      <c r="DF420" s="107"/>
      <c r="DG420" s="107"/>
      <c r="DH420" s="107"/>
      <c r="DI420" s="107"/>
      <c r="DJ420" s="107"/>
      <c r="DK420" s="10"/>
      <c r="DL420" s="10"/>
      <c r="DM420" s="10"/>
      <c r="DN420" s="10"/>
      <c r="DO420" s="10"/>
      <c r="DP420" s="10"/>
      <c r="DQ420" s="10"/>
      <c r="DR420" s="10"/>
      <c r="DS420" s="10"/>
      <c r="DT420" s="10"/>
      <c r="DU420" s="10"/>
      <c r="DV420" s="10"/>
      <c r="DW420" s="10"/>
      <c r="DX420" s="10"/>
      <c r="DY420" s="10"/>
      <c r="DZ420" s="10"/>
      <c r="EA420" s="10"/>
      <c r="EB420" s="10"/>
      <c r="EC420" s="107"/>
      <c r="ED420" s="107"/>
      <c r="EE420" s="10"/>
      <c r="EF420" s="107"/>
      <c r="EG420" s="7"/>
      <c r="EH420" s="10"/>
      <c r="EI420" s="107"/>
      <c r="EJ420" s="107"/>
      <c r="EK420" s="107"/>
      <c r="EL420" s="107"/>
      <c r="EM420" s="107"/>
      <c r="EN420" s="107"/>
      <c r="EO420" s="107"/>
      <c r="EP420" s="107"/>
      <c r="EQ420" s="107"/>
      <c r="ER420" s="107"/>
      <c r="ES420" s="107"/>
      <c r="ET420" s="107"/>
      <c r="EU420" s="107"/>
      <c r="EV420" s="107"/>
      <c r="EW420" s="107"/>
      <c r="EX420" s="107"/>
      <c r="EY420" s="107"/>
      <c r="EZ420" s="107"/>
      <c r="FA420" s="107"/>
      <c r="FB420" s="107"/>
      <c r="FC420" s="107"/>
      <c r="FD420" s="107"/>
      <c r="FE420" s="107"/>
      <c r="FF420" s="107"/>
      <c r="FG420" s="107"/>
      <c r="FH420" s="107"/>
      <c r="FI420" s="107"/>
      <c r="FJ420" s="107"/>
      <c r="FK420" s="107"/>
      <c r="FL420" s="107"/>
      <c r="FM420" s="107"/>
      <c r="FN420" s="107"/>
      <c r="FO420" s="10"/>
      <c r="FP420" s="10"/>
      <c r="FQ420" s="10"/>
      <c r="FR420" s="10"/>
      <c r="FS420" s="10"/>
      <c r="FT420" s="10"/>
      <c r="FU420" s="10"/>
      <c r="FV420" s="10"/>
      <c r="FW420" s="10"/>
      <c r="FX420" s="10"/>
      <c r="FY420" s="8"/>
      <c r="FZ420" s="266"/>
      <c r="GA420" s="266"/>
    </row>
    <row r="421" spans="1:183" s="268" customFormat="1" x14ac:dyDescent="0.25">
      <c r="A421" s="107"/>
      <c r="B421" s="7"/>
      <c r="C421" s="7"/>
      <c r="D421" s="7"/>
      <c r="E421" s="7"/>
      <c r="F421" s="10"/>
      <c r="G421" s="107"/>
      <c r="H421" s="7"/>
      <c r="I421" s="10"/>
      <c r="J421" s="10"/>
      <c r="K421" s="10"/>
      <c r="L421" s="10"/>
      <c r="M421" s="10"/>
      <c r="N421" s="10"/>
      <c r="O421" s="10"/>
      <c r="P421" s="8"/>
      <c r="Q421" s="8"/>
      <c r="R421" s="7"/>
      <c r="S421" s="7"/>
      <c r="T421" s="7"/>
      <c r="U421" s="107"/>
      <c r="V421" s="7"/>
      <c r="W421" s="10"/>
      <c r="X421" s="107"/>
      <c r="Y421" s="7"/>
      <c r="Z421" s="10"/>
      <c r="AA421" s="107"/>
      <c r="AB421" s="10"/>
      <c r="AC421" s="107"/>
      <c r="AD421" s="7"/>
      <c r="AE421" s="10"/>
      <c r="AF421" s="107"/>
      <c r="AG421" s="10"/>
      <c r="AH421" s="107"/>
      <c r="AI421" s="10"/>
      <c r="AJ421" s="107"/>
      <c r="AK421" s="10"/>
      <c r="AL421" s="107"/>
      <c r="AM421" s="10"/>
      <c r="AN421" s="10"/>
      <c r="AO421" s="10"/>
      <c r="AP421" s="8"/>
      <c r="AQ421" s="107"/>
      <c r="AR421" s="10"/>
      <c r="AS421" s="107"/>
      <c r="AT421" s="7"/>
      <c r="AU421" s="10"/>
      <c r="AV421" s="10"/>
      <c r="AW421" s="107"/>
      <c r="AX421" s="10"/>
      <c r="AY421" s="107"/>
      <c r="AZ421" s="10"/>
      <c r="BA421" s="107"/>
      <c r="BB421" s="107"/>
      <c r="BC421" s="107"/>
      <c r="BD421" s="10"/>
      <c r="BE421" s="107"/>
      <c r="BF421" s="10"/>
      <c r="BG421" s="10"/>
      <c r="BH421" s="10"/>
      <c r="BI421" s="107"/>
      <c r="BJ421" s="107"/>
      <c r="BK421" s="10"/>
      <c r="BL421" s="10"/>
      <c r="BM421" s="107"/>
      <c r="BN421" s="10"/>
      <c r="BO421" s="107"/>
      <c r="BP421" s="7"/>
      <c r="BQ421" s="10"/>
      <c r="BR421" s="107"/>
      <c r="BS421" s="10"/>
      <c r="BT421" s="107"/>
      <c r="BU421" s="107"/>
      <c r="BV421" s="107"/>
      <c r="BW421" s="107"/>
      <c r="BX421" s="107"/>
      <c r="BY421" s="10"/>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c r="CW421" s="107"/>
      <c r="CX421" s="107"/>
      <c r="CY421" s="107"/>
      <c r="CZ421" s="107"/>
      <c r="DA421" s="107"/>
      <c r="DB421" s="107"/>
      <c r="DC421" s="107"/>
      <c r="DD421" s="107"/>
      <c r="DE421" s="107"/>
      <c r="DF421" s="107"/>
      <c r="DG421" s="107"/>
      <c r="DH421" s="107"/>
      <c r="DI421" s="107"/>
      <c r="DJ421" s="107"/>
      <c r="DK421" s="10"/>
      <c r="DL421" s="10"/>
      <c r="DM421" s="10"/>
      <c r="DN421" s="10"/>
      <c r="DO421" s="10"/>
      <c r="DP421" s="10"/>
      <c r="DQ421" s="10"/>
      <c r="DR421" s="10"/>
      <c r="DS421" s="10"/>
      <c r="DT421" s="10"/>
      <c r="DU421" s="10"/>
      <c r="DV421" s="10"/>
      <c r="DW421" s="10"/>
      <c r="DX421" s="10"/>
      <c r="DY421" s="10"/>
      <c r="DZ421" s="10"/>
      <c r="EA421" s="10"/>
      <c r="EB421" s="10"/>
      <c r="EC421" s="107"/>
      <c r="ED421" s="107"/>
      <c r="EE421" s="10"/>
      <c r="EF421" s="107"/>
      <c r="EG421" s="7"/>
      <c r="EH421" s="10"/>
      <c r="EI421" s="107"/>
      <c r="EJ421" s="107"/>
      <c r="EK421" s="107"/>
      <c r="EL421" s="107"/>
      <c r="EM421" s="107"/>
      <c r="EN421" s="107"/>
      <c r="EO421" s="107"/>
      <c r="EP421" s="107"/>
      <c r="EQ421" s="107"/>
      <c r="ER421" s="107"/>
      <c r="ES421" s="107"/>
      <c r="ET421" s="107"/>
      <c r="EU421" s="107"/>
      <c r="EV421" s="107"/>
      <c r="EW421" s="107"/>
      <c r="EX421" s="107"/>
      <c r="EY421" s="107"/>
      <c r="EZ421" s="107"/>
      <c r="FA421" s="107"/>
      <c r="FB421" s="107"/>
      <c r="FC421" s="107"/>
      <c r="FD421" s="107"/>
      <c r="FE421" s="107"/>
      <c r="FF421" s="107"/>
      <c r="FG421" s="107"/>
      <c r="FH421" s="107"/>
      <c r="FI421" s="107"/>
      <c r="FJ421" s="107"/>
      <c r="FK421" s="107"/>
      <c r="FL421" s="107"/>
      <c r="FM421" s="107"/>
      <c r="FN421" s="107"/>
      <c r="FO421" s="10"/>
      <c r="FP421" s="10"/>
      <c r="FQ421" s="10"/>
      <c r="FR421" s="10"/>
      <c r="FS421" s="10"/>
      <c r="FT421" s="10"/>
      <c r="FU421" s="10"/>
      <c r="FV421" s="10"/>
      <c r="FW421" s="10"/>
      <c r="FX421" s="10"/>
      <c r="FY421" s="8"/>
      <c r="FZ421" s="266"/>
      <c r="GA421" s="266"/>
    </row>
    <row r="422" spans="1:183" s="268" customFormat="1" x14ac:dyDescent="0.25">
      <c r="A422" s="107"/>
      <c r="B422" s="7"/>
      <c r="C422" s="7"/>
      <c r="D422" s="7"/>
      <c r="E422" s="7"/>
      <c r="F422" s="10"/>
      <c r="G422" s="107"/>
      <c r="H422" s="7"/>
      <c r="I422" s="10"/>
      <c r="J422" s="10"/>
      <c r="K422" s="10"/>
      <c r="L422" s="10"/>
      <c r="M422" s="10"/>
      <c r="N422" s="10"/>
      <c r="O422" s="10"/>
      <c r="P422" s="8"/>
      <c r="Q422" s="8"/>
      <c r="R422" s="7"/>
      <c r="S422" s="7"/>
      <c r="T422" s="7"/>
      <c r="U422" s="107"/>
      <c r="V422" s="7"/>
      <c r="W422" s="10"/>
      <c r="X422" s="107"/>
      <c r="Y422" s="7"/>
      <c r="Z422" s="10"/>
      <c r="AA422" s="107"/>
      <c r="AB422" s="10"/>
      <c r="AC422" s="107"/>
      <c r="AD422" s="7"/>
      <c r="AE422" s="10"/>
      <c r="AF422" s="107"/>
      <c r="AG422" s="10"/>
      <c r="AH422" s="107"/>
      <c r="AI422" s="10"/>
      <c r="AJ422" s="107"/>
      <c r="AK422" s="10"/>
      <c r="AL422" s="107"/>
      <c r="AM422" s="10"/>
      <c r="AN422" s="10"/>
      <c r="AO422" s="10"/>
      <c r="AP422" s="8"/>
      <c r="AQ422" s="107"/>
      <c r="AR422" s="10"/>
      <c r="AS422" s="107"/>
      <c r="AT422" s="7"/>
      <c r="AU422" s="10"/>
      <c r="AV422" s="10"/>
      <c r="AW422" s="107"/>
      <c r="AX422" s="10"/>
      <c r="AY422" s="107"/>
      <c r="AZ422" s="10"/>
      <c r="BA422" s="107"/>
      <c r="BB422" s="107"/>
      <c r="BC422" s="107"/>
      <c r="BD422" s="10"/>
      <c r="BE422" s="107"/>
      <c r="BF422" s="10"/>
      <c r="BG422" s="10"/>
      <c r="BH422" s="10"/>
      <c r="BI422" s="107"/>
      <c r="BJ422" s="107"/>
      <c r="BK422" s="10"/>
      <c r="BL422" s="10"/>
      <c r="BM422" s="107"/>
      <c r="BN422" s="10"/>
      <c r="BO422" s="107"/>
      <c r="BP422" s="7"/>
      <c r="BQ422" s="10"/>
      <c r="BR422" s="107"/>
      <c r="BS422" s="10"/>
      <c r="BT422" s="107"/>
      <c r="BU422" s="107"/>
      <c r="BV422" s="107"/>
      <c r="BW422" s="107"/>
      <c r="BX422" s="107"/>
      <c r="BY422" s="10"/>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c r="CW422" s="107"/>
      <c r="CX422" s="107"/>
      <c r="CY422" s="107"/>
      <c r="CZ422" s="107"/>
      <c r="DA422" s="107"/>
      <c r="DB422" s="107"/>
      <c r="DC422" s="107"/>
      <c r="DD422" s="107"/>
      <c r="DE422" s="107"/>
      <c r="DF422" s="107"/>
      <c r="DG422" s="107"/>
      <c r="DH422" s="107"/>
      <c r="DI422" s="107"/>
      <c r="DJ422" s="107"/>
      <c r="DK422" s="10"/>
      <c r="DL422" s="10"/>
      <c r="DM422" s="10"/>
      <c r="DN422" s="10"/>
      <c r="DO422" s="10"/>
      <c r="DP422" s="10"/>
      <c r="DQ422" s="10"/>
      <c r="DR422" s="10"/>
      <c r="DS422" s="10"/>
      <c r="DT422" s="10"/>
      <c r="DU422" s="10"/>
      <c r="DV422" s="10"/>
      <c r="DW422" s="10"/>
      <c r="DX422" s="10"/>
      <c r="DY422" s="10"/>
      <c r="DZ422" s="10"/>
      <c r="EA422" s="10"/>
      <c r="EB422" s="10"/>
      <c r="EC422" s="107"/>
      <c r="ED422" s="107"/>
      <c r="EE422" s="10"/>
      <c r="EF422" s="107"/>
      <c r="EG422" s="7"/>
      <c r="EH422" s="10"/>
      <c r="EI422" s="107"/>
      <c r="EJ422" s="107"/>
      <c r="EK422" s="107"/>
      <c r="EL422" s="107"/>
      <c r="EM422" s="107"/>
      <c r="EN422" s="107"/>
      <c r="EO422" s="107"/>
      <c r="EP422" s="107"/>
      <c r="EQ422" s="107"/>
      <c r="ER422" s="107"/>
      <c r="ES422" s="107"/>
      <c r="ET422" s="107"/>
      <c r="EU422" s="107"/>
      <c r="EV422" s="107"/>
      <c r="EW422" s="107"/>
      <c r="EX422" s="107"/>
      <c r="EY422" s="107"/>
      <c r="EZ422" s="107"/>
      <c r="FA422" s="107"/>
      <c r="FB422" s="107"/>
      <c r="FC422" s="107"/>
      <c r="FD422" s="107"/>
      <c r="FE422" s="107"/>
      <c r="FF422" s="107"/>
      <c r="FG422" s="107"/>
      <c r="FH422" s="107"/>
      <c r="FI422" s="107"/>
      <c r="FJ422" s="107"/>
      <c r="FK422" s="107"/>
      <c r="FL422" s="107"/>
      <c r="FM422" s="107"/>
      <c r="FN422" s="107"/>
      <c r="FO422" s="10"/>
      <c r="FP422" s="10"/>
      <c r="FQ422" s="10"/>
      <c r="FR422" s="10"/>
      <c r="FS422" s="10"/>
      <c r="FT422" s="10"/>
      <c r="FU422" s="10"/>
      <c r="FV422" s="10"/>
      <c r="FW422" s="10"/>
      <c r="FX422" s="10"/>
      <c r="FY422" s="8"/>
      <c r="FZ422" s="266"/>
      <c r="GA422" s="266"/>
    </row>
    <row r="423" spans="1:183" s="268" customFormat="1" x14ac:dyDescent="0.25">
      <c r="A423" s="107"/>
      <c r="B423" s="7"/>
      <c r="C423" s="7"/>
      <c r="D423" s="7"/>
      <c r="E423" s="7"/>
      <c r="F423" s="10"/>
      <c r="G423" s="107"/>
      <c r="H423" s="7"/>
      <c r="I423" s="10"/>
      <c r="J423" s="10"/>
      <c r="K423" s="10"/>
      <c r="L423" s="10"/>
      <c r="M423" s="10"/>
      <c r="N423" s="10"/>
      <c r="O423" s="10"/>
      <c r="P423" s="8"/>
      <c r="Q423" s="8"/>
      <c r="R423" s="7"/>
      <c r="S423" s="7"/>
      <c r="T423" s="7"/>
      <c r="U423" s="107"/>
      <c r="V423" s="7"/>
      <c r="W423" s="10"/>
      <c r="X423" s="107"/>
      <c r="Y423" s="7"/>
      <c r="Z423" s="10"/>
      <c r="AA423" s="107"/>
      <c r="AB423" s="10"/>
      <c r="AC423" s="107"/>
      <c r="AD423" s="7"/>
      <c r="AE423" s="10"/>
      <c r="AF423" s="107"/>
      <c r="AG423" s="10"/>
      <c r="AH423" s="107"/>
      <c r="AI423" s="10"/>
      <c r="AJ423" s="107"/>
      <c r="AK423" s="10"/>
      <c r="AL423" s="107"/>
      <c r="AM423" s="10"/>
      <c r="AN423" s="10"/>
      <c r="AO423" s="10"/>
      <c r="AP423" s="8"/>
      <c r="AQ423" s="107"/>
      <c r="AR423" s="10"/>
      <c r="AS423" s="107"/>
      <c r="AT423" s="7"/>
      <c r="AU423" s="10"/>
      <c r="AV423" s="10"/>
      <c r="AW423" s="107"/>
      <c r="AX423" s="10"/>
      <c r="AY423" s="107"/>
      <c r="AZ423" s="10"/>
      <c r="BA423" s="107"/>
      <c r="BB423" s="107"/>
      <c r="BC423" s="107"/>
      <c r="BD423" s="10"/>
      <c r="BE423" s="107"/>
      <c r="BF423" s="10"/>
      <c r="BG423" s="10"/>
      <c r="BH423" s="10"/>
      <c r="BI423" s="107"/>
      <c r="BJ423" s="107"/>
      <c r="BK423" s="10"/>
      <c r="BL423" s="10"/>
      <c r="BM423" s="107"/>
      <c r="BN423" s="10"/>
      <c r="BO423" s="107"/>
      <c r="BP423" s="7"/>
      <c r="BQ423" s="10"/>
      <c r="BR423" s="107"/>
      <c r="BS423" s="10"/>
      <c r="BT423" s="107"/>
      <c r="BU423" s="107"/>
      <c r="BV423" s="107"/>
      <c r="BW423" s="107"/>
      <c r="BX423" s="107"/>
      <c r="BY423" s="10"/>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c r="CW423" s="107"/>
      <c r="CX423" s="107"/>
      <c r="CY423" s="107"/>
      <c r="CZ423" s="107"/>
      <c r="DA423" s="107"/>
      <c r="DB423" s="107"/>
      <c r="DC423" s="107"/>
      <c r="DD423" s="107"/>
      <c r="DE423" s="107"/>
      <c r="DF423" s="107"/>
      <c r="DG423" s="107"/>
      <c r="DH423" s="107"/>
      <c r="DI423" s="107"/>
      <c r="DJ423" s="107"/>
      <c r="DK423" s="10"/>
      <c r="DL423" s="10"/>
      <c r="DM423" s="10"/>
      <c r="DN423" s="10"/>
      <c r="DO423" s="10"/>
      <c r="DP423" s="10"/>
      <c r="DQ423" s="10"/>
      <c r="DR423" s="10"/>
      <c r="DS423" s="10"/>
      <c r="DT423" s="10"/>
      <c r="DU423" s="10"/>
      <c r="DV423" s="10"/>
      <c r="DW423" s="10"/>
      <c r="DX423" s="10"/>
      <c r="DY423" s="10"/>
      <c r="DZ423" s="10"/>
      <c r="EA423" s="10"/>
      <c r="EB423" s="10"/>
      <c r="EC423" s="107"/>
      <c r="ED423" s="107"/>
      <c r="EE423" s="10"/>
      <c r="EF423" s="107"/>
      <c r="EG423" s="7"/>
      <c r="EH423" s="10"/>
      <c r="EI423" s="107"/>
      <c r="EJ423" s="107"/>
      <c r="EK423" s="107"/>
      <c r="EL423" s="107"/>
      <c r="EM423" s="107"/>
      <c r="EN423" s="107"/>
      <c r="EO423" s="107"/>
      <c r="EP423" s="107"/>
      <c r="EQ423" s="107"/>
      <c r="ER423" s="107"/>
      <c r="ES423" s="107"/>
      <c r="ET423" s="107"/>
      <c r="EU423" s="107"/>
      <c r="EV423" s="107"/>
      <c r="EW423" s="107"/>
      <c r="EX423" s="107"/>
      <c r="EY423" s="107"/>
      <c r="EZ423" s="107"/>
      <c r="FA423" s="107"/>
      <c r="FB423" s="107"/>
      <c r="FC423" s="107"/>
      <c r="FD423" s="107"/>
      <c r="FE423" s="107"/>
      <c r="FF423" s="107"/>
      <c r="FG423" s="107"/>
      <c r="FH423" s="107"/>
      <c r="FI423" s="107"/>
      <c r="FJ423" s="107"/>
      <c r="FK423" s="107"/>
      <c r="FL423" s="107"/>
      <c r="FM423" s="107"/>
      <c r="FN423" s="107"/>
      <c r="FO423" s="10"/>
      <c r="FP423" s="10"/>
      <c r="FQ423" s="10"/>
      <c r="FR423" s="10"/>
      <c r="FS423" s="10"/>
      <c r="FT423" s="10"/>
      <c r="FU423" s="10"/>
      <c r="FV423" s="10"/>
      <c r="FW423" s="10"/>
      <c r="FX423" s="10"/>
      <c r="FY423" s="8"/>
      <c r="FZ423" s="266"/>
      <c r="GA423" s="266"/>
    </row>
    <row r="424" spans="1:183" s="268" customFormat="1" x14ac:dyDescent="0.25">
      <c r="A424" s="107"/>
      <c r="B424" s="7"/>
      <c r="C424" s="7"/>
      <c r="D424" s="7"/>
      <c r="E424" s="7"/>
      <c r="F424" s="10"/>
      <c r="G424" s="107"/>
      <c r="H424" s="7"/>
      <c r="I424" s="10"/>
      <c r="J424" s="10"/>
      <c r="K424" s="10"/>
      <c r="L424" s="10"/>
      <c r="M424" s="10"/>
      <c r="N424" s="10"/>
      <c r="O424" s="10"/>
      <c r="P424" s="8"/>
      <c r="Q424" s="8"/>
      <c r="R424" s="7"/>
      <c r="S424" s="7"/>
      <c r="T424" s="7"/>
      <c r="U424" s="107"/>
      <c r="V424" s="7"/>
      <c r="W424" s="10"/>
      <c r="X424" s="107"/>
      <c r="Y424" s="7"/>
      <c r="Z424" s="10"/>
      <c r="AA424" s="107"/>
      <c r="AB424" s="10"/>
      <c r="AC424" s="107"/>
      <c r="AD424" s="7"/>
      <c r="AE424" s="10"/>
      <c r="AF424" s="107"/>
      <c r="AG424" s="10"/>
      <c r="AH424" s="107"/>
      <c r="AI424" s="10"/>
      <c r="AJ424" s="107"/>
      <c r="AK424" s="10"/>
      <c r="AL424" s="107"/>
      <c r="AM424" s="10"/>
      <c r="AN424" s="10"/>
      <c r="AO424" s="10"/>
      <c r="AP424" s="8"/>
      <c r="AQ424" s="107"/>
      <c r="AR424" s="10"/>
      <c r="AS424" s="107"/>
      <c r="AT424" s="7"/>
      <c r="AU424" s="10"/>
      <c r="AV424" s="10"/>
      <c r="AW424" s="107"/>
      <c r="AX424" s="10"/>
      <c r="AY424" s="107"/>
      <c r="AZ424" s="10"/>
      <c r="BA424" s="107"/>
      <c r="BB424" s="107"/>
      <c r="BC424" s="107"/>
      <c r="BD424" s="10"/>
      <c r="BE424" s="107"/>
      <c r="BF424" s="10"/>
      <c r="BG424" s="10"/>
      <c r="BH424" s="10"/>
      <c r="BI424" s="107"/>
      <c r="BJ424" s="107"/>
      <c r="BK424" s="10"/>
      <c r="BL424" s="10"/>
      <c r="BM424" s="107"/>
      <c r="BN424" s="10"/>
      <c r="BO424" s="107"/>
      <c r="BP424" s="7"/>
      <c r="BQ424" s="10"/>
      <c r="BR424" s="107"/>
      <c r="BS424" s="10"/>
      <c r="BT424" s="107"/>
      <c r="BU424" s="107"/>
      <c r="BV424" s="107"/>
      <c r="BW424" s="107"/>
      <c r="BX424" s="107"/>
      <c r="BY424" s="10"/>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c r="CW424" s="107"/>
      <c r="CX424" s="107"/>
      <c r="CY424" s="107"/>
      <c r="CZ424" s="107"/>
      <c r="DA424" s="107"/>
      <c r="DB424" s="107"/>
      <c r="DC424" s="107"/>
      <c r="DD424" s="107"/>
      <c r="DE424" s="107"/>
      <c r="DF424" s="107"/>
      <c r="DG424" s="107"/>
      <c r="DH424" s="107"/>
      <c r="DI424" s="107"/>
      <c r="DJ424" s="107"/>
      <c r="DK424" s="10"/>
      <c r="DL424" s="10"/>
      <c r="DM424" s="10"/>
      <c r="DN424" s="10"/>
      <c r="DO424" s="10"/>
      <c r="DP424" s="10"/>
      <c r="DQ424" s="10"/>
      <c r="DR424" s="10"/>
      <c r="DS424" s="10"/>
      <c r="DT424" s="10"/>
      <c r="DU424" s="10"/>
      <c r="DV424" s="10"/>
      <c r="DW424" s="10"/>
      <c r="DX424" s="10"/>
      <c r="DY424" s="10"/>
      <c r="DZ424" s="10"/>
      <c r="EA424" s="10"/>
      <c r="EB424" s="10"/>
      <c r="EC424" s="107"/>
      <c r="ED424" s="107"/>
      <c r="EE424" s="10"/>
      <c r="EF424" s="107"/>
      <c r="EG424" s="7"/>
      <c r="EH424" s="10"/>
      <c r="EI424" s="107"/>
      <c r="EJ424" s="107"/>
      <c r="EK424" s="107"/>
      <c r="EL424" s="107"/>
      <c r="EM424" s="107"/>
      <c r="EN424" s="107"/>
      <c r="EO424" s="107"/>
      <c r="EP424" s="107"/>
      <c r="EQ424" s="107"/>
      <c r="ER424" s="107"/>
      <c r="ES424" s="107"/>
      <c r="ET424" s="107"/>
      <c r="EU424" s="107"/>
      <c r="EV424" s="107"/>
      <c r="EW424" s="107"/>
      <c r="EX424" s="107"/>
      <c r="EY424" s="107"/>
      <c r="EZ424" s="107"/>
      <c r="FA424" s="107"/>
      <c r="FB424" s="107"/>
      <c r="FC424" s="107"/>
      <c r="FD424" s="107"/>
      <c r="FE424" s="107"/>
      <c r="FF424" s="107"/>
      <c r="FG424" s="107"/>
      <c r="FH424" s="107"/>
      <c r="FI424" s="107"/>
      <c r="FJ424" s="107"/>
      <c r="FK424" s="107"/>
      <c r="FL424" s="107"/>
      <c r="FM424" s="107"/>
      <c r="FN424" s="107"/>
      <c r="FO424" s="10"/>
      <c r="FP424" s="10"/>
      <c r="FQ424" s="10"/>
      <c r="FR424" s="10"/>
      <c r="FS424" s="10"/>
      <c r="FT424" s="10"/>
      <c r="FU424" s="10"/>
      <c r="FV424" s="10"/>
      <c r="FW424" s="10"/>
      <c r="FX424" s="10"/>
      <c r="FY424" s="8"/>
      <c r="FZ424" s="266"/>
      <c r="GA424" s="266"/>
    </row>
    <row r="425" spans="1:183" s="268" customFormat="1" x14ac:dyDescent="0.25">
      <c r="A425" s="107"/>
      <c r="B425" s="7"/>
      <c r="C425" s="7"/>
      <c r="D425" s="7"/>
      <c r="E425" s="7"/>
      <c r="F425" s="10"/>
      <c r="G425" s="107"/>
      <c r="H425" s="7"/>
      <c r="I425" s="10"/>
      <c r="J425" s="10"/>
      <c r="K425" s="10"/>
      <c r="L425" s="10"/>
      <c r="M425" s="10"/>
      <c r="N425" s="10"/>
      <c r="O425" s="10"/>
      <c r="P425" s="8"/>
      <c r="Q425" s="8"/>
      <c r="R425" s="7"/>
      <c r="S425" s="7"/>
      <c r="T425" s="7"/>
      <c r="U425" s="107"/>
      <c r="V425" s="7"/>
      <c r="W425" s="10"/>
      <c r="X425" s="107"/>
      <c r="Y425" s="7"/>
      <c r="Z425" s="10"/>
      <c r="AA425" s="107"/>
      <c r="AB425" s="10"/>
      <c r="AC425" s="107"/>
      <c r="AD425" s="7"/>
      <c r="AE425" s="10"/>
      <c r="AF425" s="107"/>
      <c r="AG425" s="10"/>
      <c r="AH425" s="107"/>
      <c r="AI425" s="10"/>
      <c r="AJ425" s="107"/>
      <c r="AK425" s="10"/>
      <c r="AL425" s="107"/>
      <c r="AM425" s="10"/>
      <c r="AN425" s="10"/>
      <c r="AO425" s="10"/>
      <c r="AP425" s="8"/>
      <c r="AQ425" s="107"/>
      <c r="AR425" s="10"/>
      <c r="AS425" s="107"/>
      <c r="AT425" s="7"/>
      <c r="AU425" s="10"/>
      <c r="AV425" s="10"/>
      <c r="AW425" s="107"/>
      <c r="AX425" s="10"/>
      <c r="AY425" s="107"/>
      <c r="AZ425" s="10"/>
      <c r="BA425" s="107"/>
      <c r="BB425" s="107"/>
      <c r="BC425" s="107"/>
      <c r="BD425" s="10"/>
      <c r="BE425" s="107"/>
      <c r="BF425" s="10"/>
      <c r="BG425" s="10"/>
      <c r="BH425" s="10"/>
      <c r="BI425" s="107"/>
      <c r="BJ425" s="107"/>
      <c r="BK425" s="10"/>
      <c r="BL425" s="10"/>
      <c r="BM425" s="107"/>
      <c r="BN425" s="10"/>
      <c r="BO425" s="107"/>
      <c r="BP425" s="7"/>
      <c r="BQ425" s="10"/>
      <c r="BR425" s="107"/>
      <c r="BS425" s="10"/>
      <c r="BT425" s="107"/>
      <c r="BU425" s="107"/>
      <c r="BV425" s="107"/>
      <c r="BW425" s="107"/>
      <c r="BX425" s="107"/>
      <c r="BY425" s="10"/>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c r="CW425" s="107"/>
      <c r="CX425" s="107"/>
      <c r="CY425" s="107"/>
      <c r="CZ425" s="107"/>
      <c r="DA425" s="107"/>
      <c r="DB425" s="107"/>
      <c r="DC425" s="107"/>
      <c r="DD425" s="107"/>
      <c r="DE425" s="107"/>
      <c r="DF425" s="107"/>
      <c r="DG425" s="107"/>
      <c r="DH425" s="107"/>
      <c r="DI425" s="107"/>
      <c r="DJ425" s="107"/>
      <c r="DK425" s="10"/>
      <c r="DL425" s="10"/>
      <c r="DM425" s="10"/>
      <c r="DN425" s="10"/>
      <c r="DO425" s="10"/>
      <c r="DP425" s="10"/>
      <c r="DQ425" s="10"/>
      <c r="DR425" s="10"/>
      <c r="DS425" s="10"/>
      <c r="DT425" s="10"/>
      <c r="DU425" s="10"/>
      <c r="DV425" s="10"/>
      <c r="DW425" s="10"/>
      <c r="DX425" s="10"/>
      <c r="DY425" s="10"/>
      <c r="DZ425" s="10"/>
      <c r="EA425" s="10"/>
      <c r="EB425" s="10"/>
      <c r="EC425" s="107"/>
      <c r="ED425" s="107"/>
      <c r="EE425" s="10"/>
      <c r="EF425" s="107"/>
      <c r="EG425" s="7"/>
      <c r="EH425" s="10"/>
      <c r="EI425" s="107"/>
      <c r="EJ425" s="107"/>
      <c r="EK425" s="107"/>
      <c r="EL425" s="107"/>
      <c r="EM425" s="107"/>
      <c r="EN425" s="107"/>
      <c r="EO425" s="107"/>
      <c r="EP425" s="107"/>
      <c r="EQ425" s="107"/>
      <c r="ER425" s="107"/>
      <c r="ES425" s="107"/>
      <c r="ET425" s="107"/>
      <c r="EU425" s="107"/>
      <c r="EV425" s="107"/>
      <c r="EW425" s="107"/>
      <c r="EX425" s="107"/>
      <c r="EY425" s="107"/>
      <c r="EZ425" s="107"/>
      <c r="FA425" s="107"/>
      <c r="FB425" s="107"/>
      <c r="FC425" s="107"/>
      <c r="FD425" s="107"/>
      <c r="FE425" s="107"/>
      <c r="FF425" s="107"/>
      <c r="FG425" s="107"/>
      <c r="FH425" s="107"/>
      <c r="FI425" s="107"/>
      <c r="FJ425" s="107"/>
      <c r="FK425" s="107"/>
      <c r="FL425" s="107"/>
      <c r="FM425" s="107"/>
      <c r="FN425" s="107"/>
      <c r="FO425" s="10"/>
      <c r="FP425" s="10"/>
      <c r="FQ425" s="10"/>
      <c r="FR425" s="10"/>
      <c r="FS425" s="10"/>
      <c r="FT425" s="10"/>
      <c r="FU425" s="10"/>
      <c r="FV425" s="10"/>
      <c r="FW425" s="10"/>
      <c r="FX425" s="10"/>
      <c r="FY425" s="8"/>
      <c r="FZ425" s="266"/>
      <c r="GA425" s="266"/>
    </row>
    <row r="426" spans="1:183" s="268" customFormat="1" x14ac:dyDescent="0.25">
      <c r="A426" s="107"/>
      <c r="B426" s="7"/>
      <c r="C426" s="7"/>
      <c r="D426" s="7"/>
      <c r="E426" s="7"/>
      <c r="F426" s="10"/>
      <c r="G426" s="107"/>
      <c r="H426" s="7"/>
      <c r="I426" s="10"/>
      <c r="J426" s="10"/>
      <c r="K426" s="10"/>
      <c r="L426" s="10"/>
      <c r="M426" s="10"/>
      <c r="N426" s="10"/>
      <c r="O426" s="10"/>
      <c r="P426" s="8"/>
      <c r="Q426" s="8"/>
      <c r="R426" s="7"/>
      <c r="S426" s="7"/>
      <c r="T426" s="7"/>
      <c r="U426" s="107"/>
      <c r="V426" s="7"/>
      <c r="W426" s="10"/>
      <c r="X426" s="107"/>
      <c r="Y426" s="7"/>
      <c r="Z426" s="10"/>
      <c r="AA426" s="107"/>
      <c r="AB426" s="10"/>
      <c r="AC426" s="107"/>
      <c r="AD426" s="7"/>
      <c r="AE426" s="10"/>
      <c r="AF426" s="107"/>
      <c r="AG426" s="10"/>
      <c r="AH426" s="107"/>
      <c r="AI426" s="10"/>
      <c r="AJ426" s="107"/>
      <c r="AK426" s="10"/>
      <c r="AL426" s="107"/>
      <c r="AM426" s="10"/>
      <c r="AN426" s="10"/>
      <c r="AO426" s="10"/>
      <c r="AP426" s="8"/>
      <c r="AQ426" s="107"/>
      <c r="AR426" s="10"/>
      <c r="AS426" s="107"/>
      <c r="AT426" s="7"/>
      <c r="AU426" s="10"/>
      <c r="AV426" s="10"/>
      <c r="AW426" s="107"/>
      <c r="AX426" s="10"/>
      <c r="AY426" s="107"/>
      <c r="AZ426" s="10"/>
      <c r="BA426" s="107"/>
      <c r="BB426" s="107"/>
      <c r="BC426" s="107"/>
      <c r="BD426" s="10"/>
      <c r="BE426" s="107"/>
      <c r="BF426" s="10"/>
      <c r="BG426" s="10"/>
      <c r="BH426" s="10"/>
      <c r="BI426" s="107"/>
      <c r="BJ426" s="107"/>
      <c r="BK426" s="10"/>
      <c r="BL426" s="10"/>
      <c r="BM426" s="107"/>
      <c r="BN426" s="10"/>
      <c r="BO426" s="107"/>
      <c r="BP426" s="7"/>
      <c r="BQ426" s="10"/>
      <c r="BR426" s="107"/>
      <c r="BS426" s="10"/>
      <c r="BT426" s="107"/>
      <c r="BU426" s="107"/>
      <c r="BV426" s="107"/>
      <c r="BW426" s="107"/>
      <c r="BX426" s="107"/>
      <c r="BY426" s="10"/>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c r="CW426" s="107"/>
      <c r="CX426" s="107"/>
      <c r="CY426" s="107"/>
      <c r="CZ426" s="107"/>
      <c r="DA426" s="107"/>
      <c r="DB426" s="107"/>
      <c r="DC426" s="107"/>
      <c r="DD426" s="107"/>
      <c r="DE426" s="107"/>
      <c r="DF426" s="107"/>
      <c r="DG426" s="107"/>
      <c r="DH426" s="107"/>
      <c r="DI426" s="107"/>
      <c r="DJ426" s="107"/>
      <c r="DK426" s="10"/>
      <c r="DL426" s="10"/>
      <c r="DM426" s="10"/>
      <c r="DN426" s="10"/>
      <c r="DO426" s="10"/>
      <c r="DP426" s="10"/>
      <c r="DQ426" s="10"/>
      <c r="DR426" s="10"/>
      <c r="DS426" s="10"/>
      <c r="DT426" s="10"/>
      <c r="DU426" s="10"/>
      <c r="DV426" s="10"/>
      <c r="DW426" s="10"/>
      <c r="DX426" s="10"/>
      <c r="DY426" s="10"/>
      <c r="DZ426" s="10"/>
      <c r="EA426" s="10"/>
      <c r="EB426" s="10"/>
      <c r="EC426" s="107"/>
      <c r="ED426" s="107"/>
      <c r="EE426" s="10"/>
      <c r="EF426" s="107"/>
      <c r="EG426" s="7"/>
      <c r="EH426" s="10"/>
      <c r="EI426" s="107"/>
      <c r="EJ426" s="107"/>
      <c r="EK426" s="107"/>
      <c r="EL426" s="107"/>
      <c r="EM426" s="107"/>
      <c r="EN426" s="107"/>
      <c r="EO426" s="107"/>
      <c r="EP426" s="107"/>
      <c r="EQ426" s="107"/>
      <c r="ER426" s="107"/>
      <c r="ES426" s="107"/>
      <c r="ET426" s="107"/>
      <c r="EU426" s="107"/>
      <c r="EV426" s="107"/>
      <c r="EW426" s="107"/>
      <c r="EX426" s="107"/>
      <c r="EY426" s="107"/>
      <c r="EZ426" s="107"/>
      <c r="FA426" s="107"/>
      <c r="FB426" s="107"/>
      <c r="FC426" s="107"/>
      <c r="FD426" s="107"/>
      <c r="FE426" s="107"/>
      <c r="FF426" s="107"/>
      <c r="FG426" s="107"/>
      <c r="FH426" s="107"/>
      <c r="FI426" s="107"/>
      <c r="FJ426" s="107"/>
      <c r="FK426" s="107"/>
      <c r="FL426" s="107"/>
      <c r="FM426" s="107"/>
      <c r="FN426" s="107"/>
      <c r="FO426" s="10"/>
      <c r="FP426" s="10"/>
      <c r="FQ426" s="10"/>
      <c r="FR426" s="10"/>
      <c r="FS426" s="10"/>
      <c r="FT426" s="10"/>
      <c r="FU426" s="10"/>
      <c r="FV426" s="10"/>
      <c r="FW426" s="10"/>
      <c r="FX426" s="10"/>
      <c r="FY426" s="8"/>
      <c r="FZ426" s="266"/>
      <c r="GA426" s="266"/>
    </row>
    <row r="427" spans="1:183" s="268" customFormat="1" x14ac:dyDescent="0.25">
      <c r="A427" s="107"/>
      <c r="B427" s="7"/>
      <c r="C427" s="7"/>
      <c r="D427" s="7"/>
      <c r="E427" s="7"/>
      <c r="F427" s="10"/>
      <c r="G427" s="107"/>
      <c r="H427" s="7"/>
      <c r="I427" s="10"/>
      <c r="J427" s="10"/>
      <c r="K427" s="10"/>
      <c r="L427" s="10"/>
      <c r="M427" s="10"/>
      <c r="N427" s="10"/>
      <c r="O427" s="10"/>
      <c r="P427" s="8"/>
      <c r="Q427" s="8"/>
      <c r="R427" s="7"/>
      <c r="S427" s="7"/>
      <c r="T427" s="7"/>
      <c r="U427" s="107"/>
      <c r="V427" s="7"/>
      <c r="W427" s="10"/>
      <c r="X427" s="107"/>
      <c r="Y427" s="7"/>
      <c r="Z427" s="10"/>
      <c r="AA427" s="107"/>
      <c r="AB427" s="10"/>
      <c r="AC427" s="107"/>
      <c r="AD427" s="7"/>
      <c r="AE427" s="10"/>
      <c r="AF427" s="107"/>
      <c r="AG427" s="10"/>
      <c r="AH427" s="107"/>
      <c r="AI427" s="10"/>
      <c r="AJ427" s="107"/>
      <c r="AK427" s="10"/>
      <c r="AL427" s="107"/>
      <c r="AM427" s="10"/>
      <c r="AN427" s="10"/>
      <c r="AO427" s="10"/>
      <c r="AP427" s="8"/>
      <c r="AQ427" s="107"/>
      <c r="AR427" s="10"/>
      <c r="AS427" s="107"/>
      <c r="AT427" s="7"/>
      <c r="AU427" s="10"/>
      <c r="AV427" s="10"/>
      <c r="AW427" s="107"/>
      <c r="AX427" s="10"/>
      <c r="AY427" s="107"/>
      <c r="AZ427" s="10"/>
      <c r="BA427" s="107"/>
      <c r="BB427" s="107"/>
      <c r="BC427" s="107"/>
      <c r="BD427" s="10"/>
      <c r="BE427" s="107"/>
      <c r="BF427" s="10"/>
      <c r="BG427" s="10"/>
      <c r="BH427" s="10"/>
      <c r="BI427" s="107"/>
      <c r="BJ427" s="107"/>
      <c r="BK427" s="10"/>
      <c r="BL427" s="10"/>
      <c r="BM427" s="107"/>
      <c r="BN427" s="10"/>
      <c r="BO427" s="107"/>
      <c r="BP427" s="7"/>
      <c r="BQ427" s="10"/>
      <c r="BR427" s="107"/>
      <c r="BS427" s="10"/>
      <c r="BT427" s="107"/>
      <c r="BU427" s="107"/>
      <c r="BV427" s="107"/>
      <c r="BW427" s="107"/>
      <c r="BX427" s="107"/>
      <c r="BY427" s="10"/>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c r="CW427" s="107"/>
      <c r="CX427" s="107"/>
      <c r="CY427" s="107"/>
      <c r="CZ427" s="107"/>
      <c r="DA427" s="107"/>
      <c r="DB427" s="107"/>
      <c r="DC427" s="107"/>
      <c r="DD427" s="107"/>
      <c r="DE427" s="107"/>
      <c r="DF427" s="107"/>
      <c r="DG427" s="107"/>
      <c r="DH427" s="107"/>
      <c r="DI427" s="107"/>
      <c r="DJ427" s="107"/>
      <c r="DK427" s="10"/>
      <c r="DL427" s="10"/>
      <c r="DM427" s="10"/>
      <c r="DN427" s="10"/>
      <c r="DO427" s="10"/>
      <c r="DP427" s="10"/>
      <c r="DQ427" s="10"/>
      <c r="DR427" s="10"/>
      <c r="DS427" s="10"/>
      <c r="DT427" s="10"/>
      <c r="DU427" s="10"/>
      <c r="DV427" s="10"/>
      <c r="DW427" s="10"/>
      <c r="DX427" s="10"/>
      <c r="DY427" s="10"/>
      <c r="DZ427" s="10"/>
      <c r="EA427" s="10"/>
      <c r="EB427" s="10"/>
      <c r="EC427" s="107"/>
      <c r="ED427" s="107"/>
      <c r="EE427" s="10"/>
      <c r="EF427" s="107"/>
      <c r="EG427" s="7"/>
      <c r="EH427" s="10"/>
      <c r="EI427" s="107"/>
      <c r="EJ427" s="107"/>
      <c r="EK427" s="107"/>
      <c r="EL427" s="107"/>
      <c r="EM427" s="107"/>
      <c r="EN427" s="107"/>
      <c r="EO427" s="107"/>
      <c r="EP427" s="107"/>
      <c r="EQ427" s="107"/>
      <c r="ER427" s="107"/>
      <c r="ES427" s="107"/>
      <c r="ET427" s="107"/>
      <c r="EU427" s="107"/>
      <c r="EV427" s="107"/>
      <c r="EW427" s="107"/>
      <c r="EX427" s="107"/>
      <c r="EY427" s="107"/>
      <c r="EZ427" s="107"/>
      <c r="FA427" s="107"/>
      <c r="FB427" s="107"/>
      <c r="FC427" s="107"/>
      <c r="FD427" s="107"/>
      <c r="FE427" s="107"/>
      <c r="FF427" s="107"/>
      <c r="FG427" s="107"/>
      <c r="FH427" s="107"/>
      <c r="FI427" s="107"/>
      <c r="FJ427" s="107"/>
      <c r="FK427" s="107"/>
      <c r="FL427" s="107"/>
      <c r="FM427" s="107"/>
      <c r="FN427" s="107"/>
      <c r="FO427" s="10"/>
      <c r="FP427" s="10"/>
      <c r="FQ427" s="10"/>
      <c r="FR427" s="10"/>
      <c r="FS427" s="10"/>
      <c r="FT427" s="10"/>
      <c r="FU427" s="10"/>
      <c r="FV427" s="10"/>
      <c r="FW427" s="10"/>
      <c r="FX427" s="10"/>
      <c r="FY427" s="8"/>
      <c r="FZ427" s="266"/>
      <c r="GA427" s="266"/>
    </row>
    <row r="428" spans="1:183" s="268" customFormat="1" x14ac:dyDescent="0.25">
      <c r="A428" s="107"/>
      <c r="B428" s="7"/>
      <c r="C428" s="7"/>
      <c r="D428" s="7"/>
      <c r="E428" s="7"/>
      <c r="F428" s="10"/>
      <c r="G428" s="107"/>
      <c r="H428" s="7"/>
      <c r="I428" s="10"/>
      <c r="J428" s="10"/>
      <c r="K428" s="10"/>
      <c r="L428" s="10"/>
      <c r="M428" s="10"/>
      <c r="N428" s="10"/>
      <c r="O428" s="10"/>
      <c r="P428" s="8"/>
      <c r="Q428" s="8"/>
      <c r="R428" s="7"/>
      <c r="S428" s="7"/>
      <c r="T428" s="7"/>
      <c r="U428" s="107"/>
      <c r="V428" s="7"/>
      <c r="W428" s="10"/>
      <c r="X428" s="107"/>
      <c r="Y428" s="7"/>
      <c r="Z428" s="10"/>
      <c r="AA428" s="107"/>
      <c r="AB428" s="10"/>
      <c r="AC428" s="107"/>
      <c r="AD428" s="7"/>
      <c r="AE428" s="10"/>
      <c r="AF428" s="107"/>
      <c r="AG428" s="10"/>
      <c r="AH428" s="107"/>
      <c r="AI428" s="10"/>
      <c r="AJ428" s="107"/>
      <c r="AK428" s="10"/>
      <c r="AL428" s="107"/>
      <c r="AM428" s="10"/>
      <c r="AN428" s="10"/>
      <c r="AO428" s="10"/>
      <c r="AP428" s="8"/>
      <c r="AQ428" s="107"/>
      <c r="AR428" s="10"/>
      <c r="AS428" s="107"/>
      <c r="AT428" s="7"/>
      <c r="AU428" s="10"/>
      <c r="AV428" s="10"/>
      <c r="AW428" s="107"/>
      <c r="AX428" s="10"/>
      <c r="AY428" s="107"/>
      <c r="AZ428" s="10"/>
      <c r="BA428" s="107"/>
      <c r="BB428" s="107"/>
      <c r="BC428" s="107"/>
      <c r="BD428" s="10"/>
      <c r="BE428" s="107"/>
      <c r="BF428" s="10"/>
      <c r="BG428" s="10"/>
      <c r="BH428" s="10"/>
      <c r="BI428" s="107"/>
      <c r="BJ428" s="107"/>
      <c r="BK428" s="10"/>
      <c r="BL428" s="10"/>
      <c r="BM428" s="107"/>
      <c r="BN428" s="10"/>
      <c r="BO428" s="107"/>
      <c r="BP428" s="7"/>
      <c r="BQ428" s="10"/>
      <c r="BR428" s="107"/>
      <c r="BS428" s="10"/>
      <c r="BT428" s="107"/>
      <c r="BU428" s="107"/>
      <c r="BV428" s="107"/>
      <c r="BW428" s="107"/>
      <c r="BX428" s="107"/>
      <c r="BY428" s="10"/>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c r="CW428" s="107"/>
      <c r="CX428" s="107"/>
      <c r="CY428" s="107"/>
      <c r="CZ428" s="107"/>
      <c r="DA428" s="107"/>
      <c r="DB428" s="107"/>
      <c r="DC428" s="107"/>
      <c r="DD428" s="107"/>
      <c r="DE428" s="107"/>
      <c r="DF428" s="107"/>
      <c r="DG428" s="107"/>
      <c r="DH428" s="107"/>
      <c r="DI428" s="107"/>
      <c r="DJ428" s="107"/>
      <c r="DK428" s="10"/>
      <c r="DL428" s="10"/>
      <c r="DM428" s="10"/>
      <c r="DN428" s="10"/>
      <c r="DO428" s="10"/>
      <c r="DP428" s="10"/>
      <c r="DQ428" s="10"/>
      <c r="DR428" s="10"/>
      <c r="DS428" s="10"/>
      <c r="DT428" s="10"/>
      <c r="DU428" s="10"/>
      <c r="DV428" s="10"/>
      <c r="DW428" s="10"/>
      <c r="DX428" s="10"/>
      <c r="DY428" s="10"/>
      <c r="DZ428" s="10"/>
      <c r="EA428" s="10"/>
      <c r="EB428" s="10"/>
      <c r="EC428" s="107"/>
      <c r="ED428" s="107"/>
      <c r="EE428" s="10"/>
      <c r="EF428" s="107"/>
      <c r="EG428" s="7"/>
      <c r="EH428" s="10"/>
      <c r="EI428" s="107"/>
      <c r="EJ428" s="107"/>
      <c r="EK428" s="107"/>
      <c r="EL428" s="107"/>
      <c r="EM428" s="107"/>
      <c r="EN428" s="107"/>
      <c r="EO428" s="107"/>
      <c r="EP428" s="107"/>
      <c r="EQ428" s="107"/>
      <c r="ER428" s="107"/>
      <c r="ES428" s="107"/>
      <c r="ET428" s="107"/>
      <c r="EU428" s="107"/>
      <c r="EV428" s="107"/>
      <c r="EW428" s="107"/>
      <c r="EX428" s="107"/>
      <c r="EY428" s="107"/>
      <c r="EZ428" s="107"/>
      <c r="FA428" s="107"/>
      <c r="FB428" s="107"/>
      <c r="FC428" s="107"/>
      <c r="FD428" s="107"/>
      <c r="FE428" s="107"/>
      <c r="FF428" s="107"/>
      <c r="FG428" s="107"/>
      <c r="FH428" s="107"/>
      <c r="FI428" s="107"/>
      <c r="FJ428" s="107"/>
      <c r="FK428" s="107"/>
      <c r="FL428" s="107"/>
      <c r="FM428" s="107"/>
      <c r="FN428" s="107"/>
      <c r="FO428" s="10"/>
      <c r="FP428" s="10"/>
      <c r="FQ428" s="10"/>
      <c r="FR428" s="10"/>
      <c r="FS428" s="10"/>
      <c r="FT428" s="10"/>
      <c r="FU428" s="10"/>
      <c r="FV428" s="10"/>
      <c r="FW428" s="10"/>
      <c r="FX428" s="10"/>
      <c r="FY428" s="8"/>
      <c r="FZ428" s="266"/>
      <c r="GA428" s="266"/>
    </row>
    <row r="429" spans="1:183" s="268" customFormat="1" x14ac:dyDescent="0.25">
      <c r="A429" s="107"/>
      <c r="B429" s="7"/>
      <c r="C429" s="7"/>
      <c r="D429" s="7"/>
      <c r="E429" s="7"/>
      <c r="F429" s="10"/>
      <c r="G429" s="107"/>
      <c r="H429" s="7"/>
      <c r="I429" s="10"/>
      <c r="J429" s="10"/>
      <c r="K429" s="10"/>
      <c r="L429" s="10"/>
      <c r="M429" s="10"/>
      <c r="N429" s="10"/>
      <c r="O429" s="10"/>
      <c r="P429" s="8"/>
      <c r="Q429" s="8"/>
      <c r="R429" s="7"/>
      <c r="S429" s="7"/>
      <c r="T429" s="7"/>
      <c r="U429" s="107"/>
      <c r="V429" s="7"/>
      <c r="W429" s="10"/>
      <c r="X429" s="107"/>
      <c r="Y429" s="7"/>
      <c r="Z429" s="10"/>
      <c r="AA429" s="107"/>
      <c r="AB429" s="10"/>
      <c r="AC429" s="107"/>
      <c r="AD429" s="7"/>
      <c r="AE429" s="10"/>
      <c r="AF429" s="107"/>
      <c r="AG429" s="10"/>
      <c r="AH429" s="107"/>
      <c r="AI429" s="10"/>
      <c r="AJ429" s="107"/>
      <c r="AK429" s="10"/>
      <c r="AL429" s="107"/>
      <c r="AM429" s="10"/>
      <c r="AN429" s="10"/>
      <c r="AO429" s="10"/>
      <c r="AP429" s="8"/>
      <c r="AQ429" s="107"/>
      <c r="AR429" s="10"/>
      <c r="AS429" s="107"/>
      <c r="AT429" s="7"/>
      <c r="AU429" s="10"/>
      <c r="AV429" s="10"/>
      <c r="AW429" s="107"/>
      <c r="AX429" s="10"/>
      <c r="AY429" s="107"/>
      <c r="AZ429" s="10"/>
      <c r="BA429" s="107"/>
      <c r="BB429" s="107"/>
      <c r="BC429" s="107"/>
      <c r="BD429" s="10"/>
      <c r="BE429" s="107"/>
      <c r="BF429" s="10"/>
      <c r="BG429" s="10"/>
      <c r="BH429" s="10"/>
      <c r="BI429" s="107"/>
      <c r="BJ429" s="107"/>
      <c r="BK429" s="10"/>
      <c r="BL429" s="10"/>
      <c r="BM429" s="107"/>
      <c r="BN429" s="10"/>
      <c r="BO429" s="107"/>
      <c r="BP429" s="7"/>
      <c r="BQ429" s="10"/>
      <c r="BR429" s="107"/>
      <c r="BS429" s="10"/>
      <c r="BT429" s="107"/>
      <c r="BU429" s="107"/>
      <c r="BV429" s="107"/>
      <c r="BW429" s="107"/>
      <c r="BX429" s="107"/>
      <c r="BY429" s="10"/>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c r="CW429" s="107"/>
      <c r="CX429" s="107"/>
      <c r="CY429" s="107"/>
      <c r="CZ429" s="107"/>
      <c r="DA429" s="107"/>
      <c r="DB429" s="107"/>
      <c r="DC429" s="107"/>
      <c r="DD429" s="107"/>
      <c r="DE429" s="107"/>
      <c r="DF429" s="107"/>
      <c r="DG429" s="107"/>
      <c r="DH429" s="107"/>
      <c r="DI429" s="107"/>
      <c r="DJ429" s="107"/>
      <c r="DK429" s="10"/>
      <c r="DL429" s="10"/>
      <c r="DM429" s="10"/>
      <c r="DN429" s="10"/>
      <c r="DO429" s="10"/>
      <c r="DP429" s="10"/>
      <c r="DQ429" s="10"/>
      <c r="DR429" s="10"/>
      <c r="DS429" s="10"/>
      <c r="DT429" s="10"/>
      <c r="DU429" s="10"/>
      <c r="DV429" s="10"/>
      <c r="DW429" s="10"/>
      <c r="DX429" s="10"/>
      <c r="DY429" s="10"/>
      <c r="DZ429" s="10"/>
      <c r="EA429" s="10"/>
      <c r="EB429" s="10"/>
      <c r="EC429" s="107"/>
      <c r="ED429" s="107"/>
      <c r="EE429" s="10"/>
      <c r="EF429" s="107"/>
      <c r="EG429" s="7"/>
      <c r="EH429" s="10"/>
      <c r="EI429" s="107"/>
      <c r="EJ429" s="107"/>
      <c r="EK429" s="107"/>
      <c r="EL429" s="107"/>
      <c r="EM429" s="107"/>
      <c r="EN429" s="107"/>
      <c r="EO429" s="107"/>
      <c r="EP429" s="107"/>
      <c r="EQ429" s="107"/>
      <c r="ER429" s="107"/>
      <c r="ES429" s="107"/>
      <c r="ET429" s="107"/>
      <c r="EU429" s="107"/>
      <c r="EV429" s="107"/>
      <c r="EW429" s="107"/>
      <c r="EX429" s="107"/>
      <c r="EY429" s="107"/>
      <c r="EZ429" s="107"/>
      <c r="FA429" s="107"/>
      <c r="FB429" s="107"/>
      <c r="FC429" s="107"/>
      <c r="FD429" s="107"/>
      <c r="FE429" s="107"/>
      <c r="FF429" s="107"/>
      <c r="FG429" s="107"/>
      <c r="FH429" s="107"/>
      <c r="FI429" s="107"/>
      <c r="FJ429" s="107"/>
      <c r="FK429" s="107"/>
      <c r="FL429" s="107"/>
      <c r="FM429" s="107"/>
      <c r="FN429" s="107"/>
      <c r="FO429" s="10"/>
      <c r="FP429" s="10"/>
      <c r="FQ429" s="10"/>
      <c r="FR429" s="10"/>
      <c r="FS429" s="10"/>
      <c r="FT429" s="10"/>
      <c r="FU429" s="10"/>
      <c r="FV429" s="10"/>
      <c r="FW429" s="10"/>
      <c r="FX429" s="10"/>
      <c r="FY429" s="8"/>
      <c r="FZ429" s="266"/>
      <c r="GA429" s="266"/>
    </row>
    <row r="430" spans="1:183" s="268" customFormat="1" x14ac:dyDescent="0.25">
      <c r="A430" s="107"/>
      <c r="B430" s="7"/>
      <c r="C430" s="7"/>
      <c r="D430" s="7"/>
      <c r="E430" s="7"/>
      <c r="F430" s="10"/>
      <c r="G430" s="107"/>
      <c r="H430" s="7"/>
      <c r="I430" s="10"/>
      <c r="J430" s="10"/>
      <c r="K430" s="10"/>
      <c r="L430" s="10"/>
      <c r="M430" s="10"/>
      <c r="N430" s="10"/>
      <c r="O430" s="10"/>
      <c r="P430" s="8"/>
      <c r="Q430" s="8"/>
      <c r="R430" s="7"/>
      <c r="S430" s="7"/>
      <c r="T430" s="7"/>
      <c r="U430" s="107"/>
      <c r="V430" s="7"/>
      <c r="W430" s="10"/>
      <c r="X430" s="107"/>
      <c r="Y430" s="7"/>
      <c r="Z430" s="10"/>
      <c r="AA430" s="107"/>
      <c r="AB430" s="10"/>
      <c r="AC430" s="107"/>
      <c r="AD430" s="7"/>
      <c r="AE430" s="10"/>
      <c r="AF430" s="107"/>
      <c r="AG430" s="10"/>
      <c r="AH430" s="107"/>
      <c r="AI430" s="10"/>
      <c r="AJ430" s="107"/>
      <c r="AK430" s="10"/>
      <c r="AL430" s="107"/>
      <c r="AM430" s="10"/>
      <c r="AN430" s="10"/>
      <c r="AO430" s="10"/>
      <c r="AP430" s="8"/>
      <c r="AQ430" s="107"/>
      <c r="AR430" s="10"/>
      <c r="AS430" s="107"/>
      <c r="AT430" s="7"/>
      <c r="AU430" s="10"/>
      <c r="AV430" s="10"/>
      <c r="AW430" s="107"/>
      <c r="AX430" s="10"/>
      <c r="AY430" s="107"/>
      <c r="AZ430" s="10"/>
      <c r="BA430" s="107"/>
      <c r="BB430" s="107"/>
      <c r="BC430" s="107"/>
      <c r="BD430" s="10"/>
      <c r="BE430" s="107"/>
      <c r="BF430" s="10"/>
      <c r="BG430" s="10"/>
      <c r="BH430" s="10"/>
      <c r="BI430" s="107"/>
      <c r="BJ430" s="107"/>
      <c r="BK430" s="10"/>
      <c r="BL430" s="10"/>
      <c r="BM430" s="107"/>
      <c r="BN430" s="10"/>
      <c r="BO430" s="107"/>
      <c r="BP430" s="7"/>
      <c r="BQ430" s="10"/>
      <c r="BR430" s="107"/>
      <c r="BS430" s="10"/>
      <c r="BT430" s="107"/>
      <c r="BU430" s="107"/>
      <c r="BV430" s="107"/>
      <c r="BW430" s="107"/>
      <c r="BX430" s="107"/>
      <c r="BY430" s="10"/>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c r="CW430" s="107"/>
      <c r="CX430" s="107"/>
      <c r="CY430" s="107"/>
      <c r="CZ430" s="107"/>
      <c r="DA430" s="107"/>
      <c r="DB430" s="107"/>
      <c r="DC430" s="107"/>
      <c r="DD430" s="107"/>
      <c r="DE430" s="107"/>
      <c r="DF430" s="107"/>
      <c r="DG430" s="107"/>
      <c r="DH430" s="107"/>
      <c r="DI430" s="107"/>
      <c r="DJ430" s="107"/>
      <c r="DK430" s="10"/>
      <c r="DL430" s="10"/>
      <c r="DM430" s="10"/>
      <c r="DN430" s="10"/>
      <c r="DO430" s="10"/>
      <c r="DP430" s="10"/>
      <c r="DQ430" s="10"/>
      <c r="DR430" s="10"/>
      <c r="DS430" s="10"/>
      <c r="DT430" s="10"/>
      <c r="DU430" s="10"/>
      <c r="DV430" s="10"/>
      <c r="DW430" s="10"/>
      <c r="DX430" s="10"/>
      <c r="DY430" s="10"/>
      <c r="DZ430" s="10"/>
      <c r="EA430" s="10"/>
      <c r="EB430" s="10"/>
      <c r="EC430" s="107"/>
      <c r="ED430" s="107"/>
      <c r="EE430" s="10"/>
      <c r="EF430" s="107"/>
      <c r="EG430" s="7"/>
      <c r="EH430" s="10"/>
      <c r="EI430" s="107"/>
      <c r="EJ430" s="107"/>
      <c r="EK430" s="107"/>
      <c r="EL430" s="107"/>
      <c r="EM430" s="107"/>
      <c r="EN430" s="107"/>
      <c r="EO430" s="107"/>
      <c r="EP430" s="107"/>
      <c r="EQ430" s="107"/>
      <c r="ER430" s="107"/>
      <c r="ES430" s="107"/>
      <c r="ET430" s="107"/>
      <c r="EU430" s="107"/>
      <c r="EV430" s="107"/>
      <c r="EW430" s="107"/>
      <c r="EX430" s="107"/>
      <c r="EY430" s="107"/>
      <c r="EZ430" s="107"/>
      <c r="FA430" s="107"/>
      <c r="FB430" s="107"/>
      <c r="FC430" s="107"/>
      <c r="FD430" s="107"/>
      <c r="FE430" s="107"/>
      <c r="FF430" s="107"/>
      <c r="FG430" s="107"/>
      <c r="FH430" s="107"/>
      <c r="FI430" s="107"/>
      <c r="FJ430" s="107"/>
      <c r="FK430" s="107"/>
      <c r="FL430" s="107"/>
      <c r="FM430" s="107"/>
      <c r="FN430" s="107"/>
      <c r="FO430" s="10"/>
      <c r="FP430" s="10"/>
      <c r="FQ430" s="10"/>
      <c r="FR430" s="10"/>
      <c r="FS430" s="10"/>
      <c r="FT430" s="10"/>
      <c r="FU430" s="10"/>
      <c r="FV430" s="10"/>
      <c r="FW430" s="10"/>
      <c r="FX430" s="10"/>
      <c r="FY430" s="8"/>
      <c r="FZ430" s="266"/>
      <c r="GA430" s="266"/>
    </row>
    <row r="431" spans="1:183" s="268" customFormat="1" x14ac:dyDescent="0.25">
      <c r="A431" s="107"/>
      <c r="B431" s="7"/>
      <c r="C431" s="7"/>
      <c r="D431" s="7"/>
      <c r="E431" s="7"/>
      <c r="F431" s="10"/>
      <c r="G431" s="107"/>
      <c r="H431" s="7"/>
      <c r="I431" s="10"/>
      <c r="J431" s="10"/>
      <c r="K431" s="10"/>
      <c r="L431" s="10"/>
      <c r="M431" s="10"/>
      <c r="N431" s="10"/>
      <c r="O431" s="10"/>
      <c r="P431" s="8"/>
      <c r="Q431" s="8"/>
      <c r="R431" s="7"/>
      <c r="S431" s="7"/>
      <c r="T431" s="7"/>
      <c r="U431" s="107"/>
      <c r="V431" s="7"/>
      <c r="W431" s="10"/>
      <c r="X431" s="107"/>
      <c r="Y431" s="7"/>
      <c r="Z431" s="10"/>
      <c r="AA431" s="107"/>
      <c r="AB431" s="10"/>
      <c r="AC431" s="107"/>
      <c r="AD431" s="7"/>
      <c r="AE431" s="10"/>
      <c r="AF431" s="107"/>
      <c r="AG431" s="10"/>
      <c r="AH431" s="107"/>
      <c r="AI431" s="10"/>
      <c r="AJ431" s="107"/>
      <c r="AK431" s="10"/>
      <c r="AL431" s="107"/>
      <c r="AM431" s="10"/>
      <c r="AN431" s="10"/>
      <c r="AO431" s="10"/>
      <c r="AP431" s="8"/>
      <c r="AQ431" s="107"/>
      <c r="AR431" s="10"/>
      <c r="AS431" s="107"/>
      <c r="AT431" s="7"/>
      <c r="AU431" s="10"/>
      <c r="AV431" s="10"/>
      <c r="AW431" s="107"/>
      <c r="AX431" s="10"/>
      <c r="AY431" s="107"/>
      <c r="AZ431" s="10"/>
      <c r="BA431" s="107"/>
      <c r="BB431" s="107"/>
      <c r="BC431" s="107"/>
      <c r="BD431" s="10"/>
      <c r="BE431" s="107"/>
      <c r="BF431" s="10"/>
      <c r="BG431" s="10"/>
      <c r="BH431" s="10"/>
      <c r="BI431" s="107"/>
      <c r="BJ431" s="107"/>
      <c r="BK431" s="10"/>
      <c r="BL431" s="10"/>
      <c r="BM431" s="107"/>
      <c r="BN431" s="10"/>
      <c r="BO431" s="107"/>
      <c r="BP431" s="7"/>
      <c r="BQ431" s="10"/>
      <c r="BR431" s="107"/>
      <c r="BS431" s="10"/>
      <c r="BT431" s="107"/>
      <c r="BU431" s="107"/>
      <c r="BV431" s="107"/>
      <c r="BW431" s="107"/>
      <c r="BX431" s="107"/>
      <c r="BY431" s="10"/>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c r="CW431" s="107"/>
      <c r="CX431" s="107"/>
      <c r="CY431" s="107"/>
      <c r="CZ431" s="107"/>
      <c r="DA431" s="107"/>
      <c r="DB431" s="107"/>
      <c r="DC431" s="107"/>
      <c r="DD431" s="107"/>
      <c r="DE431" s="107"/>
      <c r="DF431" s="107"/>
      <c r="DG431" s="107"/>
      <c r="DH431" s="107"/>
      <c r="DI431" s="107"/>
      <c r="DJ431" s="107"/>
      <c r="DK431" s="10"/>
      <c r="DL431" s="10"/>
      <c r="DM431" s="10"/>
      <c r="DN431" s="10"/>
      <c r="DO431" s="10"/>
      <c r="DP431" s="10"/>
      <c r="DQ431" s="10"/>
      <c r="DR431" s="10"/>
      <c r="DS431" s="10"/>
      <c r="DT431" s="10"/>
      <c r="DU431" s="10"/>
      <c r="DV431" s="10"/>
      <c r="DW431" s="10"/>
      <c r="DX431" s="10"/>
      <c r="DY431" s="10"/>
      <c r="DZ431" s="10"/>
      <c r="EA431" s="10"/>
      <c r="EB431" s="10"/>
      <c r="EC431" s="107"/>
      <c r="ED431" s="107"/>
      <c r="EE431" s="10"/>
      <c r="EF431" s="107"/>
      <c r="EG431" s="7"/>
      <c r="EH431" s="10"/>
      <c r="EI431" s="107"/>
      <c r="EJ431" s="107"/>
      <c r="EK431" s="107"/>
      <c r="EL431" s="107"/>
      <c r="EM431" s="107"/>
      <c r="EN431" s="107"/>
      <c r="EO431" s="107"/>
      <c r="EP431" s="107"/>
      <c r="EQ431" s="107"/>
      <c r="ER431" s="107"/>
      <c r="ES431" s="107"/>
      <c r="ET431" s="107"/>
      <c r="EU431" s="107"/>
      <c r="EV431" s="107"/>
      <c r="EW431" s="107"/>
      <c r="EX431" s="107"/>
      <c r="EY431" s="107"/>
      <c r="EZ431" s="107"/>
      <c r="FA431" s="107"/>
      <c r="FB431" s="107"/>
      <c r="FC431" s="107"/>
      <c r="FD431" s="107"/>
      <c r="FE431" s="107"/>
      <c r="FF431" s="107"/>
      <c r="FG431" s="107"/>
      <c r="FH431" s="107"/>
      <c r="FI431" s="107"/>
      <c r="FJ431" s="107"/>
      <c r="FK431" s="107"/>
      <c r="FL431" s="107"/>
      <c r="FM431" s="107"/>
      <c r="FN431" s="107"/>
      <c r="FO431" s="10"/>
      <c r="FP431" s="10"/>
      <c r="FQ431" s="10"/>
      <c r="FR431" s="10"/>
      <c r="FS431" s="10"/>
      <c r="FT431" s="10"/>
      <c r="FU431" s="10"/>
      <c r="FV431" s="10"/>
      <c r="FW431" s="10"/>
      <c r="FX431" s="10"/>
      <c r="FY431" s="8"/>
      <c r="FZ431" s="266"/>
      <c r="GA431" s="266"/>
    </row>
    <row r="432" spans="1:183" s="268" customFormat="1" x14ac:dyDescent="0.25">
      <c r="A432" s="107"/>
      <c r="B432" s="7"/>
      <c r="C432" s="7"/>
      <c r="D432" s="7"/>
      <c r="E432" s="7"/>
      <c r="F432" s="10"/>
      <c r="G432" s="107"/>
      <c r="H432" s="7"/>
      <c r="I432" s="10"/>
      <c r="J432" s="10"/>
      <c r="K432" s="10"/>
      <c r="L432" s="10"/>
      <c r="M432" s="10"/>
      <c r="N432" s="10"/>
      <c r="O432" s="10"/>
      <c r="P432" s="8"/>
      <c r="Q432" s="8"/>
      <c r="R432" s="7"/>
      <c r="S432" s="7"/>
      <c r="T432" s="7"/>
      <c r="U432" s="107"/>
      <c r="V432" s="7"/>
      <c r="W432" s="10"/>
      <c r="X432" s="107"/>
      <c r="Y432" s="7"/>
      <c r="Z432" s="10"/>
      <c r="AA432" s="107"/>
      <c r="AB432" s="10"/>
      <c r="AC432" s="107"/>
      <c r="AD432" s="7"/>
      <c r="AE432" s="10"/>
      <c r="AF432" s="107"/>
      <c r="AG432" s="10"/>
      <c r="AH432" s="107"/>
      <c r="AI432" s="10"/>
      <c r="AJ432" s="107"/>
      <c r="AK432" s="10"/>
      <c r="AL432" s="107"/>
      <c r="AM432" s="10"/>
      <c r="AN432" s="10"/>
      <c r="AO432" s="10"/>
      <c r="AP432" s="8"/>
      <c r="AQ432" s="107"/>
      <c r="AR432" s="10"/>
      <c r="AS432" s="107"/>
      <c r="AT432" s="7"/>
      <c r="AU432" s="10"/>
      <c r="AV432" s="10"/>
      <c r="AW432" s="107"/>
      <c r="AX432" s="10"/>
      <c r="AY432" s="107"/>
      <c r="AZ432" s="10"/>
      <c r="BA432" s="107"/>
      <c r="BB432" s="107"/>
      <c r="BC432" s="107"/>
      <c r="BD432" s="10"/>
      <c r="BE432" s="107"/>
      <c r="BF432" s="10"/>
      <c r="BG432" s="10"/>
      <c r="BH432" s="10"/>
      <c r="BI432" s="107"/>
      <c r="BJ432" s="107"/>
      <c r="BK432" s="10"/>
      <c r="BL432" s="10"/>
      <c r="BM432" s="107"/>
      <c r="BN432" s="10"/>
      <c r="BO432" s="107"/>
      <c r="BP432" s="7"/>
      <c r="BQ432" s="10"/>
      <c r="BR432" s="107"/>
      <c r="BS432" s="10"/>
      <c r="BT432" s="107"/>
      <c r="BU432" s="107"/>
      <c r="BV432" s="107"/>
      <c r="BW432" s="107"/>
      <c r="BX432" s="107"/>
      <c r="BY432" s="10"/>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c r="CW432" s="107"/>
      <c r="CX432" s="107"/>
      <c r="CY432" s="107"/>
      <c r="CZ432" s="107"/>
      <c r="DA432" s="107"/>
      <c r="DB432" s="107"/>
      <c r="DC432" s="107"/>
      <c r="DD432" s="107"/>
      <c r="DE432" s="107"/>
      <c r="DF432" s="107"/>
      <c r="DG432" s="107"/>
      <c r="DH432" s="107"/>
      <c r="DI432" s="107"/>
      <c r="DJ432" s="107"/>
      <c r="DK432" s="10"/>
      <c r="DL432" s="10"/>
      <c r="DM432" s="10"/>
      <c r="DN432" s="10"/>
      <c r="DO432" s="10"/>
      <c r="DP432" s="10"/>
      <c r="DQ432" s="10"/>
      <c r="DR432" s="10"/>
      <c r="DS432" s="10"/>
      <c r="DT432" s="10"/>
      <c r="DU432" s="10"/>
      <c r="DV432" s="10"/>
      <c r="DW432" s="10"/>
      <c r="DX432" s="10"/>
      <c r="DY432" s="10"/>
      <c r="DZ432" s="10"/>
      <c r="EA432" s="10"/>
      <c r="EB432" s="10"/>
      <c r="EC432" s="107"/>
      <c r="ED432" s="107"/>
      <c r="EE432" s="10"/>
      <c r="EF432" s="107"/>
      <c r="EG432" s="7"/>
      <c r="EH432" s="10"/>
      <c r="EI432" s="107"/>
      <c r="EJ432" s="107"/>
      <c r="EK432" s="107"/>
      <c r="EL432" s="107"/>
      <c r="EM432" s="107"/>
      <c r="EN432" s="107"/>
      <c r="EO432" s="107"/>
      <c r="EP432" s="107"/>
      <c r="EQ432" s="107"/>
      <c r="ER432" s="107"/>
      <c r="ES432" s="107"/>
      <c r="ET432" s="107"/>
      <c r="EU432" s="107"/>
      <c r="EV432" s="107"/>
      <c r="EW432" s="107"/>
      <c r="EX432" s="107"/>
      <c r="EY432" s="107"/>
      <c r="EZ432" s="107"/>
      <c r="FA432" s="107"/>
      <c r="FB432" s="107"/>
      <c r="FC432" s="107"/>
      <c r="FD432" s="107"/>
      <c r="FE432" s="107"/>
      <c r="FF432" s="107"/>
      <c r="FG432" s="107"/>
      <c r="FH432" s="107"/>
      <c r="FI432" s="107"/>
      <c r="FJ432" s="107"/>
      <c r="FK432" s="107"/>
      <c r="FL432" s="107"/>
      <c r="FM432" s="107"/>
      <c r="FN432" s="107"/>
      <c r="FO432" s="10"/>
      <c r="FP432" s="10"/>
      <c r="FQ432" s="10"/>
      <c r="FR432" s="10"/>
      <c r="FS432" s="10"/>
      <c r="FT432" s="10"/>
      <c r="FU432" s="10"/>
      <c r="FV432" s="10"/>
      <c r="FW432" s="10"/>
      <c r="FX432" s="10"/>
      <c r="FY432" s="8"/>
      <c r="FZ432" s="266"/>
      <c r="GA432" s="266"/>
    </row>
    <row r="433" spans="1:183" s="268" customFormat="1" x14ac:dyDescent="0.25">
      <c r="A433" s="107"/>
      <c r="B433" s="7"/>
      <c r="C433" s="7"/>
      <c r="D433" s="7"/>
      <c r="E433" s="7"/>
      <c r="F433" s="10"/>
      <c r="G433" s="107"/>
      <c r="H433" s="7"/>
      <c r="I433" s="10"/>
      <c r="J433" s="10"/>
      <c r="K433" s="10"/>
      <c r="L433" s="10"/>
      <c r="M433" s="10"/>
      <c r="N433" s="10"/>
      <c r="O433" s="10"/>
      <c r="P433" s="8"/>
      <c r="Q433" s="8"/>
      <c r="R433" s="7"/>
      <c r="S433" s="7"/>
      <c r="T433" s="7"/>
      <c r="U433" s="107"/>
      <c r="V433" s="7"/>
      <c r="W433" s="10"/>
      <c r="X433" s="107"/>
      <c r="Y433" s="7"/>
      <c r="Z433" s="10"/>
      <c r="AA433" s="107"/>
      <c r="AB433" s="10"/>
      <c r="AC433" s="107"/>
      <c r="AD433" s="7"/>
      <c r="AE433" s="10"/>
      <c r="AF433" s="107"/>
      <c r="AG433" s="10"/>
      <c r="AH433" s="107"/>
      <c r="AI433" s="10"/>
      <c r="AJ433" s="107"/>
      <c r="AK433" s="10"/>
      <c r="AL433" s="107"/>
      <c r="AM433" s="10"/>
      <c r="AN433" s="10"/>
      <c r="AO433" s="10"/>
      <c r="AP433" s="8"/>
      <c r="AQ433" s="107"/>
      <c r="AR433" s="10"/>
      <c r="AS433" s="107"/>
      <c r="AT433" s="7"/>
      <c r="AU433" s="10"/>
      <c r="AV433" s="10"/>
      <c r="AW433" s="107"/>
      <c r="AX433" s="10"/>
      <c r="AY433" s="107"/>
      <c r="AZ433" s="10"/>
      <c r="BA433" s="107"/>
      <c r="BB433" s="107"/>
      <c r="BC433" s="107"/>
      <c r="BD433" s="10"/>
      <c r="BE433" s="107"/>
      <c r="BF433" s="10"/>
      <c r="BG433" s="10"/>
      <c r="BH433" s="10"/>
      <c r="BI433" s="107"/>
      <c r="BJ433" s="107"/>
      <c r="BK433" s="10"/>
      <c r="BL433" s="10"/>
      <c r="BM433" s="107"/>
      <c r="BN433" s="10"/>
      <c r="BO433" s="107"/>
      <c r="BP433" s="7"/>
      <c r="BQ433" s="10"/>
      <c r="BR433" s="107"/>
      <c r="BS433" s="10"/>
      <c r="BT433" s="107"/>
      <c r="BU433" s="107"/>
      <c r="BV433" s="107"/>
      <c r="BW433" s="107"/>
      <c r="BX433" s="107"/>
      <c r="BY433" s="10"/>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c r="CW433" s="107"/>
      <c r="CX433" s="107"/>
      <c r="CY433" s="107"/>
      <c r="CZ433" s="107"/>
      <c r="DA433" s="107"/>
      <c r="DB433" s="107"/>
      <c r="DC433" s="107"/>
      <c r="DD433" s="107"/>
      <c r="DE433" s="107"/>
      <c r="DF433" s="107"/>
      <c r="DG433" s="107"/>
      <c r="DH433" s="107"/>
      <c r="DI433" s="107"/>
      <c r="DJ433" s="107"/>
      <c r="DK433" s="10"/>
      <c r="DL433" s="10"/>
      <c r="DM433" s="10"/>
      <c r="DN433" s="10"/>
      <c r="DO433" s="10"/>
      <c r="DP433" s="10"/>
      <c r="DQ433" s="10"/>
      <c r="DR433" s="10"/>
      <c r="DS433" s="10"/>
      <c r="DT433" s="10"/>
      <c r="DU433" s="10"/>
      <c r="DV433" s="10"/>
      <c r="DW433" s="10"/>
      <c r="DX433" s="10"/>
      <c r="DY433" s="10"/>
      <c r="DZ433" s="10"/>
      <c r="EA433" s="10"/>
      <c r="EB433" s="10"/>
      <c r="EC433" s="107"/>
      <c r="ED433" s="107"/>
      <c r="EE433" s="10"/>
      <c r="EF433" s="107"/>
      <c r="EG433" s="7"/>
      <c r="EH433" s="10"/>
      <c r="EI433" s="107"/>
      <c r="EJ433" s="107"/>
      <c r="EK433" s="107"/>
      <c r="EL433" s="107"/>
      <c r="EM433" s="107"/>
      <c r="EN433" s="107"/>
      <c r="EO433" s="107"/>
      <c r="EP433" s="107"/>
      <c r="EQ433" s="107"/>
      <c r="ER433" s="107"/>
      <c r="ES433" s="107"/>
      <c r="ET433" s="107"/>
      <c r="EU433" s="107"/>
      <c r="EV433" s="107"/>
      <c r="EW433" s="107"/>
      <c r="EX433" s="107"/>
      <c r="EY433" s="107"/>
      <c r="EZ433" s="107"/>
      <c r="FA433" s="107"/>
      <c r="FB433" s="107"/>
      <c r="FC433" s="107"/>
      <c r="FD433" s="107"/>
      <c r="FE433" s="107"/>
      <c r="FF433" s="107"/>
      <c r="FG433" s="107"/>
      <c r="FH433" s="107"/>
      <c r="FI433" s="107"/>
      <c r="FJ433" s="107"/>
      <c r="FK433" s="107"/>
      <c r="FL433" s="107"/>
      <c r="FM433" s="107"/>
      <c r="FN433" s="107"/>
      <c r="FO433" s="10"/>
      <c r="FP433" s="10"/>
      <c r="FQ433" s="10"/>
      <c r="FR433" s="10"/>
      <c r="FS433" s="10"/>
      <c r="FT433" s="10"/>
      <c r="FU433" s="10"/>
      <c r="FV433" s="10"/>
      <c r="FW433" s="10"/>
      <c r="FX433" s="10"/>
      <c r="FY433" s="8"/>
      <c r="FZ433" s="266"/>
      <c r="GA433" s="266"/>
    </row>
    <row r="434" spans="1:183" s="268" customFormat="1" x14ac:dyDescent="0.25">
      <c r="A434" s="107"/>
      <c r="B434" s="7"/>
      <c r="C434" s="7"/>
      <c r="D434" s="7"/>
      <c r="E434" s="7"/>
      <c r="F434" s="10"/>
      <c r="G434" s="107"/>
      <c r="H434" s="7"/>
      <c r="I434" s="10"/>
      <c r="J434" s="10"/>
      <c r="K434" s="10"/>
      <c r="L434" s="10"/>
      <c r="M434" s="10"/>
      <c r="N434" s="10"/>
      <c r="O434" s="10"/>
      <c r="P434" s="8"/>
      <c r="Q434" s="8"/>
      <c r="R434" s="7"/>
      <c r="S434" s="7"/>
      <c r="T434" s="7"/>
      <c r="U434" s="107"/>
      <c r="V434" s="7"/>
      <c r="W434" s="10"/>
      <c r="X434" s="107"/>
      <c r="Y434" s="7"/>
      <c r="Z434" s="10"/>
      <c r="AA434" s="107"/>
      <c r="AB434" s="10"/>
      <c r="AC434" s="107"/>
      <c r="AD434" s="7"/>
      <c r="AE434" s="10"/>
      <c r="AF434" s="107"/>
      <c r="AG434" s="10"/>
      <c r="AH434" s="107"/>
      <c r="AI434" s="10"/>
      <c r="AJ434" s="107"/>
      <c r="AK434" s="10"/>
      <c r="AL434" s="107"/>
      <c r="AM434" s="10"/>
      <c r="AN434" s="10"/>
      <c r="AO434" s="10"/>
      <c r="AP434" s="8"/>
      <c r="AQ434" s="107"/>
      <c r="AR434" s="10"/>
      <c r="AS434" s="107"/>
      <c r="AT434" s="7"/>
      <c r="AU434" s="10"/>
      <c r="AV434" s="10"/>
      <c r="AW434" s="107"/>
      <c r="AX434" s="10"/>
      <c r="AY434" s="107"/>
      <c r="AZ434" s="10"/>
      <c r="BA434" s="107"/>
      <c r="BB434" s="107"/>
      <c r="BC434" s="107"/>
      <c r="BD434" s="10"/>
      <c r="BE434" s="107"/>
      <c r="BF434" s="10"/>
      <c r="BG434" s="10"/>
      <c r="BH434" s="10"/>
      <c r="BI434" s="107"/>
      <c r="BJ434" s="107"/>
      <c r="BK434" s="10"/>
      <c r="BL434" s="10"/>
      <c r="BM434" s="107"/>
      <c r="BN434" s="10"/>
      <c r="BO434" s="107"/>
      <c r="BP434" s="7"/>
      <c r="BQ434" s="10"/>
      <c r="BR434" s="107"/>
      <c r="BS434" s="10"/>
      <c r="BT434" s="107"/>
      <c r="BU434" s="107"/>
      <c r="BV434" s="107"/>
      <c r="BW434" s="107"/>
      <c r="BX434" s="107"/>
      <c r="BY434" s="10"/>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c r="CW434" s="107"/>
      <c r="CX434" s="107"/>
      <c r="CY434" s="107"/>
      <c r="CZ434" s="107"/>
      <c r="DA434" s="107"/>
      <c r="DB434" s="107"/>
      <c r="DC434" s="107"/>
      <c r="DD434" s="107"/>
      <c r="DE434" s="107"/>
      <c r="DF434" s="107"/>
      <c r="DG434" s="107"/>
      <c r="DH434" s="107"/>
      <c r="DI434" s="107"/>
      <c r="DJ434" s="107"/>
      <c r="DK434" s="10"/>
      <c r="DL434" s="10"/>
      <c r="DM434" s="10"/>
      <c r="DN434" s="10"/>
      <c r="DO434" s="10"/>
      <c r="DP434" s="10"/>
      <c r="DQ434" s="10"/>
      <c r="DR434" s="10"/>
      <c r="DS434" s="10"/>
      <c r="DT434" s="10"/>
      <c r="DU434" s="10"/>
      <c r="DV434" s="10"/>
      <c r="DW434" s="10"/>
      <c r="DX434" s="10"/>
      <c r="DY434" s="10"/>
      <c r="DZ434" s="10"/>
      <c r="EA434" s="10"/>
      <c r="EB434" s="10"/>
      <c r="EC434" s="107"/>
      <c r="ED434" s="107"/>
      <c r="EE434" s="10"/>
      <c r="EF434" s="107"/>
      <c r="EG434" s="7"/>
      <c r="EH434" s="10"/>
      <c r="EI434" s="107"/>
      <c r="EJ434" s="107"/>
      <c r="EK434" s="107"/>
      <c r="EL434" s="107"/>
      <c r="EM434" s="107"/>
      <c r="EN434" s="107"/>
      <c r="EO434" s="107"/>
      <c r="EP434" s="107"/>
      <c r="EQ434" s="107"/>
      <c r="ER434" s="107"/>
      <c r="ES434" s="107"/>
      <c r="ET434" s="107"/>
      <c r="EU434" s="107"/>
      <c r="EV434" s="107"/>
      <c r="EW434" s="107"/>
      <c r="EX434" s="107"/>
      <c r="EY434" s="107"/>
      <c r="EZ434" s="107"/>
      <c r="FA434" s="107"/>
      <c r="FB434" s="107"/>
      <c r="FC434" s="107"/>
      <c r="FD434" s="107"/>
      <c r="FE434" s="107"/>
      <c r="FF434" s="107"/>
      <c r="FG434" s="107"/>
      <c r="FH434" s="107"/>
      <c r="FI434" s="107"/>
      <c r="FJ434" s="107"/>
      <c r="FK434" s="107"/>
      <c r="FL434" s="107"/>
      <c r="FM434" s="107"/>
      <c r="FN434" s="107"/>
      <c r="FO434" s="10"/>
      <c r="FP434" s="10"/>
      <c r="FQ434" s="10"/>
      <c r="FR434" s="10"/>
      <c r="FS434" s="10"/>
      <c r="FT434" s="10"/>
      <c r="FU434" s="10"/>
      <c r="FV434" s="10"/>
      <c r="FW434" s="10"/>
      <c r="FX434" s="10"/>
      <c r="FY434" s="8"/>
      <c r="FZ434" s="266"/>
      <c r="GA434" s="266"/>
    </row>
    <row r="435" spans="1:183" s="268" customFormat="1" x14ac:dyDescent="0.25">
      <c r="A435" s="107"/>
      <c r="B435" s="7"/>
      <c r="C435" s="7"/>
      <c r="D435" s="7"/>
      <c r="E435" s="7"/>
      <c r="F435" s="10"/>
      <c r="G435" s="107"/>
      <c r="H435" s="7"/>
      <c r="I435" s="10"/>
      <c r="J435" s="10"/>
      <c r="K435" s="10"/>
      <c r="L435" s="10"/>
      <c r="M435" s="10"/>
      <c r="N435" s="10"/>
      <c r="O435" s="10"/>
      <c r="P435" s="8"/>
      <c r="Q435" s="8"/>
      <c r="R435" s="7"/>
      <c r="S435" s="7"/>
      <c r="T435" s="7"/>
      <c r="U435" s="107"/>
      <c r="V435" s="7"/>
      <c r="W435" s="10"/>
      <c r="X435" s="107"/>
      <c r="Y435" s="7"/>
      <c r="Z435" s="10"/>
      <c r="AA435" s="107"/>
      <c r="AB435" s="10"/>
      <c r="AC435" s="107"/>
      <c r="AD435" s="7"/>
      <c r="AE435" s="10"/>
      <c r="AF435" s="107"/>
      <c r="AG435" s="10"/>
      <c r="AH435" s="107"/>
      <c r="AI435" s="10"/>
      <c r="AJ435" s="107"/>
      <c r="AK435" s="10"/>
      <c r="AL435" s="107"/>
      <c r="AM435" s="10"/>
      <c r="AN435" s="10"/>
      <c r="AO435" s="10"/>
      <c r="AP435" s="8"/>
      <c r="AQ435" s="107"/>
      <c r="AR435" s="10"/>
      <c r="AS435" s="107"/>
      <c r="AT435" s="7"/>
      <c r="AU435" s="10"/>
      <c r="AV435" s="10"/>
      <c r="AW435" s="107"/>
      <c r="AX435" s="10"/>
      <c r="AY435" s="107"/>
      <c r="AZ435" s="10"/>
      <c r="BA435" s="107"/>
      <c r="BB435" s="107"/>
      <c r="BC435" s="107"/>
      <c r="BD435" s="10"/>
      <c r="BE435" s="107"/>
      <c r="BF435" s="10"/>
      <c r="BG435" s="10"/>
      <c r="BH435" s="10"/>
      <c r="BI435" s="107"/>
      <c r="BJ435" s="107"/>
      <c r="BK435" s="10"/>
      <c r="BL435" s="10"/>
      <c r="BM435" s="107"/>
      <c r="BN435" s="10"/>
      <c r="BO435" s="107"/>
      <c r="BP435" s="7"/>
      <c r="BQ435" s="10"/>
      <c r="BR435" s="107"/>
      <c r="BS435" s="10"/>
      <c r="BT435" s="107"/>
      <c r="BU435" s="107"/>
      <c r="BV435" s="107"/>
      <c r="BW435" s="107"/>
      <c r="BX435" s="107"/>
      <c r="BY435" s="10"/>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c r="CW435" s="107"/>
      <c r="CX435" s="107"/>
      <c r="CY435" s="107"/>
      <c r="CZ435" s="107"/>
      <c r="DA435" s="107"/>
      <c r="DB435" s="107"/>
      <c r="DC435" s="107"/>
      <c r="DD435" s="107"/>
      <c r="DE435" s="107"/>
      <c r="DF435" s="107"/>
      <c r="DG435" s="107"/>
      <c r="DH435" s="107"/>
      <c r="DI435" s="107"/>
      <c r="DJ435" s="107"/>
      <c r="DK435" s="10"/>
      <c r="DL435" s="10"/>
      <c r="DM435" s="10"/>
      <c r="DN435" s="10"/>
      <c r="DO435" s="10"/>
      <c r="DP435" s="10"/>
      <c r="DQ435" s="10"/>
      <c r="DR435" s="10"/>
      <c r="DS435" s="10"/>
      <c r="DT435" s="10"/>
      <c r="DU435" s="10"/>
      <c r="DV435" s="10"/>
      <c r="DW435" s="10"/>
      <c r="DX435" s="10"/>
      <c r="DY435" s="10"/>
      <c r="DZ435" s="10"/>
      <c r="EA435" s="10"/>
      <c r="EB435" s="10"/>
      <c r="EC435" s="107"/>
      <c r="ED435" s="107"/>
      <c r="EE435" s="10"/>
      <c r="EF435" s="107"/>
      <c r="EG435" s="7"/>
      <c r="EH435" s="10"/>
      <c r="EI435" s="107"/>
      <c r="EJ435" s="107"/>
      <c r="EK435" s="107"/>
      <c r="EL435" s="107"/>
      <c r="EM435" s="107"/>
      <c r="EN435" s="107"/>
      <c r="EO435" s="107"/>
      <c r="EP435" s="107"/>
      <c r="EQ435" s="107"/>
      <c r="ER435" s="107"/>
      <c r="ES435" s="107"/>
      <c r="ET435" s="107"/>
      <c r="EU435" s="107"/>
      <c r="EV435" s="107"/>
      <c r="EW435" s="107"/>
      <c r="EX435" s="107"/>
      <c r="EY435" s="107"/>
      <c r="EZ435" s="107"/>
      <c r="FA435" s="107"/>
      <c r="FB435" s="107"/>
      <c r="FC435" s="107"/>
      <c r="FD435" s="107"/>
      <c r="FE435" s="107"/>
      <c r="FF435" s="107"/>
      <c r="FG435" s="107"/>
      <c r="FH435" s="107"/>
      <c r="FI435" s="107"/>
      <c r="FJ435" s="107"/>
      <c r="FK435" s="107"/>
      <c r="FL435" s="107"/>
      <c r="FM435" s="107"/>
      <c r="FN435" s="107"/>
      <c r="FO435" s="10"/>
      <c r="FP435" s="10"/>
      <c r="FQ435" s="10"/>
      <c r="FR435" s="10"/>
      <c r="FS435" s="10"/>
      <c r="FT435" s="10"/>
      <c r="FU435" s="10"/>
      <c r="FV435" s="10"/>
      <c r="FW435" s="10"/>
      <c r="FX435" s="10"/>
      <c r="FY435" s="8"/>
      <c r="FZ435" s="266"/>
      <c r="GA435" s="266"/>
    </row>
    <row r="436" spans="1:183" s="268" customFormat="1" x14ac:dyDescent="0.25">
      <c r="A436" s="107"/>
      <c r="B436" s="7"/>
      <c r="C436" s="7"/>
      <c r="D436" s="7"/>
      <c r="E436" s="7"/>
      <c r="F436" s="10"/>
      <c r="G436" s="107"/>
      <c r="H436" s="7"/>
      <c r="I436" s="10"/>
      <c r="J436" s="10"/>
      <c r="K436" s="10"/>
      <c r="L436" s="10"/>
      <c r="M436" s="10"/>
      <c r="N436" s="10"/>
      <c r="O436" s="10"/>
      <c r="P436" s="8"/>
      <c r="Q436" s="8"/>
      <c r="R436" s="7"/>
      <c r="S436" s="7"/>
      <c r="T436" s="7"/>
      <c r="U436" s="107"/>
      <c r="V436" s="7"/>
      <c r="W436" s="10"/>
      <c r="X436" s="107"/>
      <c r="Y436" s="7"/>
      <c r="Z436" s="10"/>
      <c r="AA436" s="107"/>
      <c r="AB436" s="10"/>
      <c r="AC436" s="107"/>
      <c r="AD436" s="7"/>
      <c r="AE436" s="10"/>
      <c r="AF436" s="107"/>
      <c r="AG436" s="10"/>
      <c r="AH436" s="107"/>
      <c r="AI436" s="10"/>
      <c r="AJ436" s="107"/>
      <c r="AK436" s="10"/>
      <c r="AL436" s="107"/>
      <c r="AM436" s="10"/>
      <c r="AN436" s="10"/>
      <c r="AO436" s="10"/>
      <c r="AP436" s="8"/>
      <c r="AQ436" s="107"/>
      <c r="AR436" s="10"/>
      <c r="AS436" s="107"/>
      <c r="AT436" s="7"/>
      <c r="AU436" s="10"/>
      <c r="AV436" s="10"/>
      <c r="AW436" s="107"/>
      <c r="AX436" s="10"/>
      <c r="AY436" s="107"/>
      <c r="AZ436" s="10"/>
      <c r="BA436" s="107"/>
      <c r="BB436" s="107"/>
      <c r="BC436" s="107"/>
      <c r="BD436" s="10"/>
      <c r="BE436" s="107"/>
      <c r="BF436" s="10"/>
      <c r="BG436" s="10"/>
      <c r="BH436" s="10"/>
      <c r="BI436" s="107"/>
      <c r="BJ436" s="107"/>
      <c r="BK436" s="10"/>
      <c r="BL436" s="10"/>
      <c r="BM436" s="107"/>
      <c r="BN436" s="10"/>
      <c r="BO436" s="107"/>
      <c r="BP436" s="7"/>
      <c r="BQ436" s="10"/>
      <c r="BR436" s="107"/>
      <c r="BS436" s="10"/>
      <c r="BT436" s="107"/>
      <c r="BU436" s="107"/>
      <c r="BV436" s="107"/>
      <c r="BW436" s="107"/>
      <c r="BX436" s="107"/>
      <c r="BY436" s="10"/>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c r="CW436" s="107"/>
      <c r="CX436" s="107"/>
      <c r="CY436" s="107"/>
      <c r="CZ436" s="107"/>
      <c r="DA436" s="107"/>
      <c r="DB436" s="107"/>
      <c r="DC436" s="107"/>
      <c r="DD436" s="107"/>
      <c r="DE436" s="107"/>
      <c r="DF436" s="107"/>
      <c r="DG436" s="107"/>
      <c r="DH436" s="107"/>
      <c r="DI436" s="107"/>
      <c r="DJ436" s="107"/>
      <c r="DK436" s="10"/>
      <c r="DL436" s="10"/>
      <c r="DM436" s="10"/>
      <c r="DN436" s="10"/>
      <c r="DO436" s="10"/>
      <c r="DP436" s="10"/>
      <c r="DQ436" s="10"/>
      <c r="DR436" s="10"/>
      <c r="DS436" s="10"/>
      <c r="DT436" s="10"/>
      <c r="DU436" s="10"/>
      <c r="DV436" s="10"/>
      <c r="DW436" s="10"/>
      <c r="DX436" s="10"/>
      <c r="DY436" s="10"/>
      <c r="DZ436" s="10"/>
      <c r="EA436" s="10"/>
      <c r="EB436" s="10"/>
      <c r="EC436" s="107"/>
      <c r="ED436" s="107"/>
      <c r="EE436" s="10"/>
      <c r="EF436" s="107"/>
      <c r="EG436" s="7"/>
      <c r="EH436" s="10"/>
      <c r="EI436" s="107"/>
      <c r="EJ436" s="107"/>
      <c r="EK436" s="107"/>
      <c r="EL436" s="107"/>
      <c r="EM436" s="107"/>
      <c r="EN436" s="107"/>
      <c r="EO436" s="107"/>
      <c r="EP436" s="107"/>
      <c r="EQ436" s="107"/>
      <c r="ER436" s="107"/>
      <c r="ES436" s="107"/>
      <c r="ET436" s="107"/>
      <c r="EU436" s="107"/>
      <c r="EV436" s="107"/>
      <c r="EW436" s="107"/>
      <c r="EX436" s="107"/>
      <c r="EY436" s="107"/>
      <c r="EZ436" s="107"/>
      <c r="FA436" s="107"/>
      <c r="FB436" s="107"/>
      <c r="FC436" s="107"/>
      <c r="FD436" s="107"/>
      <c r="FE436" s="107"/>
      <c r="FF436" s="107"/>
      <c r="FG436" s="107"/>
      <c r="FH436" s="107"/>
      <c r="FI436" s="107"/>
      <c r="FJ436" s="107"/>
      <c r="FK436" s="107"/>
      <c r="FL436" s="107"/>
      <c r="FM436" s="107"/>
      <c r="FN436" s="107"/>
      <c r="FO436" s="10"/>
      <c r="FP436" s="10"/>
      <c r="FQ436" s="10"/>
      <c r="FR436" s="10"/>
      <c r="FS436" s="10"/>
      <c r="FT436" s="10"/>
      <c r="FU436" s="10"/>
      <c r="FV436" s="10"/>
      <c r="FW436" s="10"/>
      <c r="FX436" s="10"/>
      <c r="FY436" s="8"/>
      <c r="FZ436" s="266"/>
      <c r="GA436" s="266"/>
    </row>
    <row r="437" spans="1:183" s="268" customFormat="1" x14ac:dyDescent="0.25">
      <c r="A437" s="107"/>
      <c r="B437" s="7"/>
      <c r="C437" s="7"/>
      <c r="D437" s="7"/>
      <c r="E437" s="7"/>
      <c r="F437" s="10"/>
      <c r="G437" s="107"/>
      <c r="H437" s="7"/>
      <c r="I437" s="10"/>
      <c r="J437" s="10"/>
      <c r="K437" s="10"/>
      <c r="L437" s="10"/>
      <c r="M437" s="10"/>
      <c r="N437" s="10"/>
      <c r="O437" s="10"/>
      <c r="P437" s="8"/>
      <c r="Q437" s="8"/>
      <c r="R437" s="7"/>
      <c r="S437" s="7"/>
      <c r="T437" s="7"/>
      <c r="U437" s="107"/>
      <c r="V437" s="7"/>
      <c r="W437" s="10"/>
      <c r="X437" s="107"/>
      <c r="Y437" s="7"/>
      <c r="Z437" s="10"/>
      <c r="AA437" s="107"/>
      <c r="AB437" s="10"/>
      <c r="AC437" s="107"/>
      <c r="AD437" s="7"/>
      <c r="AE437" s="10"/>
      <c r="AF437" s="107"/>
      <c r="AG437" s="10"/>
      <c r="AH437" s="107"/>
      <c r="AI437" s="10"/>
      <c r="AJ437" s="107"/>
      <c r="AK437" s="10"/>
      <c r="AL437" s="107"/>
      <c r="AM437" s="10"/>
      <c r="AN437" s="10"/>
      <c r="AO437" s="10"/>
      <c r="AP437" s="8"/>
      <c r="AQ437" s="107"/>
      <c r="AR437" s="10"/>
      <c r="AS437" s="107"/>
      <c r="AT437" s="7"/>
      <c r="AU437" s="10"/>
      <c r="AV437" s="10"/>
      <c r="AW437" s="107"/>
      <c r="AX437" s="10"/>
      <c r="AY437" s="107"/>
      <c r="AZ437" s="10"/>
      <c r="BA437" s="107"/>
      <c r="BB437" s="107"/>
      <c r="BC437" s="107"/>
      <c r="BD437" s="10"/>
      <c r="BE437" s="107"/>
      <c r="BF437" s="10"/>
      <c r="BG437" s="10"/>
      <c r="BH437" s="10"/>
      <c r="BI437" s="107"/>
      <c r="BJ437" s="107"/>
      <c r="BK437" s="10"/>
      <c r="BL437" s="10"/>
      <c r="BM437" s="107"/>
      <c r="BN437" s="10"/>
      <c r="BO437" s="107"/>
      <c r="BP437" s="7"/>
      <c r="BQ437" s="10"/>
      <c r="BR437" s="107"/>
      <c r="BS437" s="10"/>
      <c r="BT437" s="107"/>
      <c r="BU437" s="107"/>
      <c r="BV437" s="107"/>
      <c r="BW437" s="107"/>
      <c r="BX437" s="107"/>
      <c r="BY437" s="10"/>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
      <c r="DL437" s="10"/>
      <c r="DM437" s="10"/>
      <c r="DN437" s="10"/>
      <c r="DO437" s="10"/>
      <c r="DP437" s="10"/>
      <c r="DQ437" s="10"/>
      <c r="DR437" s="10"/>
      <c r="DS437" s="10"/>
      <c r="DT437" s="10"/>
      <c r="DU437" s="10"/>
      <c r="DV437" s="10"/>
      <c r="DW437" s="10"/>
      <c r="DX437" s="10"/>
      <c r="DY437" s="10"/>
      <c r="DZ437" s="10"/>
      <c r="EA437" s="10"/>
      <c r="EB437" s="10"/>
      <c r="EC437" s="107"/>
      <c r="ED437" s="107"/>
      <c r="EE437" s="10"/>
      <c r="EF437" s="107"/>
      <c r="EG437" s="7"/>
      <c r="EH437" s="10"/>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107"/>
      <c r="FO437" s="10"/>
      <c r="FP437" s="10"/>
      <c r="FQ437" s="10"/>
      <c r="FR437" s="10"/>
      <c r="FS437" s="10"/>
      <c r="FT437" s="10"/>
      <c r="FU437" s="10"/>
      <c r="FV437" s="10"/>
      <c r="FW437" s="10"/>
      <c r="FX437" s="10"/>
      <c r="FY437" s="8"/>
      <c r="FZ437" s="266"/>
      <c r="GA437" s="266"/>
    </row>
    <row r="438" spans="1:183" s="268" customFormat="1" x14ac:dyDescent="0.25">
      <c r="A438" s="107"/>
      <c r="B438" s="7"/>
      <c r="C438" s="7"/>
      <c r="D438" s="7"/>
      <c r="E438" s="7"/>
      <c r="F438" s="10"/>
      <c r="G438" s="107"/>
      <c r="H438" s="7"/>
      <c r="I438" s="10"/>
      <c r="J438" s="10"/>
      <c r="K438" s="10"/>
      <c r="L438" s="10"/>
      <c r="M438" s="10"/>
      <c r="N438" s="10"/>
      <c r="O438" s="10"/>
      <c r="P438" s="8"/>
      <c r="Q438" s="8"/>
      <c r="R438" s="7"/>
      <c r="S438" s="7"/>
      <c r="T438" s="7"/>
      <c r="U438" s="107"/>
      <c r="V438" s="7"/>
      <c r="W438" s="10"/>
      <c r="X438" s="107"/>
      <c r="Y438" s="7"/>
      <c r="Z438" s="10"/>
      <c r="AA438" s="107"/>
      <c r="AB438" s="10"/>
      <c r="AC438" s="107"/>
      <c r="AD438" s="7"/>
      <c r="AE438" s="10"/>
      <c r="AF438" s="107"/>
      <c r="AG438" s="10"/>
      <c r="AH438" s="107"/>
      <c r="AI438" s="10"/>
      <c r="AJ438" s="107"/>
      <c r="AK438" s="10"/>
      <c r="AL438" s="107"/>
      <c r="AM438" s="10"/>
      <c r="AN438" s="10"/>
      <c r="AO438" s="10"/>
      <c r="AP438" s="8"/>
      <c r="AQ438" s="107"/>
      <c r="AR438" s="10"/>
      <c r="AS438" s="107"/>
      <c r="AT438" s="7"/>
      <c r="AU438" s="10"/>
      <c r="AV438" s="10"/>
      <c r="AW438" s="107"/>
      <c r="AX438" s="10"/>
      <c r="AY438" s="107"/>
      <c r="AZ438" s="10"/>
      <c r="BA438" s="107"/>
      <c r="BB438" s="107"/>
      <c r="BC438" s="107"/>
      <c r="BD438" s="10"/>
      <c r="BE438" s="107"/>
      <c r="BF438" s="10"/>
      <c r="BG438" s="10"/>
      <c r="BH438" s="10"/>
      <c r="BI438" s="107"/>
      <c r="BJ438" s="107"/>
      <c r="BK438" s="10"/>
      <c r="BL438" s="10"/>
      <c r="BM438" s="107"/>
      <c r="BN438" s="10"/>
      <c r="BO438" s="107"/>
      <c r="BP438" s="7"/>
      <c r="BQ438" s="10"/>
      <c r="BR438" s="107"/>
      <c r="BS438" s="10"/>
      <c r="BT438" s="107"/>
      <c r="BU438" s="107"/>
      <c r="BV438" s="107"/>
      <c r="BW438" s="107"/>
      <c r="BX438" s="107"/>
      <c r="BY438" s="10"/>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c r="CW438" s="107"/>
      <c r="CX438" s="107"/>
      <c r="CY438" s="107"/>
      <c r="CZ438" s="107"/>
      <c r="DA438" s="107"/>
      <c r="DB438" s="107"/>
      <c r="DC438" s="107"/>
      <c r="DD438" s="107"/>
      <c r="DE438" s="107"/>
      <c r="DF438" s="107"/>
      <c r="DG438" s="107"/>
      <c r="DH438" s="107"/>
      <c r="DI438" s="107"/>
      <c r="DJ438" s="107"/>
      <c r="DK438" s="10"/>
      <c r="DL438" s="10"/>
      <c r="DM438" s="10"/>
      <c r="DN438" s="10"/>
      <c r="DO438" s="10"/>
      <c r="DP438" s="10"/>
      <c r="DQ438" s="10"/>
      <c r="DR438" s="10"/>
      <c r="DS438" s="10"/>
      <c r="DT438" s="10"/>
      <c r="DU438" s="10"/>
      <c r="DV438" s="10"/>
      <c r="DW438" s="10"/>
      <c r="DX438" s="10"/>
      <c r="DY438" s="10"/>
      <c r="DZ438" s="10"/>
      <c r="EA438" s="10"/>
      <c r="EB438" s="10"/>
      <c r="EC438" s="107"/>
      <c r="ED438" s="107"/>
      <c r="EE438" s="10"/>
      <c r="EF438" s="107"/>
      <c r="EG438" s="7"/>
      <c r="EH438" s="10"/>
      <c r="EI438" s="107"/>
      <c r="EJ438" s="107"/>
      <c r="EK438" s="107"/>
      <c r="EL438" s="107"/>
      <c r="EM438" s="107"/>
      <c r="EN438" s="107"/>
      <c r="EO438" s="107"/>
      <c r="EP438" s="107"/>
      <c r="EQ438" s="107"/>
      <c r="ER438" s="107"/>
      <c r="ES438" s="107"/>
      <c r="ET438" s="107"/>
      <c r="EU438" s="107"/>
      <c r="EV438" s="107"/>
      <c r="EW438" s="107"/>
      <c r="EX438" s="107"/>
      <c r="EY438" s="107"/>
      <c r="EZ438" s="107"/>
      <c r="FA438" s="107"/>
      <c r="FB438" s="107"/>
      <c r="FC438" s="107"/>
      <c r="FD438" s="107"/>
      <c r="FE438" s="107"/>
      <c r="FF438" s="107"/>
      <c r="FG438" s="107"/>
      <c r="FH438" s="107"/>
      <c r="FI438" s="107"/>
      <c r="FJ438" s="107"/>
      <c r="FK438" s="107"/>
      <c r="FL438" s="107"/>
      <c r="FM438" s="107"/>
      <c r="FN438" s="107"/>
      <c r="FO438" s="10"/>
      <c r="FP438" s="10"/>
      <c r="FQ438" s="10"/>
      <c r="FR438" s="10"/>
      <c r="FS438" s="10"/>
      <c r="FT438" s="10"/>
      <c r="FU438" s="10"/>
      <c r="FV438" s="10"/>
      <c r="FW438" s="10"/>
      <c r="FX438" s="10"/>
      <c r="FY438" s="8"/>
      <c r="FZ438" s="266"/>
      <c r="GA438" s="266"/>
    </row>
    <row r="439" spans="1:183" s="268" customFormat="1" x14ac:dyDescent="0.25">
      <c r="A439" s="107"/>
      <c r="B439" s="7"/>
      <c r="C439" s="7"/>
      <c r="D439" s="7"/>
      <c r="E439" s="7"/>
      <c r="F439" s="10"/>
      <c r="G439" s="107"/>
      <c r="H439" s="7"/>
      <c r="I439" s="10"/>
      <c r="J439" s="10"/>
      <c r="K439" s="10"/>
      <c r="L439" s="10"/>
      <c r="M439" s="10"/>
      <c r="N439" s="10"/>
      <c r="O439" s="10"/>
      <c r="P439" s="8"/>
      <c r="Q439" s="8"/>
      <c r="R439" s="7"/>
      <c r="S439" s="7"/>
      <c r="T439" s="7"/>
      <c r="U439" s="107"/>
      <c r="V439" s="7"/>
      <c r="W439" s="10"/>
      <c r="X439" s="107"/>
      <c r="Y439" s="7"/>
      <c r="Z439" s="10"/>
      <c r="AA439" s="107"/>
      <c r="AB439" s="10"/>
      <c r="AC439" s="107"/>
      <c r="AD439" s="7"/>
      <c r="AE439" s="10"/>
      <c r="AF439" s="107"/>
      <c r="AG439" s="10"/>
      <c r="AH439" s="107"/>
      <c r="AI439" s="10"/>
      <c r="AJ439" s="107"/>
      <c r="AK439" s="10"/>
      <c r="AL439" s="107"/>
      <c r="AM439" s="10"/>
      <c r="AN439" s="10"/>
      <c r="AO439" s="10"/>
      <c r="AP439" s="8"/>
      <c r="AQ439" s="107"/>
      <c r="AR439" s="10"/>
      <c r="AS439" s="107"/>
      <c r="AT439" s="7"/>
      <c r="AU439" s="10"/>
      <c r="AV439" s="10"/>
      <c r="AW439" s="107"/>
      <c r="AX439" s="10"/>
      <c r="AY439" s="107"/>
      <c r="AZ439" s="10"/>
      <c r="BA439" s="107"/>
      <c r="BB439" s="107"/>
      <c r="BC439" s="107"/>
      <c r="BD439" s="10"/>
      <c r="BE439" s="107"/>
      <c r="BF439" s="10"/>
      <c r="BG439" s="10"/>
      <c r="BH439" s="10"/>
      <c r="BI439" s="107"/>
      <c r="BJ439" s="107"/>
      <c r="BK439" s="10"/>
      <c r="BL439" s="10"/>
      <c r="BM439" s="107"/>
      <c r="BN439" s="10"/>
      <c r="BO439" s="107"/>
      <c r="BP439" s="7"/>
      <c r="BQ439" s="10"/>
      <c r="BR439" s="107"/>
      <c r="BS439" s="10"/>
      <c r="BT439" s="107"/>
      <c r="BU439" s="107"/>
      <c r="BV439" s="107"/>
      <c r="BW439" s="107"/>
      <c r="BX439" s="107"/>
      <c r="BY439" s="10"/>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c r="CW439" s="107"/>
      <c r="CX439" s="107"/>
      <c r="CY439" s="107"/>
      <c r="CZ439" s="107"/>
      <c r="DA439" s="107"/>
      <c r="DB439" s="107"/>
      <c r="DC439" s="107"/>
      <c r="DD439" s="107"/>
      <c r="DE439" s="107"/>
      <c r="DF439" s="107"/>
      <c r="DG439" s="107"/>
      <c r="DH439" s="107"/>
      <c r="DI439" s="107"/>
      <c r="DJ439" s="107"/>
      <c r="DK439" s="10"/>
      <c r="DL439" s="10"/>
      <c r="DM439" s="10"/>
      <c r="DN439" s="10"/>
      <c r="DO439" s="10"/>
      <c r="DP439" s="10"/>
      <c r="DQ439" s="10"/>
      <c r="DR439" s="10"/>
      <c r="DS439" s="10"/>
      <c r="DT439" s="10"/>
      <c r="DU439" s="10"/>
      <c r="DV439" s="10"/>
      <c r="DW439" s="10"/>
      <c r="DX439" s="10"/>
      <c r="DY439" s="10"/>
      <c r="DZ439" s="10"/>
      <c r="EA439" s="10"/>
      <c r="EB439" s="10"/>
      <c r="EC439" s="107"/>
      <c r="ED439" s="107"/>
      <c r="EE439" s="10"/>
      <c r="EF439" s="107"/>
      <c r="EG439" s="7"/>
      <c r="EH439" s="10"/>
      <c r="EI439" s="107"/>
      <c r="EJ439" s="107"/>
      <c r="EK439" s="107"/>
      <c r="EL439" s="107"/>
      <c r="EM439" s="107"/>
      <c r="EN439" s="107"/>
      <c r="EO439" s="107"/>
      <c r="EP439" s="107"/>
      <c r="EQ439" s="107"/>
      <c r="ER439" s="107"/>
      <c r="ES439" s="107"/>
      <c r="ET439" s="107"/>
      <c r="EU439" s="107"/>
      <c r="EV439" s="107"/>
      <c r="EW439" s="107"/>
      <c r="EX439" s="107"/>
      <c r="EY439" s="107"/>
      <c r="EZ439" s="107"/>
      <c r="FA439" s="107"/>
      <c r="FB439" s="107"/>
      <c r="FC439" s="107"/>
      <c r="FD439" s="107"/>
      <c r="FE439" s="107"/>
      <c r="FF439" s="107"/>
      <c r="FG439" s="107"/>
      <c r="FH439" s="107"/>
      <c r="FI439" s="107"/>
      <c r="FJ439" s="107"/>
      <c r="FK439" s="107"/>
      <c r="FL439" s="107"/>
      <c r="FM439" s="107"/>
      <c r="FN439" s="107"/>
      <c r="FO439" s="10"/>
      <c r="FP439" s="10"/>
      <c r="FQ439" s="10"/>
      <c r="FR439" s="10"/>
      <c r="FS439" s="10"/>
      <c r="FT439" s="10"/>
      <c r="FU439" s="10"/>
      <c r="FV439" s="10"/>
      <c r="FW439" s="10"/>
      <c r="FX439" s="10"/>
      <c r="FY439" s="8"/>
      <c r="FZ439" s="266"/>
      <c r="GA439" s="266"/>
    </row>
    <row r="440" spans="1:183" s="268" customFormat="1" x14ac:dyDescent="0.25">
      <c r="A440" s="107"/>
      <c r="B440" s="7"/>
      <c r="C440" s="7"/>
      <c r="D440" s="7"/>
      <c r="E440" s="7"/>
      <c r="F440" s="10"/>
      <c r="G440" s="107"/>
      <c r="H440" s="7"/>
      <c r="I440" s="10"/>
      <c r="J440" s="10"/>
      <c r="K440" s="10"/>
      <c r="L440" s="10"/>
      <c r="M440" s="10"/>
      <c r="N440" s="10"/>
      <c r="O440" s="10"/>
      <c r="P440" s="8"/>
      <c r="Q440" s="8"/>
      <c r="R440" s="7"/>
      <c r="S440" s="7"/>
      <c r="T440" s="7"/>
      <c r="U440" s="107"/>
      <c r="V440" s="7"/>
      <c r="W440" s="10"/>
      <c r="X440" s="107"/>
      <c r="Y440" s="7"/>
      <c r="Z440" s="10"/>
      <c r="AA440" s="107"/>
      <c r="AB440" s="10"/>
      <c r="AC440" s="107"/>
      <c r="AD440" s="7"/>
      <c r="AE440" s="10"/>
      <c r="AF440" s="107"/>
      <c r="AG440" s="10"/>
      <c r="AH440" s="107"/>
      <c r="AI440" s="10"/>
      <c r="AJ440" s="107"/>
      <c r="AK440" s="10"/>
      <c r="AL440" s="107"/>
      <c r="AM440" s="10"/>
      <c r="AN440" s="10"/>
      <c r="AO440" s="10"/>
      <c r="AP440" s="8"/>
      <c r="AQ440" s="107"/>
      <c r="AR440" s="10"/>
      <c r="AS440" s="107"/>
      <c r="AT440" s="7"/>
      <c r="AU440" s="10"/>
      <c r="AV440" s="10"/>
      <c r="AW440" s="107"/>
      <c r="AX440" s="10"/>
      <c r="AY440" s="107"/>
      <c r="AZ440" s="10"/>
      <c r="BA440" s="107"/>
      <c r="BB440" s="107"/>
      <c r="BC440" s="107"/>
      <c r="BD440" s="10"/>
      <c r="BE440" s="107"/>
      <c r="BF440" s="10"/>
      <c r="BG440" s="10"/>
      <c r="BH440" s="10"/>
      <c r="BI440" s="107"/>
      <c r="BJ440" s="107"/>
      <c r="BK440" s="10"/>
      <c r="BL440" s="10"/>
      <c r="BM440" s="107"/>
      <c r="BN440" s="10"/>
      <c r="BO440" s="107"/>
      <c r="BP440" s="7"/>
      <c r="BQ440" s="10"/>
      <c r="BR440" s="107"/>
      <c r="BS440" s="10"/>
      <c r="BT440" s="107"/>
      <c r="BU440" s="107"/>
      <c r="BV440" s="107"/>
      <c r="BW440" s="107"/>
      <c r="BX440" s="107"/>
      <c r="BY440" s="10"/>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c r="CW440" s="107"/>
      <c r="CX440" s="107"/>
      <c r="CY440" s="107"/>
      <c r="CZ440" s="107"/>
      <c r="DA440" s="107"/>
      <c r="DB440" s="107"/>
      <c r="DC440" s="107"/>
      <c r="DD440" s="107"/>
      <c r="DE440" s="107"/>
      <c r="DF440" s="107"/>
      <c r="DG440" s="107"/>
      <c r="DH440" s="107"/>
      <c r="DI440" s="107"/>
      <c r="DJ440" s="107"/>
      <c r="DK440" s="10"/>
      <c r="DL440" s="10"/>
      <c r="DM440" s="10"/>
      <c r="DN440" s="10"/>
      <c r="DO440" s="10"/>
      <c r="DP440" s="10"/>
      <c r="DQ440" s="10"/>
      <c r="DR440" s="10"/>
      <c r="DS440" s="10"/>
      <c r="DT440" s="10"/>
      <c r="DU440" s="10"/>
      <c r="DV440" s="10"/>
      <c r="DW440" s="10"/>
      <c r="DX440" s="10"/>
      <c r="DY440" s="10"/>
      <c r="DZ440" s="10"/>
      <c r="EA440" s="10"/>
      <c r="EB440" s="10"/>
      <c r="EC440" s="107"/>
      <c r="ED440" s="107"/>
      <c r="EE440" s="10"/>
      <c r="EF440" s="107"/>
      <c r="EG440" s="7"/>
      <c r="EH440" s="10"/>
      <c r="EI440" s="107"/>
      <c r="EJ440" s="107"/>
      <c r="EK440" s="107"/>
      <c r="EL440" s="107"/>
      <c r="EM440" s="107"/>
      <c r="EN440" s="107"/>
      <c r="EO440" s="107"/>
      <c r="EP440" s="107"/>
      <c r="EQ440" s="107"/>
      <c r="ER440" s="107"/>
      <c r="ES440" s="107"/>
      <c r="ET440" s="107"/>
      <c r="EU440" s="107"/>
      <c r="EV440" s="107"/>
      <c r="EW440" s="107"/>
      <c r="EX440" s="107"/>
      <c r="EY440" s="107"/>
      <c r="EZ440" s="107"/>
      <c r="FA440" s="107"/>
      <c r="FB440" s="107"/>
      <c r="FC440" s="107"/>
      <c r="FD440" s="107"/>
      <c r="FE440" s="107"/>
      <c r="FF440" s="107"/>
      <c r="FG440" s="107"/>
      <c r="FH440" s="107"/>
      <c r="FI440" s="107"/>
      <c r="FJ440" s="107"/>
      <c r="FK440" s="107"/>
      <c r="FL440" s="107"/>
      <c r="FM440" s="107"/>
      <c r="FN440" s="107"/>
      <c r="FO440" s="10"/>
      <c r="FP440" s="10"/>
      <c r="FQ440" s="10"/>
      <c r="FR440" s="10"/>
      <c r="FS440" s="10"/>
      <c r="FT440" s="10"/>
      <c r="FU440" s="10"/>
      <c r="FV440" s="10"/>
      <c r="FW440" s="10"/>
      <c r="FX440" s="10"/>
      <c r="FY440" s="8"/>
      <c r="FZ440" s="266"/>
      <c r="GA440" s="266"/>
    </row>
    <row r="441" spans="1:183" s="268" customFormat="1" x14ac:dyDescent="0.25">
      <c r="A441" s="107"/>
      <c r="B441" s="7"/>
      <c r="C441" s="7"/>
      <c r="D441" s="7"/>
      <c r="E441" s="7"/>
      <c r="F441" s="10"/>
      <c r="G441" s="107"/>
      <c r="H441" s="7"/>
      <c r="I441" s="10"/>
      <c r="J441" s="10"/>
      <c r="K441" s="10"/>
      <c r="L441" s="10"/>
      <c r="M441" s="10"/>
      <c r="N441" s="10"/>
      <c r="O441" s="10"/>
      <c r="P441" s="8"/>
      <c r="Q441" s="8"/>
      <c r="R441" s="7"/>
      <c r="S441" s="7"/>
      <c r="T441" s="7"/>
      <c r="U441" s="107"/>
      <c r="V441" s="7"/>
      <c r="W441" s="10"/>
      <c r="X441" s="107"/>
      <c r="Y441" s="7"/>
      <c r="Z441" s="10"/>
      <c r="AA441" s="107"/>
      <c r="AB441" s="10"/>
      <c r="AC441" s="107"/>
      <c r="AD441" s="7"/>
      <c r="AE441" s="10"/>
      <c r="AF441" s="107"/>
      <c r="AG441" s="10"/>
      <c r="AH441" s="107"/>
      <c r="AI441" s="10"/>
      <c r="AJ441" s="107"/>
      <c r="AK441" s="10"/>
      <c r="AL441" s="107"/>
      <c r="AM441" s="10"/>
      <c r="AN441" s="10"/>
      <c r="AO441" s="10"/>
      <c r="AP441" s="8"/>
      <c r="AQ441" s="107"/>
      <c r="AR441" s="10"/>
      <c r="AS441" s="107"/>
      <c r="AT441" s="7"/>
      <c r="AU441" s="10"/>
      <c r="AV441" s="10"/>
      <c r="AW441" s="107"/>
      <c r="AX441" s="10"/>
      <c r="AY441" s="107"/>
      <c r="AZ441" s="10"/>
      <c r="BA441" s="107"/>
      <c r="BB441" s="107"/>
      <c r="BC441" s="107"/>
      <c r="BD441" s="10"/>
      <c r="BE441" s="107"/>
      <c r="BF441" s="10"/>
      <c r="BG441" s="10"/>
      <c r="BH441" s="10"/>
      <c r="BI441" s="107"/>
      <c r="BJ441" s="107"/>
      <c r="BK441" s="10"/>
      <c r="BL441" s="10"/>
      <c r="BM441" s="107"/>
      <c r="BN441" s="10"/>
      <c r="BO441" s="107"/>
      <c r="BP441" s="7"/>
      <c r="BQ441" s="10"/>
      <c r="BR441" s="107"/>
      <c r="BS441" s="10"/>
      <c r="BT441" s="107"/>
      <c r="BU441" s="107"/>
      <c r="BV441" s="107"/>
      <c r="BW441" s="107"/>
      <c r="BX441" s="107"/>
      <c r="BY441" s="10"/>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c r="CW441" s="107"/>
      <c r="CX441" s="107"/>
      <c r="CY441" s="107"/>
      <c r="CZ441" s="107"/>
      <c r="DA441" s="107"/>
      <c r="DB441" s="107"/>
      <c r="DC441" s="107"/>
      <c r="DD441" s="107"/>
      <c r="DE441" s="107"/>
      <c r="DF441" s="107"/>
      <c r="DG441" s="107"/>
      <c r="DH441" s="107"/>
      <c r="DI441" s="107"/>
      <c r="DJ441" s="107"/>
      <c r="DK441" s="10"/>
      <c r="DL441" s="10"/>
      <c r="DM441" s="10"/>
      <c r="DN441" s="10"/>
      <c r="DO441" s="10"/>
      <c r="DP441" s="10"/>
      <c r="DQ441" s="10"/>
      <c r="DR441" s="10"/>
      <c r="DS441" s="10"/>
      <c r="DT441" s="10"/>
      <c r="DU441" s="10"/>
      <c r="DV441" s="10"/>
      <c r="DW441" s="10"/>
      <c r="DX441" s="10"/>
      <c r="DY441" s="10"/>
      <c r="DZ441" s="10"/>
      <c r="EA441" s="10"/>
      <c r="EB441" s="10"/>
      <c r="EC441" s="107"/>
      <c r="ED441" s="107"/>
      <c r="EE441" s="10"/>
      <c r="EF441" s="107"/>
      <c r="EG441" s="7"/>
      <c r="EH441" s="10"/>
      <c r="EI441" s="107"/>
      <c r="EJ441" s="107"/>
      <c r="EK441" s="107"/>
      <c r="EL441" s="107"/>
      <c r="EM441" s="107"/>
      <c r="EN441" s="107"/>
      <c r="EO441" s="107"/>
      <c r="EP441" s="107"/>
      <c r="EQ441" s="107"/>
      <c r="ER441" s="107"/>
      <c r="ES441" s="107"/>
      <c r="ET441" s="107"/>
      <c r="EU441" s="107"/>
      <c r="EV441" s="107"/>
      <c r="EW441" s="107"/>
      <c r="EX441" s="107"/>
      <c r="EY441" s="107"/>
      <c r="EZ441" s="107"/>
      <c r="FA441" s="107"/>
      <c r="FB441" s="107"/>
      <c r="FC441" s="107"/>
      <c r="FD441" s="107"/>
      <c r="FE441" s="107"/>
      <c r="FF441" s="107"/>
      <c r="FG441" s="107"/>
      <c r="FH441" s="107"/>
      <c r="FI441" s="107"/>
      <c r="FJ441" s="107"/>
      <c r="FK441" s="107"/>
      <c r="FL441" s="107"/>
      <c r="FM441" s="107"/>
      <c r="FN441" s="107"/>
      <c r="FO441" s="10"/>
      <c r="FP441" s="10"/>
      <c r="FQ441" s="10"/>
      <c r="FR441" s="10"/>
      <c r="FS441" s="10"/>
      <c r="FT441" s="10"/>
      <c r="FU441" s="10"/>
      <c r="FV441" s="10"/>
      <c r="FW441" s="10"/>
      <c r="FX441" s="10"/>
      <c r="FY441" s="8"/>
      <c r="FZ441" s="266"/>
      <c r="GA441" s="266"/>
    </row>
    <row r="442" spans="1:183" s="268" customFormat="1" x14ac:dyDescent="0.25">
      <c r="A442" s="107"/>
      <c r="B442" s="7"/>
      <c r="C442" s="7"/>
      <c r="D442" s="7"/>
      <c r="E442" s="7"/>
      <c r="F442" s="10"/>
      <c r="G442" s="107"/>
      <c r="H442" s="7"/>
      <c r="I442" s="10"/>
      <c r="J442" s="10"/>
      <c r="K442" s="10"/>
      <c r="L442" s="10"/>
      <c r="M442" s="10"/>
      <c r="N442" s="10"/>
      <c r="O442" s="10"/>
      <c r="P442" s="8"/>
      <c r="Q442" s="8"/>
      <c r="R442" s="7"/>
      <c r="S442" s="7"/>
      <c r="T442" s="7"/>
      <c r="U442" s="107"/>
      <c r="V442" s="7"/>
      <c r="W442" s="10"/>
      <c r="X442" s="107"/>
      <c r="Y442" s="7"/>
      <c r="Z442" s="10"/>
      <c r="AA442" s="107"/>
      <c r="AB442" s="10"/>
      <c r="AC442" s="107"/>
      <c r="AD442" s="7"/>
      <c r="AE442" s="10"/>
      <c r="AF442" s="107"/>
      <c r="AG442" s="10"/>
      <c r="AH442" s="107"/>
      <c r="AI442" s="10"/>
      <c r="AJ442" s="107"/>
      <c r="AK442" s="10"/>
      <c r="AL442" s="107"/>
      <c r="AM442" s="10"/>
      <c r="AN442" s="10"/>
      <c r="AO442" s="10"/>
      <c r="AP442" s="8"/>
      <c r="AQ442" s="107"/>
      <c r="AR442" s="10"/>
      <c r="AS442" s="107"/>
      <c r="AT442" s="7"/>
      <c r="AU442" s="10"/>
      <c r="AV442" s="10"/>
      <c r="AW442" s="107"/>
      <c r="AX442" s="10"/>
      <c r="AY442" s="107"/>
      <c r="AZ442" s="10"/>
      <c r="BA442" s="107"/>
      <c r="BB442" s="107"/>
      <c r="BC442" s="107"/>
      <c r="BD442" s="10"/>
      <c r="BE442" s="107"/>
      <c r="BF442" s="10"/>
      <c r="BG442" s="10"/>
      <c r="BH442" s="10"/>
      <c r="BI442" s="107"/>
      <c r="BJ442" s="107"/>
      <c r="BK442" s="10"/>
      <c r="BL442" s="10"/>
      <c r="BM442" s="107"/>
      <c r="BN442" s="10"/>
      <c r="BO442" s="107"/>
      <c r="BP442" s="7"/>
      <c r="BQ442" s="10"/>
      <c r="BR442" s="107"/>
      <c r="BS442" s="10"/>
      <c r="BT442" s="107"/>
      <c r="BU442" s="107"/>
      <c r="BV442" s="107"/>
      <c r="BW442" s="107"/>
      <c r="BX442" s="107"/>
      <c r="BY442" s="10"/>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c r="CW442" s="107"/>
      <c r="CX442" s="107"/>
      <c r="CY442" s="107"/>
      <c r="CZ442" s="107"/>
      <c r="DA442" s="107"/>
      <c r="DB442" s="107"/>
      <c r="DC442" s="107"/>
      <c r="DD442" s="107"/>
      <c r="DE442" s="107"/>
      <c r="DF442" s="107"/>
      <c r="DG442" s="107"/>
      <c r="DH442" s="107"/>
      <c r="DI442" s="107"/>
      <c r="DJ442" s="107"/>
      <c r="DK442" s="10"/>
      <c r="DL442" s="10"/>
      <c r="DM442" s="10"/>
      <c r="DN442" s="10"/>
      <c r="DO442" s="10"/>
      <c r="DP442" s="10"/>
      <c r="DQ442" s="10"/>
      <c r="DR442" s="10"/>
      <c r="DS442" s="10"/>
      <c r="DT442" s="10"/>
      <c r="DU442" s="10"/>
      <c r="DV442" s="10"/>
      <c r="DW442" s="10"/>
      <c r="DX442" s="10"/>
      <c r="DY442" s="10"/>
      <c r="DZ442" s="10"/>
      <c r="EA442" s="10"/>
      <c r="EB442" s="10"/>
      <c r="EC442" s="107"/>
      <c r="ED442" s="107"/>
      <c r="EE442" s="10"/>
      <c r="EF442" s="107"/>
      <c r="EG442" s="7"/>
      <c r="EH442" s="10"/>
      <c r="EI442" s="107"/>
      <c r="EJ442" s="107"/>
      <c r="EK442" s="107"/>
      <c r="EL442" s="107"/>
      <c r="EM442" s="107"/>
      <c r="EN442" s="107"/>
      <c r="EO442" s="107"/>
      <c r="EP442" s="107"/>
      <c r="EQ442" s="107"/>
      <c r="ER442" s="107"/>
      <c r="ES442" s="107"/>
      <c r="ET442" s="107"/>
      <c r="EU442" s="107"/>
      <c r="EV442" s="107"/>
      <c r="EW442" s="107"/>
      <c r="EX442" s="107"/>
      <c r="EY442" s="107"/>
      <c r="EZ442" s="107"/>
      <c r="FA442" s="107"/>
      <c r="FB442" s="107"/>
      <c r="FC442" s="107"/>
      <c r="FD442" s="107"/>
      <c r="FE442" s="107"/>
      <c r="FF442" s="107"/>
      <c r="FG442" s="107"/>
      <c r="FH442" s="107"/>
      <c r="FI442" s="107"/>
      <c r="FJ442" s="107"/>
      <c r="FK442" s="107"/>
      <c r="FL442" s="107"/>
      <c r="FM442" s="107"/>
      <c r="FN442" s="107"/>
      <c r="FO442" s="10"/>
      <c r="FP442" s="10"/>
      <c r="FQ442" s="10"/>
      <c r="FR442" s="10"/>
      <c r="FS442" s="10"/>
      <c r="FT442" s="10"/>
      <c r="FU442" s="10"/>
      <c r="FV442" s="10"/>
      <c r="FW442" s="10"/>
      <c r="FX442" s="10"/>
      <c r="FY442" s="8"/>
      <c r="FZ442" s="266"/>
      <c r="GA442" s="266"/>
    </row>
    <row r="443" spans="1:183" s="268" customFormat="1" x14ac:dyDescent="0.25">
      <c r="A443" s="107"/>
      <c r="B443" s="7"/>
      <c r="C443" s="7"/>
      <c r="D443" s="7"/>
      <c r="E443" s="7"/>
      <c r="F443" s="10"/>
      <c r="G443" s="107"/>
      <c r="H443" s="7"/>
      <c r="I443" s="10"/>
      <c r="J443" s="10"/>
      <c r="K443" s="10"/>
      <c r="L443" s="10"/>
      <c r="M443" s="10"/>
      <c r="N443" s="10"/>
      <c r="O443" s="10"/>
      <c r="P443" s="8"/>
      <c r="Q443" s="8"/>
      <c r="R443" s="7"/>
      <c r="S443" s="7"/>
      <c r="T443" s="7"/>
      <c r="U443" s="107"/>
      <c r="V443" s="7"/>
      <c r="W443" s="10"/>
      <c r="X443" s="107"/>
      <c r="Y443" s="7"/>
      <c r="Z443" s="10"/>
      <c r="AA443" s="107"/>
      <c r="AB443" s="10"/>
      <c r="AC443" s="107"/>
      <c r="AD443" s="7"/>
      <c r="AE443" s="10"/>
      <c r="AF443" s="107"/>
      <c r="AG443" s="10"/>
      <c r="AH443" s="107"/>
      <c r="AI443" s="10"/>
      <c r="AJ443" s="107"/>
      <c r="AK443" s="10"/>
      <c r="AL443" s="107"/>
      <c r="AM443" s="10"/>
      <c r="AN443" s="10"/>
      <c r="AO443" s="10"/>
      <c r="AP443" s="8"/>
      <c r="AQ443" s="107"/>
      <c r="AR443" s="10"/>
      <c r="AS443" s="107"/>
      <c r="AT443" s="7"/>
      <c r="AU443" s="10"/>
      <c r="AV443" s="10"/>
      <c r="AW443" s="107"/>
      <c r="AX443" s="10"/>
      <c r="AY443" s="107"/>
      <c r="AZ443" s="10"/>
      <c r="BA443" s="107"/>
      <c r="BB443" s="107"/>
      <c r="BC443" s="107"/>
      <c r="BD443" s="10"/>
      <c r="BE443" s="107"/>
      <c r="BF443" s="10"/>
      <c r="BG443" s="10"/>
      <c r="BH443" s="10"/>
      <c r="BI443" s="107"/>
      <c r="BJ443" s="107"/>
      <c r="BK443" s="10"/>
      <c r="BL443" s="10"/>
      <c r="BM443" s="107"/>
      <c r="BN443" s="10"/>
      <c r="BO443" s="107"/>
      <c r="BP443" s="7"/>
      <c r="BQ443" s="10"/>
      <c r="BR443" s="107"/>
      <c r="BS443" s="10"/>
      <c r="BT443" s="107"/>
      <c r="BU443" s="107"/>
      <c r="BV443" s="107"/>
      <c r="BW443" s="107"/>
      <c r="BX443" s="107"/>
      <c r="BY443" s="10"/>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c r="CW443" s="107"/>
      <c r="CX443" s="107"/>
      <c r="CY443" s="107"/>
      <c r="CZ443" s="107"/>
      <c r="DA443" s="107"/>
      <c r="DB443" s="107"/>
      <c r="DC443" s="107"/>
      <c r="DD443" s="107"/>
      <c r="DE443" s="107"/>
      <c r="DF443" s="107"/>
      <c r="DG443" s="107"/>
      <c r="DH443" s="107"/>
      <c r="DI443" s="107"/>
      <c r="DJ443" s="107"/>
      <c r="DK443" s="10"/>
      <c r="DL443" s="10"/>
      <c r="DM443" s="10"/>
      <c r="DN443" s="10"/>
      <c r="DO443" s="10"/>
      <c r="DP443" s="10"/>
      <c r="DQ443" s="10"/>
      <c r="DR443" s="10"/>
      <c r="DS443" s="10"/>
      <c r="DT443" s="10"/>
      <c r="DU443" s="10"/>
      <c r="DV443" s="10"/>
      <c r="DW443" s="10"/>
      <c r="DX443" s="10"/>
      <c r="DY443" s="10"/>
      <c r="DZ443" s="10"/>
      <c r="EA443" s="10"/>
      <c r="EB443" s="10"/>
      <c r="EC443" s="107"/>
      <c r="ED443" s="107"/>
      <c r="EE443" s="10"/>
      <c r="EF443" s="107"/>
      <c r="EG443" s="7"/>
      <c r="EH443" s="10"/>
      <c r="EI443" s="107"/>
      <c r="EJ443" s="107"/>
      <c r="EK443" s="107"/>
      <c r="EL443" s="107"/>
      <c r="EM443" s="107"/>
      <c r="EN443" s="107"/>
      <c r="EO443" s="107"/>
      <c r="EP443" s="107"/>
      <c r="EQ443" s="107"/>
      <c r="ER443" s="107"/>
      <c r="ES443" s="107"/>
      <c r="ET443" s="107"/>
      <c r="EU443" s="107"/>
      <c r="EV443" s="107"/>
      <c r="EW443" s="107"/>
      <c r="EX443" s="107"/>
      <c r="EY443" s="107"/>
      <c r="EZ443" s="107"/>
      <c r="FA443" s="107"/>
      <c r="FB443" s="107"/>
      <c r="FC443" s="107"/>
      <c r="FD443" s="107"/>
      <c r="FE443" s="107"/>
      <c r="FF443" s="107"/>
      <c r="FG443" s="107"/>
      <c r="FH443" s="107"/>
      <c r="FI443" s="107"/>
      <c r="FJ443" s="107"/>
      <c r="FK443" s="107"/>
      <c r="FL443" s="107"/>
      <c r="FM443" s="107"/>
      <c r="FN443" s="107"/>
      <c r="FO443" s="10"/>
      <c r="FP443" s="10"/>
      <c r="FQ443" s="10"/>
      <c r="FR443" s="10"/>
      <c r="FS443" s="10"/>
      <c r="FT443" s="10"/>
      <c r="FU443" s="10"/>
      <c r="FV443" s="10"/>
      <c r="FW443" s="10"/>
      <c r="FX443" s="10"/>
      <c r="FY443" s="8"/>
      <c r="FZ443" s="266"/>
      <c r="GA443" s="266"/>
    </row>
    <row r="444" spans="1:183" s="268" customFormat="1" x14ac:dyDescent="0.25">
      <c r="A444" s="107"/>
      <c r="B444" s="7"/>
      <c r="C444" s="7"/>
      <c r="D444" s="7"/>
      <c r="E444" s="7"/>
      <c r="F444" s="10"/>
      <c r="G444" s="107"/>
      <c r="H444" s="7"/>
      <c r="I444" s="10"/>
      <c r="J444" s="10"/>
      <c r="K444" s="10"/>
      <c r="L444" s="10"/>
      <c r="M444" s="10"/>
      <c r="N444" s="10"/>
      <c r="O444" s="10"/>
      <c r="P444" s="8"/>
      <c r="Q444" s="8"/>
      <c r="R444" s="7"/>
      <c r="S444" s="7"/>
      <c r="T444" s="7"/>
      <c r="U444" s="107"/>
      <c r="V444" s="7"/>
      <c r="W444" s="10"/>
      <c r="X444" s="107"/>
      <c r="Y444" s="7"/>
      <c r="Z444" s="10"/>
      <c r="AA444" s="107"/>
      <c r="AB444" s="10"/>
      <c r="AC444" s="107"/>
      <c r="AD444" s="7"/>
      <c r="AE444" s="10"/>
      <c r="AF444" s="107"/>
      <c r="AG444" s="10"/>
      <c r="AH444" s="107"/>
      <c r="AI444" s="10"/>
      <c r="AJ444" s="107"/>
      <c r="AK444" s="10"/>
      <c r="AL444" s="107"/>
      <c r="AM444" s="10"/>
      <c r="AN444" s="10"/>
      <c r="AO444" s="10"/>
      <c r="AP444" s="8"/>
      <c r="AQ444" s="107"/>
      <c r="AR444" s="10"/>
      <c r="AS444" s="107"/>
      <c r="AT444" s="7"/>
      <c r="AU444" s="10"/>
      <c r="AV444" s="10"/>
      <c r="AW444" s="107"/>
      <c r="AX444" s="10"/>
      <c r="AY444" s="107"/>
      <c r="AZ444" s="10"/>
      <c r="BA444" s="107"/>
      <c r="BB444" s="107"/>
      <c r="BC444" s="107"/>
      <c r="BD444" s="10"/>
      <c r="BE444" s="107"/>
      <c r="BF444" s="10"/>
      <c r="BG444" s="10"/>
      <c r="BH444" s="10"/>
      <c r="BI444" s="107"/>
      <c r="BJ444" s="107"/>
      <c r="BK444" s="10"/>
      <c r="BL444" s="10"/>
      <c r="BM444" s="107"/>
      <c r="BN444" s="10"/>
      <c r="BO444" s="107"/>
      <c r="BP444" s="7"/>
      <c r="BQ444" s="10"/>
      <c r="BR444" s="107"/>
      <c r="BS444" s="10"/>
      <c r="BT444" s="107"/>
      <c r="BU444" s="107"/>
      <c r="BV444" s="107"/>
      <c r="BW444" s="107"/>
      <c r="BX444" s="107"/>
      <c r="BY444" s="10"/>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c r="CW444" s="107"/>
      <c r="CX444" s="107"/>
      <c r="CY444" s="107"/>
      <c r="CZ444" s="107"/>
      <c r="DA444" s="107"/>
      <c r="DB444" s="107"/>
      <c r="DC444" s="107"/>
      <c r="DD444" s="107"/>
      <c r="DE444" s="107"/>
      <c r="DF444" s="107"/>
      <c r="DG444" s="107"/>
      <c r="DH444" s="107"/>
      <c r="DI444" s="107"/>
      <c r="DJ444" s="107"/>
      <c r="DK444" s="10"/>
      <c r="DL444" s="10"/>
      <c r="DM444" s="10"/>
      <c r="DN444" s="10"/>
      <c r="DO444" s="10"/>
      <c r="DP444" s="10"/>
      <c r="DQ444" s="10"/>
      <c r="DR444" s="10"/>
      <c r="DS444" s="10"/>
      <c r="DT444" s="10"/>
      <c r="DU444" s="10"/>
      <c r="DV444" s="10"/>
      <c r="DW444" s="10"/>
      <c r="DX444" s="10"/>
      <c r="DY444" s="10"/>
      <c r="DZ444" s="10"/>
      <c r="EA444" s="10"/>
      <c r="EB444" s="10"/>
      <c r="EC444" s="107"/>
      <c r="ED444" s="107"/>
      <c r="EE444" s="10"/>
      <c r="EF444" s="107"/>
      <c r="EG444" s="7"/>
      <c r="EH444" s="10"/>
      <c r="EI444" s="107"/>
      <c r="EJ444" s="107"/>
      <c r="EK444" s="107"/>
      <c r="EL444" s="107"/>
      <c r="EM444" s="107"/>
      <c r="EN444" s="107"/>
      <c r="EO444" s="107"/>
      <c r="EP444" s="107"/>
      <c r="EQ444" s="107"/>
      <c r="ER444" s="107"/>
      <c r="ES444" s="107"/>
      <c r="ET444" s="107"/>
      <c r="EU444" s="107"/>
      <c r="EV444" s="107"/>
      <c r="EW444" s="107"/>
      <c r="EX444" s="107"/>
      <c r="EY444" s="107"/>
      <c r="EZ444" s="107"/>
      <c r="FA444" s="107"/>
      <c r="FB444" s="107"/>
      <c r="FC444" s="107"/>
      <c r="FD444" s="107"/>
      <c r="FE444" s="107"/>
      <c r="FF444" s="107"/>
      <c r="FG444" s="107"/>
      <c r="FH444" s="107"/>
      <c r="FI444" s="107"/>
      <c r="FJ444" s="107"/>
      <c r="FK444" s="107"/>
      <c r="FL444" s="107"/>
      <c r="FM444" s="107"/>
      <c r="FN444" s="107"/>
      <c r="FO444" s="10"/>
      <c r="FP444" s="10"/>
      <c r="FQ444" s="10"/>
      <c r="FR444" s="10"/>
      <c r="FS444" s="10"/>
      <c r="FT444" s="10"/>
      <c r="FU444" s="10"/>
      <c r="FV444" s="10"/>
      <c r="FW444" s="10"/>
      <c r="FX444" s="10"/>
      <c r="FY444" s="8"/>
      <c r="FZ444" s="266"/>
      <c r="GA444" s="266"/>
    </row>
    <row r="445" spans="1:183" s="268" customFormat="1" x14ac:dyDescent="0.25">
      <c r="A445" s="107"/>
      <c r="B445" s="7"/>
      <c r="C445" s="7"/>
      <c r="D445" s="7"/>
      <c r="E445" s="7"/>
      <c r="F445" s="10"/>
      <c r="G445" s="107"/>
      <c r="H445" s="7"/>
      <c r="I445" s="10"/>
      <c r="J445" s="10"/>
      <c r="K445" s="10"/>
      <c r="L445" s="10"/>
      <c r="M445" s="10"/>
      <c r="N445" s="10"/>
      <c r="O445" s="10"/>
      <c r="P445" s="8"/>
      <c r="Q445" s="8"/>
      <c r="R445" s="7"/>
      <c r="S445" s="7"/>
      <c r="T445" s="7"/>
      <c r="U445" s="107"/>
      <c r="V445" s="7"/>
      <c r="W445" s="10"/>
      <c r="X445" s="107"/>
      <c r="Y445" s="7"/>
      <c r="Z445" s="10"/>
      <c r="AA445" s="107"/>
      <c r="AB445" s="10"/>
      <c r="AC445" s="107"/>
      <c r="AD445" s="7"/>
      <c r="AE445" s="10"/>
      <c r="AF445" s="107"/>
      <c r="AG445" s="10"/>
      <c r="AH445" s="107"/>
      <c r="AI445" s="10"/>
      <c r="AJ445" s="107"/>
      <c r="AK445" s="10"/>
      <c r="AL445" s="107"/>
      <c r="AM445" s="10"/>
      <c r="AN445" s="10"/>
      <c r="AO445" s="10"/>
      <c r="AP445" s="8"/>
      <c r="AQ445" s="107"/>
      <c r="AR445" s="10"/>
      <c r="AS445" s="107"/>
      <c r="AT445" s="7"/>
      <c r="AU445" s="10"/>
      <c r="AV445" s="10"/>
      <c r="AW445" s="107"/>
      <c r="AX445" s="10"/>
      <c r="AY445" s="107"/>
      <c r="AZ445" s="10"/>
      <c r="BA445" s="107"/>
      <c r="BB445" s="107"/>
      <c r="BC445" s="107"/>
      <c r="BD445" s="10"/>
      <c r="BE445" s="107"/>
      <c r="BF445" s="10"/>
      <c r="BG445" s="10"/>
      <c r="BH445" s="10"/>
      <c r="BI445" s="107"/>
      <c r="BJ445" s="107"/>
      <c r="BK445" s="10"/>
      <c r="BL445" s="10"/>
      <c r="BM445" s="107"/>
      <c r="BN445" s="10"/>
      <c r="BO445" s="107"/>
      <c r="BP445" s="7"/>
      <c r="BQ445" s="10"/>
      <c r="BR445" s="107"/>
      <c r="BS445" s="10"/>
      <c r="BT445" s="107"/>
      <c r="BU445" s="107"/>
      <c r="BV445" s="107"/>
      <c r="BW445" s="107"/>
      <c r="BX445" s="107"/>
      <c r="BY445" s="10"/>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c r="CW445" s="107"/>
      <c r="CX445" s="107"/>
      <c r="CY445" s="107"/>
      <c r="CZ445" s="107"/>
      <c r="DA445" s="107"/>
      <c r="DB445" s="107"/>
      <c r="DC445" s="107"/>
      <c r="DD445" s="107"/>
      <c r="DE445" s="107"/>
      <c r="DF445" s="107"/>
      <c r="DG445" s="107"/>
      <c r="DH445" s="107"/>
      <c r="DI445" s="107"/>
      <c r="DJ445" s="107"/>
      <c r="DK445" s="10"/>
      <c r="DL445" s="10"/>
      <c r="DM445" s="10"/>
      <c r="DN445" s="10"/>
      <c r="DO445" s="10"/>
      <c r="DP445" s="10"/>
      <c r="DQ445" s="10"/>
      <c r="DR445" s="10"/>
      <c r="DS445" s="10"/>
      <c r="DT445" s="10"/>
      <c r="DU445" s="10"/>
      <c r="DV445" s="10"/>
      <c r="DW445" s="10"/>
      <c r="DX445" s="10"/>
      <c r="DY445" s="10"/>
      <c r="DZ445" s="10"/>
      <c r="EA445" s="10"/>
      <c r="EB445" s="10"/>
      <c r="EC445" s="107"/>
      <c r="ED445" s="107"/>
      <c r="EE445" s="10"/>
      <c r="EF445" s="107"/>
      <c r="EG445" s="7"/>
      <c r="EH445" s="10"/>
      <c r="EI445" s="107"/>
      <c r="EJ445" s="107"/>
      <c r="EK445" s="107"/>
      <c r="EL445" s="107"/>
      <c r="EM445" s="107"/>
      <c r="EN445" s="107"/>
      <c r="EO445" s="107"/>
      <c r="EP445" s="107"/>
      <c r="EQ445" s="107"/>
      <c r="ER445" s="107"/>
      <c r="ES445" s="107"/>
      <c r="ET445" s="107"/>
      <c r="EU445" s="107"/>
      <c r="EV445" s="107"/>
      <c r="EW445" s="107"/>
      <c r="EX445" s="107"/>
      <c r="EY445" s="107"/>
      <c r="EZ445" s="107"/>
      <c r="FA445" s="107"/>
      <c r="FB445" s="107"/>
      <c r="FC445" s="107"/>
      <c r="FD445" s="107"/>
      <c r="FE445" s="107"/>
      <c r="FF445" s="107"/>
      <c r="FG445" s="107"/>
      <c r="FH445" s="107"/>
      <c r="FI445" s="107"/>
      <c r="FJ445" s="107"/>
      <c r="FK445" s="107"/>
      <c r="FL445" s="107"/>
      <c r="FM445" s="107"/>
      <c r="FN445" s="107"/>
      <c r="FO445" s="10"/>
      <c r="FP445" s="10"/>
      <c r="FQ445" s="10"/>
      <c r="FR445" s="10"/>
      <c r="FS445" s="10"/>
      <c r="FT445" s="10"/>
      <c r="FU445" s="10"/>
      <c r="FV445" s="10"/>
      <c r="FW445" s="10"/>
      <c r="FX445" s="10"/>
      <c r="FY445" s="8"/>
      <c r="FZ445" s="266"/>
      <c r="GA445" s="266"/>
    </row>
    <row r="446" spans="1:183" s="268" customFormat="1" x14ac:dyDescent="0.25">
      <c r="A446" s="107"/>
      <c r="B446" s="7"/>
      <c r="C446" s="7"/>
      <c r="D446" s="7"/>
      <c r="E446" s="7"/>
      <c r="F446" s="10"/>
      <c r="G446" s="107"/>
      <c r="H446" s="7"/>
      <c r="I446" s="10"/>
      <c r="J446" s="10"/>
      <c r="K446" s="10"/>
      <c r="L446" s="10"/>
      <c r="M446" s="10"/>
      <c r="N446" s="10"/>
      <c r="O446" s="10"/>
      <c r="P446" s="8"/>
      <c r="Q446" s="8"/>
      <c r="R446" s="7"/>
      <c r="S446" s="7"/>
      <c r="T446" s="7"/>
      <c r="U446" s="107"/>
      <c r="V446" s="7"/>
      <c r="W446" s="10"/>
      <c r="X446" s="107"/>
      <c r="Y446" s="7"/>
      <c r="Z446" s="10"/>
      <c r="AA446" s="107"/>
      <c r="AB446" s="10"/>
      <c r="AC446" s="107"/>
      <c r="AD446" s="7"/>
      <c r="AE446" s="10"/>
      <c r="AF446" s="107"/>
      <c r="AG446" s="10"/>
      <c r="AH446" s="107"/>
      <c r="AI446" s="10"/>
      <c r="AJ446" s="107"/>
      <c r="AK446" s="10"/>
      <c r="AL446" s="107"/>
      <c r="AM446" s="10"/>
      <c r="AN446" s="10"/>
      <c r="AO446" s="10"/>
      <c r="AP446" s="8"/>
      <c r="AQ446" s="107"/>
      <c r="AR446" s="10"/>
      <c r="AS446" s="107"/>
      <c r="AT446" s="7"/>
      <c r="AU446" s="10"/>
      <c r="AV446" s="10"/>
      <c r="AW446" s="107"/>
      <c r="AX446" s="10"/>
      <c r="AY446" s="107"/>
      <c r="AZ446" s="10"/>
      <c r="BA446" s="107"/>
      <c r="BB446" s="107"/>
      <c r="BC446" s="107"/>
      <c r="BD446" s="10"/>
      <c r="BE446" s="107"/>
      <c r="BF446" s="10"/>
      <c r="BG446" s="10"/>
      <c r="BH446" s="10"/>
      <c r="BI446" s="107"/>
      <c r="BJ446" s="107"/>
      <c r="BK446" s="10"/>
      <c r="BL446" s="10"/>
      <c r="BM446" s="107"/>
      <c r="BN446" s="10"/>
      <c r="BO446" s="107"/>
      <c r="BP446" s="7"/>
      <c r="BQ446" s="10"/>
      <c r="BR446" s="107"/>
      <c r="BS446" s="10"/>
      <c r="BT446" s="107"/>
      <c r="BU446" s="107"/>
      <c r="BV446" s="107"/>
      <c r="BW446" s="107"/>
      <c r="BX446" s="107"/>
      <c r="BY446" s="10"/>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c r="CW446" s="107"/>
      <c r="CX446" s="107"/>
      <c r="CY446" s="107"/>
      <c r="CZ446" s="107"/>
      <c r="DA446" s="107"/>
      <c r="DB446" s="107"/>
      <c r="DC446" s="107"/>
      <c r="DD446" s="107"/>
      <c r="DE446" s="107"/>
      <c r="DF446" s="107"/>
      <c r="DG446" s="107"/>
      <c r="DH446" s="107"/>
      <c r="DI446" s="107"/>
      <c r="DJ446" s="107"/>
      <c r="DK446" s="10"/>
      <c r="DL446" s="10"/>
      <c r="DM446" s="10"/>
      <c r="DN446" s="10"/>
      <c r="DO446" s="10"/>
      <c r="DP446" s="10"/>
      <c r="DQ446" s="10"/>
      <c r="DR446" s="10"/>
      <c r="DS446" s="10"/>
      <c r="DT446" s="10"/>
      <c r="DU446" s="10"/>
      <c r="DV446" s="10"/>
      <c r="DW446" s="10"/>
      <c r="DX446" s="10"/>
      <c r="DY446" s="10"/>
      <c r="DZ446" s="10"/>
      <c r="EA446" s="10"/>
      <c r="EB446" s="10"/>
      <c r="EC446" s="107"/>
      <c r="ED446" s="107"/>
      <c r="EE446" s="10"/>
      <c r="EF446" s="107"/>
      <c r="EG446" s="7"/>
      <c r="EH446" s="10"/>
      <c r="EI446" s="107"/>
      <c r="EJ446" s="107"/>
      <c r="EK446" s="107"/>
      <c r="EL446" s="107"/>
      <c r="EM446" s="107"/>
      <c r="EN446" s="107"/>
      <c r="EO446" s="107"/>
      <c r="EP446" s="107"/>
      <c r="EQ446" s="107"/>
      <c r="ER446" s="107"/>
      <c r="ES446" s="107"/>
      <c r="ET446" s="107"/>
      <c r="EU446" s="107"/>
      <c r="EV446" s="107"/>
      <c r="EW446" s="107"/>
      <c r="EX446" s="107"/>
      <c r="EY446" s="107"/>
      <c r="EZ446" s="107"/>
      <c r="FA446" s="107"/>
      <c r="FB446" s="107"/>
      <c r="FC446" s="107"/>
      <c r="FD446" s="107"/>
      <c r="FE446" s="107"/>
      <c r="FF446" s="107"/>
      <c r="FG446" s="107"/>
      <c r="FH446" s="107"/>
      <c r="FI446" s="107"/>
      <c r="FJ446" s="107"/>
      <c r="FK446" s="107"/>
      <c r="FL446" s="107"/>
      <c r="FM446" s="107"/>
      <c r="FN446" s="107"/>
      <c r="FO446" s="10"/>
      <c r="FP446" s="10"/>
      <c r="FQ446" s="10"/>
      <c r="FR446" s="10"/>
      <c r="FS446" s="10"/>
      <c r="FT446" s="10"/>
      <c r="FU446" s="10"/>
      <c r="FV446" s="10"/>
      <c r="FW446" s="10"/>
      <c r="FX446" s="10"/>
      <c r="FY446" s="8"/>
      <c r="FZ446" s="266"/>
      <c r="GA446" s="266"/>
    </row>
    <row r="447" spans="1:183" s="268" customFormat="1" x14ac:dyDescent="0.25">
      <c r="A447" s="107"/>
      <c r="B447" s="108"/>
      <c r="C447" s="108"/>
      <c r="D447" s="108"/>
      <c r="E447" s="108"/>
      <c r="F447" s="11"/>
      <c r="G447" s="107"/>
      <c r="H447" s="108"/>
      <c r="I447" s="11"/>
      <c r="J447" s="11"/>
      <c r="K447" s="11"/>
      <c r="L447" s="11"/>
      <c r="M447" s="11"/>
      <c r="N447" s="11"/>
      <c r="O447" s="11"/>
      <c r="P447" s="3"/>
      <c r="Q447" s="3"/>
      <c r="R447" s="108"/>
      <c r="S447" s="108"/>
      <c r="T447" s="108"/>
      <c r="U447" s="107"/>
      <c r="V447" s="108"/>
      <c r="W447" s="11"/>
      <c r="X447" s="107"/>
      <c r="Y447" s="108"/>
      <c r="Z447" s="11"/>
      <c r="AA447" s="107"/>
      <c r="AB447" s="11"/>
      <c r="AC447" s="107"/>
      <c r="AD447" s="108"/>
      <c r="AE447" s="11"/>
      <c r="AF447" s="107"/>
      <c r="AG447" s="11"/>
      <c r="AH447" s="107"/>
      <c r="AI447" s="11"/>
      <c r="AJ447" s="107"/>
      <c r="AK447" s="11"/>
      <c r="AL447" s="107"/>
      <c r="AM447" s="11"/>
      <c r="AN447" s="11"/>
      <c r="AO447" s="11"/>
      <c r="AP447" s="3"/>
      <c r="AQ447" s="107"/>
      <c r="AR447" s="11"/>
      <c r="AS447" s="107"/>
      <c r="AT447" s="108"/>
      <c r="AU447" s="11"/>
      <c r="AV447" s="11"/>
      <c r="AW447" s="107"/>
      <c r="AX447" s="11"/>
      <c r="AY447" s="107"/>
      <c r="AZ447" s="11"/>
      <c r="BA447" s="107"/>
      <c r="BB447" s="107"/>
      <c r="BC447" s="107"/>
      <c r="BD447" s="11"/>
      <c r="BE447" s="107"/>
      <c r="BF447" s="11"/>
      <c r="BG447" s="11"/>
      <c r="BH447" s="11"/>
      <c r="BI447" s="107"/>
      <c r="BJ447" s="107"/>
      <c r="BK447" s="11"/>
      <c r="BL447" s="11"/>
      <c r="BM447" s="107"/>
      <c r="BN447" s="11"/>
      <c r="BO447" s="107"/>
      <c r="BP447" s="108"/>
      <c r="BQ447" s="11"/>
      <c r="BR447" s="107"/>
      <c r="BS447" s="11"/>
      <c r="BT447" s="107"/>
      <c r="BU447" s="107"/>
      <c r="BV447" s="107"/>
      <c r="BW447" s="107"/>
      <c r="BX447" s="107"/>
      <c r="BY447" s="11"/>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c r="CW447" s="107"/>
      <c r="CX447" s="107"/>
      <c r="CY447" s="107"/>
      <c r="CZ447" s="107"/>
      <c r="DA447" s="107"/>
      <c r="DB447" s="107"/>
      <c r="DC447" s="107"/>
      <c r="DD447" s="107"/>
      <c r="DE447" s="107"/>
      <c r="DF447" s="107"/>
      <c r="DG447" s="107"/>
      <c r="DH447" s="107"/>
      <c r="DI447" s="107"/>
      <c r="DJ447" s="107"/>
      <c r="DK447" s="11"/>
      <c r="DL447" s="11"/>
      <c r="DM447" s="11"/>
      <c r="DN447" s="11"/>
      <c r="DO447" s="11"/>
      <c r="DP447" s="11"/>
      <c r="DQ447" s="11"/>
      <c r="DR447" s="11"/>
      <c r="DS447" s="11"/>
      <c r="DT447" s="11"/>
      <c r="DU447" s="11"/>
      <c r="DV447" s="11"/>
      <c r="DW447" s="11"/>
      <c r="DX447" s="11"/>
      <c r="DY447" s="11"/>
      <c r="DZ447" s="11"/>
      <c r="EA447" s="11"/>
      <c r="EB447" s="11"/>
      <c r="EC447" s="107"/>
      <c r="ED447" s="107"/>
      <c r="EE447" s="11"/>
      <c r="EF447" s="107"/>
      <c r="EG447" s="108"/>
      <c r="EH447" s="11"/>
      <c r="EI447" s="107"/>
      <c r="EJ447" s="107"/>
      <c r="EK447" s="107"/>
      <c r="EL447" s="107"/>
      <c r="EM447" s="107"/>
      <c r="EN447" s="107"/>
      <c r="EO447" s="107"/>
      <c r="EP447" s="107"/>
      <c r="EQ447" s="107"/>
      <c r="ER447" s="107"/>
      <c r="ES447" s="107"/>
      <c r="ET447" s="107"/>
      <c r="EU447" s="107"/>
      <c r="EV447" s="107"/>
      <c r="EW447" s="107"/>
      <c r="EX447" s="107"/>
      <c r="EY447" s="107"/>
      <c r="EZ447" s="107"/>
      <c r="FA447" s="107"/>
      <c r="FB447" s="107"/>
      <c r="FC447" s="107"/>
      <c r="FD447" s="107"/>
      <c r="FE447" s="107"/>
      <c r="FF447" s="107"/>
      <c r="FG447" s="107"/>
      <c r="FH447" s="107"/>
      <c r="FI447" s="107"/>
      <c r="FJ447" s="107"/>
      <c r="FK447" s="107"/>
      <c r="FL447" s="107"/>
      <c r="FM447" s="107"/>
      <c r="FN447" s="107"/>
      <c r="FO447" s="11"/>
      <c r="FP447" s="11"/>
      <c r="FQ447" s="11"/>
      <c r="FR447" s="11"/>
      <c r="FS447" s="11"/>
      <c r="FT447" s="11"/>
      <c r="FU447" s="11"/>
      <c r="FV447" s="11"/>
      <c r="FW447" s="11"/>
      <c r="FX447" s="11"/>
      <c r="FY447" s="3"/>
      <c r="FZ447" s="270"/>
      <c r="GA447" s="270"/>
    </row>
    <row r="448" spans="1:183" s="268" customFormat="1" x14ac:dyDescent="0.25">
      <c r="A448" s="107"/>
      <c r="B448" s="108"/>
      <c r="C448" s="108"/>
      <c r="D448" s="108"/>
      <c r="E448" s="108"/>
      <c r="F448" s="11"/>
      <c r="G448" s="107"/>
      <c r="H448" s="108"/>
      <c r="I448" s="11"/>
      <c r="J448" s="11"/>
      <c r="K448" s="11"/>
      <c r="L448" s="11"/>
      <c r="M448" s="11"/>
      <c r="N448" s="11"/>
      <c r="O448" s="11"/>
      <c r="P448" s="3"/>
      <c r="Q448" s="3"/>
      <c r="R448" s="108"/>
      <c r="S448" s="108"/>
      <c r="T448" s="108"/>
      <c r="U448" s="107"/>
      <c r="V448" s="108"/>
      <c r="W448" s="11"/>
      <c r="X448" s="107"/>
      <c r="Y448" s="108"/>
      <c r="Z448" s="11"/>
      <c r="AA448" s="107"/>
      <c r="AB448" s="11"/>
      <c r="AC448" s="107"/>
      <c r="AD448" s="108"/>
      <c r="AE448" s="11"/>
      <c r="AF448" s="107"/>
      <c r="AG448" s="11"/>
      <c r="AH448" s="107"/>
      <c r="AI448" s="11"/>
      <c r="AJ448" s="107"/>
      <c r="AK448" s="11"/>
      <c r="AL448" s="107"/>
      <c r="AM448" s="11"/>
      <c r="AN448" s="11"/>
      <c r="AO448" s="11"/>
      <c r="AP448" s="3"/>
      <c r="AQ448" s="107"/>
      <c r="AR448" s="11"/>
      <c r="AS448" s="107"/>
      <c r="AT448" s="108"/>
      <c r="AU448" s="11"/>
      <c r="AV448" s="11"/>
      <c r="AW448" s="107"/>
      <c r="AX448" s="11"/>
      <c r="AY448" s="107"/>
      <c r="AZ448" s="11"/>
      <c r="BA448" s="107"/>
      <c r="BB448" s="107"/>
      <c r="BC448" s="107"/>
      <c r="BD448" s="11"/>
      <c r="BE448" s="107"/>
      <c r="BF448" s="11"/>
      <c r="BG448" s="11"/>
      <c r="BH448" s="11"/>
      <c r="BI448" s="107"/>
      <c r="BJ448" s="107"/>
      <c r="BK448" s="11"/>
      <c r="BL448" s="11"/>
      <c r="BM448" s="107"/>
      <c r="BN448" s="11"/>
      <c r="BO448" s="107"/>
      <c r="BP448" s="108"/>
      <c r="BQ448" s="11"/>
      <c r="BR448" s="107"/>
      <c r="BS448" s="11"/>
      <c r="BT448" s="107"/>
      <c r="BU448" s="107"/>
      <c r="BV448" s="107"/>
      <c r="BW448" s="107"/>
      <c r="BX448" s="107"/>
      <c r="BY448" s="11"/>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c r="CW448" s="107"/>
      <c r="CX448" s="107"/>
      <c r="CY448" s="107"/>
      <c r="CZ448" s="107"/>
      <c r="DA448" s="107"/>
      <c r="DB448" s="107"/>
      <c r="DC448" s="107"/>
      <c r="DD448" s="107"/>
      <c r="DE448" s="107"/>
      <c r="DF448" s="107"/>
      <c r="DG448" s="107"/>
      <c r="DH448" s="107"/>
      <c r="DI448" s="107"/>
      <c r="DJ448" s="107"/>
      <c r="DK448" s="11"/>
      <c r="DL448" s="11"/>
      <c r="DM448" s="11"/>
      <c r="DN448" s="11"/>
      <c r="DO448" s="11"/>
      <c r="DP448" s="11"/>
      <c r="DQ448" s="11"/>
      <c r="DR448" s="11"/>
      <c r="DS448" s="11"/>
      <c r="DT448" s="11"/>
      <c r="DU448" s="11"/>
      <c r="DV448" s="11"/>
      <c r="DW448" s="11"/>
      <c r="DX448" s="11"/>
      <c r="DY448" s="11"/>
      <c r="DZ448" s="11"/>
      <c r="EA448" s="11"/>
      <c r="EB448" s="11"/>
      <c r="EC448" s="107"/>
      <c r="ED448" s="107"/>
      <c r="EE448" s="11"/>
      <c r="EF448" s="107"/>
      <c r="EG448" s="108"/>
      <c r="EH448" s="11"/>
      <c r="EI448" s="107"/>
      <c r="EJ448" s="107"/>
      <c r="EK448" s="107"/>
      <c r="EL448" s="107"/>
      <c r="EM448" s="107"/>
      <c r="EN448" s="107"/>
      <c r="EO448" s="107"/>
      <c r="EP448" s="107"/>
      <c r="EQ448" s="107"/>
      <c r="ER448" s="107"/>
      <c r="ES448" s="107"/>
      <c r="ET448" s="107"/>
      <c r="EU448" s="107"/>
      <c r="EV448" s="107"/>
      <c r="EW448" s="107"/>
      <c r="EX448" s="107"/>
      <c r="EY448" s="107"/>
      <c r="EZ448" s="107"/>
      <c r="FA448" s="107"/>
      <c r="FB448" s="107"/>
      <c r="FC448" s="107"/>
      <c r="FD448" s="107"/>
      <c r="FE448" s="107"/>
      <c r="FF448" s="107"/>
      <c r="FG448" s="107"/>
      <c r="FH448" s="107"/>
      <c r="FI448" s="107"/>
      <c r="FJ448" s="107"/>
      <c r="FK448" s="107"/>
      <c r="FL448" s="107"/>
      <c r="FM448" s="107"/>
      <c r="FN448" s="107"/>
      <c r="FO448" s="11"/>
      <c r="FP448" s="11"/>
      <c r="FQ448" s="11"/>
      <c r="FR448" s="11"/>
      <c r="FS448" s="11"/>
      <c r="FT448" s="11"/>
      <c r="FU448" s="11"/>
      <c r="FV448" s="11"/>
      <c r="FW448" s="11"/>
      <c r="FX448" s="11"/>
      <c r="FY448" s="3"/>
      <c r="FZ448" s="270"/>
      <c r="GA448" s="270"/>
    </row>
    <row r="449" spans="1:183" s="268" customFormat="1" x14ac:dyDescent="0.25">
      <c r="A449" s="107"/>
      <c r="B449" s="108"/>
      <c r="C449" s="108"/>
      <c r="D449" s="108"/>
      <c r="E449" s="108"/>
      <c r="F449" s="11"/>
      <c r="G449" s="107"/>
      <c r="H449" s="108"/>
      <c r="I449" s="11"/>
      <c r="J449" s="11"/>
      <c r="K449" s="11"/>
      <c r="L449" s="11"/>
      <c r="M449" s="11"/>
      <c r="N449" s="11"/>
      <c r="O449" s="11"/>
      <c r="P449" s="3"/>
      <c r="Q449" s="3"/>
      <c r="R449" s="108"/>
      <c r="S449" s="108"/>
      <c r="T449" s="108"/>
      <c r="U449" s="107"/>
      <c r="V449" s="108"/>
      <c r="W449" s="11"/>
      <c r="X449" s="107"/>
      <c r="Y449" s="108"/>
      <c r="Z449" s="11"/>
      <c r="AA449" s="107"/>
      <c r="AB449" s="11"/>
      <c r="AC449" s="107"/>
      <c r="AD449" s="108"/>
      <c r="AE449" s="11"/>
      <c r="AF449" s="107"/>
      <c r="AG449" s="11"/>
      <c r="AH449" s="107"/>
      <c r="AI449" s="11"/>
      <c r="AJ449" s="107"/>
      <c r="AK449" s="11"/>
      <c r="AL449" s="107"/>
      <c r="AM449" s="11"/>
      <c r="AN449" s="11"/>
      <c r="AO449" s="11"/>
      <c r="AP449" s="3"/>
      <c r="AQ449" s="107"/>
      <c r="AR449" s="11"/>
      <c r="AS449" s="107"/>
      <c r="AT449" s="108"/>
      <c r="AU449" s="11"/>
      <c r="AV449" s="11"/>
      <c r="AW449" s="107"/>
      <c r="AX449" s="11"/>
      <c r="AY449" s="107"/>
      <c r="AZ449" s="11"/>
      <c r="BA449" s="107"/>
      <c r="BB449" s="107"/>
      <c r="BC449" s="107"/>
      <c r="BD449" s="11"/>
      <c r="BE449" s="107"/>
      <c r="BF449" s="11"/>
      <c r="BG449" s="11"/>
      <c r="BH449" s="11"/>
      <c r="BI449" s="107"/>
      <c r="BJ449" s="107"/>
      <c r="BK449" s="11"/>
      <c r="BL449" s="11"/>
      <c r="BM449" s="107"/>
      <c r="BN449" s="11"/>
      <c r="BO449" s="107"/>
      <c r="BP449" s="108"/>
      <c r="BQ449" s="11"/>
      <c r="BR449" s="107"/>
      <c r="BS449" s="11"/>
      <c r="BT449" s="107"/>
      <c r="BU449" s="107"/>
      <c r="BV449" s="107"/>
      <c r="BW449" s="107"/>
      <c r="BX449" s="107"/>
      <c r="BY449" s="11"/>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c r="CW449" s="107"/>
      <c r="CX449" s="107"/>
      <c r="CY449" s="107"/>
      <c r="CZ449" s="107"/>
      <c r="DA449" s="107"/>
      <c r="DB449" s="107"/>
      <c r="DC449" s="107"/>
      <c r="DD449" s="107"/>
      <c r="DE449" s="107"/>
      <c r="DF449" s="107"/>
      <c r="DG449" s="107"/>
      <c r="DH449" s="107"/>
      <c r="DI449" s="107"/>
      <c r="DJ449" s="107"/>
      <c r="DK449" s="11"/>
      <c r="DL449" s="11"/>
      <c r="DM449" s="11"/>
      <c r="DN449" s="11"/>
      <c r="DO449" s="11"/>
      <c r="DP449" s="11"/>
      <c r="DQ449" s="11"/>
      <c r="DR449" s="11"/>
      <c r="DS449" s="11"/>
      <c r="DT449" s="11"/>
      <c r="DU449" s="11"/>
      <c r="DV449" s="11"/>
      <c r="DW449" s="11"/>
      <c r="DX449" s="11"/>
      <c r="DY449" s="11"/>
      <c r="DZ449" s="11"/>
      <c r="EA449" s="11"/>
      <c r="EB449" s="11"/>
      <c r="EC449" s="107"/>
      <c r="ED449" s="107"/>
      <c r="EE449" s="11"/>
      <c r="EF449" s="107"/>
      <c r="EG449" s="108"/>
      <c r="EH449" s="11"/>
      <c r="EI449" s="107"/>
      <c r="EJ449" s="107"/>
      <c r="EK449" s="107"/>
      <c r="EL449" s="107"/>
      <c r="EM449" s="107"/>
      <c r="EN449" s="107"/>
      <c r="EO449" s="107"/>
      <c r="EP449" s="107"/>
      <c r="EQ449" s="107"/>
      <c r="ER449" s="107"/>
      <c r="ES449" s="107"/>
      <c r="ET449" s="107"/>
      <c r="EU449" s="107"/>
      <c r="EV449" s="107"/>
      <c r="EW449" s="107"/>
      <c r="EX449" s="107"/>
      <c r="EY449" s="107"/>
      <c r="EZ449" s="107"/>
      <c r="FA449" s="107"/>
      <c r="FB449" s="107"/>
      <c r="FC449" s="107"/>
      <c r="FD449" s="107"/>
      <c r="FE449" s="107"/>
      <c r="FF449" s="107"/>
      <c r="FG449" s="107"/>
      <c r="FH449" s="107"/>
      <c r="FI449" s="107"/>
      <c r="FJ449" s="107"/>
      <c r="FK449" s="107"/>
      <c r="FL449" s="107"/>
      <c r="FM449" s="107"/>
      <c r="FN449" s="107"/>
      <c r="FO449" s="11"/>
      <c r="FP449" s="11"/>
      <c r="FQ449" s="11"/>
      <c r="FR449" s="11"/>
      <c r="FS449" s="11"/>
      <c r="FT449" s="11"/>
      <c r="FU449" s="11"/>
      <c r="FV449" s="11"/>
      <c r="FW449" s="11"/>
      <c r="FX449" s="11"/>
      <c r="FY449" s="3"/>
      <c r="FZ449" s="270"/>
      <c r="GA449" s="270"/>
    </row>
    <row r="450" spans="1:183" s="268" customFormat="1" x14ac:dyDescent="0.25">
      <c r="A450" s="107"/>
      <c r="B450" s="108"/>
      <c r="C450" s="108"/>
      <c r="D450" s="108"/>
      <c r="E450" s="108"/>
      <c r="F450" s="11"/>
      <c r="G450" s="107"/>
      <c r="H450" s="108"/>
      <c r="I450" s="11"/>
      <c r="J450" s="11"/>
      <c r="K450" s="11"/>
      <c r="L450" s="11"/>
      <c r="M450" s="11"/>
      <c r="N450" s="11"/>
      <c r="O450" s="11"/>
      <c r="P450" s="3"/>
      <c r="Q450" s="3"/>
      <c r="R450" s="108"/>
      <c r="S450" s="108"/>
      <c r="T450" s="108"/>
      <c r="U450" s="107"/>
      <c r="V450" s="108"/>
      <c r="W450" s="11"/>
      <c r="X450" s="107"/>
      <c r="Y450" s="108"/>
      <c r="Z450" s="11"/>
      <c r="AA450" s="107"/>
      <c r="AB450" s="11"/>
      <c r="AC450" s="107"/>
      <c r="AD450" s="108"/>
      <c r="AE450" s="11"/>
      <c r="AF450" s="107"/>
      <c r="AG450" s="11"/>
      <c r="AH450" s="107"/>
      <c r="AI450" s="11"/>
      <c r="AJ450" s="107"/>
      <c r="AK450" s="11"/>
      <c r="AL450" s="107"/>
      <c r="AM450" s="11"/>
      <c r="AN450" s="11"/>
      <c r="AO450" s="11"/>
      <c r="AP450" s="3"/>
      <c r="AQ450" s="107"/>
      <c r="AR450" s="11"/>
      <c r="AS450" s="107"/>
      <c r="AT450" s="108"/>
      <c r="AU450" s="11"/>
      <c r="AV450" s="11"/>
      <c r="AW450" s="107"/>
      <c r="AX450" s="11"/>
      <c r="AY450" s="107"/>
      <c r="AZ450" s="11"/>
      <c r="BA450" s="107"/>
      <c r="BB450" s="107"/>
      <c r="BC450" s="107"/>
      <c r="BD450" s="11"/>
      <c r="BE450" s="107"/>
      <c r="BF450" s="11"/>
      <c r="BG450" s="11"/>
      <c r="BH450" s="11"/>
      <c r="BI450" s="107"/>
      <c r="BJ450" s="107"/>
      <c r="BK450" s="11"/>
      <c r="BL450" s="11"/>
      <c r="BM450" s="107"/>
      <c r="BN450" s="11"/>
      <c r="BO450" s="107"/>
      <c r="BP450" s="108"/>
      <c r="BQ450" s="11"/>
      <c r="BR450" s="107"/>
      <c r="BS450" s="11"/>
      <c r="BT450" s="107"/>
      <c r="BU450" s="107"/>
      <c r="BV450" s="107"/>
      <c r="BW450" s="107"/>
      <c r="BX450" s="107"/>
      <c r="BY450" s="11"/>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c r="CW450" s="107"/>
      <c r="CX450" s="107"/>
      <c r="CY450" s="107"/>
      <c r="CZ450" s="107"/>
      <c r="DA450" s="107"/>
      <c r="DB450" s="107"/>
      <c r="DC450" s="107"/>
      <c r="DD450" s="107"/>
      <c r="DE450" s="107"/>
      <c r="DF450" s="107"/>
      <c r="DG450" s="107"/>
      <c r="DH450" s="107"/>
      <c r="DI450" s="107"/>
      <c r="DJ450" s="107"/>
      <c r="DK450" s="11"/>
      <c r="DL450" s="11"/>
      <c r="DM450" s="11"/>
      <c r="DN450" s="11"/>
      <c r="DO450" s="11"/>
      <c r="DP450" s="11"/>
      <c r="DQ450" s="11"/>
      <c r="DR450" s="11"/>
      <c r="DS450" s="11"/>
      <c r="DT450" s="11"/>
      <c r="DU450" s="11"/>
      <c r="DV450" s="11"/>
      <c r="DW450" s="11"/>
      <c r="DX450" s="11"/>
      <c r="DY450" s="11"/>
      <c r="DZ450" s="11"/>
      <c r="EA450" s="11"/>
      <c r="EB450" s="11"/>
      <c r="EC450" s="107"/>
      <c r="ED450" s="107"/>
      <c r="EE450" s="11"/>
      <c r="EF450" s="107"/>
      <c r="EG450" s="108"/>
      <c r="EH450" s="11"/>
      <c r="EI450" s="107"/>
      <c r="EJ450" s="107"/>
      <c r="EK450" s="107"/>
      <c r="EL450" s="107"/>
      <c r="EM450" s="107"/>
      <c r="EN450" s="107"/>
      <c r="EO450" s="107"/>
      <c r="EP450" s="107"/>
      <c r="EQ450" s="107"/>
      <c r="ER450" s="107"/>
      <c r="ES450" s="107"/>
      <c r="ET450" s="107"/>
      <c r="EU450" s="107"/>
      <c r="EV450" s="107"/>
      <c r="EW450" s="107"/>
      <c r="EX450" s="107"/>
      <c r="EY450" s="107"/>
      <c r="EZ450" s="107"/>
      <c r="FA450" s="107"/>
      <c r="FB450" s="107"/>
      <c r="FC450" s="107"/>
      <c r="FD450" s="107"/>
      <c r="FE450" s="107"/>
      <c r="FF450" s="107"/>
      <c r="FG450" s="107"/>
      <c r="FH450" s="107"/>
      <c r="FI450" s="107"/>
      <c r="FJ450" s="107"/>
      <c r="FK450" s="107"/>
      <c r="FL450" s="107"/>
      <c r="FM450" s="107"/>
      <c r="FN450" s="107"/>
      <c r="FO450" s="11"/>
      <c r="FP450" s="11"/>
      <c r="FQ450" s="11"/>
      <c r="FR450" s="11"/>
      <c r="FS450" s="11"/>
      <c r="FT450" s="11"/>
      <c r="FU450" s="11"/>
      <c r="FV450" s="11"/>
      <c r="FW450" s="11"/>
      <c r="FX450" s="11"/>
      <c r="FY450" s="3"/>
      <c r="FZ450" s="270"/>
      <c r="GA450" s="270"/>
    </row>
    <row r="451" spans="1:183" s="268" customFormat="1" x14ac:dyDescent="0.25">
      <c r="A451" s="107"/>
      <c r="B451" s="108"/>
      <c r="C451" s="108"/>
      <c r="D451" s="108"/>
      <c r="E451" s="108"/>
      <c r="F451" s="11"/>
      <c r="G451" s="107"/>
      <c r="H451" s="108"/>
      <c r="I451" s="11"/>
      <c r="J451" s="11"/>
      <c r="K451" s="11"/>
      <c r="L451" s="11"/>
      <c r="M451" s="11"/>
      <c r="N451" s="11"/>
      <c r="O451" s="11"/>
      <c r="P451" s="3"/>
      <c r="Q451" s="3"/>
      <c r="R451" s="108"/>
      <c r="S451" s="108"/>
      <c r="T451" s="108"/>
      <c r="U451" s="107"/>
      <c r="V451" s="108"/>
      <c r="W451" s="11"/>
      <c r="X451" s="107"/>
      <c r="Y451" s="108"/>
      <c r="Z451" s="11"/>
      <c r="AA451" s="107"/>
      <c r="AB451" s="11"/>
      <c r="AC451" s="107"/>
      <c r="AD451" s="108"/>
      <c r="AE451" s="11"/>
      <c r="AF451" s="107"/>
      <c r="AG451" s="11"/>
      <c r="AH451" s="107"/>
      <c r="AI451" s="11"/>
      <c r="AJ451" s="107"/>
      <c r="AK451" s="11"/>
      <c r="AL451" s="107"/>
      <c r="AM451" s="11"/>
      <c r="AN451" s="11"/>
      <c r="AO451" s="11"/>
      <c r="AP451" s="3"/>
      <c r="AQ451" s="107"/>
      <c r="AR451" s="11"/>
      <c r="AS451" s="107"/>
      <c r="AT451" s="108"/>
      <c r="AU451" s="11"/>
      <c r="AV451" s="11"/>
      <c r="AW451" s="107"/>
      <c r="AX451" s="11"/>
      <c r="AY451" s="107"/>
      <c r="AZ451" s="11"/>
      <c r="BA451" s="107"/>
      <c r="BB451" s="107"/>
      <c r="BC451" s="107"/>
      <c r="BD451" s="11"/>
      <c r="BE451" s="107"/>
      <c r="BF451" s="11"/>
      <c r="BG451" s="11"/>
      <c r="BH451" s="11"/>
      <c r="BI451" s="107"/>
      <c r="BJ451" s="107"/>
      <c r="BK451" s="11"/>
      <c r="BL451" s="11"/>
      <c r="BM451" s="107"/>
      <c r="BN451" s="11"/>
      <c r="BO451" s="107"/>
      <c r="BP451" s="108"/>
      <c r="BQ451" s="11"/>
      <c r="BR451" s="107"/>
      <c r="BS451" s="11"/>
      <c r="BT451" s="107"/>
      <c r="BU451" s="107"/>
      <c r="BV451" s="107"/>
      <c r="BW451" s="107"/>
      <c r="BX451" s="107"/>
      <c r="BY451" s="11"/>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c r="CW451" s="107"/>
      <c r="CX451" s="107"/>
      <c r="CY451" s="107"/>
      <c r="CZ451" s="107"/>
      <c r="DA451" s="107"/>
      <c r="DB451" s="107"/>
      <c r="DC451" s="107"/>
      <c r="DD451" s="107"/>
      <c r="DE451" s="107"/>
      <c r="DF451" s="107"/>
      <c r="DG451" s="107"/>
      <c r="DH451" s="107"/>
      <c r="DI451" s="107"/>
      <c r="DJ451" s="107"/>
      <c r="DK451" s="11"/>
      <c r="DL451" s="11"/>
      <c r="DM451" s="11"/>
      <c r="DN451" s="11"/>
      <c r="DO451" s="11"/>
      <c r="DP451" s="11"/>
      <c r="DQ451" s="11"/>
      <c r="DR451" s="11"/>
      <c r="DS451" s="11"/>
      <c r="DT451" s="11"/>
      <c r="DU451" s="11"/>
      <c r="DV451" s="11"/>
      <c r="DW451" s="11"/>
      <c r="DX451" s="11"/>
      <c r="DY451" s="11"/>
      <c r="DZ451" s="11"/>
      <c r="EA451" s="11"/>
      <c r="EB451" s="11"/>
      <c r="EC451" s="107"/>
      <c r="ED451" s="107"/>
      <c r="EE451" s="11"/>
      <c r="EF451" s="107"/>
      <c r="EG451" s="108"/>
      <c r="EH451" s="11"/>
      <c r="EI451" s="107"/>
      <c r="EJ451" s="107"/>
      <c r="EK451" s="107"/>
      <c r="EL451" s="107"/>
      <c r="EM451" s="107"/>
      <c r="EN451" s="107"/>
      <c r="EO451" s="107"/>
      <c r="EP451" s="107"/>
      <c r="EQ451" s="107"/>
      <c r="ER451" s="107"/>
      <c r="ES451" s="107"/>
      <c r="ET451" s="107"/>
      <c r="EU451" s="107"/>
      <c r="EV451" s="107"/>
      <c r="EW451" s="107"/>
      <c r="EX451" s="107"/>
      <c r="EY451" s="107"/>
      <c r="EZ451" s="107"/>
      <c r="FA451" s="107"/>
      <c r="FB451" s="107"/>
      <c r="FC451" s="107"/>
      <c r="FD451" s="107"/>
      <c r="FE451" s="107"/>
      <c r="FF451" s="107"/>
      <c r="FG451" s="107"/>
      <c r="FH451" s="107"/>
      <c r="FI451" s="107"/>
      <c r="FJ451" s="107"/>
      <c r="FK451" s="107"/>
      <c r="FL451" s="107"/>
      <c r="FM451" s="107"/>
      <c r="FN451" s="107"/>
      <c r="FO451" s="11"/>
      <c r="FP451" s="11"/>
      <c r="FQ451" s="11"/>
      <c r="FR451" s="11"/>
      <c r="FS451" s="11"/>
      <c r="FT451" s="11"/>
      <c r="FU451" s="11"/>
      <c r="FV451" s="11"/>
      <c r="FW451" s="11"/>
      <c r="FX451" s="11"/>
      <c r="FY451" s="3"/>
      <c r="FZ451" s="270"/>
      <c r="GA451" s="270"/>
    </row>
    <row r="452" spans="1:183" s="268" customFormat="1" x14ac:dyDescent="0.25">
      <c r="A452" s="107"/>
      <c r="B452" s="108"/>
      <c r="C452" s="108"/>
      <c r="D452" s="108"/>
      <c r="E452" s="108"/>
      <c r="F452" s="11"/>
      <c r="G452" s="107"/>
      <c r="H452" s="108"/>
      <c r="I452" s="11"/>
      <c r="J452" s="11"/>
      <c r="K452" s="11"/>
      <c r="L452" s="11"/>
      <c r="M452" s="11"/>
      <c r="N452" s="11"/>
      <c r="O452" s="11"/>
      <c r="P452" s="3"/>
      <c r="Q452" s="3"/>
      <c r="R452" s="108"/>
      <c r="S452" s="108"/>
      <c r="T452" s="108"/>
      <c r="U452" s="107"/>
      <c r="V452" s="108"/>
      <c r="W452" s="11"/>
      <c r="X452" s="107"/>
      <c r="Y452" s="108"/>
      <c r="Z452" s="11"/>
      <c r="AA452" s="107"/>
      <c r="AB452" s="11"/>
      <c r="AC452" s="107"/>
      <c r="AD452" s="108"/>
      <c r="AE452" s="11"/>
      <c r="AF452" s="107"/>
      <c r="AG452" s="11"/>
      <c r="AH452" s="107"/>
      <c r="AI452" s="11"/>
      <c r="AJ452" s="107"/>
      <c r="AK452" s="11"/>
      <c r="AL452" s="107"/>
      <c r="AM452" s="11"/>
      <c r="AN452" s="11"/>
      <c r="AO452" s="11"/>
      <c r="AP452" s="3"/>
      <c r="AQ452" s="107"/>
      <c r="AR452" s="11"/>
      <c r="AS452" s="107"/>
      <c r="AT452" s="108"/>
      <c r="AU452" s="11"/>
      <c r="AV452" s="11"/>
      <c r="AW452" s="107"/>
      <c r="AX452" s="11"/>
      <c r="AY452" s="107"/>
      <c r="AZ452" s="11"/>
      <c r="BA452" s="107"/>
      <c r="BB452" s="107"/>
      <c r="BC452" s="107"/>
      <c r="BD452" s="11"/>
      <c r="BE452" s="107"/>
      <c r="BF452" s="11"/>
      <c r="BG452" s="11"/>
      <c r="BH452" s="11"/>
      <c r="BI452" s="107"/>
      <c r="BJ452" s="107"/>
      <c r="BK452" s="11"/>
      <c r="BL452" s="11"/>
      <c r="BM452" s="107"/>
      <c r="BN452" s="11"/>
      <c r="BO452" s="107"/>
      <c r="BP452" s="108"/>
      <c r="BQ452" s="11"/>
      <c r="BR452" s="107"/>
      <c r="BS452" s="11"/>
      <c r="BT452" s="107"/>
      <c r="BU452" s="107"/>
      <c r="BV452" s="107"/>
      <c r="BW452" s="107"/>
      <c r="BX452" s="107"/>
      <c r="BY452" s="11"/>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c r="CW452" s="107"/>
      <c r="CX452" s="107"/>
      <c r="CY452" s="107"/>
      <c r="CZ452" s="107"/>
      <c r="DA452" s="107"/>
      <c r="DB452" s="107"/>
      <c r="DC452" s="107"/>
      <c r="DD452" s="107"/>
      <c r="DE452" s="107"/>
      <c r="DF452" s="107"/>
      <c r="DG452" s="107"/>
      <c r="DH452" s="107"/>
      <c r="DI452" s="107"/>
      <c r="DJ452" s="107"/>
      <c r="DK452" s="11"/>
      <c r="DL452" s="11"/>
      <c r="DM452" s="11"/>
      <c r="DN452" s="11"/>
      <c r="DO452" s="11"/>
      <c r="DP452" s="11"/>
      <c r="DQ452" s="11"/>
      <c r="DR452" s="11"/>
      <c r="DS452" s="11"/>
      <c r="DT452" s="11"/>
      <c r="DU452" s="11"/>
      <c r="DV452" s="11"/>
      <c r="DW452" s="11"/>
      <c r="DX452" s="11"/>
      <c r="DY452" s="11"/>
      <c r="DZ452" s="11"/>
      <c r="EA452" s="11"/>
      <c r="EB452" s="11"/>
      <c r="EC452" s="107"/>
      <c r="ED452" s="107"/>
      <c r="EE452" s="11"/>
      <c r="EF452" s="107"/>
      <c r="EG452" s="108"/>
      <c r="EH452" s="11"/>
      <c r="EI452" s="107"/>
      <c r="EJ452" s="107"/>
      <c r="EK452" s="107"/>
      <c r="EL452" s="107"/>
      <c r="EM452" s="107"/>
      <c r="EN452" s="107"/>
      <c r="EO452" s="107"/>
      <c r="EP452" s="107"/>
      <c r="EQ452" s="107"/>
      <c r="ER452" s="107"/>
      <c r="ES452" s="107"/>
      <c r="ET452" s="107"/>
      <c r="EU452" s="107"/>
      <c r="EV452" s="107"/>
      <c r="EW452" s="107"/>
      <c r="EX452" s="107"/>
      <c r="EY452" s="107"/>
      <c r="EZ452" s="107"/>
      <c r="FA452" s="107"/>
      <c r="FB452" s="107"/>
      <c r="FC452" s="107"/>
      <c r="FD452" s="107"/>
      <c r="FE452" s="107"/>
      <c r="FF452" s="107"/>
      <c r="FG452" s="107"/>
      <c r="FH452" s="107"/>
      <c r="FI452" s="107"/>
      <c r="FJ452" s="107"/>
      <c r="FK452" s="107"/>
      <c r="FL452" s="107"/>
      <c r="FM452" s="107"/>
      <c r="FN452" s="107"/>
      <c r="FO452" s="11"/>
      <c r="FP452" s="11"/>
      <c r="FQ452" s="11"/>
      <c r="FR452" s="11"/>
      <c r="FS452" s="11"/>
      <c r="FT452" s="11"/>
      <c r="FU452" s="11"/>
      <c r="FV452" s="11"/>
      <c r="FW452" s="11"/>
      <c r="FX452" s="11"/>
      <c r="FY452" s="3"/>
      <c r="FZ452" s="270"/>
      <c r="GA452" s="270"/>
    </row>
    <row r="453" spans="1:183" s="268" customFormat="1" x14ac:dyDescent="0.25">
      <c r="A453" s="107"/>
      <c r="B453" s="108"/>
      <c r="C453" s="108"/>
      <c r="D453" s="108"/>
      <c r="E453" s="108"/>
      <c r="F453" s="11"/>
      <c r="G453" s="107"/>
      <c r="H453" s="108"/>
      <c r="I453" s="11"/>
      <c r="J453" s="11"/>
      <c r="K453" s="11"/>
      <c r="L453" s="11"/>
      <c r="M453" s="11"/>
      <c r="N453" s="11"/>
      <c r="O453" s="11"/>
      <c r="P453" s="3"/>
      <c r="Q453" s="3"/>
      <c r="R453" s="108"/>
      <c r="S453" s="108"/>
      <c r="T453" s="108"/>
      <c r="U453" s="107"/>
      <c r="V453" s="108"/>
      <c r="W453" s="11"/>
      <c r="X453" s="107"/>
      <c r="Y453" s="108"/>
      <c r="Z453" s="11"/>
      <c r="AA453" s="107"/>
      <c r="AB453" s="11"/>
      <c r="AC453" s="107"/>
      <c r="AD453" s="108"/>
      <c r="AE453" s="11"/>
      <c r="AF453" s="107"/>
      <c r="AG453" s="11"/>
      <c r="AH453" s="107"/>
      <c r="AI453" s="11"/>
      <c r="AJ453" s="107"/>
      <c r="AK453" s="11"/>
      <c r="AL453" s="107"/>
      <c r="AM453" s="11"/>
      <c r="AN453" s="11"/>
      <c r="AO453" s="11"/>
      <c r="AP453" s="3"/>
      <c r="AQ453" s="107"/>
      <c r="AR453" s="11"/>
      <c r="AS453" s="107"/>
      <c r="AT453" s="108"/>
      <c r="AU453" s="11"/>
      <c r="AV453" s="11"/>
      <c r="AW453" s="107"/>
      <c r="AX453" s="11"/>
      <c r="AY453" s="107"/>
      <c r="AZ453" s="11"/>
      <c r="BA453" s="107"/>
      <c r="BB453" s="107"/>
      <c r="BC453" s="107"/>
      <c r="BD453" s="11"/>
      <c r="BE453" s="107"/>
      <c r="BF453" s="11"/>
      <c r="BG453" s="11"/>
      <c r="BH453" s="11"/>
      <c r="BI453" s="107"/>
      <c r="BJ453" s="107"/>
      <c r="BK453" s="11"/>
      <c r="BL453" s="11"/>
      <c r="BM453" s="107"/>
      <c r="BN453" s="11"/>
      <c r="BO453" s="107"/>
      <c r="BP453" s="108"/>
      <c r="BQ453" s="11"/>
      <c r="BR453" s="107"/>
      <c r="BS453" s="11"/>
      <c r="BT453" s="107"/>
      <c r="BU453" s="107"/>
      <c r="BV453" s="107"/>
      <c r="BW453" s="107"/>
      <c r="BX453" s="107"/>
      <c r="BY453" s="11"/>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c r="CW453" s="107"/>
      <c r="CX453" s="107"/>
      <c r="CY453" s="107"/>
      <c r="CZ453" s="107"/>
      <c r="DA453" s="107"/>
      <c r="DB453" s="107"/>
      <c r="DC453" s="107"/>
      <c r="DD453" s="107"/>
      <c r="DE453" s="107"/>
      <c r="DF453" s="107"/>
      <c r="DG453" s="107"/>
      <c r="DH453" s="107"/>
      <c r="DI453" s="107"/>
      <c r="DJ453" s="107"/>
      <c r="DK453" s="11"/>
      <c r="DL453" s="11"/>
      <c r="DM453" s="11"/>
      <c r="DN453" s="11"/>
      <c r="DO453" s="11"/>
      <c r="DP453" s="11"/>
      <c r="DQ453" s="11"/>
      <c r="DR453" s="11"/>
      <c r="DS453" s="11"/>
      <c r="DT453" s="11"/>
      <c r="DU453" s="11"/>
      <c r="DV453" s="11"/>
      <c r="DW453" s="11"/>
      <c r="DX453" s="11"/>
      <c r="DY453" s="11"/>
      <c r="DZ453" s="11"/>
      <c r="EA453" s="11"/>
      <c r="EB453" s="11"/>
      <c r="EC453" s="107"/>
      <c r="ED453" s="107"/>
      <c r="EE453" s="11"/>
      <c r="EF453" s="107"/>
      <c r="EG453" s="108"/>
      <c r="EH453" s="11"/>
      <c r="EI453" s="107"/>
      <c r="EJ453" s="107"/>
      <c r="EK453" s="107"/>
      <c r="EL453" s="107"/>
      <c r="EM453" s="107"/>
      <c r="EN453" s="107"/>
      <c r="EO453" s="107"/>
      <c r="EP453" s="107"/>
      <c r="EQ453" s="107"/>
      <c r="ER453" s="107"/>
      <c r="ES453" s="107"/>
      <c r="ET453" s="107"/>
      <c r="EU453" s="107"/>
      <c r="EV453" s="107"/>
      <c r="EW453" s="107"/>
      <c r="EX453" s="107"/>
      <c r="EY453" s="107"/>
      <c r="EZ453" s="107"/>
      <c r="FA453" s="107"/>
      <c r="FB453" s="107"/>
      <c r="FC453" s="107"/>
      <c r="FD453" s="107"/>
      <c r="FE453" s="107"/>
      <c r="FF453" s="107"/>
      <c r="FG453" s="107"/>
      <c r="FH453" s="107"/>
      <c r="FI453" s="107"/>
      <c r="FJ453" s="107"/>
      <c r="FK453" s="107"/>
      <c r="FL453" s="107"/>
      <c r="FM453" s="107"/>
      <c r="FN453" s="107"/>
      <c r="FO453" s="11"/>
      <c r="FP453" s="11"/>
      <c r="FQ453" s="11"/>
      <c r="FR453" s="11"/>
      <c r="FS453" s="11"/>
      <c r="FT453" s="11"/>
      <c r="FU453" s="11"/>
      <c r="FV453" s="11"/>
      <c r="FW453" s="11"/>
      <c r="FX453" s="11"/>
      <c r="FY453" s="3"/>
      <c r="FZ453" s="270"/>
      <c r="GA453" s="270"/>
    </row>
    <row r="454" spans="1:183" s="268" customFormat="1" x14ac:dyDescent="0.25">
      <c r="A454" s="107"/>
      <c r="B454" s="108"/>
      <c r="C454" s="108"/>
      <c r="D454" s="108"/>
      <c r="E454" s="108"/>
      <c r="F454" s="11"/>
      <c r="G454" s="107"/>
      <c r="H454" s="108"/>
      <c r="I454" s="11"/>
      <c r="J454" s="11"/>
      <c r="K454" s="11"/>
      <c r="L454" s="11"/>
      <c r="M454" s="11"/>
      <c r="N454" s="11"/>
      <c r="O454" s="11"/>
      <c r="P454" s="3"/>
      <c r="Q454" s="3"/>
      <c r="R454" s="108"/>
      <c r="S454" s="108"/>
      <c r="T454" s="108"/>
      <c r="U454" s="107"/>
      <c r="V454" s="108"/>
      <c r="W454" s="11"/>
      <c r="X454" s="107"/>
      <c r="Y454" s="108"/>
      <c r="Z454" s="11"/>
      <c r="AA454" s="107"/>
      <c r="AB454" s="11"/>
      <c r="AC454" s="107"/>
      <c r="AD454" s="108"/>
      <c r="AE454" s="11"/>
      <c r="AF454" s="107"/>
      <c r="AG454" s="11"/>
      <c r="AH454" s="107"/>
      <c r="AI454" s="11"/>
      <c r="AJ454" s="107"/>
      <c r="AK454" s="11"/>
      <c r="AL454" s="107"/>
      <c r="AM454" s="11"/>
      <c r="AN454" s="11"/>
      <c r="AO454" s="11"/>
      <c r="AP454" s="3"/>
      <c r="AQ454" s="107"/>
      <c r="AR454" s="11"/>
      <c r="AS454" s="107"/>
      <c r="AT454" s="108"/>
      <c r="AU454" s="11"/>
      <c r="AV454" s="11"/>
      <c r="AW454" s="107"/>
      <c r="AX454" s="11"/>
      <c r="AY454" s="107"/>
      <c r="AZ454" s="11"/>
      <c r="BA454" s="107"/>
      <c r="BB454" s="107"/>
      <c r="BC454" s="107"/>
      <c r="BD454" s="11"/>
      <c r="BE454" s="107"/>
      <c r="BF454" s="11"/>
      <c r="BG454" s="11"/>
      <c r="BH454" s="11"/>
      <c r="BI454" s="107"/>
      <c r="BJ454" s="107"/>
      <c r="BK454" s="11"/>
      <c r="BL454" s="11"/>
      <c r="BM454" s="107"/>
      <c r="BN454" s="11"/>
      <c r="BO454" s="107"/>
      <c r="BP454" s="108"/>
      <c r="BQ454" s="11"/>
      <c r="BR454" s="107"/>
      <c r="BS454" s="11"/>
      <c r="BT454" s="107"/>
      <c r="BU454" s="107"/>
      <c r="BV454" s="107"/>
      <c r="BW454" s="107"/>
      <c r="BX454" s="107"/>
      <c r="BY454" s="11"/>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c r="CW454" s="107"/>
      <c r="CX454" s="107"/>
      <c r="CY454" s="107"/>
      <c r="CZ454" s="107"/>
      <c r="DA454" s="107"/>
      <c r="DB454" s="107"/>
      <c r="DC454" s="107"/>
      <c r="DD454" s="107"/>
      <c r="DE454" s="107"/>
      <c r="DF454" s="107"/>
      <c r="DG454" s="107"/>
      <c r="DH454" s="107"/>
      <c r="DI454" s="107"/>
      <c r="DJ454" s="107"/>
      <c r="DK454" s="11"/>
      <c r="DL454" s="11"/>
      <c r="DM454" s="11"/>
      <c r="DN454" s="11"/>
      <c r="DO454" s="11"/>
      <c r="DP454" s="11"/>
      <c r="DQ454" s="11"/>
      <c r="DR454" s="11"/>
      <c r="DS454" s="11"/>
      <c r="DT454" s="11"/>
      <c r="DU454" s="11"/>
      <c r="DV454" s="11"/>
      <c r="DW454" s="11"/>
      <c r="DX454" s="11"/>
      <c r="DY454" s="11"/>
      <c r="DZ454" s="11"/>
      <c r="EA454" s="11"/>
      <c r="EB454" s="11"/>
      <c r="EC454" s="107"/>
      <c r="ED454" s="107"/>
      <c r="EE454" s="11"/>
      <c r="EF454" s="107"/>
      <c r="EG454" s="108"/>
      <c r="EH454" s="11"/>
      <c r="EI454" s="107"/>
      <c r="EJ454" s="107"/>
      <c r="EK454" s="107"/>
      <c r="EL454" s="107"/>
      <c r="EM454" s="107"/>
      <c r="EN454" s="107"/>
      <c r="EO454" s="107"/>
      <c r="EP454" s="107"/>
      <c r="EQ454" s="107"/>
      <c r="ER454" s="107"/>
      <c r="ES454" s="107"/>
      <c r="ET454" s="107"/>
      <c r="EU454" s="107"/>
      <c r="EV454" s="107"/>
      <c r="EW454" s="107"/>
      <c r="EX454" s="107"/>
      <c r="EY454" s="107"/>
      <c r="EZ454" s="107"/>
      <c r="FA454" s="107"/>
      <c r="FB454" s="107"/>
      <c r="FC454" s="107"/>
      <c r="FD454" s="107"/>
      <c r="FE454" s="107"/>
      <c r="FF454" s="107"/>
      <c r="FG454" s="107"/>
      <c r="FH454" s="107"/>
      <c r="FI454" s="107"/>
      <c r="FJ454" s="107"/>
      <c r="FK454" s="107"/>
      <c r="FL454" s="107"/>
      <c r="FM454" s="107"/>
      <c r="FN454" s="107"/>
      <c r="FO454" s="11"/>
      <c r="FP454" s="11"/>
      <c r="FQ454" s="11"/>
      <c r="FR454" s="11"/>
      <c r="FS454" s="11"/>
      <c r="FT454" s="11"/>
      <c r="FU454" s="11"/>
      <c r="FV454" s="11"/>
      <c r="FW454" s="11"/>
      <c r="FX454" s="11"/>
      <c r="FY454" s="3"/>
      <c r="FZ454" s="270"/>
      <c r="GA454" s="270"/>
    </row>
    <row r="455" spans="1:183" s="268" customFormat="1" x14ac:dyDescent="0.25">
      <c r="A455" s="107"/>
      <c r="B455" s="108"/>
      <c r="C455" s="108"/>
      <c r="D455" s="108"/>
      <c r="E455" s="108"/>
      <c r="F455" s="11"/>
      <c r="G455" s="107"/>
      <c r="H455" s="108"/>
      <c r="I455" s="11"/>
      <c r="J455" s="11"/>
      <c r="K455" s="11"/>
      <c r="L455" s="11"/>
      <c r="M455" s="11"/>
      <c r="N455" s="11"/>
      <c r="O455" s="11"/>
      <c r="P455" s="3"/>
      <c r="Q455" s="3"/>
      <c r="R455" s="108"/>
      <c r="S455" s="108"/>
      <c r="T455" s="108"/>
      <c r="U455" s="107"/>
      <c r="V455" s="108"/>
      <c r="W455" s="11"/>
      <c r="X455" s="107"/>
      <c r="Y455" s="108"/>
      <c r="Z455" s="11"/>
      <c r="AA455" s="107"/>
      <c r="AB455" s="11"/>
      <c r="AC455" s="107"/>
      <c r="AD455" s="108"/>
      <c r="AE455" s="11"/>
      <c r="AF455" s="107"/>
      <c r="AG455" s="11"/>
      <c r="AH455" s="107"/>
      <c r="AI455" s="11"/>
      <c r="AJ455" s="107"/>
      <c r="AK455" s="11"/>
      <c r="AL455" s="107"/>
      <c r="AM455" s="11"/>
      <c r="AN455" s="11"/>
      <c r="AO455" s="11"/>
      <c r="AP455" s="3"/>
      <c r="AQ455" s="107"/>
      <c r="AR455" s="11"/>
      <c r="AS455" s="107"/>
      <c r="AT455" s="108"/>
      <c r="AU455" s="11"/>
      <c r="AV455" s="11"/>
      <c r="AW455" s="107"/>
      <c r="AX455" s="11"/>
      <c r="AY455" s="107"/>
      <c r="AZ455" s="11"/>
      <c r="BA455" s="107"/>
      <c r="BB455" s="107"/>
      <c r="BC455" s="107"/>
      <c r="BD455" s="11"/>
      <c r="BE455" s="107"/>
      <c r="BF455" s="11"/>
      <c r="BG455" s="11"/>
      <c r="BH455" s="11"/>
      <c r="BI455" s="107"/>
      <c r="BJ455" s="107"/>
      <c r="BK455" s="11"/>
      <c r="BL455" s="11"/>
      <c r="BM455" s="107"/>
      <c r="BN455" s="11"/>
      <c r="BO455" s="107"/>
      <c r="BP455" s="108"/>
      <c r="BQ455" s="11"/>
      <c r="BR455" s="107"/>
      <c r="BS455" s="11"/>
      <c r="BT455" s="107"/>
      <c r="BU455" s="107"/>
      <c r="BV455" s="107"/>
      <c r="BW455" s="107"/>
      <c r="BX455" s="107"/>
      <c r="BY455" s="11"/>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c r="CW455" s="107"/>
      <c r="CX455" s="107"/>
      <c r="CY455" s="107"/>
      <c r="CZ455" s="107"/>
      <c r="DA455" s="107"/>
      <c r="DB455" s="107"/>
      <c r="DC455" s="107"/>
      <c r="DD455" s="107"/>
      <c r="DE455" s="107"/>
      <c r="DF455" s="107"/>
      <c r="DG455" s="107"/>
      <c r="DH455" s="107"/>
      <c r="DI455" s="107"/>
      <c r="DJ455" s="107"/>
      <c r="DK455" s="11"/>
      <c r="DL455" s="11"/>
      <c r="DM455" s="11"/>
      <c r="DN455" s="11"/>
      <c r="DO455" s="11"/>
      <c r="DP455" s="11"/>
      <c r="DQ455" s="11"/>
      <c r="DR455" s="11"/>
      <c r="DS455" s="11"/>
      <c r="DT455" s="11"/>
      <c r="DU455" s="11"/>
      <c r="DV455" s="11"/>
      <c r="DW455" s="11"/>
      <c r="DX455" s="11"/>
      <c r="DY455" s="11"/>
      <c r="DZ455" s="11"/>
      <c r="EA455" s="11"/>
      <c r="EB455" s="11"/>
      <c r="EC455" s="107"/>
      <c r="ED455" s="107"/>
      <c r="EE455" s="11"/>
      <c r="EF455" s="107"/>
      <c r="EG455" s="108"/>
      <c r="EH455" s="11"/>
      <c r="EI455" s="107"/>
      <c r="EJ455" s="107"/>
      <c r="EK455" s="107"/>
      <c r="EL455" s="107"/>
      <c r="EM455" s="107"/>
      <c r="EN455" s="107"/>
      <c r="EO455" s="107"/>
      <c r="EP455" s="107"/>
      <c r="EQ455" s="107"/>
      <c r="ER455" s="107"/>
      <c r="ES455" s="107"/>
      <c r="ET455" s="107"/>
      <c r="EU455" s="107"/>
      <c r="EV455" s="107"/>
      <c r="EW455" s="107"/>
      <c r="EX455" s="107"/>
      <c r="EY455" s="107"/>
      <c r="EZ455" s="107"/>
      <c r="FA455" s="107"/>
      <c r="FB455" s="107"/>
      <c r="FC455" s="107"/>
      <c r="FD455" s="107"/>
      <c r="FE455" s="107"/>
      <c r="FF455" s="107"/>
      <c r="FG455" s="107"/>
      <c r="FH455" s="107"/>
      <c r="FI455" s="107"/>
      <c r="FJ455" s="107"/>
      <c r="FK455" s="107"/>
      <c r="FL455" s="107"/>
      <c r="FM455" s="107"/>
      <c r="FN455" s="107"/>
      <c r="FO455" s="11"/>
      <c r="FP455" s="11"/>
      <c r="FQ455" s="11"/>
      <c r="FR455" s="11"/>
      <c r="FS455" s="11"/>
      <c r="FT455" s="11"/>
      <c r="FU455" s="11"/>
      <c r="FV455" s="11"/>
      <c r="FW455" s="11"/>
      <c r="FX455" s="11"/>
      <c r="FY455" s="3"/>
      <c r="FZ455" s="270"/>
      <c r="GA455" s="270"/>
    </row>
    <row r="456" spans="1:183" s="268" customFormat="1" x14ac:dyDescent="0.25">
      <c r="A456" s="107"/>
      <c r="B456" s="108"/>
      <c r="C456" s="108"/>
      <c r="D456" s="108"/>
      <c r="E456" s="108"/>
      <c r="F456" s="11"/>
      <c r="G456" s="107"/>
      <c r="H456" s="108"/>
      <c r="I456" s="11"/>
      <c r="J456" s="11"/>
      <c r="K456" s="11"/>
      <c r="L456" s="11"/>
      <c r="M456" s="11"/>
      <c r="N456" s="11"/>
      <c r="O456" s="11"/>
      <c r="P456" s="3"/>
      <c r="Q456" s="3"/>
      <c r="R456" s="108"/>
      <c r="S456" s="108"/>
      <c r="T456" s="108"/>
      <c r="U456" s="107"/>
      <c r="V456" s="108"/>
      <c r="W456" s="11"/>
      <c r="X456" s="107"/>
      <c r="Y456" s="108"/>
      <c r="Z456" s="11"/>
      <c r="AA456" s="107"/>
      <c r="AB456" s="11"/>
      <c r="AC456" s="107"/>
      <c r="AD456" s="108"/>
      <c r="AE456" s="11"/>
      <c r="AF456" s="107"/>
      <c r="AG456" s="11"/>
      <c r="AH456" s="107"/>
      <c r="AI456" s="11"/>
      <c r="AJ456" s="107"/>
      <c r="AK456" s="11"/>
      <c r="AL456" s="107"/>
      <c r="AM456" s="11"/>
      <c r="AN456" s="11"/>
      <c r="AO456" s="11"/>
      <c r="AP456" s="3"/>
      <c r="AQ456" s="107"/>
      <c r="AR456" s="11"/>
      <c r="AS456" s="107"/>
      <c r="AT456" s="108"/>
      <c r="AU456" s="11"/>
      <c r="AV456" s="11"/>
      <c r="AW456" s="107"/>
      <c r="AX456" s="11"/>
      <c r="AY456" s="107"/>
      <c r="AZ456" s="11"/>
      <c r="BA456" s="107"/>
      <c r="BB456" s="107"/>
      <c r="BC456" s="107"/>
      <c r="BD456" s="11"/>
      <c r="BE456" s="107"/>
      <c r="BF456" s="11"/>
      <c r="BG456" s="11"/>
      <c r="BH456" s="11"/>
      <c r="BI456" s="107"/>
      <c r="BJ456" s="107"/>
      <c r="BK456" s="11"/>
      <c r="BL456" s="11"/>
      <c r="BM456" s="107"/>
      <c r="BN456" s="11"/>
      <c r="BO456" s="107"/>
      <c r="BP456" s="108"/>
      <c r="BQ456" s="11"/>
      <c r="BR456" s="107"/>
      <c r="BS456" s="11"/>
      <c r="BT456" s="107"/>
      <c r="BU456" s="107"/>
      <c r="BV456" s="107"/>
      <c r="BW456" s="107"/>
      <c r="BX456" s="107"/>
      <c r="BY456" s="11"/>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1"/>
      <c r="DL456" s="11"/>
      <c r="DM456" s="11"/>
      <c r="DN456" s="11"/>
      <c r="DO456" s="11"/>
      <c r="DP456" s="11"/>
      <c r="DQ456" s="11"/>
      <c r="DR456" s="11"/>
      <c r="DS456" s="11"/>
      <c r="DT456" s="11"/>
      <c r="DU456" s="11"/>
      <c r="DV456" s="11"/>
      <c r="DW456" s="11"/>
      <c r="DX456" s="11"/>
      <c r="DY456" s="11"/>
      <c r="DZ456" s="11"/>
      <c r="EA456" s="11"/>
      <c r="EB456" s="11"/>
      <c r="EC456" s="107"/>
      <c r="ED456" s="107"/>
      <c r="EE456" s="11"/>
      <c r="EF456" s="107"/>
      <c r="EG456" s="108"/>
      <c r="EH456" s="11"/>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107"/>
      <c r="FO456" s="11"/>
      <c r="FP456" s="11"/>
      <c r="FQ456" s="11"/>
      <c r="FR456" s="11"/>
      <c r="FS456" s="11"/>
      <c r="FT456" s="11"/>
      <c r="FU456" s="11"/>
      <c r="FV456" s="11"/>
      <c r="FW456" s="11"/>
      <c r="FX456" s="11"/>
      <c r="FY456" s="3"/>
      <c r="FZ456" s="270"/>
      <c r="GA456" s="270"/>
    </row>
    <row r="457" spans="1:183" s="268" customFormat="1" x14ac:dyDescent="0.25">
      <c r="A457" s="107"/>
      <c r="B457" s="108"/>
      <c r="C457" s="108"/>
      <c r="D457" s="108"/>
      <c r="E457" s="108"/>
      <c r="F457" s="11"/>
      <c r="G457" s="107"/>
      <c r="H457" s="108"/>
      <c r="I457" s="11"/>
      <c r="J457" s="11"/>
      <c r="K457" s="11"/>
      <c r="L457" s="11"/>
      <c r="M457" s="11"/>
      <c r="N457" s="11"/>
      <c r="O457" s="11"/>
      <c r="P457" s="3"/>
      <c r="Q457" s="3"/>
      <c r="R457" s="108"/>
      <c r="S457" s="108"/>
      <c r="T457" s="108"/>
      <c r="U457" s="107"/>
      <c r="V457" s="108"/>
      <c r="W457" s="11"/>
      <c r="X457" s="107"/>
      <c r="Y457" s="108"/>
      <c r="Z457" s="11"/>
      <c r="AA457" s="107"/>
      <c r="AB457" s="11"/>
      <c r="AC457" s="107"/>
      <c r="AD457" s="108"/>
      <c r="AE457" s="11"/>
      <c r="AF457" s="107"/>
      <c r="AG457" s="11"/>
      <c r="AH457" s="107"/>
      <c r="AI457" s="11"/>
      <c r="AJ457" s="107"/>
      <c r="AK457" s="11"/>
      <c r="AL457" s="107"/>
      <c r="AM457" s="11"/>
      <c r="AN457" s="11"/>
      <c r="AO457" s="11"/>
      <c r="AP457" s="3"/>
      <c r="AQ457" s="107"/>
      <c r="AR457" s="11"/>
      <c r="AS457" s="107"/>
      <c r="AT457" s="108"/>
      <c r="AU457" s="11"/>
      <c r="AV457" s="11"/>
      <c r="AW457" s="107"/>
      <c r="AX457" s="11"/>
      <c r="AY457" s="107"/>
      <c r="AZ457" s="11"/>
      <c r="BA457" s="107"/>
      <c r="BB457" s="107"/>
      <c r="BC457" s="107"/>
      <c r="BD457" s="11"/>
      <c r="BE457" s="107"/>
      <c r="BF457" s="11"/>
      <c r="BG457" s="11"/>
      <c r="BH457" s="11"/>
      <c r="BI457" s="107"/>
      <c r="BJ457" s="107"/>
      <c r="BK457" s="11"/>
      <c r="BL457" s="11"/>
      <c r="BM457" s="107"/>
      <c r="BN457" s="11"/>
      <c r="BO457" s="107"/>
      <c r="BP457" s="108"/>
      <c r="BQ457" s="11"/>
      <c r="BR457" s="107"/>
      <c r="BS457" s="11"/>
      <c r="BT457" s="107"/>
      <c r="BU457" s="107"/>
      <c r="BV457" s="107"/>
      <c r="BW457" s="107"/>
      <c r="BX457" s="107"/>
      <c r="BY457" s="11"/>
      <c r="BZ457" s="107"/>
      <c r="CA457" s="107"/>
      <c r="CB457" s="107"/>
      <c r="CC457" s="107"/>
      <c r="CD457" s="107"/>
      <c r="CE457" s="107"/>
      <c r="CF457" s="107"/>
      <c r="CG457" s="107"/>
      <c r="CH457" s="107"/>
      <c r="CI457" s="107"/>
      <c r="CJ457" s="107"/>
      <c r="CK457" s="107"/>
      <c r="CL457" s="107"/>
      <c r="CM457" s="107"/>
      <c r="CN457" s="107"/>
      <c r="CO457" s="107"/>
      <c r="CP457" s="107"/>
      <c r="CQ457" s="107"/>
      <c r="CR457" s="107"/>
      <c r="CS457" s="107"/>
      <c r="CT457" s="107"/>
      <c r="CU457" s="107"/>
      <c r="CV457" s="107"/>
      <c r="CW457" s="107"/>
      <c r="CX457" s="107"/>
      <c r="CY457" s="107"/>
      <c r="CZ457" s="107"/>
      <c r="DA457" s="107"/>
      <c r="DB457" s="107"/>
      <c r="DC457" s="107"/>
      <c r="DD457" s="107"/>
      <c r="DE457" s="107"/>
      <c r="DF457" s="107"/>
      <c r="DG457" s="107"/>
      <c r="DH457" s="107"/>
      <c r="DI457" s="107"/>
      <c r="DJ457" s="107"/>
      <c r="DK457" s="11"/>
      <c r="DL457" s="11"/>
      <c r="DM457" s="11"/>
      <c r="DN457" s="11"/>
      <c r="DO457" s="11"/>
      <c r="DP457" s="11"/>
      <c r="DQ457" s="11"/>
      <c r="DR457" s="11"/>
      <c r="DS457" s="11"/>
      <c r="DT457" s="11"/>
      <c r="DU457" s="11"/>
      <c r="DV457" s="11"/>
      <c r="DW457" s="11"/>
      <c r="DX457" s="11"/>
      <c r="DY457" s="11"/>
      <c r="DZ457" s="11"/>
      <c r="EA457" s="11"/>
      <c r="EB457" s="11"/>
      <c r="EC457" s="107"/>
      <c r="ED457" s="107"/>
      <c r="EE457" s="11"/>
      <c r="EF457" s="107"/>
      <c r="EG457" s="108"/>
      <c r="EH457" s="11"/>
      <c r="EI457" s="107"/>
      <c r="EJ457" s="107"/>
      <c r="EK457" s="107"/>
      <c r="EL457" s="107"/>
      <c r="EM457" s="107"/>
      <c r="EN457" s="107"/>
      <c r="EO457" s="107"/>
      <c r="EP457" s="107"/>
      <c r="EQ457" s="107"/>
      <c r="ER457" s="107"/>
      <c r="ES457" s="107"/>
      <c r="ET457" s="107"/>
      <c r="EU457" s="107"/>
      <c r="EV457" s="107"/>
      <c r="EW457" s="107"/>
      <c r="EX457" s="107"/>
      <c r="EY457" s="107"/>
      <c r="EZ457" s="107"/>
      <c r="FA457" s="107"/>
      <c r="FB457" s="107"/>
      <c r="FC457" s="107"/>
      <c r="FD457" s="107"/>
      <c r="FE457" s="107"/>
      <c r="FF457" s="107"/>
      <c r="FG457" s="107"/>
      <c r="FH457" s="107"/>
      <c r="FI457" s="107"/>
      <c r="FJ457" s="107"/>
      <c r="FK457" s="107"/>
      <c r="FL457" s="107"/>
      <c r="FM457" s="107"/>
      <c r="FN457" s="107"/>
      <c r="FO457" s="11"/>
      <c r="FP457" s="11"/>
      <c r="FQ457" s="11"/>
      <c r="FR457" s="11"/>
      <c r="FS457" s="11"/>
      <c r="FT457" s="11"/>
      <c r="FU457" s="11"/>
      <c r="FV457" s="11"/>
      <c r="FW457" s="11"/>
      <c r="FX457" s="11"/>
      <c r="FY457" s="3"/>
      <c r="FZ457" s="270"/>
      <c r="GA457" s="270"/>
    </row>
    <row r="458" spans="1:183" s="268" customFormat="1" x14ac:dyDescent="0.25">
      <c r="A458" s="107"/>
      <c r="B458" s="108"/>
      <c r="C458" s="108"/>
      <c r="D458" s="108"/>
      <c r="E458" s="108"/>
      <c r="F458" s="11"/>
      <c r="G458" s="107"/>
      <c r="H458" s="108"/>
      <c r="I458" s="11"/>
      <c r="J458" s="11"/>
      <c r="K458" s="11"/>
      <c r="L458" s="11"/>
      <c r="M458" s="11"/>
      <c r="N458" s="11"/>
      <c r="O458" s="11"/>
      <c r="P458" s="3"/>
      <c r="Q458" s="3"/>
      <c r="R458" s="108"/>
      <c r="S458" s="108"/>
      <c r="T458" s="108"/>
      <c r="U458" s="107"/>
      <c r="V458" s="108"/>
      <c r="W458" s="11"/>
      <c r="X458" s="107"/>
      <c r="Y458" s="108"/>
      <c r="Z458" s="11"/>
      <c r="AA458" s="107"/>
      <c r="AB458" s="11"/>
      <c r="AC458" s="107"/>
      <c r="AD458" s="108"/>
      <c r="AE458" s="11"/>
      <c r="AF458" s="107"/>
      <c r="AG458" s="11"/>
      <c r="AH458" s="107"/>
      <c r="AI458" s="11"/>
      <c r="AJ458" s="107"/>
      <c r="AK458" s="11"/>
      <c r="AL458" s="107"/>
      <c r="AM458" s="11"/>
      <c r="AN458" s="11"/>
      <c r="AO458" s="11"/>
      <c r="AP458" s="3"/>
      <c r="AQ458" s="107"/>
      <c r="AR458" s="11"/>
      <c r="AS458" s="107"/>
      <c r="AT458" s="108"/>
      <c r="AU458" s="11"/>
      <c r="AV458" s="11"/>
      <c r="AW458" s="107"/>
      <c r="AX458" s="11"/>
      <c r="AY458" s="107"/>
      <c r="AZ458" s="11"/>
      <c r="BA458" s="107"/>
      <c r="BB458" s="107"/>
      <c r="BC458" s="107"/>
      <c r="BD458" s="11"/>
      <c r="BE458" s="107"/>
      <c r="BF458" s="11"/>
      <c r="BG458" s="11"/>
      <c r="BH458" s="11"/>
      <c r="BI458" s="107"/>
      <c r="BJ458" s="107"/>
      <c r="BK458" s="11"/>
      <c r="BL458" s="11"/>
      <c r="BM458" s="107"/>
      <c r="BN458" s="11"/>
      <c r="BO458" s="107"/>
      <c r="BP458" s="108"/>
      <c r="BQ458" s="11"/>
      <c r="BR458" s="107"/>
      <c r="BS458" s="11"/>
      <c r="BT458" s="107"/>
      <c r="BU458" s="107"/>
      <c r="BV458" s="107"/>
      <c r="BW458" s="107"/>
      <c r="BX458" s="107"/>
      <c r="BY458" s="11"/>
      <c r="BZ458" s="107"/>
      <c r="CA458" s="107"/>
      <c r="CB458" s="107"/>
      <c r="CC458" s="107"/>
      <c r="CD458" s="107"/>
      <c r="CE458" s="107"/>
      <c r="CF458" s="107"/>
      <c r="CG458" s="107"/>
      <c r="CH458" s="107"/>
      <c r="CI458" s="107"/>
      <c r="CJ458" s="107"/>
      <c r="CK458" s="107"/>
      <c r="CL458" s="107"/>
      <c r="CM458" s="107"/>
      <c r="CN458" s="107"/>
      <c r="CO458" s="107"/>
      <c r="CP458" s="107"/>
      <c r="CQ458" s="107"/>
      <c r="CR458" s="107"/>
      <c r="CS458" s="107"/>
      <c r="CT458" s="107"/>
      <c r="CU458" s="107"/>
      <c r="CV458" s="107"/>
      <c r="CW458" s="107"/>
      <c r="CX458" s="107"/>
      <c r="CY458" s="107"/>
      <c r="CZ458" s="107"/>
      <c r="DA458" s="107"/>
      <c r="DB458" s="107"/>
      <c r="DC458" s="107"/>
      <c r="DD458" s="107"/>
      <c r="DE458" s="107"/>
      <c r="DF458" s="107"/>
      <c r="DG458" s="107"/>
      <c r="DH458" s="107"/>
      <c r="DI458" s="107"/>
      <c r="DJ458" s="107"/>
      <c r="DK458" s="11"/>
      <c r="DL458" s="11"/>
      <c r="DM458" s="11"/>
      <c r="DN458" s="11"/>
      <c r="DO458" s="11"/>
      <c r="DP458" s="11"/>
      <c r="DQ458" s="11"/>
      <c r="DR458" s="11"/>
      <c r="DS458" s="11"/>
      <c r="DT458" s="11"/>
      <c r="DU458" s="11"/>
      <c r="DV458" s="11"/>
      <c r="DW458" s="11"/>
      <c r="DX458" s="11"/>
      <c r="DY458" s="11"/>
      <c r="DZ458" s="11"/>
      <c r="EA458" s="11"/>
      <c r="EB458" s="11"/>
      <c r="EC458" s="107"/>
      <c r="ED458" s="107"/>
      <c r="EE458" s="11"/>
      <c r="EF458" s="107"/>
      <c r="EG458" s="108"/>
      <c r="EH458" s="11"/>
      <c r="EI458" s="107"/>
      <c r="EJ458" s="107"/>
      <c r="EK458" s="107"/>
      <c r="EL458" s="107"/>
      <c r="EM458" s="107"/>
      <c r="EN458" s="107"/>
      <c r="EO458" s="107"/>
      <c r="EP458" s="107"/>
      <c r="EQ458" s="107"/>
      <c r="ER458" s="107"/>
      <c r="ES458" s="107"/>
      <c r="ET458" s="107"/>
      <c r="EU458" s="107"/>
      <c r="EV458" s="107"/>
      <c r="EW458" s="107"/>
      <c r="EX458" s="107"/>
      <c r="EY458" s="107"/>
      <c r="EZ458" s="107"/>
      <c r="FA458" s="107"/>
      <c r="FB458" s="107"/>
      <c r="FC458" s="107"/>
      <c r="FD458" s="107"/>
      <c r="FE458" s="107"/>
      <c r="FF458" s="107"/>
      <c r="FG458" s="107"/>
      <c r="FH458" s="107"/>
      <c r="FI458" s="107"/>
      <c r="FJ458" s="107"/>
      <c r="FK458" s="107"/>
      <c r="FL458" s="107"/>
      <c r="FM458" s="107"/>
      <c r="FN458" s="107"/>
      <c r="FO458" s="11"/>
      <c r="FP458" s="11"/>
      <c r="FQ458" s="11"/>
      <c r="FR458" s="11"/>
      <c r="FS458" s="11"/>
      <c r="FT458" s="11"/>
      <c r="FU458" s="11"/>
      <c r="FV458" s="11"/>
      <c r="FW458" s="11"/>
      <c r="FX458" s="11"/>
      <c r="FY458" s="3"/>
      <c r="FZ458" s="270"/>
      <c r="GA458" s="270"/>
    </row>
    <row r="459" spans="1:183" s="268" customFormat="1" x14ac:dyDescent="0.25">
      <c r="A459" s="107"/>
      <c r="B459" s="108"/>
      <c r="C459" s="108"/>
      <c r="D459" s="108"/>
      <c r="E459" s="108"/>
      <c r="F459" s="11"/>
      <c r="G459" s="107"/>
      <c r="H459" s="108"/>
      <c r="I459" s="11"/>
      <c r="J459" s="11"/>
      <c r="K459" s="11"/>
      <c r="L459" s="11"/>
      <c r="M459" s="11"/>
      <c r="N459" s="11"/>
      <c r="O459" s="11"/>
      <c r="P459" s="3"/>
      <c r="Q459" s="3"/>
      <c r="R459" s="108"/>
      <c r="S459" s="108"/>
      <c r="T459" s="108"/>
      <c r="U459" s="107"/>
      <c r="V459" s="108"/>
      <c r="W459" s="11"/>
      <c r="X459" s="107"/>
      <c r="Y459" s="108"/>
      <c r="Z459" s="11"/>
      <c r="AA459" s="107"/>
      <c r="AB459" s="11"/>
      <c r="AC459" s="107"/>
      <c r="AD459" s="108"/>
      <c r="AE459" s="11"/>
      <c r="AF459" s="107"/>
      <c r="AG459" s="11"/>
      <c r="AH459" s="107"/>
      <c r="AI459" s="11"/>
      <c r="AJ459" s="107"/>
      <c r="AK459" s="11"/>
      <c r="AL459" s="107"/>
      <c r="AM459" s="11"/>
      <c r="AN459" s="11"/>
      <c r="AO459" s="11"/>
      <c r="AP459" s="3"/>
      <c r="AQ459" s="107"/>
      <c r="AR459" s="11"/>
      <c r="AS459" s="107"/>
      <c r="AT459" s="108"/>
      <c r="AU459" s="11"/>
      <c r="AV459" s="11"/>
      <c r="AW459" s="107"/>
      <c r="AX459" s="11"/>
      <c r="AY459" s="107"/>
      <c r="AZ459" s="11"/>
      <c r="BA459" s="107"/>
      <c r="BB459" s="107"/>
      <c r="BC459" s="107"/>
      <c r="BD459" s="11"/>
      <c r="BE459" s="107"/>
      <c r="BF459" s="11"/>
      <c r="BG459" s="11"/>
      <c r="BH459" s="11"/>
      <c r="BI459" s="107"/>
      <c r="BJ459" s="107"/>
      <c r="BK459" s="11"/>
      <c r="BL459" s="11"/>
      <c r="BM459" s="107"/>
      <c r="BN459" s="11"/>
      <c r="BO459" s="107"/>
      <c r="BP459" s="108"/>
      <c r="BQ459" s="11"/>
      <c r="BR459" s="107"/>
      <c r="BS459" s="11"/>
      <c r="BT459" s="107"/>
      <c r="BU459" s="107"/>
      <c r="BV459" s="107"/>
      <c r="BW459" s="107"/>
      <c r="BX459" s="107"/>
      <c r="BY459" s="11"/>
      <c r="BZ459" s="107"/>
      <c r="CA459" s="107"/>
      <c r="CB459" s="107"/>
      <c r="CC459" s="107"/>
      <c r="CD459" s="107"/>
      <c r="CE459" s="107"/>
      <c r="CF459" s="107"/>
      <c r="CG459" s="107"/>
      <c r="CH459" s="107"/>
      <c r="CI459" s="107"/>
      <c r="CJ459" s="107"/>
      <c r="CK459" s="107"/>
      <c r="CL459" s="107"/>
      <c r="CM459" s="107"/>
      <c r="CN459" s="107"/>
      <c r="CO459" s="107"/>
      <c r="CP459" s="107"/>
      <c r="CQ459" s="107"/>
      <c r="CR459" s="107"/>
      <c r="CS459" s="107"/>
      <c r="CT459" s="107"/>
      <c r="CU459" s="107"/>
      <c r="CV459" s="107"/>
      <c r="CW459" s="107"/>
      <c r="CX459" s="107"/>
      <c r="CY459" s="107"/>
      <c r="CZ459" s="107"/>
      <c r="DA459" s="107"/>
      <c r="DB459" s="107"/>
      <c r="DC459" s="107"/>
      <c r="DD459" s="107"/>
      <c r="DE459" s="107"/>
      <c r="DF459" s="107"/>
      <c r="DG459" s="107"/>
      <c r="DH459" s="107"/>
      <c r="DI459" s="107"/>
      <c r="DJ459" s="107"/>
      <c r="DK459" s="11"/>
      <c r="DL459" s="11"/>
      <c r="DM459" s="11"/>
      <c r="DN459" s="11"/>
      <c r="DO459" s="11"/>
      <c r="DP459" s="11"/>
      <c r="DQ459" s="11"/>
      <c r="DR459" s="11"/>
      <c r="DS459" s="11"/>
      <c r="DT459" s="11"/>
      <c r="DU459" s="11"/>
      <c r="DV459" s="11"/>
      <c r="DW459" s="11"/>
      <c r="DX459" s="11"/>
      <c r="DY459" s="11"/>
      <c r="DZ459" s="11"/>
      <c r="EA459" s="11"/>
      <c r="EB459" s="11"/>
      <c r="EC459" s="107"/>
      <c r="ED459" s="107"/>
      <c r="EE459" s="11"/>
      <c r="EF459" s="107"/>
      <c r="EG459" s="108"/>
      <c r="EH459" s="11"/>
      <c r="EI459" s="107"/>
      <c r="EJ459" s="107"/>
      <c r="EK459" s="107"/>
      <c r="EL459" s="107"/>
      <c r="EM459" s="107"/>
      <c r="EN459" s="107"/>
      <c r="EO459" s="107"/>
      <c r="EP459" s="107"/>
      <c r="EQ459" s="107"/>
      <c r="ER459" s="107"/>
      <c r="ES459" s="107"/>
      <c r="ET459" s="107"/>
      <c r="EU459" s="107"/>
      <c r="EV459" s="107"/>
      <c r="EW459" s="107"/>
      <c r="EX459" s="107"/>
      <c r="EY459" s="107"/>
      <c r="EZ459" s="107"/>
      <c r="FA459" s="107"/>
      <c r="FB459" s="107"/>
      <c r="FC459" s="107"/>
      <c r="FD459" s="107"/>
      <c r="FE459" s="107"/>
      <c r="FF459" s="107"/>
      <c r="FG459" s="107"/>
      <c r="FH459" s="107"/>
      <c r="FI459" s="107"/>
      <c r="FJ459" s="107"/>
      <c r="FK459" s="107"/>
      <c r="FL459" s="107"/>
      <c r="FM459" s="107"/>
      <c r="FN459" s="107"/>
      <c r="FO459" s="11"/>
      <c r="FP459" s="11"/>
      <c r="FQ459" s="11"/>
      <c r="FR459" s="11"/>
      <c r="FS459" s="11"/>
      <c r="FT459" s="11"/>
      <c r="FU459" s="11"/>
      <c r="FV459" s="11"/>
      <c r="FW459" s="11"/>
      <c r="FX459" s="11"/>
      <c r="FY459" s="3"/>
      <c r="FZ459" s="270"/>
      <c r="GA459" s="270"/>
    </row>
    <row r="460" spans="1:183" s="268" customFormat="1" x14ac:dyDescent="0.25">
      <c r="A460" s="107"/>
      <c r="B460" s="108"/>
      <c r="C460" s="108"/>
      <c r="D460" s="108"/>
      <c r="E460" s="108"/>
      <c r="F460" s="11"/>
      <c r="G460" s="107"/>
      <c r="H460" s="108"/>
      <c r="I460" s="11"/>
      <c r="J460" s="11"/>
      <c r="K460" s="11"/>
      <c r="L460" s="11"/>
      <c r="M460" s="11"/>
      <c r="N460" s="11"/>
      <c r="O460" s="11"/>
      <c r="P460" s="3"/>
      <c r="Q460" s="3"/>
      <c r="R460" s="108"/>
      <c r="S460" s="108"/>
      <c r="T460" s="108"/>
      <c r="U460" s="107"/>
      <c r="V460" s="108"/>
      <c r="W460" s="11"/>
      <c r="X460" s="107"/>
      <c r="Y460" s="108"/>
      <c r="Z460" s="11"/>
      <c r="AA460" s="107"/>
      <c r="AB460" s="11"/>
      <c r="AC460" s="107"/>
      <c r="AD460" s="108"/>
      <c r="AE460" s="11"/>
      <c r="AF460" s="107"/>
      <c r="AG460" s="11"/>
      <c r="AH460" s="107"/>
      <c r="AI460" s="11"/>
      <c r="AJ460" s="107"/>
      <c r="AK460" s="11"/>
      <c r="AL460" s="107"/>
      <c r="AM460" s="11"/>
      <c r="AN460" s="11"/>
      <c r="AO460" s="11"/>
      <c r="AP460" s="3"/>
      <c r="AQ460" s="107"/>
      <c r="AR460" s="11"/>
      <c r="AS460" s="107"/>
      <c r="AT460" s="108"/>
      <c r="AU460" s="11"/>
      <c r="AV460" s="11"/>
      <c r="AW460" s="107"/>
      <c r="AX460" s="11"/>
      <c r="AY460" s="107"/>
      <c r="AZ460" s="11"/>
      <c r="BA460" s="107"/>
      <c r="BB460" s="107"/>
      <c r="BC460" s="107"/>
      <c r="BD460" s="11"/>
      <c r="BE460" s="107"/>
      <c r="BF460" s="11"/>
      <c r="BG460" s="11"/>
      <c r="BH460" s="11"/>
      <c r="BI460" s="107"/>
      <c r="BJ460" s="107"/>
      <c r="BK460" s="11"/>
      <c r="BL460" s="11"/>
      <c r="BM460" s="107"/>
      <c r="BN460" s="11"/>
      <c r="BO460" s="107"/>
      <c r="BP460" s="108"/>
      <c r="BQ460" s="11"/>
      <c r="BR460" s="107"/>
      <c r="BS460" s="11"/>
      <c r="BT460" s="107"/>
      <c r="BU460" s="107"/>
      <c r="BV460" s="107"/>
      <c r="BW460" s="107"/>
      <c r="BX460" s="107"/>
      <c r="BY460" s="11"/>
      <c r="BZ460" s="107"/>
      <c r="CA460" s="107"/>
      <c r="CB460" s="107"/>
      <c r="CC460" s="107"/>
      <c r="CD460" s="107"/>
      <c r="CE460" s="107"/>
      <c r="CF460" s="107"/>
      <c r="CG460" s="107"/>
      <c r="CH460" s="107"/>
      <c r="CI460" s="107"/>
      <c r="CJ460" s="107"/>
      <c r="CK460" s="107"/>
      <c r="CL460" s="107"/>
      <c r="CM460" s="107"/>
      <c r="CN460" s="107"/>
      <c r="CO460" s="107"/>
      <c r="CP460" s="107"/>
      <c r="CQ460" s="107"/>
      <c r="CR460" s="107"/>
      <c r="CS460" s="107"/>
      <c r="CT460" s="107"/>
      <c r="CU460" s="107"/>
      <c r="CV460" s="107"/>
      <c r="CW460" s="107"/>
      <c r="CX460" s="107"/>
      <c r="CY460" s="107"/>
      <c r="CZ460" s="107"/>
      <c r="DA460" s="107"/>
      <c r="DB460" s="107"/>
      <c r="DC460" s="107"/>
      <c r="DD460" s="107"/>
      <c r="DE460" s="107"/>
      <c r="DF460" s="107"/>
      <c r="DG460" s="107"/>
      <c r="DH460" s="107"/>
      <c r="DI460" s="107"/>
      <c r="DJ460" s="107"/>
      <c r="DK460" s="11"/>
      <c r="DL460" s="11"/>
      <c r="DM460" s="11"/>
      <c r="DN460" s="11"/>
      <c r="DO460" s="11"/>
      <c r="DP460" s="11"/>
      <c r="DQ460" s="11"/>
      <c r="DR460" s="11"/>
      <c r="DS460" s="11"/>
      <c r="DT460" s="11"/>
      <c r="DU460" s="11"/>
      <c r="DV460" s="11"/>
      <c r="DW460" s="11"/>
      <c r="DX460" s="11"/>
      <c r="DY460" s="11"/>
      <c r="DZ460" s="11"/>
      <c r="EA460" s="11"/>
      <c r="EB460" s="11"/>
      <c r="EC460" s="107"/>
      <c r="ED460" s="107"/>
      <c r="EE460" s="11"/>
      <c r="EF460" s="107"/>
      <c r="EG460" s="108"/>
      <c r="EH460" s="11"/>
      <c r="EI460" s="107"/>
      <c r="EJ460" s="107"/>
      <c r="EK460" s="107"/>
      <c r="EL460" s="107"/>
      <c r="EM460" s="107"/>
      <c r="EN460" s="107"/>
      <c r="EO460" s="107"/>
      <c r="EP460" s="107"/>
      <c r="EQ460" s="107"/>
      <c r="ER460" s="107"/>
      <c r="ES460" s="107"/>
      <c r="ET460" s="107"/>
      <c r="EU460" s="107"/>
      <c r="EV460" s="107"/>
      <c r="EW460" s="107"/>
      <c r="EX460" s="107"/>
      <c r="EY460" s="107"/>
      <c r="EZ460" s="107"/>
      <c r="FA460" s="107"/>
      <c r="FB460" s="107"/>
      <c r="FC460" s="107"/>
      <c r="FD460" s="107"/>
      <c r="FE460" s="107"/>
      <c r="FF460" s="107"/>
      <c r="FG460" s="107"/>
      <c r="FH460" s="107"/>
      <c r="FI460" s="107"/>
      <c r="FJ460" s="107"/>
      <c r="FK460" s="107"/>
      <c r="FL460" s="107"/>
      <c r="FM460" s="107"/>
      <c r="FN460" s="107"/>
      <c r="FO460" s="11"/>
      <c r="FP460" s="11"/>
      <c r="FQ460" s="11"/>
      <c r="FR460" s="11"/>
      <c r="FS460" s="11"/>
      <c r="FT460" s="11"/>
      <c r="FU460" s="11"/>
      <c r="FV460" s="11"/>
      <c r="FW460" s="11"/>
      <c r="FX460" s="11"/>
      <c r="FY460" s="3"/>
      <c r="FZ460" s="270"/>
      <c r="GA460" s="270"/>
    </row>
    <row r="461" spans="1:183" s="268" customFormat="1" x14ac:dyDescent="0.25">
      <c r="A461" s="107"/>
      <c r="B461" s="108"/>
      <c r="C461" s="108"/>
      <c r="D461" s="108"/>
      <c r="E461" s="108"/>
      <c r="F461" s="11"/>
      <c r="G461" s="107"/>
      <c r="H461" s="108"/>
      <c r="I461" s="11"/>
      <c r="J461" s="11"/>
      <c r="K461" s="11"/>
      <c r="L461" s="11"/>
      <c r="M461" s="11"/>
      <c r="N461" s="11"/>
      <c r="O461" s="11"/>
      <c r="P461" s="3"/>
      <c r="Q461" s="3"/>
      <c r="R461" s="108"/>
      <c r="S461" s="108"/>
      <c r="T461" s="108"/>
      <c r="U461" s="107"/>
      <c r="V461" s="108"/>
      <c r="W461" s="11"/>
      <c r="X461" s="107"/>
      <c r="Y461" s="108"/>
      <c r="Z461" s="11"/>
      <c r="AA461" s="107"/>
      <c r="AB461" s="11"/>
      <c r="AC461" s="107"/>
      <c r="AD461" s="108"/>
      <c r="AE461" s="11"/>
      <c r="AF461" s="107"/>
      <c r="AG461" s="11"/>
      <c r="AH461" s="107"/>
      <c r="AI461" s="11"/>
      <c r="AJ461" s="107"/>
      <c r="AK461" s="11"/>
      <c r="AL461" s="107"/>
      <c r="AM461" s="11"/>
      <c r="AN461" s="11"/>
      <c r="AO461" s="11"/>
      <c r="AP461" s="3"/>
      <c r="AQ461" s="107"/>
      <c r="AR461" s="11"/>
      <c r="AS461" s="107"/>
      <c r="AT461" s="108"/>
      <c r="AU461" s="11"/>
      <c r="AV461" s="11"/>
      <c r="AW461" s="107"/>
      <c r="AX461" s="11"/>
      <c r="AY461" s="107"/>
      <c r="AZ461" s="11"/>
      <c r="BA461" s="107"/>
      <c r="BB461" s="107"/>
      <c r="BC461" s="107"/>
      <c r="BD461" s="11"/>
      <c r="BE461" s="107"/>
      <c r="BF461" s="11"/>
      <c r="BG461" s="11"/>
      <c r="BH461" s="11"/>
      <c r="BI461" s="107"/>
      <c r="BJ461" s="107"/>
      <c r="BK461" s="11"/>
      <c r="BL461" s="11"/>
      <c r="BM461" s="107"/>
      <c r="BN461" s="11"/>
      <c r="BO461" s="107"/>
      <c r="BP461" s="108"/>
      <c r="BQ461" s="11"/>
      <c r="BR461" s="107"/>
      <c r="BS461" s="11"/>
      <c r="BT461" s="107"/>
      <c r="BU461" s="107"/>
      <c r="BV461" s="107"/>
      <c r="BW461" s="107"/>
      <c r="BX461" s="107"/>
      <c r="BY461" s="11"/>
      <c r="BZ461" s="107"/>
      <c r="CA461" s="107"/>
      <c r="CB461" s="107"/>
      <c r="CC461" s="107"/>
      <c r="CD461" s="107"/>
      <c r="CE461" s="107"/>
      <c r="CF461" s="107"/>
      <c r="CG461" s="107"/>
      <c r="CH461" s="107"/>
      <c r="CI461" s="107"/>
      <c r="CJ461" s="107"/>
      <c r="CK461" s="107"/>
      <c r="CL461" s="107"/>
      <c r="CM461" s="107"/>
      <c r="CN461" s="107"/>
      <c r="CO461" s="107"/>
      <c r="CP461" s="107"/>
      <c r="CQ461" s="107"/>
      <c r="CR461" s="107"/>
      <c r="CS461" s="107"/>
      <c r="CT461" s="107"/>
      <c r="CU461" s="107"/>
      <c r="CV461" s="107"/>
      <c r="CW461" s="107"/>
      <c r="CX461" s="107"/>
      <c r="CY461" s="107"/>
      <c r="CZ461" s="107"/>
      <c r="DA461" s="107"/>
      <c r="DB461" s="107"/>
      <c r="DC461" s="107"/>
      <c r="DD461" s="107"/>
      <c r="DE461" s="107"/>
      <c r="DF461" s="107"/>
      <c r="DG461" s="107"/>
      <c r="DH461" s="107"/>
      <c r="DI461" s="107"/>
      <c r="DJ461" s="107"/>
      <c r="DK461" s="11"/>
      <c r="DL461" s="11"/>
      <c r="DM461" s="11"/>
      <c r="DN461" s="11"/>
      <c r="DO461" s="11"/>
      <c r="DP461" s="11"/>
      <c r="DQ461" s="11"/>
      <c r="DR461" s="11"/>
      <c r="DS461" s="11"/>
      <c r="DT461" s="11"/>
      <c r="DU461" s="11"/>
      <c r="DV461" s="11"/>
      <c r="DW461" s="11"/>
      <c r="DX461" s="11"/>
      <c r="DY461" s="11"/>
      <c r="DZ461" s="11"/>
      <c r="EA461" s="11"/>
      <c r="EB461" s="11"/>
      <c r="EC461" s="107"/>
      <c r="ED461" s="107"/>
      <c r="EE461" s="11"/>
      <c r="EF461" s="107"/>
      <c r="EG461" s="108"/>
      <c r="EH461" s="11"/>
      <c r="EI461" s="107"/>
      <c r="EJ461" s="107"/>
      <c r="EK461" s="107"/>
      <c r="EL461" s="107"/>
      <c r="EM461" s="107"/>
      <c r="EN461" s="107"/>
      <c r="EO461" s="107"/>
      <c r="EP461" s="107"/>
      <c r="EQ461" s="107"/>
      <c r="ER461" s="107"/>
      <c r="ES461" s="107"/>
      <c r="ET461" s="107"/>
      <c r="EU461" s="107"/>
      <c r="EV461" s="107"/>
      <c r="EW461" s="107"/>
      <c r="EX461" s="107"/>
      <c r="EY461" s="107"/>
      <c r="EZ461" s="107"/>
      <c r="FA461" s="107"/>
      <c r="FB461" s="107"/>
      <c r="FC461" s="107"/>
      <c r="FD461" s="107"/>
      <c r="FE461" s="107"/>
      <c r="FF461" s="107"/>
      <c r="FG461" s="107"/>
      <c r="FH461" s="107"/>
      <c r="FI461" s="107"/>
      <c r="FJ461" s="107"/>
      <c r="FK461" s="107"/>
      <c r="FL461" s="107"/>
      <c r="FM461" s="107"/>
      <c r="FN461" s="107"/>
      <c r="FO461" s="11"/>
      <c r="FP461" s="11"/>
      <c r="FQ461" s="11"/>
      <c r="FR461" s="11"/>
      <c r="FS461" s="11"/>
      <c r="FT461" s="11"/>
      <c r="FU461" s="11"/>
      <c r="FV461" s="11"/>
      <c r="FW461" s="11"/>
      <c r="FX461" s="11"/>
      <c r="FY461" s="3"/>
      <c r="FZ461" s="270"/>
      <c r="GA461" s="270"/>
    </row>
  </sheetData>
  <mergeCells count="158">
    <mergeCell ref="B4:B5"/>
    <mergeCell ref="A4:A5"/>
    <mergeCell ref="DR4:DR5"/>
    <mergeCell ref="DY4:DY5"/>
    <mergeCell ref="DY3:EC3"/>
    <mergeCell ref="FY3:FY5"/>
    <mergeCell ref="DZ4:DZ5"/>
    <mergeCell ref="EA4:EA5"/>
    <mergeCell ref="EB4:EB5"/>
    <mergeCell ref="CP4:CP5"/>
    <mergeCell ref="DK4:DK5"/>
    <mergeCell ref="AQ4:AQ5"/>
    <mergeCell ref="CC3:CH3"/>
    <mergeCell ref="CC4:CC5"/>
    <mergeCell ref="CF4:CF5"/>
    <mergeCell ref="CG4:CG5"/>
    <mergeCell ref="CH4:CH5"/>
    <mergeCell ref="CE4:CE5"/>
    <mergeCell ref="CD4:CD5"/>
    <mergeCell ref="CO4:CO5"/>
    <mergeCell ref="DL4:DL5"/>
    <mergeCell ref="DM4:DM5"/>
    <mergeCell ref="FW4:FW5"/>
    <mergeCell ref="FW3:FX3"/>
    <mergeCell ref="DL2:EC2"/>
    <mergeCell ref="CB4:CB5"/>
    <mergeCell ref="A2:I2"/>
    <mergeCell ref="DB4:DB5"/>
    <mergeCell ref="CQ3:DB3"/>
    <mergeCell ref="DC3:DK3"/>
    <mergeCell ref="DC4:DD4"/>
    <mergeCell ref="DE4:DF4"/>
    <mergeCell ref="DG4:DH4"/>
    <mergeCell ref="DI4:DI5"/>
    <mergeCell ref="DJ4:DJ5"/>
    <mergeCell ref="CQ2:DK2"/>
    <mergeCell ref="G4:I4"/>
    <mergeCell ref="A3:I3"/>
    <mergeCell ref="N4:P4"/>
    <mergeCell ref="U4:W4"/>
    <mergeCell ref="CQ4:CS4"/>
    <mergeCell ref="CT4:CT5"/>
    <mergeCell ref="CU4:CX4"/>
    <mergeCell ref="CY4:CY5"/>
    <mergeCell ref="CZ4:CZ5"/>
    <mergeCell ref="DA4:DA5"/>
    <mergeCell ref="DN4:DN5"/>
    <mergeCell ref="DO4:DO5"/>
    <mergeCell ref="J1:AP1"/>
    <mergeCell ref="AQ3:BM3"/>
    <mergeCell ref="BN3:CB3"/>
    <mergeCell ref="CI3:CL3"/>
    <mergeCell ref="CI4:CI5"/>
    <mergeCell ref="CJ4:CJ5"/>
    <mergeCell ref="CK4:CK5"/>
    <mergeCell ref="CL4:CL5"/>
    <mergeCell ref="AQ2:CP2"/>
    <mergeCell ref="X4:Z4"/>
    <mergeCell ref="AA4:AB4"/>
    <mergeCell ref="AC4:AE4"/>
    <mergeCell ref="AF4:AG4"/>
    <mergeCell ref="AH4:AI4"/>
    <mergeCell ref="AJ4:AK4"/>
    <mergeCell ref="AL4:AM4"/>
    <mergeCell ref="J4:J5"/>
    <mergeCell ref="K4:K5"/>
    <mergeCell ref="L4:L5"/>
    <mergeCell ref="M4:M5"/>
    <mergeCell ref="BU4:BV4"/>
    <mergeCell ref="CN4:CN5"/>
    <mergeCell ref="AU4:AU5"/>
    <mergeCell ref="BQ4:BR4"/>
    <mergeCell ref="A1:I1"/>
    <mergeCell ref="N2:P2"/>
    <mergeCell ref="C4:F4"/>
    <mergeCell ref="AS4:AS5"/>
    <mergeCell ref="AN4:AO4"/>
    <mergeCell ref="AP4:AP5"/>
    <mergeCell ref="FW1:FX1"/>
    <mergeCell ref="FX4:FX5"/>
    <mergeCell ref="AY4:AY5"/>
    <mergeCell ref="AW4:AX4"/>
    <mergeCell ref="AZ4:BD4"/>
    <mergeCell ref="BF4:BJ4"/>
    <mergeCell ref="BK4:BM4"/>
    <mergeCell ref="AQ1:EC1"/>
    <mergeCell ref="BS4:BT4"/>
    <mergeCell ref="EC4:EC5"/>
    <mergeCell ref="BO4:BO5"/>
    <mergeCell ref="BP4:BP5"/>
    <mergeCell ref="BE4:BE5"/>
    <mergeCell ref="BN4:BN5"/>
    <mergeCell ref="AR4:AR5"/>
    <mergeCell ref="AT4:AT5"/>
    <mergeCell ref="CM3:CP3"/>
    <mergeCell ref="CM4:CM5"/>
    <mergeCell ref="ED1:FV1"/>
    <mergeCell ref="ED2:EH2"/>
    <mergeCell ref="EI2:FN2"/>
    <mergeCell ref="FO2:FV2"/>
    <mergeCell ref="ED3:EH3"/>
    <mergeCell ref="EI3:EL3"/>
    <mergeCell ref="FO3:FR3"/>
    <mergeCell ref="FS3:FV3"/>
    <mergeCell ref="ED4:ED5"/>
    <mergeCell ref="EE4:EE5"/>
    <mergeCell ref="EF4:EF5"/>
    <mergeCell ref="EG4:EG5"/>
    <mergeCell ref="EH4:EH5"/>
    <mergeCell ref="FU4:FU5"/>
    <mergeCell ref="EI4:EI5"/>
    <mergeCell ref="EJ4:EJ5"/>
    <mergeCell ref="EK4:EK5"/>
    <mergeCell ref="EL4:EL5"/>
    <mergeCell ref="EM3:EP3"/>
    <mergeCell ref="EM4:EM5"/>
    <mergeCell ref="EN4:EN5"/>
    <mergeCell ref="EO4:EO5"/>
    <mergeCell ref="EP4:EP5"/>
    <mergeCell ref="EQ4:EQ5"/>
    <mergeCell ref="FB4:FB5"/>
    <mergeCell ref="FQ4:FQ5"/>
    <mergeCell ref="BW4:BZ4"/>
    <mergeCell ref="CA4:CA5"/>
    <mergeCell ref="AV4:AV5"/>
    <mergeCell ref="DX4:DX5"/>
    <mergeCell ref="DR3:DX3"/>
    <mergeCell ref="DP4:DP5"/>
    <mergeCell ref="DQ4:DQ5"/>
    <mergeCell ref="DL3:DN3"/>
    <mergeCell ref="DO3:DQ3"/>
    <mergeCell ref="DS4:DU4"/>
    <mergeCell ref="DV4:DV5"/>
    <mergeCell ref="DW4:DW5"/>
    <mergeCell ref="FR4:FR5"/>
    <mergeCell ref="FS4:FS5"/>
    <mergeCell ref="ER4:ER5"/>
    <mergeCell ref="ES4:ES5"/>
    <mergeCell ref="ET4:EU4"/>
    <mergeCell ref="EQ3:EY3"/>
    <mergeCell ref="EV4:EW4"/>
    <mergeCell ref="EX4:EY4"/>
    <mergeCell ref="FV4:FV5"/>
    <mergeCell ref="EZ4:EZ5"/>
    <mergeCell ref="FA4:FA5"/>
    <mergeCell ref="FO4:FO5"/>
    <mergeCell ref="EZ3:FB3"/>
    <mergeCell ref="FC4:FC5"/>
    <mergeCell ref="FD4:FD5"/>
    <mergeCell ref="FE4:FE5"/>
    <mergeCell ref="FF4:FF5"/>
    <mergeCell ref="FG4:FG5"/>
    <mergeCell ref="FH4:FH5"/>
    <mergeCell ref="FI4:FK4"/>
    <mergeCell ref="FP4:FP5"/>
    <mergeCell ref="FT4:FT5"/>
    <mergeCell ref="FL4:FN4"/>
    <mergeCell ref="FC3:FN3"/>
  </mergeCells>
  <hyperlinks>
    <hyperlink ref="AR12" r:id="rId1" xr:uid="{C14315E4-1A2E-42E2-85CE-1CDE6448839A}"/>
    <hyperlink ref="AR13" r:id="rId2" xr:uid="{E8047389-B9AB-4861-A6BC-91BBA7D0C0F2}"/>
    <hyperlink ref="AR18" r:id="rId3" xr:uid="{FB913C87-F9B5-46B7-B983-9340C50EBF3E}"/>
    <hyperlink ref="T9" r:id="rId4" display="msilva@latam.cl" xr:uid="{B41D2753-0AB8-42BD-BD65-7BD3C5B1593A}"/>
    <hyperlink ref="T8" r:id="rId5" xr:uid="{D7E4EC72-7469-4037-85B2-A7FF853370DA}"/>
  </hyperlinks>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6BB66-0C2C-4372-9247-AC6E684BDA52}">
  <dimension ref="A1:DG466"/>
  <sheetViews>
    <sheetView topLeftCell="DE1" zoomScale="80" zoomScaleNormal="80" workbookViewId="0">
      <pane ySplit="5" topLeftCell="A15" activePane="bottomLeft" state="frozen"/>
      <selection activeCell="T1" sqref="T1"/>
      <selection pane="bottomLeft" activeCell="DE18" sqref="DE18"/>
    </sheetView>
  </sheetViews>
  <sheetFormatPr baseColWidth="10" defaultRowHeight="15" x14ac:dyDescent="0.25"/>
  <cols>
    <col min="1" max="1" width="22.28515625" style="107" bestFit="1" customWidth="1"/>
    <col min="2" max="8" width="5.7109375" style="107" customWidth="1"/>
    <col min="9" max="9" width="15.28515625" style="107" bestFit="1" customWidth="1"/>
    <col min="10" max="13" width="5.7109375" style="107" customWidth="1"/>
    <col min="14" max="14" width="5.28515625" style="107" customWidth="1"/>
    <col min="15" max="15" width="6.140625" style="107" bestFit="1" customWidth="1"/>
    <col min="16" max="16" width="13" style="107" bestFit="1" customWidth="1"/>
    <col min="17" max="17" width="13.5703125" style="107" bestFit="1" customWidth="1"/>
    <col min="18" max="18" width="9.5703125" style="107" bestFit="1" customWidth="1"/>
    <col min="19" max="19" width="7.42578125" style="107" bestFit="1" customWidth="1"/>
    <col min="20" max="20" width="10" style="107" bestFit="1" customWidth="1"/>
    <col min="21" max="21" width="4.140625" style="107" bestFit="1" customWidth="1"/>
    <col min="22" max="22" width="6.5703125" style="107" customWidth="1"/>
    <col min="23" max="25" width="5.7109375" style="107" customWidth="1"/>
    <col min="26" max="32" width="6.7109375" style="107" customWidth="1"/>
    <col min="33" max="33" width="11.7109375" style="107" customWidth="1"/>
    <col min="34" max="34" width="2.85546875" style="107" bestFit="1" customWidth="1"/>
    <col min="35" max="35" width="11.140625" style="107" customWidth="1"/>
    <col min="36" max="52" width="6.7109375" style="107" customWidth="1"/>
    <col min="53" max="53" width="6.7109375" style="107" bestFit="1" customWidth="1"/>
    <col min="54" max="66" width="6.7109375" style="107" customWidth="1"/>
    <col min="67" max="67" width="10.28515625" style="107" customWidth="1"/>
    <col min="68" max="69" width="6.7109375" style="107" customWidth="1"/>
    <col min="70" max="70" width="10.28515625" style="107" customWidth="1"/>
    <col min="71" max="72" width="6.7109375" style="107" customWidth="1"/>
    <col min="73" max="73" width="10.5703125" style="107" customWidth="1"/>
    <col min="74" max="75" width="6.7109375" style="107" customWidth="1"/>
    <col min="76" max="76" width="10.28515625" style="107" customWidth="1"/>
    <col min="77" max="78" width="6.7109375" style="107" customWidth="1"/>
    <col min="79" max="79" width="11.85546875" style="107" customWidth="1"/>
    <col min="80" max="80" width="6.85546875" style="107" customWidth="1"/>
    <col min="81" max="81" width="11.42578125" style="107" customWidth="1"/>
    <col min="82" max="82" width="11.140625" style="107" customWidth="1"/>
    <col min="83" max="83" width="11.28515625" style="107" customWidth="1"/>
    <col min="84" max="84" width="12.140625" style="107" customWidth="1"/>
    <col min="85" max="85" width="11.42578125" style="107" customWidth="1"/>
    <col min="86" max="86" width="14.140625" style="107" customWidth="1"/>
    <col min="87" max="88" width="3.85546875" style="107" bestFit="1" customWidth="1"/>
    <col min="89" max="89" width="12.42578125" style="107" customWidth="1"/>
    <col min="90" max="90" width="13.5703125" style="107" customWidth="1"/>
    <col min="91" max="93" width="6.7109375" style="107" customWidth="1"/>
    <col min="94" max="94" width="6" style="107" bestFit="1" customWidth="1"/>
    <col min="95" max="95" width="9.7109375" style="107" bestFit="1" customWidth="1"/>
    <col min="96" max="96" width="6" style="107" bestFit="1" customWidth="1"/>
    <col min="97" max="97" width="9.7109375" style="107" bestFit="1" customWidth="1"/>
    <col min="98" max="103" width="6.7109375" style="107" customWidth="1"/>
    <col min="104" max="104" width="11.28515625" style="107" customWidth="1"/>
    <col min="105" max="105" width="19.5703125" style="107" bestFit="1" customWidth="1"/>
    <col min="106" max="106" width="5.5703125" style="107" customWidth="1"/>
    <col min="107" max="107" width="5.28515625" style="107" customWidth="1"/>
    <col min="108" max="108" width="59.28515625" style="268" bestFit="1" customWidth="1"/>
    <col min="109" max="109" width="179.5703125" style="268" bestFit="1" customWidth="1"/>
    <col min="110" max="110" width="196.42578125" style="268" bestFit="1" customWidth="1"/>
    <col min="111" max="111" width="58.5703125" style="268" customWidth="1"/>
    <col min="112" max="16384" width="11.42578125" style="107"/>
  </cols>
  <sheetData>
    <row r="1" spans="1:111" s="12" customFormat="1" x14ac:dyDescent="0.25">
      <c r="A1" s="531" t="s">
        <v>840</v>
      </c>
      <c r="B1" s="524"/>
      <c r="C1" s="524"/>
      <c r="D1" s="524"/>
      <c r="E1" s="524"/>
      <c r="F1" s="524"/>
      <c r="G1" s="524"/>
      <c r="H1" s="524"/>
      <c r="I1" s="524"/>
      <c r="J1" s="412"/>
      <c r="K1" s="412"/>
      <c r="L1" s="424"/>
      <c r="M1" s="412"/>
      <c r="N1" s="422"/>
      <c r="O1" s="528" t="s">
        <v>841</v>
      </c>
      <c r="P1" s="518"/>
      <c r="Q1" s="518"/>
      <c r="R1" s="518"/>
      <c r="S1" s="518"/>
      <c r="T1" s="518"/>
      <c r="U1" s="518"/>
      <c r="V1" s="518"/>
      <c r="W1" s="518"/>
      <c r="X1" s="518"/>
      <c r="Y1" s="518"/>
      <c r="Z1" s="518"/>
      <c r="AA1" s="518"/>
      <c r="AB1" s="518"/>
      <c r="AC1" s="518"/>
      <c r="AD1" s="518"/>
      <c r="AE1" s="518"/>
      <c r="AF1" s="518"/>
      <c r="AG1" s="518"/>
      <c r="AH1" s="518"/>
      <c r="AI1" s="518"/>
      <c r="AJ1" s="518"/>
      <c r="AK1" s="518"/>
      <c r="AL1" s="518"/>
      <c r="AM1" s="518"/>
      <c r="AN1" s="518"/>
      <c r="AO1" s="518"/>
      <c r="AP1" s="518"/>
      <c r="AQ1" s="518"/>
      <c r="AR1" s="518"/>
      <c r="AS1" s="518"/>
      <c r="AT1" s="518"/>
      <c r="AU1" s="518"/>
      <c r="AV1" s="518"/>
      <c r="AW1" s="518"/>
      <c r="AX1" s="518"/>
      <c r="AY1" s="518"/>
      <c r="AZ1" s="518"/>
      <c r="BA1" s="518"/>
      <c r="BB1" s="518"/>
      <c r="BC1" s="518"/>
      <c r="BD1" s="518"/>
      <c r="BE1" s="518"/>
      <c r="BF1" s="518"/>
      <c r="BG1" s="518"/>
      <c r="BH1" s="518"/>
      <c r="BI1" s="518"/>
      <c r="BJ1" s="518"/>
      <c r="BK1" s="518"/>
      <c r="BL1" s="518"/>
      <c r="BM1" s="518"/>
      <c r="BN1" s="518"/>
      <c r="BO1" s="518"/>
      <c r="BP1" s="518"/>
      <c r="BQ1" s="518"/>
      <c r="BR1" s="518"/>
      <c r="BS1" s="518"/>
      <c r="BT1" s="518"/>
      <c r="BU1" s="518"/>
      <c r="BV1" s="518"/>
      <c r="BW1" s="518"/>
      <c r="BX1" s="518"/>
      <c r="BY1" s="518"/>
      <c r="BZ1" s="518"/>
      <c r="CA1" s="518"/>
      <c r="CB1" s="518"/>
      <c r="CC1" s="518"/>
      <c r="CD1" s="518"/>
      <c r="CE1" s="518"/>
      <c r="CF1" s="518"/>
      <c r="CG1" s="518"/>
      <c r="CH1" s="518"/>
      <c r="CI1" s="518"/>
      <c r="CJ1" s="518"/>
      <c r="CK1" s="518"/>
      <c r="CL1" s="518"/>
      <c r="CM1" s="518"/>
      <c r="CN1" s="518"/>
      <c r="CO1" s="518"/>
      <c r="CP1" s="518"/>
      <c r="CQ1" s="518"/>
      <c r="CR1" s="518"/>
      <c r="CS1" s="518"/>
      <c r="CT1" s="518"/>
      <c r="CU1" s="518"/>
      <c r="CV1" s="518"/>
      <c r="CW1" s="518"/>
      <c r="CX1" s="518"/>
      <c r="CY1" s="518"/>
      <c r="CZ1" s="518"/>
      <c r="DA1" s="518"/>
      <c r="DB1" s="532"/>
      <c r="DC1" s="539"/>
      <c r="DD1" s="263"/>
      <c r="DE1" s="264"/>
      <c r="DF1" s="264"/>
      <c r="DG1" s="264"/>
    </row>
    <row r="2" spans="1:111" s="12" customFormat="1" ht="15" customHeight="1" x14ac:dyDescent="0.25">
      <c r="A2" s="531"/>
      <c r="B2" s="524"/>
      <c r="C2" s="524"/>
      <c r="D2" s="524"/>
      <c r="E2" s="524"/>
      <c r="F2" s="524"/>
      <c r="G2" s="524"/>
      <c r="H2" s="524"/>
      <c r="I2" s="524"/>
      <c r="J2" s="421"/>
      <c r="K2" s="421"/>
      <c r="L2" s="430"/>
      <c r="M2" s="421"/>
      <c r="N2" s="384"/>
      <c r="O2" s="551" t="s">
        <v>842</v>
      </c>
      <c r="P2" s="552"/>
      <c r="Q2" s="552"/>
      <c r="R2" s="552"/>
      <c r="S2" s="552"/>
      <c r="T2" s="552"/>
      <c r="U2" s="552"/>
      <c r="V2" s="552"/>
      <c r="W2" s="552"/>
      <c r="X2" s="552"/>
      <c r="Y2" s="552"/>
      <c r="Z2" s="552"/>
      <c r="AA2" s="552"/>
      <c r="AB2" s="552"/>
      <c r="AC2" s="552"/>
      <c r="AD2" s="552"/>
      <c r="AE2" s="552"/>
      <c r="AF2" s="552"/>
      <c r="AG2" s="552"/>
      <c r="AH2" s="558" t="s">
        <v>20</v>
      </c>
      <c r="AI2" s="558"/>
      <c r="AJ2" s="558"/>
      <c r="AK2" s="558"/>
      <c r="AL2" s="558"/>
      <c r="AM2" s="558"/>
      <c r="AN2" s="558"/>
      <c r="AO2" s="558"/>
      <c r="AP2" s="558"/>
      <c r="AQ2" s="558"/>
      <c r="AR2" s="558"/>
      <c r="AS2" s="419"/>
      <c r="AT2" s="419"/>
      <c r="AU2" s="558"/>
      <c r="AV2" s="558"/>
      <c r="AW2" s="558"/>
      <c r="AX2" s="558"/>
      <c r="AY2" s="558"/>
      <c r="AZ2" s="558"/>
      <c r="BA2" s="419"/>
      <c r="BB2" s="554" t="s">
        <v>861</v>
      </c>
      <c r="BC2" s="555"/>
      <c r="BD2" s="555"/>
      <c r="BE2" s="555"/>
      <c r="BF2" s="555"/>
      <c r="BG2" s="555"/>
      <c r="BH2" s="555"/>
      <c r="BI2" s="555"/>
      <c r="BJ2" s="555"/>
      <c r="BK2" s="555"/>
      <c r="BL2" s="555"/>
      <c r="BM2" s="607" t="s">
        <v>868</v>
      </c>
      <c r="BN2" s="608"/>
      <c r="BO2" s="608"/>
      <c r="BP2" s="608"/>
      <c r="BQ2" s="608"/>
      <c r="BR2" s="608"/>
      <c r="BS2" s="608"/>
      <c r="BT2" s="608"/>
      <c r="BU2" s="608"/>
      <c r="BV2" s="608"/>
      <c r="BW2" s="608"/>
      <c r="BX2" s="608"/>
      <c r="BY2" s="608"/>
      <c r="BZ2" s="608"/>
      <c r="CA2" s="608"/>
      <c r="CB2" s="608"/>
      <c r="CC2" s="565" t="s">
        <v>881</v>
      </c>
      <c r="CD2" s="566"/>
      <c r="CE2" s="566"/>
      <c r="CF2" s="566"/>
      <c r="CG2" s="566"/>
      <c r="CH2" s="434" t="s">
        <v>887</v>
      </c>
      <c r="CI2" s="554" t="s">
        <v>218</v>
      </c>
      <c r="CJ2" s="555"/>
      <c r="CK2" s="555"/>
      <c r="CL2" s="555"/>
      <c r="CM2" s="555"/>
      <c r="CN2" s="555"/>
      <c r="CO2" s="555"/>
      <c r="CP2" s="555"/>
      <c r="CQ2" s="555"/>
      <c r="CR2" s="555"/>
      <c r="CS2" s="555"/>
      <c r="CT2" s="555"/>
      <c r="CU2" s="555"/>
      <c r="CV2" s="555"/>
      <c r="CW2" s="555"/>
      <c r="CX2" s="555"/>
      <c r="CY2" s="555"/>
      <c r="CZ2" s="609"/>
      <c r="DA2" s="435" t="s">
        <v>898</v>
      </c>
      <c r="DB2" s="418"/>
      <c r="DC2" s="414"/>
      <c r="DD2" s="263"/>
      <c r="DE2" s="264"/>
      <c r="DF2" s="264"/>
      <c r="DG2" s="264"/>
    </row>
    <row r="3" spans="1:111" s="12" customFormat="1" ht="30" customHeight="1" x14ac:dyDescent="0.25">
      <c r="A3" s="531" t="s">
        <v>658</v>
      </c>
      <c r="B3" s="524"/>
      <c r="C3" s="524"/>
      <c r="D3" s="524"/>
      <c r="E3" s="524"/>
      <c r="F3" s="524"/>
      <c r="G3" s="524"/>
      <c r="H3" s="524"/>
      <c r="I3" s="524"/>
      <c r="J3" s="420"/>
      <c r="K3" s="420"/>
      <c r="L3" s="428"/>
      <c r="M3" s="420"/>
      <c r="N3" s="385"/>
      <c r="O3" s="528" t="s">
        <v>843</v>
      </c>
      <c r="P3" s="518"/>
      <c r="Q3" s="518"/>
      <c r="R3" s="518"/>
      <c r="S3" s="518"/>
      <c r="T3" s="518"/>
      <c r="U3" s="518"/>
      <c r="V3" s="518"/>
      <c r="W3" s="518"/>
      <c r="X3" s="518"/>
      <c r="Y3" s="518"/>
      <c r="Z3" s="518"/>
      <c r="AA3" s="518"/>
      <c r="AB3" s="518"/>
      <c r="AC3" s="518"/>
      <c r="AD3" s="518"/>
      <c r="AE3" s="518"/>
      <c r="AF3" s="518"/>
      <c r="AG3" s="518"/>
      <c r="AH3" s="432"/>
      <c r="AI3" s="433"/>
      <c r="AJ3" s="433"/>
      <c r="AK3" s="433"/>
      <c r="AL3" s="433"/>
      <c r="AM3" s="433"/>
      <c r="AN3" s="433"/>
      <c r="AO3" s="433"/>
      <c r="AP3" s="433"/>
      <c r="AQ3" s="433"/>
      <c r="AR3" s="433"/>
      <c r="AS3" s="604" t="s">
        <v>383</v>
      </c>
      <c r="AT3" s="604"/>
      <c r="AU3" s="604"/>
      <c r="AV3" s="604"/>
      <c r="AW3" s="604"/>
      <c r="AX3" s="604"/>
      <c r="AY3" s="604"/>
      <c r="AZ3" s="604"/>
      <c r="BA3" s="601" t="s">
        <v>863</v>
      </c>
      <c r="BB3" s="517" t="s">
        <v>861</v>
      </c>
      <c r="BC3" s="518"/>
      <c r="BD3" s="518"/>
      <c r="BE3" s="518"/>
      <c r="BF3" s="518"/>
      <c r="BG3" s="518"/>
      <c r="BH3" s="518"/>
      <c r="BI3" s="518"/>
      <c r="BJ3" s="518"/>
      <c r="BK3" s="518"/>
      <c r="BL3" s="519"/>
      <c r="BM3" s="517" t="s">
        <v>869</v>
      </c>
      <c r="BN3" s="518"/>
      <c r="BO3" s="518"/>
      <c r="BP3" s="518"/>
      <c r="BQ3" s="518"/>
      <c r="BR3" s="518"/>
      <c r="BS3" s="518"/>
      <c r="BT3" s="518"/>
      <c r="BU3" s="518"/>
      <c r="BV3" s="518"/>
      <c r="BW3" s="518"/>
      <c r="BX3" s="518"/>
      <c r="BY3" s="518"/>
      <c r="BZ3" s="518"/>
      <c r="CA3" s="518"/>
      <c r="CB3" s="519"/>
      <c r="CC3" s="518" t="s">
        <v>881</v>
      </c>
      <c r="CD3" s="518"/>
      <c r="CE3" s="518"/>
      <c r="CF3" s="518"/>
      <c r="CG3" s="518"/>
      <c r="CH3" s="415" t="s">
        <v>888</v>
      </c>
      <c r="CI3" s="517" t="s">
        <v>218</v>
      </c>
      <c r="CJ3" s="518"/>
      <c r="CK3" s="518"/>
      <c r="CL3" s="518"/>
      <c r="CM3" s="518"/>
      <c r="CN3" s="518"/>
      <c r="CO3" s="519"/>
      <c r="CP3" s="517" t="s">
        <v>776</v>
      </c>
      <c r="CQ3" s="518"/>
      <c r="CR3" s="518"/>
      <c r="CS3" s="519"/>
      <c r="CT3" s="517" t="s">
        <v>870</v>
      </c>
      <c r="CU3" s="518"/>
      <c r="CV3" s="518"/>
      <c r="CW3" s="518"/>
      <c r="CX3" s="518"/>
      <c r="CY3" s="518"/>
      <c r="CZ3" s="518"/>
      <c r="DA3" s="418"/>
      <c r="DB3" s="517" t="s">
        <v>667</v>
      </c>
      <c r="DC3" s="519"/>
      <c r="DD3" s="263"/>
      <c r="DE3" s="264"/>
      <c r="DF3" s="264"/>
      <c r="DG3" s="264"/>
    </row>
    <row r="4" spans="1:111" s="12" customFormat="1" ht="26.25" customHeight="1" x14ac:dyDescent="0.25">
      <c r="A4" s="563" t="s">
        <v>198</v>
      </c>
      <c r="B4" s="533" t="s">
        <v>828</v>
      </c>
      <c r="C4" s="534"/>
      <c r="D4" s="535"/>
      <c r="E4" s="533" t="s">
        <v>307</v>
      </c>
      <c r="F4" s="534"/>
      <c r="G4" s="534"/>
      <c r="H4" s="535"/>
      <c r="I4" s="520" t="s">
        <v>839</v>
      </c>
      <c r="J4" s="515" t="s">
        <v>554</v>
      </c>
      <c r="K4" s="524"/>
      <c r="L4" s="524"/>
      <c r="M4" s="516"/>
      <c r="N4" s="537" t="s">
        <v>558</v>
      </c>
      <c r="O4" s="594" t="s">
        <v>828</v>
      </c>
      <c r="P4" s="527" t="s">
        <v>198</v>
      </c>
      <c r="Q4" s="527" t="s">
        <v>9</v>
      </c>
      <c r="R4" s="548" t="s">
        <v>253</v>
      </c>
      <c r="S4" s="561" t="s">
        <v>182</v>
      </c>
      <c r="T4" s="527" t="s">
        <v>844</v>
      </c>
      <c r="U4" s="513" t="s">
        <v>845</v>
      </c>
      <c r="V4" s="596" t="s">
        <v>846</v>
      </c>
      <c r="W4" s="533" t="s">
        <v>307</v>
      </c>
      <c r="X4" s="534"/>
      <c r="Y4" s="534"/>
      <c r="Z4" s="542" t="s">
        <v>848</v>
      </c>
      <c r="AA4" s="560"/>
      <c r="AB4" s="543"/>
      <c r="AC4" s="600" t="s">
        <v>839</v>
      </c>
      <c r="AD4" s="518" t="s">
        <v>849</v>
      </c>
      <c r="AE4" s="519"/>
      <c r="AF4" s="520" t="s">
        <v>854</v>
      </c>
      <c r="AG4" s="549" t="s">
        <v>852</v>
      </c>
      <c r="AH4" s="513" t="s">
        <v>853</v>
      </c>
      <c r="AI4" s="513" t="s">
        <v>180</v>
      </c>
      <c r="AJ4" s="515" t="s">
        <v>310</v>
      </c>
      <c r="AK4" s="524"/>
      <c r="AL4" s="524"/>
      <c r="AM4" s="524"/>
      <c r="AN4" s="524"/>
      <c r="AO4" s="515" t="s">
        <v>317</v>
      </c>
      <c r="AP4" s="524"/>
      <c r="AQ4" s="524"/>
      <c r="AR4" s="516"/>
      <c r="AS4" s="515" t="s">
        <v>198</v>
      </c>
      <c r="AT4" s="516"/>
      <c r="AU4" s="515" t="s">
        <v>383</v>
      </c>
      <c r="AV4" s="524"/>
      <c r="AW4" s="524"/>
      <c r="AX4" s="524"/>
      <c r="AY4" s="516"/>
      <c r="AZ4" s="605" t="s">
        <v>880</v>
      </c>
      <c r="BA4" s="602"/>
      <c r="BB4" s="525" t="s">
        <v>88</v>
      </c>
      <c r="BC4" s="539"/>
      <c r="BD4" s="525" t="s">
        <v>88</v>
      </c>
      <c r="BE4" s="539"/>
      <c r="BF4" s="525" t="s">
        <v>88</v>
      </c>
      <c r="BG4" s="539"/>
      <c r="BH4" s="525" t="s">
        <v>88</v>
      </c>
      <c r="BI4" s="539"/>
      <c r="BJ4" s="525" t="s">
        <v>88</v>
      </c>
      <c r="BK4" s="539"/>
      <c r="BL4" s="598" t="s">
        <v>863</v>
      </c>
      <c r="BM4" s="525" t="s">
        <v>391</v>
      </c>
      <c r="BN4" s="539"/>
      <c r="BO4" s="513" t="s">
        <v>870</v>
      </c>
      <c r="BP4" s="525" t="s">
        <v>391</v>
      </c>
      <c r="BQ4" s="539"/>
      <c r="BR4" s="513" t="s">
        <v>870</v>
      </c>
      <c r="BS4" s="525" t="s">
        <v>391</v>
      </c>
      <c r="BT4" s="539"/>
      <c r="BU4" s="513" t="s">
        <v>870</v>
      </c>
      <c r="BV4" s="525" t="s">
        <v>391</v>
      </c>
      <c r="BW4" s="539"/>
      <c r="BX4" s="513" t="s">
        <v>870</v>
      </c>
      <c r="BY4" s="525" t="s">
        <v>391</v>
      </c>
      <c r="BZ4" s="539"/>
      <c r="CA4" s="513" t="s">
        <v>870</v>
      </c>
      <c r="CB4" s="598" t="s">
        <v>863</v>
      </c>
      <c r="CC4" s="416" t="s">
        <v>881</v>
      </c>
      <c r="CD4" s="427" t="s">
        <v>882</v>
      </c>
      <c r="CE4" s="416" t="s">
        <v>883</v>
      </c>
      <c r="CF4" s="416" t="s">
        <v>884</v>
      </c>
      <c r="CG4" s="416" t="s">
        <v>885</v>
      </c>
      <c r="CH4" s="513" t="s">
        <v>889</v>
      </c>
      <c r="CI4" s="525" t="s">
        <v>890</v>
      </c>
      <c r="CJ4" s="539"/>
      <c r="CK4" s="513" t="s">
        <v>891</v>
      </c>
      <c r="CL4" s="513" t="s">
        <v>733</v>
      </c>
      <c r="CM4" s="525" t="s">
        <v>709</v>
      </c>
      <c r="CN4" s="539"/>
      <c r="CO4" s="520" t="s">
        <v>893</v>
      </c>
      <c r="CP4" s="513" t="s">
        <v>894</v>
      </c>
      <c r="CQ4" s="561" t="s">
        <v>896</v>
      </c>
      <c r="CR4" s="513" t="s">
        <v>895</v>
      </c>
      <c r="CS4" s="561" t="s">
        <v>897</v>
      </c>
      <c r="CT4" s="517" t="s">
        <v>391</v>
      </c>
      <c r="CU4" s="518"/>
      <c r="CV4" s="518"/>
      <c r="CW4" s="518"/>
      <c r="CX4" s="518"/>
      <c r="CY4" s="519"/>
      <c r="CZ4" s="513" t="s">
        <v>870</v>
      </c>
      <c r="DA4" s="525" t="s">
        <v>898</v>
      </c>
      <c r="DB4" s="540" t="s">
        <v>668</v>
      </c>
      <c r="DC4" s="540" t="s">
        <v>355</v>
      </c>
      <c r="DD4" s="263"/>
      <c r="DE4" s="264"/>
      <c r="DF4" s="264"/>
      <c r="DG4" s="264"/>
    </row>
    <row r="5" spans="1:111" s="12" customFormat="1" ht="78.75" customHeight="1" x14ac:dyDescent="0.25">
      <c r="A5" s="564"/>
      <c r="B5" s="366" t="s">
        <v>834</v>
      </c>
      <c r="C5" s="366" t="s">
        <v>835</v>
      </c>
      <c r="D5" s="411" t="s">
        <v>507</v>
      </c>
      <c r="E5" s="366" t="s">
        <v>836</v>
      </c>
      <c r="F5" s="366" t="s">
        <v>837</v>
      </c>
      <c r="G5" s="366" t="s">
        <v>838</v>
      </c>
      <c r="H5" s="408" t="s">
        <v>829</v>
      </c>
      <c r="I5" s="521"/>
      <c r="J5" s="366" t="s">
        <v>456</v>
      </c>
      <c r="K5" s="431" t="s">
        <v>448</v>
      </c>
      <c r="L5" s="425" t="s">
        <v>335</v>
      </c>
      <c r="M5" s="413" t="s">
        <v>902</v>
      </c>
      <c r="N5" s="538"/>
      <c r="O5" s="595"/>
      <c r="P5" s="527"/>
      <c r="Q5" s="527"/>
      <c r="R5" s="548"/>
      <c r="S5" s="562"/>
      <c r="T5" s="527"/>
      <c r="U5" s="514"/>
      <c r="V5" s="597"/>
      <c r="W5" s="366" t="s">
        <v>836</v>
      </c>
      <c r="X5" s="366" t="s">
        <v>837</v>
      </c>
      <c r="Y5" s="366" t="s">
        <v>838</v>
      </c>
      <c r="Z5" s="366" t="s">
        <v>561</v>
      </c>
      <c r="AA5" s="366" t="s">
        <v>508</v>
      </c>
      <c r="AB5" s="367" t="s">
        <v>847</v>
      </c>
      <c r="AC5" s="600"/>
      <c r="AD5" s="367" t="s">
        <v>850</v>
      </c>
      <c r="AE5" s="367" t="s">
        <v>851</v>
      </c>
      <c r="AF5" s="521"/>
      <c r="AG5" s="549"/>
      <c r="AH5" s="514"/>
      <c r="AI5" s="514"/>
      <c r="AJ5" s="410" t="s">
        <v>695</v>
      </c>
      <c r="AK5" s="409" t="s">
        <v>856</v>
      </c>
      <c r="AL5" s="425" t="s">
        <v>903</v>
      </c>
      <c r="AM5" s="426" t="s">
        <v>857</v>
      </c>
      <c r="AN5" s="426" t="s">
        <v>855</v>
      </c>
      <c r="AO5" s="410" t="s">
        <v>695</v>
      </c>
      <c r="AP5" s="409" t="s">
        <v>858</v>
      </c>
      <c r="AQ5" s="410" t="s">
        <v>859</v>
      </c>
      <c r="AR5" s="409" t="s">
        <v>860</v>
      </c>
      <c r="AS5" s="423" t="s">
        <v>901</v>
      </c>
      <c r="AT5" s="417" t="s">
        <v>687</v>
      </c>
      <c r="AU5" s="423" t="s">
        <v>695</v>
      </c>
      <c r="AV5" s="417" t="s">
        <v>877</v>
      </c>
      <c r="AW5" s="417" t="s">
        <v>508</v>
      </c>
      <c r="AX5" s="417" t="s">
        <v>878</v>
      </c>
      <c r="AY5" s="417" t="s">
        <v>879</v>
      </c>
      <c r="AZ5" s="606"/>
      <c r="BA5" s="603"/>
      <c r="BB5" s="423" t="s">
        <v>862</v>
      </c>
      <c r="BC5" s="423" t="s">
        <v>833</v>
      </c>
      <c r="BD5" s="423" t="s">
        <v>862</v>
      </c>
      <c r="BE5" s="423" t="s">
        <v>864</v>
      </c>
      <c r="BF5" s="423" t="s">
        <v>862</v>
      </c>
      <c r="BG5" s="423" t="s">
        <v>865</v>
      </c>
      <c r="BH5" s="423" t="s">
        <v>862</v>
      </c>
      <c r="BI5" s="423" t="s">
        <v>866</v>
      </c>
      <c r="BJ5" s="423" t="s">
        <v>862</v>
      </c>
      <c r="BK5" s="423" t="s">
        <v>867</v>
      </c>
      <c r="BL5" s="599"/>
      <c r="BM5" s="423" t="s">
        <v>871</v>
      </c>
      <c r="BN5" s="423" t="s">
        <v>872</v>
      </c>
      <c r="BO5" s="514"/>
      <c r="BP5" s="423" t="s">
        <v>871</v>
      </c>
      <c r="BQ5" s="423" t="s">
        <v>873</v>
      </c>
      <c r="BR5" s="514"/>
      <c r="BS5" s="423" t="s">
        <v>871</v>
      </c>
      <c r="BT5" s="423" t="s">
        <v>874</v>
      </c>
      <c r="BU5" s="514"/>
      <c r="BV5" s="423" t="s">
        <v>871</v>
      </c>
      <c r="BW5" s="423" t="s">
        <v>875</v>
      </c>
      <c r="BX5" s="514"/>
      <c r="BY5" s="423" t="s">
        <v>871</v>
      </c>
      <c r="BZ5" s="423" t="s">
        <v>876</v>
      </c>
      <c r="CA5" s="514"/>
      <c r="CB5" s="599"/>
      <c r="CC5" s="429" t="s">
        <v>886</v>
      </c>
      <c r="CD5" s="429" t="s">
        <v>886</v>
      </c>
      <c r="CE5" s="429" t="s">
        <v>886</v>
      </c>
      <c r="CF5" s="429" t="s">
        <v>886</v>
      </c>
      <c r="CG5" s="429" t="s">
        <v>886</v>
      </c>
      <c r="CH5" s="514"/>
      <c r="CI5" s="423" t="s">
        <v>552</v>
      </c>
      <c r="CJ5" s="423" t="s">
        <v>553</v>
      </c>
      <c r="CK5" s="514"/>
      <c r="CL5" s="514"/>
      <c r="CM5" s="423" t="s">
        <v>862</v>
      </c>
      <c r="CN5" s="423" t="s">
        <v>892</v>
      </c>
      <c r="CO5" s="521"/>
      <c r="CP5" s="514"/>
      <c r="CQ5" s="562"/>
      <c r="CR5" s="514"/>
      <c r="CS5" s="562"/>
      <c r="CT5" s="410" t="s">
        <v>871</v>
      </c>
      <c r="CU5" s="409" t="s">
        <v>872</v>
      </c>
      <c r="CV5" s="417" t="s">
        <v>873</v>
      </c>
      <c r="CW5" s="417" t="s">
        <v>874</v>
      </c>
      <c r="CX5" s="410" t="s">
        <v>875</v>
      </c>
      <c r="CY5" s="436" t="s">
        <v>876</v>
      </c>
      <c r="CZ5" s="514"/>
      <c r="DA5" s="526"/>
      <c r="DB5" s="540"/>
      <c r="DC5" s="540"/>
      <c r="DD5" s="263" t="s">
        <v>549</v>
      </c>
      <c r="DE5" s="264" t="s">
        <v>548</v>
      </c>
      <c r="DF5" s="264" t="s">
        <v>7</v>
      </c>
      <c r="DG5" s="265" t="s">
        <v>8</v>
      </c>
    </row>
    <row r="6" spans="1:111" s="109" customFormat="1" ht="15" customHeight="1" x14ac:dyDescent="0.25">
      <c r="A6" s="20"/>
      <c r="B6" s="289">
        <v>1</v>
      </c>
      <c r="C6" s="289"/>
      <c r="D6" s="289"/>
      <c r="E6" s="289"/>
      <c r="F6" s="289"/>
      <c r="G6" s="289">
        <v>1</v>
      </c>
      <c r="H6" s="289"/>
      <c r="I6" s="13"/>
      <c r="J6" s="13"/>
      <c r="K6" s="13"/>
      <c r="L6" s="13"/>
      <c r="M6" s="103"/>
      <c r="N6" s="280">
        <v>1</v>
      </c>
      <c r="O6" s="20"/>
      <c r="P6" s="103"/>
      <c r="Q6" s="111"/>
      <c r="R6" s="13"/>
      <c r="S6" s="13"/>
      <c r="T6" s="103"/>
      <c r="U6" s="103"/>
      <c r="V6" s="103"/>
      <c r="W6" s="289"/>
      <c r="X6" s="289"/>
      <c r="Y6" s="289"/>
      <c r="Z6" s="289"/>
      <c r="AA6" s="289"/>
      <c r="AB6" s="289"/>
      <c r="AC6" s="289"/>
      <c r="AD6" s="289"/>
      <c r="AE6" s="289"/>
      <c r="AF6" s="111"/>
      <c r="AG6" s="289"/>
      <c r="AH6" s="111"/>
      <c r="AI6" s="111"/>
      <c r="AJ6" s="111"/>
      <c r="AK6" s="111"/>
      <c r="AL6" s="111"/>
      <c r="AM6" s="111"/>
      <c r="AN6" s="111"/>
      <c r="AO6" s="111"/>
      <c r="AP6" s="111"/>
      <c r="AQ6" s="111"/>
      <c r="AR6" s="111"/>
      <c r="AS6" s="111"/>
      <c r="AT6" s="111"/>
      <c r="AU6" s="111"/>
      <c r="AV6" s="111"/>
      <c r="AW6" s="111"/>
      <c r="AX6" s="111"/>
      <c r="AY6" s="111"/>
      <c r="AZ6" s="111"/>
      <c r="BA6" s="103"/>
      <c r="BB6" s="289"/>
      <c r="BC6" s="289"/>
      <c r="BD6" s="289"/>
      <c r="BE6" s="289"/>
      <c r="BF6" s="289"/>
      <c r="BG6" s="289"/>
      <c r="BH6" s="289"/>
      <c r="BI6" s="289"/>
      <c r="BJ6" s="289"/>
      <c r="BK6" s="289"/>
      <c r="BL6" s="103"/>
      <c r="BM6" s="289"/>
      <c r="BN6" s="289"/>
      <c r="BO6" s="289"/>
      <c r="BP6" s="289"/>
      <c r="BQ6" s="289"/>
      <c r="BR6" s="289"/>
      <c r="BS6" s="289"/>
      <c r="BT6" s="289"/>
      <c r="BU6" s="289"/>
      <c r="BV6" s="289"/>
      <c r="BW6" s="289"/>
      <c r="BX6" s="289"/>
      <c r="BY6" s="289"/>
      <c r="BZ6" s="289"/>
      <c r="CA6" s="289"/>
      <c r="CB6" s="289"/>
      <c r="CC6" s="289"/>
      <c r="CD6" s="289"/>
      <c r="CE6" s="289"/>
      <c r="CF6" s="289"/>
      <c r="CG6" s="289"/>
      <c r="CH6" s="103"/>
      <c r="CI6" s="103"/>
      <c r="CJ6" s="103"/>
      <c r="CK6" s="103"/>
      <c r="CL6" s="103"/>
      <c r="CM6" s="103"/>
      <c r="CN6" s="103"/>
      <c r="CO6" s="103"/>
      <c r="CP6" s="103"/>
      <c r="CQ6" s="103"/>
      <c r="CR6" s="103"/>
      <c r="CS6" s="103"/>
      <c r="CT6" s="103"/>
      <c r="CU6" s="103"/>
      <c r="CV6" s="103"/>
      <c r="CW6" s="103"/>
      <c r="CX6" s="103"/>
      <c r="CY6" s="289"/>
      <c r="CZ6" s="103"/>
      <c r="DA6" s="103"/>
      <c r="DB6" s="386"/>
      <c r="DC6" s="103"/>
      <c r="DD6" s="266" t="s">
        <v>1290</v>
      </c>
      <c r="DE6" s="267" t="str">
        <f>CONCATENATE("Acceder al sistema Gemma con usuario y perfil activo para la funcionalidad modulo Maestro - Distribuidor, hacer clic en el boton,"," ",IF(K6=1,"Modificar un registro","")," ",IF(L6=1,"Eliminar un registro","")," ",IF(J6=1,"Agregar un nuevo registro con ","")," ",IF(N6=1,"Exportar Documento Excel",""), ,IF(M6=1,"Link Nombre Distribuidor","")," seleccionando valores en el filtro ",IF(FW7=1,$FW$4,"")," ")</f>
        <v xml:space="preserve">Acceder al sistema Gemma con usuario y perfil activo para la funcionalidad modulo Maestro - Distribuidor, hacer clic en el boton,    Exportar Documento Excel seleccionando valores en el filtro  </v>
      </c>
      <c r="DF6" s="267" t="s">
        <v>908</v>
      </c>
      <c r="DG6" s="267" t="s">
        <v>1320</v>
      </c>
    </row>
    <row r="7" spans="1:111" s="109" customFormat="1" ht="15" customHeight="1" x14ac:dyDescent="0.25">
      <c r="A7" s="356"/>
      <c r="B7" s="13"/>
      <c r="C7" s="13"/>
      <c r="D7" s="103"/>
      <c r="E7" s="13"/>
      <c r="F7" s="13"/>
      <c r="G7" s="13"/>
      <c r="H7" s="103"/>
      <c r="I7" s="13"/>
      <c r="J7" s="13">
        <v>1</v>
      </c>
      <c r="K7" s="13"/>
      <c r="L7" s="13"/>
      <c r="M7" s="103"/>
      <c r="N7" s="280"/>
      <c r="O7" s="393">
        <v>1</v>
      </c>
      <c r="P7" s="395">
        <v>1</v>
      </c>
      <c r="Q7" s="395">
        <v>1</v>
      </c>
      <c r="R7" s="395">
        <v>1</v>
      </c>
      <c r="S7" s="395">
        <v>1</v>
      </c>
      <c r="T7" s="395">
        <v>1</v>
      </c>
      <c r="U7" s="344"/>
      <c r="V7" s="90"/>
      <c r="W7" s="289"/>
      <c r="X7" s="289"/>
      <c r="Y7" s="289">
        <v>1</v>
      </c>
      <c r="Z7" s="437">
        <v>1</v>
      </c>
      <c r="AA7" s="437"/>
      <c r="AB7" s="289"/>
      <c r="AC7" s="289">
        <v>1</v>
      </c>
      <c r="AD7" s="289">
        <v>1</v>
      </c>
      <c r="AE7" s="289"/>
      <c r="AF7" s="111"/>
      <c r="AG7" s="289"/>
      <c r="AH7" s="111"/>
      <c r="AI7" s="111"/>
      <c r="AJ7" s="111">
        <v>1</v>
      </c>
      <c r="AK7" s="111"/>
      <c r="AL7" s="111"/>
      <c r="AM7" s="111"/>
      <c r="AN7" s="111"/>
      <c r="AO7" s="111">
        <v>1</v>
      </c>
      <c r="AP7" s="111"/>
      <c r="AQ7" s="111"/>
      <c r="AR7" s="111"/>
      <c r="AS7" s="111"/>
      <c r="AT7" s="111"/>
      <c r="AU7" s="111"/>
      <c r="AV7" s="111"/>
      <c r="AW7" s="111"/>
      <c r="AX7" s="111"/>
      <c r="AY7" s="111"/>
      <c r="AZ7" s="111"/>
      <c r="BA7" s="103"/>
      <c r="BB7" s="289"/>
      <c r="BC7" s="289">
        <v>1</v>
      </c>
      <c r="BD7" s="289">
        <v>1</v>
      </c>
      <c r="BE7" s="289"/>
      <c r="BF7" s="289">
        <v>1</v>
      </c>
      <c r="BG7" s="289"/>
      <c r="BH7" s="289">
        <v>1</v>
      </c>
      <c r="BI7" s="289"/>
      <c r="BJ7" s="289">
        <v>1</v>
      </c>
      <c r="BK7" s="289"/>
      <c r="BL7" s="103"/>
      <c r="BM7" s="289"/>
      <c r="BN7" s="289">
        <v>1</v>
      </c>
      <c r="BO7" s="289">
        <v>1</v>
      </c>
      <c r="BP7" s="289">
        <v>1</v>
      </c>
      <c r="BQ7" s="289"/>
      <c r="BR7" s="289"/>
      <c r="BS7" s="289">
        <v>1</v>
      </c>
      <c r="BT7" s="289"/>
      <c r="BU7" s="289"/>
      <c r="BV7" s="289">
        <v>1</v>
      </c>
      <c r="BW7" s="289"/>
      <c r="BX7" s="289"/>
      <c r="BY7" s="289">
        <v>1</v>
      </c>
      <c r="BZ7" s="289"/>
      <c r="CA7" s="289"/>
      <c r="CB7" s="289"/>
      <c r="CC7" s="289"/>
      <c r="CD7" s="289"/>
      <c r="CE7" s="289"/>
      <c r="CF7" s="289"/>
      <c r="CG7" s="289"/>
      <c r="CH7" s="103"/>
      <c r="CI7" s="289"/>
      <c r="CJ7" s="289">
        <v>1</v>
      </c>
      <c r="CK7" s="289">
        <v>1</v>
      </c>
      <c r="CL7" s="289">
        <v>1</v>
      </c>
      <c r="CM7" s="289"/>
      <c r="CN7" s="289">
        <v>1</v>
      </c>
      <c r="CO7" s="289"/>
      <c r="CP7" s="289"/>
      <c r="CQ7" s="289"/>
      <c r="CR7" s="289"/>
      <c r="CS7" s="289"/>
      <c r="CT7" s="87"/>
      <c r="CU7" s="289">
        <v>1</v>
      </c>
      <c r="CV7" s="289"/>
      <c r="CW7" s="289"/>
      <c r="CX7" s="289"/>
      <c r="CY7" s="289"/>
      <c r="CZ7" s="289">
        <v>1</v>
      </c>
      <c r="DA7" s="103"/>
      <c r="DB7" s="392">
        <v>1</v>
      </c>
      <c r="DC7" s="103"/>
      <c r="DD7" s="266" t="s">
        <v>899</v>
      </c>
      <c r="DE7" s="267" t="str">
        <f>CONCATENATE("Acceder al sistema Gemma con usuario y perfil activo para la funcionalidad modulo Maestro - Distribuidor, hacer clic en el boton,"," ",IF(K7=1,"Modificar un registro","")," ",IF(L7=1,"Eliminar un registro","")," ",IF(J7=1,"Agregar un nuevo registro con ","")," ",IF(N7=1,"Exportar Documento Excel",""), ,IF(M7=1,"Link Nombre Distribuidor",""),"campos minimos obligatorios,",IF(FW8=1,$FW$4,"")," en las pestañas Datos, Logos, 2da Opciones, Comisiones, Dias de Toleracia, seleccionando un unico valor en Sucursal, Marcas, Cuentas, luego presionar confirmar. ")</f>
        <v xml:space="preserve">Acceder al sistema Gemma con usuario y perfil activo para la funcionalidad modulo Maestro - Distribuidor, hacer clic en el boton,   Agregar un nuevo registro con  campos minimos obligatorios, en las pestañas Datos, Logos, 2da Opciones, Comisiones, Dias de Toleracia, seleccionando un unico valor en Sucursal, Marcas, Cuentas, luego presionar confirmar. </v>
      </c>
      <c r="DF7" s="267" t="s">
        <v>1293</v>
      </c>
      <c r="DG7" s="267" t="s">
        <v>1321</v>
      </c>
    </row>
    <row r="8" spans="1:111" s="109" customFormat="1" ht="15" customHeight="1" x14ac:dyDescent="0.25">
      <c r="A8" s="20"/>
      <c r="B8" s="289"/>
      <c r="C8" s="289"/>
      <c r="D8" s="289"/>
      <c r="E8" s="289"/>
      <c r="F8" s="289"/>
      <c r="G8" s="289"/>
      <c r="H8" s="289"/>
      <c r="I8" s="13"/>
      <c r="J8" s="590">
        <v>1</v>
      </c>
      <c r="K8" s="13"/>
      <c r="L8" s="13"/>
      <c r="M8" s="103"/>
      <c r="N8" s="280"/>
      <c r="O8" s="573">
        <v>1</v>
      </c>
      <c r="P8" s="581">
        <v>1</v>
      </c>
      <c r="Q8" s="581">
        <v>1</v>
      </c>
      <c r="R8" s="581">
        <v>1</v>
      </c>
      <c r="S8" s="581">
        <v>1</v>
      </c>
      <c r="T8" s="581">
        <v>1</v>
      </c>
      <c r="U8" s="581">
        <v>1</v>
      </c>
      <c r="V8" s="583"/>
      <c r="W8" s="576"/>
      <c r="X8" s="576">
        <v>1</v>
      </c>
      <c r="Y8" s="576"/>
      <c r="Z8" s="576"/>
      <c r="AA8" s="576">
        <v>1</v>
      </c>
      <c r="AB8" s="579"/>
      <c r="AC8" s="592">
        <v>1</v>
      </c>
      <c r="AD8" s="579"/>
      <c r="AE8" s="576">
        <v>1</v>
      </c>
      <c r="AF8" s="576">
        <v>1</v>
      </c>
      <c r="AG8" s="289"/>
      <c r="AH8" s="111">
        <v>1</v>
      </c>
      <c r="AI8" s="111">
        <v>1</v>
      </c>
      <c r="AJ8" s="111"/>
      <c r="AK8" s="111">
        <v>1</v>
      </c>
      <c r="AL8" s="111"/>
      <c r="AM8" s="111"/>
      <c r="AN8" s="111"/>
      <c r="AO8" s="111"/>
      <c r="AP8" s="111">
        <v>1</v>
      </c>
      <c r="AQ8" s="111"/>
      <c r="AR8" s="111"/>
      <c r="AS8" s="111"/>
      <c r="AT8" s="111"/>
      <c r="AU8" s="111"/>
      <c r="AV8" s="111"/>
      <c r="AW8" s="111"/>
      <c r="AX8" s="111"/>
      <c r="AY8" s="111"/>
      <c r="AZ8" s="111"/>
      <c r="BA8" s="103"/>
      <c r="BB8" s="289"/>
      <c r="BC8" s="289">
        <v>1</v>
      </c>
      <c r="BD8" s="289"/>
      <c r="BE8" s="289"/>
      <c r="BF8" s="289"/>
      <c r="BG8" s="289"/>
      <c r="BH8" s="289"/>
      <c r="BI8" s="289"/>
      <c r="BJ8" s="289"/>
      <c r="BK8" s="289"/>
      <c r="BL8" s="103"/>
      <c r="BM8" s="289"/>
      <c r="BN8" s="289">
        <v>1</v>
      </c>
      <c r="BO8" s="289">
        <v>1</v>
      </c>
      <c r="BP8" s="289"/>
      <c r="BQ8" s="289"/>
      <c r="BR8" s="289"/>
      <c r="BS8" s="289"/>
      <c r="BT8" s="289"/>
      <c r="BU8" s="289"/>
      <c r="BV8" s="289"/>
      <c r="BW8" s="289"/>
      <c r="BX8" s="289"/>
      <c r="BY8" s="289"/>
      <c r="BZ8" s="289"/>
      <c r="CA8" s="289"/>
      <c r="CB8" s="289"/>
      <c r="CC8" s="576">
        <v>1</v>
      </c>
      <c r="CD8" s="579"/>
      <c r="CE8" s="579"/>
      <c r="CF8" s="579"/>
      <c r="CG8" s="579"/>
      <c r="CH8" s="583"/>
      <c r="CI8" s="576"/>
      <c r="CJ8" s="576">
        <v>1</v>
      </c>
      <c r="CK8" s="576">
        <v>1</v>
      </c>
      <c r="CL8" s="576">
        <v>1</v>
      </c>
      <c r="CM8" s="576"/>
      <c r="CN8" s="576">
        <v>1</v>
      </c>
      <c r="CO8" s="576"/>
      <c r="CP8" s="289"/>
      <c r="CQ8" s="289"/>
      <c r="CR8" s="289"/>
      <c r="CS8" s="289"/>
      <c r="CT8" s="289"/>
      <c r="CU8" s="289">
        <v>1</v>
      </c>
      <c r="CV8" s="289"/>
      <c r="CW8" s="289"/>
      <c r="CX8" s="289"/>
      <c r="CY8" s="289"/>
      <c r="CZ8" s="289">
        <v>1</v>
      </c>
      <c r="DA8" s="588"/>
      <c r="DB8" s="576">
        <v>1</v>
      </c>
      <c r="DC8" s="103"/>
      <c r="DD8" s="571" t="s">
        <v>900</v>
      </c>
      <c r="DE8" s="572" t="str">
        <f>CONCATENATE("Acceder al sistema Gemma con usuario y perfil activo para la funcionalidad modulo Maestro - Distribuidor, hacer clic en el boton,"," ",IF(K8=1,"Modificar un registro","")," ",IF(L8=1,"Eliminar un registro","")," ",IF(J8=1,"Agregar un nuevo registro con ","")," ",IF(N8=1,"Exportar Documento Excel",""), ,IF(M8=1,"Link Nombre Distribuidor",""),"campos minimos obligatorios y campos adicionales",IF(FW9=1,$FW$4,""),"en las pestañas Datos, Logos, 2da Opciones, Comisiones, Dias de Toleracia, seleccionando dos o mas valores a agregar en Sucursal, Marcas, Cuentas, luego presionar confirmar. ")</f>
        <v xml:space="preserve">Acceder al sistema Gemma con usuario y perfil activo para la funcionalidad modulo Maestro - Distribuidor, hacer clic en el boton,   Agregar un nuevo registro con  campos minimos obligatorios y campos adicionalesen las pestañas Datos, Logos, 2da Opciones, Comisiones, Dias de Toleracia, seleccionando dos o mas valores a agregar en Sucursal, Marcas, Cuentas, luego presionar confirmar. </v>
      </c>
      <c r="DF8" s="572" t="s">
        <v>1294</v>
      </c>
      <c r="DG8" s="572" t="s">
        <v>1321</v>
      </c>
    </row>
    <row r="9" spans="1:111" s="109" customFormat="1" ht="15" customHeight="1" x14ac:dyDescent="0.25">
      <c r="A9" s="20"/>
      <c r="B9" s="289"/>
      <c r="C9" s="289"/>
      <c r="D9" s="289"/>
      <c r="E9" s="289"/>
      <c r="F9" s="289"/>
      <c r="G9" s="289"/>
      <c r="H9" s="289"/>
      <c r="I9" s="13"/>
      <c r="J9" s="591"/>
      <c r="K9" s="13"/>
      <c r="L9" s="13"/>
      <c r="M9" s="103"/>
      <c r="N9" s="280"/>
      <c r="O9" s="575"/>
      <c r="P9" s="582"/>
      <c r="Q9" s="582"/>
      <c r="R9" s="582"/>
      <c r="S9" s="582"/>
      <c r="T9" s="582"/>
      <c r="U9" s="582"/>
      <c r="V9" s="584"/>
      <c r="W9" s="577"/>
      <c r="X9" s="577"/>
      <c r="Y9" s="577"/>
      <c r="Z9" s="577"/>
      <c r="AA9" s="577"/>
      <c r="AB9" s="580"/>
      <c r="AC9" s="593"/>
      <c r="AD9" s="580"/>
      <c r="AE9" s="577"/>
      <c r="AF9" s="577"/>
      <c r="AG9" s="289"/>
      <c r="AH9" s="111">
        <v>1</v>
      </c>
      <c r="AI9" s="111">
        <v>1</v>
      </c>
      <c r="AJ9" s="111"/>
      <c r="AK9" s="111"/>
      <c r="AL9" s="111">
        <v>1</v>
      </c>
      <c r="AM9" s="111"/>
      <c r="AN9" s="111"/>
      <c r="AO9" s="111"/>
      <c r="AP9" s="111">
        <v>1</v>
      </c>
      <c r="AQ9" s="111"/>
      <c r="AR9" s="111"/>
      <c r="AS9" s="111"/>
      <c r="AT9" s="111"/>
      <c r="AU9" s="111"/>
      <c r="AV9" s="111"/>
      <c r="AW9" s="111"/>
      <c r="AX9" s="111"/>
      <c r="AY9" s="111"/>
      <c r="AZ9" s="111"/>
      <c r="BA9" s="103"/>
      <c r="BB9" s="289"/>
      <c r="BC9" s="289">
        <v>1</v>
      </c>
      <c r="BD9" s="289"/>
      <c r="BE9" s="289">
        <v>1</v>
      </c>
      <c r="BF9" s="289"/>
      <c r="BG9" s="289"/>
      <c r="BH9" s="289">
        <v>1</v>
      </c>
      <c r="BI9" s="289"/>
      <c r="BJ9" s="289">
        <v>1</v>
      </c>
      <c r="BK9" s="289"/>
      <c r="BL9" s="103"/>
      <c r="BM9" s="289"/>
      <c r="BN9" s="289">
        <v>1</v>
      </c>
      <c r="BO9" s="289">
        <v>1</v>
      </c>
      <c r="BP9" s="289"/>
      <c r="BQ9" s="289">
        <v>1</v>
      </c>
      <c r="BR9" s="289">
        <v>1</v>
      </c>
      <c r="BS9" s="289">
        <v>1</v>
      </c>
      <c r="BT9" s="289"/>
      <c r="BU9" s="289"/>
      <c r="BV9" s="289">
        <v>1</v>
      </c>
      <c r="BW9" s="289"/>
      <c r="BX9" s="289"/>
      <c r="BY9" s="289">
        <v>1</v>
      </c>
      <c r="BZ9" s="289"/>
      <c r="CA9" s="289"/>
      <c r="CB9" s="289"/>
      <c r="CC9" s="577"/>
      <c r="CD9" s="580"/>
      <c r="CE9" s="580"/>
      <c r="CF9" s="580"/>
      <c r="CG9" s="580"/>
      <c r="CH9" s="584"/>
      <c r="CI9" s="577"/>
      <c r="CJ9" s="577"/>
      <c r="CK9" s="577"/>
      <c r="CL9" s="577"/>
      <c r="CM9" s="577"/>
      <c r="CN9" s="577"/>
      <c r="CO9" s="577"/>
      <c r="CP9" s="289"/>
      <c r="CQ9" s="289"/>
      <c r="CR9" s="289"/>
      <c r="CS9" s="289"/>
      <c r="CT9" s="289"/>
      <c r="CU9" s="289"/>
      <c r="CV9" s="289">
        <v>1</v>
      </c>
      <c r="CW9" s="289"/>
      <c r="CX9" s="289"/>
      <c r="CY9" s="289"/>
      <c r="CZ9" s="289">
        <v>1</v>
      </c>
      <c r="DA9" s="589"/>
      <c r="DB9" s="577"/>
      <c r="DC9" s="103"/>
      <c r="DD9" s="571"/>
      <c r="DE9" s="572"/>
      <c r="DF9" s="572"/>
      <c r="DG9" s="572"/>
    </row>
    <row r="10" spans="1:111" s="109" customFormat="1" ht="15" customHeight="1" x14ac:dyDescent="0.25">
      <c r="A10" s="20"/>
      <c r="B10" s="289"/>
      <c r="C10" s="289"/>
      <c r="D10" s="289">
        <v>1</v>
      </c>
      <c r="E10" s="289"/>
      <c r="F10" s="289"/>
      <c r="G10" s="289"/>
      <c r="H10" s="289">
        <v>1</v>
      </c>
      <c r="I10" s="13"/>
      <c r="J10" s="13"/>
      <c r="K10" s="13">
        <v>1</v>
      </c>
      <c r="L10" s="13"/>
      <c r="M10" s="103"/>
      <c r="N10" s="280"/>
      <c r="O10" s="393">
        <v>1</v>
      </c>
      <c r="P10" s="286">
        <v>1</v>
      </c>
      <c r="Q10" s="286">
        <v>1</v>
      </c>
      <c r="R10" s="286">
        <v>1</v>
      </c>
      <c r="S10" s="286">
        <v>1</v>
      </c>
      <c r="T10" s="286">
        <v>1</v>
      </c>
      <c r="U10" s="90"/>
      <c r="V10" s="90"/>
      <c r="W10" s="289"/>
      <c r="X10" s="289"/>
      <c r="Y10" s="289">
        <v>1</v>
      </c>
      <c r="Z10" s="289">
        <v>1</v>
      </c>
      <c r="AA10" s="289"/>
      <c r="AB10" s="289"/>
      <c r="AC10" s="289">
        <v>1</v>
      </c>
      <c r="AD10" s="289"/>
      <c r="AE10" s="289">
        <v>1</v>
      </c>
      <c r="AF10" s="111">
        <v>1</v>
      </c>
      <c r="AG10" s="289">
        <v>1</v>
      </c>
      <c r="AH10" s="111">
        <v>1</v>
      </c>
      <c r="AI10" s="111">
        <v>1</v>
      </c>
      <c r="AJ10" s="111"/>
      <c r="AK10" s="111">
        <v>1</v>
      </c>
      <c r="AL10" s="111"/>
      <c r="AM10" s="111"/>
      <c r="AN10" s="111">
        <v>1</v>
      </c>
      <c r="AO10" s="111"/>
      <c r="AP10" s="111"/>
      <c r="AQ10" s="111">
        <v>1</v>
      </c>
      <c r="AR10" s="111"/>
      <c r="AS10" s="111">
        <v>1</v>
      </c>
      <c r="AT10" s="111"/>
      <c r="AU10" s="111"/>
      <c r="AV10" s="111">
        <v>1</v>
      </c>
      <c r="AW10" s="111"/>
      <c r="AX10" s="111"/>
      <c r="AY10" s="111"/>
      <c r="AZ10" s="111">
        <v>1</v>
      </c>
      <c r="BA10" s="103"/>
      <c r="BB10" s="289"/>
      <c r="BC10" s="289">
        <v>1</v>
      </c>
      <c r="BD10" s="289">
        <v>1</v>
      </c>
      <c r="BE10" s="289"/>
      <c r="BF10" s="289">
        <v>1</v>
      </c>
      <c r="BG10" s="289"/>
      <c r="BH10" s="289">
        <v>1</v>
      </c>
      <c r="BI10" s="289"/>
      <c r="BJ10" s="289">
        <v>1</v>
      </c>
      <c r="BK10" s="289"/>
      <c r="BL10" s="103"/>
      <c r="BM10" s="289"/>
      <c r="BN10" s="289">
        <v>1</v>
      </c>
      <c r="BO10" s="289">
        <v>1</v>
      </c>
      <c r="BP10" s="289">
        <v>1</v>
      </c>
      <c r="BQ10" s="289"/>
      <c r="BR10" s="289"/>
      <c r="BS10" s="289">
        <v>1</v>
      </c>
      <c r="BT10" s="289"/>
      <c r="BU10" s="289"/>
      <c r="BV10" s="289">
        <v>1</v>
      </c>
      <c r="BW10" s="289"/>
      <c r="BX10" s="289"/>
      <c r="BY10" s="289">
        <v>1</v>
      </c>
      <c r="BZ10" s="289"/>
      <c r="CA10" s="289"/>
      <c r="CB10" s="289"/>
      <c r="CC10" s="289">
        <v>1</v>
      </c>
      <c r="CD10" s="289">
        <v>1</v>
      </c>
      <c r="CE10" s="289">
        <v>1</v>
      </c>
      <c r="CF10" s="289"/>
      <c r="CG10" s="289"/>
      <c r="CH10" s="289">
        <v>1</v>
      </c>
      <c r="CI10" s="289">
        <v>1</v>
      </c>
      <c r="CJ10" s="289"/>
      <c r="CK10" s="289">
        <v>1</v>
      </c>
      <c r="CL10" s="289">
        <v>1</v>
      </c>
      <c r="CM10" s="289"/>
      <c r="CN10" s="289">
        <v>1</v>
      </c>
      <c r="CO10" s="289"/>
      <c r="CP10" s="87">
        <v>1</v>
      </c>
      <c r="CQ10" s="87">
        <v>1</v>
      </c>
      <c r="CR10" s="289"/>
      <c r="CS10" s="289"/>
      <c r="CT10" s="87"/>
      <c r="CU10" s="289">
        <v>1</v>
      </c>
      <c r="CV10" s="289"/>
      <c r="CW10" s="289"/>
      <c r="CX10" s="289"/>
      <c r="CY10" s="289"/>
      <c r="CZ10" s="289">
        <v>1</v>
      </c>
      <c r="DA10" s="103"/>
      <c r="DB10" s="392">
        <v>1</v>
      </c>
      <c r="DC10" s="103"/>
      <c r="DD10" s="266" t="s">
        <v>1322</v>
      </c>
      <c r="DE10" s="267" t="str">
        <f>CONCATENATE("Acceder al sistema Gemma con usuario y perfil activo para la funcionalidad modulo Maestro - Distribuidor, hacer clic en el boton,"," ",IF(K10=1,"Modificar un registro,","")," ",IF(L10=1,"Eliminar un registro","")," ",IF(J10=1,"Agregar un nuevo registro con ","")," ",IF(N10=1,"Exportar Documento Excel",""), ,IF(M10=1,"Link Nombre Distribuidor",""),"sin seleccion en el filtro, tomando el registro de la tabla consulta, ",IF(FW11=1,$FW$4,"")," confirmar cambios. ")</f>
        <v xml:space="preserve">Acceder al sistema Gemma con usuario y perfil activo para la funcionalidad modulo Maestro - Distribuidor, hacer clic en el boton, Modificar un registro,   sin seleccion en el filtro, tomando el registro de la tabla consulta,  confirmar cambios. </v>
      </c>
      <c r="DF10" s="267" t="s">
        <v>1325</v>
      </c>
      <c r="DG10" s="490" t="s">
        <v>1328</v>
      </c>
    </row>
    <row r="11" spans="1:111" s="109" customFormat="1" ht="15" customHeight="1" x14ac:dyDescent="0.25">
      <c r="A11" s="585">
        <v>1</v>
      </c>
      <c r="B11" s="576">
        <v>1</v>
      </c>
      <c r="C11" s="289"/>
      <c r="D11" s="576">
        <v>1</v>
      </c>
      <c r="E11" s="289"/>
      <c r="F11" s="289"/>
      <c r="G11" s="289"/>
      <c r="H11" s="576">
        <v>1</v>
      </c>
      <c r="I11" s="111"/>
      <c r="J11" s="13"/>
      <c r="K11" s="590">
        <v>1</v>
      </c>
      <c r="L11" s="13"/>
      <c r="M11" s="13"/>
      <c r="N11" s="280"/>
      <c r="O11" s="573">
        <v>1</v>
      </c>
      <c r="P11" s="581">
        <v>1</v>
      </c>
      <c r="Q11" s="581">
        <v>1</v>
      </c>
      <c r="R11" s="581">
        <v>1</v>
      </c>
      <c r="S11" s="581">
        <v>1</v>
      </c>
      <c r="T11" s="581">
        <v>1</v>
      </c>
      <c r="U11" s="581">
        <v>1</v>
      </c>
      <c r="V11" s="583"/>
      <c r="W11" s="576"/>
      <c r="X11" s="576"/>
      <c r="Y11" s="576">
        <v>1</v>
      </c>
      <c r="Z11" s="576"/>
      <c r="AA11" s="576">
        <v>1</v>
      </c>
      <c r="AB11" s="576">
        <v>1</v>
      </c>
      <c r="AC11" s="576">
        <v>1</v>
      </c>
      <c r="AD11" s="579"/>
      <c r="AE11" s="576">
        <v>1</v>
      </c>
      <c r="AF11" s="576"/>
      <c r="AG11" s="289"/>
      <c r="AH11" s="111">
        <v>1</v>
      </c>
      <c r="AI11" s="111">
        <v>1</v>
      </c>
      <c r="AJ11" s="111"/>
      <c r="AK11" s="111"/>
      <c r="AL11" s="111"/>
      <c r="AM11" s="111">
        <v>1</v>
      </c>
      <c r="AN11" s="111"/>
      <c r="AO11" s="111"/>
      <c r="AP11" s="111"/>
      <c r="AQ11" s="111">
        <v>1</v>
      </c>
      <c r="AR11" s="111"/>
      <c r="AS11" s="111">
        <v>1</v>
      </c>
      <c r="AT11" s="111"/>
      <c r="AU11" s="111"/>
      <c r="AV11" s="111">
        <v>1</v>
      </c>
      <c r="AW11" s="111"/>
      <c r="AX11" s="111"/>
      <c r="AY11" s="111"/>
      <c r="AZ11" s="111">
        <v>1</v>
      </c>
      <c r="BA11" s="103"/>
      <c r="BB11" s="289"/>
      <c r="BC11" s="289">
        <v>1</v>
      </c>
      <c r="BD11" s="289"/>
      <c r="BE11" s="289"/>
      <c r="BF11" s="289"/>
      <c r="BG11" s="289"/>
      <c r="BH11" s="289"/>
      <c r="BI11" s="289"/>
      <c r="BJ11" s="289"/>
      <c r="BK11" s="289"/>
      <c r="BL11" s="103"/>
      <c r="BM11" s="289"/>
      <c r="BN11" s="289">
        <v>1</v>
      </c>
      <c r="BO11" s="289">
        <v>1</v>
      </c>
      <c r="BP11" s="289"/>
      <c r="BQ11" s="289"/>
      <c r="BR11" s="289"/>
      <c r="BS11" s="289">
        <v>1</v>
      </c>
      <c r="BT11" s="289"/>
      <c r="BU11" s="289"/>
      <c r="BV11" s="289">
        <v>1</v>
      </c>
      <c r="BW11" s="289"/>
      <c r="BX11" s="289"/>
      <c r="BY11" s="289">
        <v>1</v>
      </c>
      <c r="BZ11" s="289"/>
      <c r="CA11" s="289"/>
      <c r="CB11" s="289"/>
      <c r="CC11" s="576">
        <v>1</v>
      </c>
      <c r="CD11" s="579"/>
      <c r="CE11" s="579"/>
      <c r="CF11" s="579"/>
      <c r="CG11" s="579"/>
      <c r="CH11" s="583"/>
      <c r="CI11" s="576"/>
      <c r="CJ11" s="576">
        <v>1</v>
      </c>
      <c r="CK11" s="576">
        <v>1</v>
      </c>
      <c r="CL11" s="576">
        <v>1</v>
      </c>
      <c r="CM11" s="576"/>
      <c r="CN11" s="576">
        <v>1</v>
      </c>
      <c r="CO11" s="289"/>
      <c r="CP11" s="289"/>
      <c r="CQ11" s="289"/>
      <c r="CR11" s="289"/>
      <c r="CS11" s="289"/>
      <c r="CT11" s="87"/>
      <c r="CU11" s="289">
        <v>1</v>
      </c>
      <c r="CV11" s="289"/>
      <c r="CW11" s="289"/>
      <c r="CX11" s="289"/>
      <c r="CY11" s="289"/>
      <c r="CZ11" s="289">
        <v>1</v>
      </c>
      <c r="DA11" s="588"/>
      <c r="DB11" s="576">
        <v>1</v>
      </c>
      <c r="DC11" s="103"/>
      <c r="DD11" s="571" t="s">
        <v>1323</v>
      </c>
      <c r="DE11" s="572" t="str">
        <f>CONCATENATE("Acceder al sistema Gemma con usuario y perfil activo para la funcionalidad modulo Maestro - Distribuidor, hacer clic en el boton,"," ",IF(K11=1,"Modificar un registro,","")," ",IF(L11=1,"Eliminar un registro","")," ",IF(J11=1,"Agregar un nuevo registro con ","")," ",IF(N11=1,"Exportar Documento Excel",""), ,IF(M11=1,"Link Nombre Distribuidor",""),"seleccionando valores del filtro, con mas de un valor asociado a Sucursal, Marcas, Cuentas,  ",IF(FW12=1,$FW$4,""),"y Confirmar cambios. ")</f>
        <v xml:space="preserve">Acceder al sistema Gemma con usuario y perfil activo para la funcionalidad modulo Maestro - Distribuidor, hacer clic en el boton, Modificar un registro,   seleccionando valores del filtro, con mas de un valor asociado a Sucursal, Marcas, Cuentas,  y Confirmar cambios. </v>
      </c>
      <c r="DF11" s="572" t="s">
        <v>1324</v>
      </c>
      <c r="DG11" s="572" t="s">
        <v>1328</v>
      </c>
    </row>
    <row r="12" spans="1:111" s="109" customFormat="1" ht="15" customHeight="1" x14ac:dyDescent="0.25">
      <c r="A12" s="587"/>
      <c r="B12" s="577"/>
      <c r="C12" s="13"/>
      <c r="D12" s="577"/>
      <c r="E12" s="13"/>
      <c r="F12" s="13"/>
      <c r="G12" s="13"/>
      <c r="H12" s="577"/>
      <c r="I12" s="13"/>
      <c r="J12" s="13"/>
      <c r="K12" s="591"/>
      <c r="L12" s="13"/>
      <c r="M12" s="103"/>
      <c r="N12" s="280"/>
      <c r="O12" s="575"/>
      <c r="P12" s="582"/>
      <c r="Q12" s="582"/>
      <c r="R12" s="582"/>
      <c r="S12" s="582"/>
      <c r="T12" s="582"/>
      <c r="U12" s="582"/>
      <c r="V12" s="584"/>
      <c r="W12" s="577"/>
      <c r="X12" s="577"/>
      <c r="Y12" s="577"/>
      <c r="Z12" s="577"/>
      <c r="AA12" s="577"/>
      <c r="AB12" s="577"/>
      <c r="AC12" s="577"/>
      <c r="AD12" s="580"/>
      <c r="AE12" s="577"/>
      <c r="AF12" s="577"/>
      <c r="AG12" s="289"/>
      <c r="AH12" s="111">
        <v>1</v>
      </c>
      <c r="AI12" s="111">
        <v>1</v>
      </c>
      <c r="AJ12" s="111"/>
      <c r="AK12" s="111"/>
      <c r="AL12" s="111"/>
      <c r="AM12" s="111"/>
      <c r="AN12" s="111">
        <v>1</v>
      </c>
      <c r="AO12" s="111"/>
      <c r="AP12" s="111"/>
      <c r="AQ12" s="111">
        <v>1</v>
      </c>
      <c r="AR12" s="111"/>
      <c r="AS12" s="111"/>
      <c r="AT12" s="111"/>
      <c r="AU12" s="111"/>
      <c r="AV12" s="111"/>
      <c r="AW12" s="111"/>
      <c r="AX12" s="111"/>
      <c r="AY12" s="111"/>
      <c r="AZ12" s="111"/>
      <c r="BA12" s="103"/>
      <c r="BB12" s="289"/>
      <c r="BC12" s="289">
        <v>1</v>
      </c>
      <c r="BD12" s="289"/>
      <c r="BE12" s="289">
        <v>1</v>
      </c>
      <c r="BF12" s="289"/>
      <c r="BG12" s="289"/>
      <c r="BH12" s="289">
        <v>1</v>
      </c>
      <c r="BI12" s="289"/>
      <c r="BJ12" s="289">
        <v>1</v>
      </c>
      <c r="BK12" s="289"/>
      <c r="BL12" s="103"/>
      <c r="BM12" s="289"/>
      <c r="BN12" s="289">
        <v>1</v>
      </c>
      <c r="BO12" s="289">
        <v>1</v>
      </c>
      <c r="BP12" s="289"/>
      <c r="BQ12" s="289">
        <v>1</v>
      </c>
      <c r="BR12" s="289">
        <v>1</v>
      </c>
      <c r="BS12" s="289">
        <v>1</v>
      </c>
      <c r="BT12" s="289"/>
      <c r="BU12" s="289"/>
      <c r="BV12" s="289">
        <v>1</v>
      </c>
      <c r="BW12" s="289"/>
      <c r="BX12" s="289"/>
      <c r="BY12" s="289">
        <v>1</v>
      </c>
      <c r="BZ12" s="289"/>
      <c r="CA12" s="289"/>
      <c r="CB12" s="289"/>
      <c r="CC12" s="577"/>
      <c r="CD12" s="580"/>
      <c r="CE12" s="580"/>
      <c r="CF12" s="580"/>
      <c r="CG12" s="580"/>
      <c r="CH12" s="584"/>
      <c r="CI12" s="577"/>
      <c r="CJ12" s="577"/>
      <c r="CK12" s="577"/>
      <c r="CL12" s="577"/>
      <c r="CM12" s="577"/>
      <c r="CN12" s="577"/>
      <c r="CO12" s="289"/>
      <c r="CP12" s="289"/>
      <c r="CQ12" s="289"/>
      <c r="CR12" s="289"/>
      <c r="CS12" s="289"/>
      <c r="CT12" s="87"/>
      <c r="CU12" s="289"/>
      <c r="CV12" s="289">
        <v>1</v>
      </c>
      <c r="CW12" s="289"/>
      <c r="CX12" s="289"/>
      <c r="CY12" s="289"/>
      <c r="CZ12" s="289">
        <v>1</v>
      </c>
      <c r="DA12" s="589"/>
      <c r="DB12" s="577"/>
      <c r="DC12" s="103"/>
      <c r="DD12" s="571"/>
      <c r="DE12" s="572"/>
      <c r="DF12" s="572"/>
      <c r="DG12" s="572"/>
    </row>
    <row r="13" spans="1:111" s="109" customFormat="1" ht="15" customHeight="1" x14ac:dyDescent="0.25">
      <c r="A13" s="585">
        <v>1</v>
      </c>
      <c r="B13" s="576">
        <v>1</v>
      </c>
      <c r="C13" s="289"/>
      <c r="D13" s="576">
        <v>1</v>
      </c>
      <c r="E13" s="289"/>
      <c r="F13" s="289"/>
      <c r="G13" s="289"/>
      <c r="H13" s="576">
        <v>1</v>
      </c>
      <c r="I13" s="111"/>
      <c r="J13" s="13"/>
      <c r="K13" s="576">
        <v>1</v>
      </c>
      <c r="L13" s="13"/>
      <c r="M13" s="103"/>
      <c r="N13" s="280"/>
      <c r="O13" s="573">
        <v>1</v>
      </c>
      <c r="P13" s="576">
        <v>1</v>
      </c>
      <c r="Q13" s="576">
        <v>1</v>
      </c>
      <c r="R13" s="576">
        <v>1</v>
      </c>
      <c r="S13" s="576">
        <v>1</v>
      </c>
      <c r="T13" s="576">
        <v>1</v>
      </c>
      <c r="U13" s="576">
        <v>1</v>
      </c>
      <c r="V13" s="583"/>
      <c r="W13" s="576"/>
      <c r="X13" s="576"/>
      <c r="Y13" s="576">
        <v>1</v>
      </c>
      <c r="Z13" s="576"/>
      <c r="AA13" s="576">
        <v>1</v>
      </c>
      <c r="AB13" s="576">
        <v>1</v>
      </c>
      <c r="AC13" s="576">
        <v>1</v>
      </c>
      <c r="AD13" s="576"/>
      <c r="AE13" s="576">
        <v>1</v>
      </c>
      <c r="AF13" s="576"/>
      <c r="AG13" s="289"/>
      <c r="AH13" s="111">
        <v>1</v>
      </c>
      <c r="AI13" s="111">
        <v>1</v>
      </c>
      <c r="AJ13" s="111"/>
      <c r="AK13" s="111">
        <v>1</v>
      </c>
      <c r="AL13" s="111"/>
      <c r="AM13" s="111"/>
      <c r="AN13" s="111"/>
      <c r="AO13" s="111"/>
      <c r="AP13" s="111"/>
      <c r="AQ13" s="111"/>
      <c r="AR13" s="111">
        <v>1</v>
      </c>
      <c r="AS13" s="111">
        <v>1</v>
      </c>
      <c r="AT13" s="111"/>
      <c r="AU13" s="111"/>
      <c r="AV13" s="111">
        <v>1</v>
      </c>
      <c r="AW13" s="111"/>
      <c r="AX13" s="111"/>
      <c r="AY13" s="111"/>
      <c r="AZ13" s="111">
        <v>1</v>
      </c>
      <c r="BA13" s="103"/>
      <c r="BB13" s="289"/>
      <c r="BC13" s="289">
        <v>1</v>
      </c>
      <c r="BD13" s="289"/>
      <c r="BE13" s="289"/>
      <c r="BF13" s="289"/>
      <c r="BG13" s="289"/>
      <c r="BH13" s="289"/>
      <c r="BI13" s="289"/>
      <c r="BJ13" s="289"/>
      <c r="BK13" s="289"/>
      <c r="BL13" s="103"/>
      <c r="BM13" s="289"/>
      <c r="BN13" s="289">
        <v>1</v>
      </c>
      <c r="BO13" s="289">
        <v>1</v>
      </c>
      <c r="BP13" s="289"/>
      <c r="BQ13" s="289"/>
      <c r="BR13" s="289"/>
      <c r="BS13" s="289"/>
      <c r="BT13" s="289"/>
      <c r="BU13" s="289"/>
      <c r="BV13" s="289"/>
      <c r="BW13" s="289"/>
      <c r="BX13" s="289"/>
      <c r="BY13" s="289"/>
      <c r="BZ13" s="289"/>
      <c r="CA13" s="289"/>
      <c r="CB13" s="289"/>
      <c r="CC13" s="438"/>
      <c r="CD13" s="440"/>
      <c r="CE13" s="440"/>
      <c r="CF13" s="440"/>
      <c r="CG13" s="440"/>
      <c r="CH13" s="576">
        <v>1</v>
      </c>
      <c r="CI13" s="438"/>
      <c r="CJ13" s="576">
        <v>1</v>
      </c>
      <c r="CK13" s="576">
        <v>1</v>
      </c>
      <c r="CL13" s="576">
        <v>1</v>
      </c>
      <c r="CM13" s="576"/>
      <c r="CN13" s="576">
        <v>1</v>
      </c>
      <c r="CO13" s="289"/>
      <c r="CP13" s="289"/>
      <c r="CQ13" s="289"/>
      <c r="CR13" s="289"/>
      <c r="CS13" s="289"/>
      <c r="CT13" s="87"/>
      <c r="CU13" s="289">
        <v>1</v>
      </c>
      <c r="CV13" s="289"/>
      <c r="CW13" s="289"/>
      <c r="CX13" s="289"/>
      <c r="CY13" s="289"/>
      <c r="CZ13" s="289">
        <v>1</v>
      </c>
      <c r="DA13" s="576">
        <v>1</v>
      </c>
      <c r="DB13" s="576">
        <v>1</v>
      </c>
      <c r="DC13" s="103"/>
      <c r="DD13" s="571" t="s">
        <v>1326</v>
      </c>
      <c r="DE13" s="572" t="str">
        <f>CONCATENATE("Acceder al sistema Gemma con usuario y perfil activo para la funcionalidad modulo Maestro - Distribuidor, hacer clic en el boton,"," ",IF(K13=1,"Modificar un registro,","")," ",IF(L13=1,"Eliminar un registro","")," ",IF(J13=1,"Agregar un nuevo registro con ","")," ",IF(N13=1,"Exportar Documento Excel",""), ,IF(M13=1,"Link Nombre Distribuidor","")," ",IF(FW14=1,$FW$4,""),"una vez seleccionado el ID del registro, modificar o agregar valores a los Dias de Toleracia, y Confirmar Cambios.")</f>
        <v>Acceder al sistema Gemma con usuario y perfil activo para la funcionalidad modulo Maestro - Distribuidor, hacer clic en el boton, Modificar un registro,    una vez seleccionado el ID del registro, modificar o agregar valores a los Dias de Toleracia, y Confirmar Cambios.</v>
      </c>
      <c r="DF13" s="572" t="s">
        <v>1327</v>
      </c>
      <c r="DG13" s="572" t="s">
        <v>1328</v>
      </c>
    </row>
    <row r="14" spans="1:111" s="109" customFormat="1" ht="15" customHeight="1" x14ac:dyDescent="0.25">
      <c r="A14" s="586"/>
      <c r="B14" s="578"/>
      <c r="C14" s="13"/>
      <c r="D14" s="578"/>
      <c r="E14" s="13"/>
      <c r="F14" s="13"/>
      <c r="G14" s="13"/>
      <c r="H14" s="578"/>
      <c r="I14" s="13"/>
      <c r="J14" s="13"/>
      <c r="K14" s="578"/>
      <c r="L14" s="13"/>
      <c r="M14" s="103"/>
      <c r="N14" s="280"/>
      <c r="O14" s="574"/>
      <c r="P14" s="578"/>
      <c r="Q14" s="578"/>
      <c r="R14" s="578"/>
      <c r="S14" s="578"/>
      <c r="T14" s="578"/>
      <c r="U14" s="578"/>
      <c r="V14" s="584"/>
      <c r="W14" s="577"/>
      <c r="X14" s="577"/>
      <c r="Y14" s="578"/>
      <c r="Z14" s="577"/>
      <c r="AA14" s="578"/>
      <c r="AB14" s="578"/>
      <c r="AC14" s="578"/>
      <c r="AD14" s="577"/>
      <c r="AE14" s="578"/>
      <c r="AF14" s="577"/>
      <c r="AG14" s="289"/>
      <c r="AH14" s="111">
        <v>1</v>
      </c>
      <c r="AI14" s="111">
        <v>1</v>
      </c>
      <c r="AJ14" s="111"/>
      <c r="AK14" s="111"/>
      <c r="AL14" s="111">
        <v>1</v>
      </c>
      <c r="AM14" s="111"/>
      <c r="AN14" s="111"/>
      <c r="AO14" s="111"/>
      <c r="AP14" s="111"/>
      <c r="AQ14" s="111"/>
      <c r="AR14" s="111">
        <v>1</v>
      </c>
      <c r="AS14" s="111">
        <v>1</v>
      </c>
      <c r="AT14" s="111"/>
      <c r="AU14" s="111"/>
      <c r="AV14" s="111"/>
      <c r="AW14" s="111">
        <v>1</v>
      </c>
      <c r="AX14" s="111"/>
      <c r="AY14" s="111"/>
      <c r="AZ14" s="111">
        <v>1</v>
      </c>
      <c r="BA14" s="103"/>
      <c r="BB14" s="289"/>
      <c r="BC14" s="289"/>
      <c r="BD14" s="289"/>
      <c r="BE14" s="289">
        <v>1</v>
      </c>
      <c r="BF14" s="289"/>
      <c r="BG14" s="289"/>
      <c r="BH14" s="289"/>
      <c r="BI14" s="289"/>
      <c r="BJ14" s="289"/>
      <c r="BK14" s="289"/>
      <c r="BL14" s="103"/>
      <c r="BM14" s="289"/>
      <c r="BN14" s="289"/>
      <c r="BO14" s="289"/>
      <c r="BP14" s="289"/>
      <c r="BQ14" s="289">
        <v>1</v>
      </c>
      <c r="BR14" s="289">
        <v>1</v>
      </c>
      <c r="BS14" s="289"/>
      <c r="BT14" s="289"/>
      <c r="BU14" s="289"/>
      <c r="BV14" s="289"/>
      <c r="BW14" s="289"/>
      <c r="BX14" s="289"/>
      <c r="BY14" s="289"/>
      <c r="BZ14" s="289"/>
      <c r="CA14" s="289"/>
      <c r="CB14" s="289"/>
      <c r="CC14" s="438"/>
      <c r="CD14" s="440"/>
      <c r="CE14" s="440"/>
      <c r="CF14" s="440"/>
      <c r="CG14" s="440"/>
      <c r="CH14" s="578"/>
      <c r="CI14" s="438"/>
      <c r="CJ14" s="578"/>
      <c r="CK14" s="578"/>
      <c r="CL14" s="578"/>
      <c r="CM14" s="578"/>
      <c r="CN14" s="578"/>
      <c r="CO14" s="289"/>
      <c r="CP14" s="289"/>
      <c r="CQ14" s="289"/>
      <c r="CR14" s="289"/>
      <c r="CS14" s="289"/>
      <c r="CT14" s="87"/>
      <c r="CU14" s="289"/>
      <c r="CV14" s="289">
        <v>1</v>
      </c>
      <c r="CW14" s="289"/>
      <c r="CX14" s="289"/>
      <c r="CY14" s="289"/>
      <c r="CZ14" s="289">
        <v>1</v>
      </c>
      <c r="DA14" s="578"/>
      <c r="DB14" s="578"/>
      <c r="DC14" s="103"/>
      <c r="DD14" s="571"/>
      <c r="DE14" s="572"/>
      <c r="DF14" s="572"/>
      <c r="DG14" s="572"/>
    </row>
    <row r="15" spans="1:111" s="109" customFormat="1" ht="15" customHeight="1" x14ac:dyDescent="0.25">
      <c r="A15" s="586"/>
      <c r="B15" s="578"/>
      <c r="C15" s="13"/>
      <c r="D15" s="578"/>
      <c r="E15" s="13"/>
      <c r="F15" s="13"/>
      <c r="G15" s="13"/>
      <c r="H15" s="578"/>
      <c r="I15" s="13"/>
      <c r="J15" s="13"/>
      <c r="K15" s="578"/>
      <c r="L15" s="13"/>
      <c r="M15" s="103"/>
      <c r="N15" s="280"/>
      <c r="O15" s="574"/>
      <c r="P15" s="578"/>
      <c r="Q15" s="578"/>
      <c r="R15" s="578"/>
      <c r="S15" s="578"/>
      <c r="T15" s="578"/>
      <c r="U15" s="578"/>
      <c r="V15" s="439"/>
      <c r="W15" s="438"/>
      <c r="X15" s="438"/>
      <c r="Y15" s="578"/>
      <c r="Z15" s="438"/>
      <c r="AA15" s="578"/>
      <c r="AB15" s="578"/>
      <c r="AC15" s="578"/>
      <c r="AD15" s="440"/>
      <c r="AE15" s="578"/>
      <c r="AF15" s="438"/>
      <c r="AG15" s="289"/>
      <c r="AH15" s="111">
        <v>1</v>
      </c>
      <c r="AI15" s="111">
        <v>1</v>
      </c>
      <c r="AJ15" s="111"/>
      <c r="AK15" s="111"/>
      <c r="AL15" s="111"/>
      <c r="AM15" s="111">
        <v>1</v>
      </c>
      <c r="AN15" s="111"/>
      <c r="AO15" s="111"/>
      <c r="AP15" s="111"/>
      <c r="AQ15" s="111"/>
      <c r="AR15" s="111">
        <v>1</v>
      </c>
      <c r="AS15" s="111"/>
      <c r="AT15" s="111"/>
      <c r="AU15" s="111"/>
      <c r="AV15" s="111"/>
      <c r="AW15" s="111"/>
      <c r="AX15" s="111"/>
      <c r="AY15" s="111"/>
      <c r="AZ15" s="111"/>
      <c r="BA15" s="103"/>
      <c r="BB15" s="289"/>
      <c r="BC15" s="289"/>
      <c r="BD15" s="289"/>
      <c r="BE15" s="289"/>
      <c r="BF15" s="289"/>
      <c r="BG15" s="289">
        <v>1</v>
      </c>
      <c r="BH15" s="289"/>
      <c r="BI15" s="289"/>
      <c r="BJ15" s="289"/>
      <c r="BK15" s="289"/>
      <c r="BL15" s="103"/>
      <c r="BM15" s="289"/>
      <c r="BN15" s="289"/>
      <c r="BO15" s="289"/>
      <c r="BP15" s="289"/>
      <c r="BQ15" s="289"/>
      <c r="BR15" s="289"/>
      <c r="BS15" s="289"/>
      <c r="BT15" s="289">
        <v>1</v>
      </c>
      <c r="BU15" s="289">
        <v>1</v>
      </c>
      <c r="BV15" s="289"/>
      <c r="BW15" s="289"/>
      <c r="BX15" s="289"/>
      <c r="BY15" s="289"/>
      <c r="BZ15" s="289"/>
      <c r="CA15" s="289"/>
      <c r="CB15" s="289"/>
      <c r="CC15" s="438"/>
      <c r="CD15" s="440"/>
      <c r="CE15" s="440"/>
      <c r="CF15" s="440"/>
      <c r="CG15" s="440"/>
      <c r="CH15" s="578"/>
      <c r="CI15" s="438"/>
      <c r="CJ15" s="578"/>
      <c r="CK15" s="578"/>
      <c r="CL15" s="578"/>
      <c r="CM15" s="578"/>
      <c r="CN15" s="578"/>
      <c r="CO15" s="289"/>
      <c r="CP15" s="289"/>
      <c r="CQ15" s="289"/>
      <c r="CR15" s="289"/>
      <c r="CS15" s="289"/>
      <c r="CT15" s="87"/>
      <c r="CU15" s="289"/>
      <c r="CV15" s="289"/>
      <c r="CW15" s="289">
        <v>1</v>
      </c>
      <c r="CX15" s="289"/>
      <c r="CY15" s="289"/>
      <c r="CZ15" s="289">
        <v>1</v>
      </c>
      <c r="DA15" s="578"/>
      <c r="DB15" s="578"/>
      <c r="DC15" s="103"/>
      <c r="DD15" s="571"/>
      <c r="DE15" s="572"/>
      <c r="DF15" s="572"/>
      <c r="DG15" s="572"/>
    </row>
    <row r="16" spans="1:111" s="109" customFormat="1" ht="15" customHeight="1" x14ac:dyDescent="0.25">
      <c r="A16" s="586"/>
      <c r="B16" s="578"/>
      <c r="C16" s="13"/>
      <c r="D16" s="578"/>
      <c r="E16" s="13"/>
      <c r="F16" s="13"/>
      <c r="G16" s="13"/>
      <c r="H16" s="578"/>
      <c r="I16" s="13"/>
      <c r="J16" s="13"/>
      <c r="K16" s="578"/>
      <c r="L16" s="13"/>
      <c r="M16" s="103"/>
      <c r="N16" s="280"/>
      <c r="O16" s="574"/>
      <c r="P16" s="578"/>
      <c r="Q16" s="578"/>
      <c r="R16" s="578"/>
      <c r="S16" s="578"/>
      <c r="T16" s="578"/>
      <c r="U16" s="578"/>
      <c r="V16" s="439"/>
      <c r="W16" s="438"/>
      <c r="X16" s="438"/>
      <c r="Y16" s="578"/>
      <c r="Z16" s="438"/>
      <c r="AA16" s="578"/>
      <c r="AB16" s="578"/>
      <c r="AC16" s="578"/>
      <c r="AD16" s="440"/>
      <c r="AE16" s="578"/>
      <c r="AF16" s="438"/>
      <c r="AG16" s="289"/>
      <c r="AH16" s="111">
        <v>1</v>
      </c>
      <c r="AI16" s="111">
        <v>1</v>
      </c>
      <c r="AJ16" s="111"/>
      <c r="AK16" s="111"/>
      <c r="AL16" s="111"/>
      <c r="AM16" s="111"/>
      <c r="AN16" s="111">
        <v>1</v>
      </c>
      <c r="AO16" s="111"/>
      <c r="AP16" s="111"/>
      <c r="AQ16" s="111"/>
      <c r="AR16" s="111">
        <v>1</v>
      </c>
      <c r="AS16" s="111"/>
      <c r="AT16" s="111"/>
      <c r="AU16" s="111"/>
      <c r="AV16" s="111"/>
      <c r="AW16" s="111"/>
      <c r="AX16" s="111"/>
      <c r="AY16" s="111"/>
      <c r="AZ16" s="111"/>
      <c r="BA16" s="103"/>
      <c r="BB16" s="289"/>
      <c r="BC16" s="289"/>
      <c r="BD16" s="289"/>
      <c r="BE16" s="289"/>
      <c r="BF16" s="289"/>
      <c r="BG16" s="289"/>
      <c r="BH16" s="289"/>
      <c r="BI16" s="289">
        <v>1</v>
      </c>
      <c r="BJ16" s="289"/>
      <c r="BK16" s="289"/>
      <c r="BL16" s="103"/>
      <c r="BM16" s="289"/>
      <c r="BN16" s="289"/>
      <c r="BO16" s="289"/>
      <c r="BP16" s="289"/>
      <c r="BQ16" s="289"/>
      <c r="BR16" s="289"/>
      <c r="BS16" s="289"/>
      <c r="BT16" s="289"/>
      <c r="BU16" s="289"/>
      <c r="BV16" s="289"/>
      <c r="BW16" s="289">
        <v>1</v>
      </c>
      <c r="BX16" s="289">
        <v>1</v>
      </c>
      <c r="BY16" s="289"/>
      <c r="BZ16" s="289"/>
      <c r="CA16" s="289"/>
      <c r="CB16" s="289"/>
      <c r="CC16" s="438"/>
      <c r="CD16" s="440"/>
      <c r="CE16" s="440"/>
      <c r="CF16" s="440"/>
      <c r="CG16" s="440"/>
      <c r="CH16" s="578"/>
      <c r="CI16" s="438"/>
      <c r="CJ16" s="578"/>
      <c r="CK16" s="578"/>
      <c r="CL16" s="578"/>
      <c r="CM16" s="578"/>
      <c r="CN16" s="578"/>
      <c r="CO16" s="289"/>
      <c r="CP16" s="289"/>
      <c r="CQ16" s="289"/>
      <c r="CR16" s="289"/>
      <c r="CS16" s="289"/>
      <c r="CT16" s="87"/>
      <c r="CU16" s="289"/>
      <c r="CV16" s="289"/>
      <c r="CW16" s="289"/>
      <c r="CX16" s="289">
        <v>1</v>
      </c>
      <c r="CY16" s="289"/>
      <c r="CZ16" s="289">
        <v>1</v>
      </c>
      <c r="DA16" s="578"/>
      <c r="DB16" s="578"/>
      <c r="DC16" s="103"/>
      <c r="DD16" s="571"/>
      <c r="DE16" s="572"/>
      <c r="DF16" s="572"/>
      <c r="DG16" s="572"/>
    </row>
    <row r="17" spans="1:111" s="109" customFormat="1" ht="15" customHeight="1" x14ac:dyDescent="0.25">
      <c r="A17" s="587"/>
      <c r="B17" s="577"/>
      <c r="C17" s="13"/>
      <c r="D17" s="577"/>
      <c r="E17" s="13"/>
      <c r="F17" s="13"/>
      <c r="G17" s="13"/>
      <c r="H17" s="577"/>
      <c r="I17" s="13"/>
      <c r="J17" s="13"/>
      <c r="K17" s="577"/>
      <c r="L17" s="13"/>
      <c r="M17" s="13"/>
      <c r="N17" s="280"/>
      <c r="O17" s="575"/>
      <c r="P17" s="577"/>
      <c r="Q17" s="577"/>
      <c r="R17" s="577"/>
      <c r="S17" s="577"/>
      <c r="T17" s="577"/>
      <c r="U17" s="577"/>
      <c r="V17" s="90"/>
      <c r="W17" s="289"/>
      <c r="X17" s="289"/>
      <c r="Y17" s="577"/>
      <c r="Z17" s="289"/>
      <c r="AA17" s="577"/>
      <c r="AB17" s="577"/>
      <c r="AC17" s="577"/>
      <c r="AD17" s="289"/>
      <c r="AE17" s="577"/>
      <c r="AF17" s="111"/>
      <c r="AG17" s="289"/>
      <c r="AH17" s="111">
        <v>1</v>
      </c>
      <c r="AI17" s="111">
        <v>1</v>
      </c>
      <c r="AJ17" s="111"/>
      <c r="AK17" s="111"/>
      <c r="AL17" s="111"/>
      <c r="AM17" s="111"/>
      <c r="AN17" s="111">
        <v>1</v>
      </c>
      <c r="AO17" s="111"/>
      <c r="AP17" s="111"/>
      <c r="AQ17" s="111"/>
      <c r="AR17" s="111">
        <v>1</v>
      </c>
      <c r="AS17" s="111"/>
      <c r="AT17" s="111"/>
      <c r="AU17" s="111"/>
      <c r="AV17" s="111"/>
      <c r="AW17" s="111"/>
      <c r="AX17" s="111"/>
      <c r="AY17" s="111"/>
      <c r="AZ17" s="111"/>
      <c r="BA17" s="111">
        <v>1</v>
      </c>
      <c r="BB17" s="289"/>
      <c r="BC17" s="289"/>
      <c r="BD17" s="289"/>
      <c r="BE17" s="289"/>
      <c r="BF17" s="289"/>
      <c r="BG17" s="289"/>
      <c r="BH17" s="289"/>
      <c r="BI17" s="289"/>
      <c r="BJ17" s="289"/>
      <c r="BK17" s="289">
        <v>1</v>
      </c>
      <c r="BL17" s="289">
        <v>1</v>
      </c>
      <c r="BM17" s="104"/>
      <c r="BN17" s="103"/>
      <c r="BO17" s="103"/>
      <c r="BP17" s="104"/>
      <c r="BQ17" s="103"/>
      <c r="BR17" s="103"/>
      <c r="BS17" s="104"/>
      <c r="BT17" s="103"/>
      <c r="BU17" s="103"/>
      <c r="BV17" s="104"/>
      <c r="BW17" s="103"/>
      <c r="BX17" s="103"/>
      <c r="BY17" s="104"/>
      <c r="BZ17" s="289">
        <v>1</v>
      </c>
      <c r="CA17" s="289">
        <v>1</v>
      </c>
      <c r="CB17" s="289">
        <v>1</v>
      </c>
      <c r="CC17" s="103"/>
      <c r="CD17" s="103"/>
      <c r="CE17" s="103"/>
      <c r="CF17" s="289">
        <v>1</v>
      </c>
      <c r="CG17" s="103"/>
      <c r="CH17" s="577"/>
      <c r="CI17" s="104"/>
      <c r="CJ17" s="577"/>
      <c r="CK17" s="577"/>
      <c r="CL17" s="577"/>
      <c r="CM17" s="577"/>
      <c r="CN17" s="577"/>
      <c r="CO17" s="103"/>
      <c r="CP17" s="103"/>
      <c r="CQ17" s="103"/>
      <c r="CR17" s="103"/>
      <c r="CS17" s="103"/>
      <c r="CT17" s="111"/>
      <c r="CU17" s="103"/>
      <c r="CV17" s="103"/>
      <c r="CW17" s="103"/>
      <c r="CX17" s="103"/>
      <c r="CY17" s="289">
        <v>1</v>
      </c>
      <c r="CZ17" s="289">
        <v>1</v>
      </c>
      <c r="DA17" s="577"/>
      <c r="DB17" s="577"/>
      <c r="DC17" s="103"/>
      <c r="DD17" s="571"/>
      <c r="DE17" s="572"/>
      <c r="DF17" s="572"/>
      <c r="DG17" s="572"/>
    </row>
    <row r="18" spans="1:111" s="109" customFormat="1" ht="15" customHeight="1" x14ac:dyDescent="0.25">
      <c r="A18" s="356">
        <v>1</v>
      </c>
      <c r="B18" s="13">
        <v>1</v>
      </c>
      <c r="C18" s="13"/>
      <c r="D18" s="13">
        <v>1</v>
      </c>
      <c r="E18" s="13"/>
      <c r="F18" s="13"/>
      <c r="G18" s="13"/>
      <c r="H18" s="13">
        <v>1</v>
      </c>
      <c r="I18" s="13"/>
      <c r="J18" s="13"/>
      <c r="K18" s="13"/>
      <c r="L18" s="13"/>
      <c r="M18" s="13">
        <v>1</v>
      </c>
      <c r="N18" s="280"/>
      <c r="O18" s="393"/>
      <c r="P18" s="391"/>
      <c r="Q18" s="90"/>
      <c r="R18" s="90"/>
      <c r="S18" s="90"/>
      <c r="T18" s="90"/>
      <c r="U18" s="90"/>
      <c r="V18" s="90"/>
      <c r="W18" s="289"/>
      <c r="X18" s="289"/>
      <c r="Y18" s="289"/>
      <c r="Z18" s="289"/>
      <c r="AA18" s="289"/>
      <c r="AB18" s="289"/>
      <c r="AC18" s="289"/>
      <c r="AD18" s="289"/>
      <c r="AE18" s="289"/>
      <c r="AF18" s="111"/>
      <c r="AG18" s="289"/>
      <c r="AH18" s="111"/>
      <c r="AI18" s="111"/>
      <c r="AJ18" s="111"/>
      <c r="AK18" s="111"/>
      <c r="AL18" s="111"/>
      <c r="AM18" s="111"/>
      <c r="AN18" s="111"/>
      <c r="AO18" s="111"/>
      <c r="AP18" s="111"/>
      <c r="AQ18" s="111"/>
      <c r="AR18" s="111"/>
      <c r="AS18" s="111">
        <v>1</v>
      </c>
      <c r="AT18" s="111"/>
      <c r="AU18" s="111"/>
      <c r="AV18" s="111"/>
      <c r="AW18" s="111"/>
      <c r="AX18" s="111">
        <v>1</v>
      </c>
      <c r="AY18" s="111"/>
      <c r="AZ18" s="111">
        <v>1</v>
      </c>
      <c r="BA18" s="111"/>
      <c r="BB18" s="289"/>
      <c r="BC18" s="289"/>
      <c r="BD18" s="289"/>
      <c r="BE18" s="289"/>
      <c r="BF18" s="289"/>
      <c r="BG18" s="289"/>
      <c r="BH18" s="289"/>
      <c r="BI18" s="289"/>
      <c r="BJ18" s="289"/>
      <c r="BK18" s="289"/>
      <c r="BL18" s="103"/>
      <c r="BM18" s="104"/>
      <c r="BN18" s="103"/>
      <c r="BO18" s="103"/>
      <c r="BP18" s="104"/>
      <c r="BQ18" s="103"/>
      <c r="BR18" s="103"/>
      <c r="BS18" s="104"/>
      <c r="BT18" s="103"/>
      <c r="BU18" s="103"/>
      <c r="BV18" s="104"/>
      <c r="BW18" s="103"/>
      <c r="BX18" s="103"/>
      <c r="BY18" s="104"/>
      <c r="BZ18" s="103"/>
      <c r="CA18" s="103"/>
      <c r="CB18" s="103"/>
      <c r="CC18" s="103"/>
      <c r="CD18" s="103"/>
      <c r="CE18" s="103"/>
      <c r="CF18" s="103"/>
      <c r="CG18" s="103"/>
      <c r="CH18" s="103"/>
      <c r="CI18" s="104"/>
      <c r="CJ18" s="103"/>
      <c r="CK18" s="103"/>
      <c r="CL18" s="103"/>
      <c r="CM18" s="104"/>
      <c r="CN18" s="103"/>
      <c r="CO18" s="103"/>
      <c r="CP18" s="103"/>
      <c r="CQ18" s="103"/>
      <c r="CR18" s="103"/>
      <c r="CS18" s="103"/>
      <c r="CT18" s="111"/>
      <c r="CU18" s="103"/>
      <c r="CV18" s="103"/>
      <c r="CW18" s="103"/>
      <c r="CX18" s="103"/>
      <c r="CY18" s="103"/>
      <c r="CZ18" s="103"/>
      <c r="DA18" s="103"/>
      <c r="DB18" s="392">
        <v>1</v>
      </c>
      <c r="DC18" s="103"/>
      <c r="DD18" s="266" t="s">
        <v>1310</v>
      </c>
      <c r="DE18" s="267" t="str">
        <f>CONCATENATE("Acceder al sistema Gemma con usuario y perfil activo para la funcionalidad modulo Maestro - Distribuidor, hacer clic en el ","",IF(K18=1,"Modificar un registro","")," ",IF(L18=1,"Eliminar un registro","")," ",IF(J18=1,"Agregar un nuevo registro con ","")," ",IF(N18=1,"Exportar Documento Excel",""), ,IF(M18=1,"Link Nombre Distribuidor","")," validando los datos registrados, luego presionar Cancelar.",IF(FW19=1,$FW$4,"")," ")</f>
        <v xml:space="preserve">Acceder al sistema Gemma con usuario y perfil activo para la funcionalidad modulo Maestro - Distribuidor, hacer clic en el    Link Nombre Distribuidor validando los datos registrados, luego presionar Cancelar. </v>
      </c>
      <c r="DF18" s="267" t="s">
        <v>1311</v>
      </c>
      <c r="DG18" s="267" t="s">
        <v>1329</v>
      </c>
    </row>
    <row r="19" spans="1:111" s="109" customFormat="1" ht="15" customHeight="1" x14ac:dyDescent="0.25">
      <c r="A19" s="356">
        <v>1</v>
      </c>
      <c r="B19" s="13">
        <v>1</v>
      </c>
      <c r="C19" s="13"/>
      <c r="D19" s="13"/>
      <c r="E19" s="13"/>
      <c r="F19" s="13"/>
      <c r="G19" s="13"/>
      <c r="H19" s="13">
        <v>1</v>
      </c>
      <c r="I19" s="111"/>
      <c r="J19" s="13"/>
      <c r="K19" s="13"/>
      <c r="L19" s="13">
        <v>1</v>
      </c>
      <c r="M19" s="13"/>
      <c r="N19" s="280"/>
      <c r="O19" s="393"/>
      <c r="P19" s="391"/>
      <c r="Q19" s="90"/>
      <c r="R19" s="90"/>
      <c r="S19" s="90"/>
      <c r="T19" s="90"/>
      <c r="U19" s="90"/>
      <c r="V19" s="90"/>
      <c r="W19" s="13"/>
      <c r="X19" s="13"/>
      <c r="Y19" s="13"/>
      <c r="Z19" s="289"/>
      <c r="AA19" s="289"/>
      <c r="AB19" s="289"/>
      <c r="AC19" s="289"/>
      <c r="AD19" s="289"/>
      <c r="AE19" s="289"/>
      <c r="AF19" s="111"/>
      <c r="AG19" s="289"/>
      <c r="AH19" s="111"/>
      <c r="AI19" s="111"/>
      <c r="AJ19" s="111"/>
      <c r="AK19" s="111"/>
      <c r="AL19" s="111"/>
      <c r="AM19" s="111"/>
      <c r="AN19" s="111"/>
      <c r="AO19" s="111"/>
      <c r="AP19" s="111"/>
      <c r="AQ19" s="111"/>
      <c r="AR19" s="111"/>
      <c r="AS19" s="111"/>
      <c r="AT19" s="111"/>
      <c r="AU19" s="111"/>
      <c r="AV19" s="111"/>
      <c r="AW19" s="111"/>
      <c r="AX19" s="111"/>
      <c r="AY19" s="111"/>
      <c r="AZ19" s="111"/>
      <c r="BA19" s="103"/>
      <c r="BB19" s="289"/>
      <c r="BC19" s="289"/>
      <c r="BD19" s="289"/>
      <c r="BE19" s="289"/>
      <c r="BF19" s="289"/>
      <c r="BG19" s="289"/>
      <c r="BH19" s="289"/>
      <c r="BI19" s="289"/>
      <c r="BJ19" s="289"/>
      <c r="BK19" s="289"/>
      <c r="BL19" s="103"/>
      <c r="BM19" s="104"/>
      <c r="BN19" s="103"/>
      <c r="BO19" s="103"/>
      <c r="BP19" s="104"/>
      <c r="BQ19" s="103"/>
      <c r="BR19" s="103"/>
      <c r="BS19" s="104"/>
      <c r="BT19" s="103"/>
      <c r="BU19" s="103"/>
      <c r="BV19" s="104"/>
      <c r="BW19" s="103"/>
      <c r="BX19" s="103"/>
      <c r="BY19" s="104"/>
      <c r="BZ19" s="103"/>
      <c r="CA19" s="103"/>
      <c r="CB19" s="103"/>
      <c r="CC19" s="103"/>
      <c r="CD19" s="103"/>
      <c r="CE19" s="103"/>
      <c r="CF19" s="103"/>
      <c r="CG19" s="103"/>
      <c r="CH19" s="103"/>
      <c r="CI19" s="104"/>
      <c r="CJ19" s="103"/>
      <c r="CK19" s="103"/>
      <c r="CL19" s="103"/>
      <c r="CM19" s="104"/>
      <c r="CN19" s="103"/>
      <c r="CO19" s="103"/>
      <c r="CP19" s="103"/>
      <c r="CQ19" s="103"/>
      <c r="CR19" s="103"/>
      <c r="CS19" s="103"/>
      <c r="CT19" s="111"/>
      <c r="CU19" s="103"/>
      <c r="CV19" s="103"/>
      <c r="CW19" s="103"/>
      <c r="CX19" s="103"/>
      <c r="CY19" s="103"/>
      <c r="CZ19" s="103"/>
      <c r="DA19" s="103"/>
      <c r="DB19" s="392">
        <v>1</v>
      </c>
      <c r="DC19" s="103"/>
      <c r="DD19" s="266" t="s">
        <v>1291</v>
      </c>
      <c r="DE19" s="267" t="str">
        <f>CONCATENATE("Acceder al sistema Gemma con usuario y perfil activo para la funcionalidad modulo Maestro - Distribuidor, hacer clic en el boton,"," ",IF(K19=1,"Modificar un registro",""),"",IF(L19=1,"Eliminar un registro","")," ",IF(J19=1,"Agregar un nuevo registro con ","")," ",IF(N19=1,"Exportar Documento Excel",""), ,IF(M19=1,"Link Nombre Distribuidor",""),"seleccionando valores de busqueda en el filtro, luego confirmar. ",IF(FW20=1,$FW$4,"")," ")</f>
        <v xml:space="preserve">Acceder al sistema Gemma con usuario y perfil activo para la funcionalidad modulo Maestro - Distribuidor, hacer clic en el boton, Eliminar un registro  seleccionando valores de busqueda en el filtro, luego confirmar.  </v>
      </c>
      <c r="DF19" s="267" t="s">
        <v>1312</v>
      </c>
      <c r="DG19" s="404" t="s">
        <v>1333</v>
      </c>
    </row>
    <row r="20" spans="1:111" s="109" customFormat="1" ht="15.75" thickBot="1" x14ac:dyDescent="0.3">
      <c r="A20" s="20"/>
      <c r="B20" s="13"/>
      <c r="C20" s="13"/>
      <c r="D20" s="13">
        <v>1</v>
      </c>
      <c r="E20" s="13"/>
      <c r="F20" s="13"/>
      <c r="G20" s="13"/>
      <c r="H20" s="13">
        <v>1</v>
      </c>
      <c r="I20" s="111"/>
      <c r="J20" s="13"/>
      <c r="K20" s="13"/>
      <c r="L20" s="13">
        <v>1</v>
      </c>
      <c r="M20" s="13"/>
      <c r="N20" s="280"/>
      <c r="O20" s="20"/>
      <c r="P20" s="103"/>
      <c r="Q20" s="111"/>
      <c r="R20" s="13"/>
      <c r="S20" s="13"/>
      <c r="T20" s="103"/>
      <c r="U20" s="103"/>
      <c r="V20" s="103"/>
      <c r="W20" s="13"/>
      <c r="X20" s="13"/>
      <c r="Y20" s="13"/>
      <c r="Z20" s="111"/>
      <c r="AA20" s="111"/>
      <c r="AB20" s="103"/>
      <c r="AC20" s="111"/>
      <c r="AD20" s="111"/>
      <c r="AE20" s="103"/>
      <c r="AF20" s="111"/>
      <c r="AG20" s="111"/>
      <c r="AH20" s="111"/>
      <c r="AI20" s="111"/>
      <c r="AJ20" s="111"/>
      <c r="AK20" s="111"/>
      <c r="AL20" s="111"/>
      <c r="AM20" s="111"/>
      <c r="AN20" s="111"/>
      <c r="AO20" s="111"/>
      <c r="AP20" s="111"/>
      <c r="AQ20" s="111"/>
      <c r="AR20" s="111"/>
      <c r="AS20" s="111"/>
      <c r="AT20" s="111"/>
      <c r="AU20" s="111"/>
      <c r="AV20" s="111"/>
      <c r="AW20" s="111"/>
      <c r="AX20" s="111"/>
      <c r="AY20" s="111"/>
      <c r="AZ20" s="111"/>
      <c r="BA20" s="103"/>
      <c r="BB20" s="289"/>
      <c r="BC20" s="289"/>
      <c r="BD20" s="289"/>
      <c r="BE20" s="289"/>
      <c r="BF20" s="289"/>
      <c r="BG20" s="289"/>
      <c r="BH20" s="289"/>
      <c r="BI20" s="289"/>
      <c r="BJ20" s="289"/>
      <c r="BK20" s="289"/>
      <c r="BL20" s="103"/>
      <c r="BM20" s="103"/>
      <c r="BN20" s="103"/>
      <c r="BO20" s="103"/>
      <c r="BP20" s="103"/>
      <c r="BQ20" s="103"/>
      <c r="BR20" s="103"/>
      <c r="BS20" s="103"/>
      <c r="BT20" s="103"/>
      <c r="BU20" s="103"/>
      <c r="BV20" s="103"/>
      <c r="BW20" s="103"/>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11"/>
      <c r="CU20" s="103"/>
      <c r="CV20" s="103"/>
      <c r="CW20" s="103"/>
      <c r="CX20" s="103"/>
      <c r="CY20" s="103"/>
      <c r="CZ20" s="103"/>
      <c r="DA20" s="103"/>
      <c r="DB20" s="392">
        <v>1</v>
      </c>
      <c r="DC20" s="103"/>
      <c r="DD20" s="266" t="s">
        <v>1292</v>
      </c>
      <c r="DE20" s="267" t="str">
        <f>CONCATENATE("Acceder al sistema Gemma con usuario y perfil activo para la funcionalidad modulo Maestro - Distribuidor, hacer clic en el boton,"," ",IF(K20=1,"Modificar un registro","")," ",IF(L20=1,"Eliminar un registro","")," ",IF(J20=1,"Agregar un nuevo registro con ","")," ",IF(N20=1,"Exportar Documento Excel",""), ,IF(M20=1,"Link Nombre Distribuidor",""),"sin seleccion valores en el filtro, tomar el registro de la tabla consulta, luego presionar Confirmar. ",IF(FW21=1,$FW$4,"")," ")</f>
        <v xml:space="preserve">Acceder al sistema Gemma con usuario y perfil activo para la funcionalidad modulo Maestro - Distribuidor, hacer clic en el boton,  Eliminar un registro  sin seleccion valores en el filtro, tomar el registro de la tabla consulta, luego presionar Confirmar.  </v>
      </c>
      <c r="DF20" s="267" t="s">
        <v>1313</v>
      </c>
      <c r="DG20" s="404" t="s">
        <v>1333</v>
      </c>
    </row>
    <row r="21" spans="1:111" s="109" customFormat="1" ht="15.75" thickTop="1" x14ac:dyDescent="0.25">
      <c r="A21" s="292" t="s">
        <v>904</v>
      </c>
      <c r="B21" s="293"/>
      <c r="C21" s="293"/>
      <c r="D21" s="293">
        <v>1</v>
      </c>
      <c r="E21" s="293"/>
      <c r="F21" s="293"/>
      <c r="G21" s="293"/>
      <c r="H21" s="293">
        <v>1</v>
      </c>
      <c r="I21" s="441"/>
      <c r="J21" s="293"/>
      <c r="K21" s="293"/>
      <c r="L21" s="293"/>
      <c r="M21" s="293"/>
      <c r="N21" s="294"/>
      <c r="O21" s="399"/>
      <c r="P21" s="400"/>
      <c r="Q21" s="401"/>
      <c r="R21" s="106"/>
      <c r="S21" s="106"/>
      <c r="T21" s="401"/>
      <c r="U21" s="401"/>
      <c r="V21" s="401"/>
      <c r="W21" s="293"/>
      <c r="X21" s="293"/>
      <c r="Y21" s="293"/>
      <c r="Z21" s="106"/>
      <c r="AA21" s="106"/>
      <c r="AB21" s="398"/>
      <c r="AC21" s="106"/>
      <c r="AD21" s="106"/>
      <c r="AE21" s="397"/>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397"/>
      <c r="BB21" s="398"/>
      <c r="BC21" s="398"/>
      <c r="BD21" s="398"/>
      <c r="BE21" s="398"/>
      <c r="BF21" s="398"/>
      <c r="BG21" s="398"/>
      <c r="BH21" s="398"/>
      <c r="BI21" s="398"/>
      <c r="BJ21" s="398"/>
      <c r="BK21" s="398"/>
      <c r="BL21" s="397"/>
      <c r="BM21" s="397"/>
      <c r="BN21" s="397"/>
      <c r="BO21" s="397"/>
      <c r="BP21" s="397"/>
      <c r="BQ21" s="397"/>
      <c r="BR21" s="397"/>
      <c r="BS21" s="397"/>
      <c r="BT21" s="397"/>
      <c r="BU21" s="397"/>
      <c r="BV21" s="397"/>
      <c r="BW21" s="397"/>
      <c r="BX21" s="397"/>
      <c r="BY21" s="397"/>
      <c r="BZ21" s="397"/>
      <c r="CA21" s="397"/>
      <c r="CB21" s="397"/>
      <c r="CC21" s="397"/>
      <c r="CD21" s="397"/>
      <c r="CE21" s="397"/>
      <c r="CF21" s="397"/>
      <c r="CG21" s="397"/>
      <c r="CH21" s="397"/>
      <c r="CI21" s="397"/>
      <c r="CJ21" s="397"/>
      <c r="CK21" s="397"/>
      <c r="CL21" s="397"/>
      <c r="CM21" s="397"/>
      <c r="CN21" s="397"/>
      <c r="CO21" s="397"/>
      <c r="CP21" s="397"/>
      <c r="CQ21" s="397"/>
      <c r="CR21" s="397"/>
      <c r="CS21" s="397"/>
      <c r="CT21" s="397"/>
      <c r="CU21" s="397"/>
      <c r="CV21" s="397"/>
      <c r="CW21" s="397"/>
      <c r="CX21" s="397"/>
      <c r="CY21" s="397"/>
      <c r="CZ21" s="397"/>
      <c r="DA21" s="397"/>
      <c r="DB21" s="403"/>
      <c r="DC21" s="397"/>
      <c r="DD21" s="266" t="s">
        <v>1314</v>
      </c>
      <c r="DE21" s="267" t="str">
        <f>CONCATENATE("Acceder al sistema Gemma con usuario y perfil activo para la funcionalidad modulo Maestro - Distribuidor, hacer clic en el boton,"," ",IF(K21=1,"Modificar un registro","")," ",IF(L21=1,"Eliminar un registro","")," ",IF(J21=1,"Agregar un nuevo registro con ","")," ",IF(N21=1,"Exportar Documento Excel",""), ,IF(M21=1,"Link Nombre Distribuidor","")," Distribuidor y ID alternativo Invalido. ",IF(FW22=1,$FW$4,"")," ")</f>
        <v xml:space="preserve">Acceder al sistema Gemma con usuario y perfil activo para la funcionalidad modulo Maestro - Distribuidor, hacer clic en el boton,     Distribuidor y ID alternativo Invalido.  </v>
      </c>
      <c r="DF21" s="267" t="s">
        <v>1315</v>
      </c>
      <c r="DG21" s="267" t="s">
        <v>815</v>
      </c>
    </row>
    <row r="22" spans="1:111" s="109" customFormat="1" ht="15" customHeight="1" x14ac:dyDescent="0.25">
      <c r="A22" s="20"/>
      <c r="B22" s="13"/>
      <c r="C22" s="13"/>
      <c r="D22" s="111">
        <v>1</v>
      </c>
      <c r="E22" s="13"/>
      <c r="F22" s="13"/>
      <c r="G22" s="13"/>
      <c r="H22" s="111">
        <v>1</v>
      </c>
      <c r="I22" s="13"/>
      <c r="J22" s="13">
        <v>1</v>
      </c>
      <c r="K22" s="13"/>
      <c r="L22" s="13"/>
      <c r="M22" s="111"/>
      <c r="N22" s="280"/>
      <c r="O22" s="20">
        <v>1</v>
      </c>
      <c r="P22" s="103"/>
      <c r="Q22" s="111"/>
      <c r="R22" s="13"/>
      <c r="S22" s="13"/>
      <c r="T22" s="103"/>
      <c r="U22" s="103"/>
      <c r="V22" s="103"/>
      <c r="W22" s="13">
        <v>1</v>
      </c>
      <c r="X22" s="13"/>
      <c r="Y22" s="13"/>
      <c r="Z22" s="111">
        <v>1</v>
      </c>
      <c r="AA22" s="111"/>
      <c r="AB22" s="103"/>
      <c r="AC22" s="111"/>
      <c r="AD22" s="111">
        <v>1</v>
      </c>
      <c r="AE22" s="103"/>
      <c r="AF22" s="111"/>
      <c r="AG22" s="111"/>
      <c r="AH22" s="111"/>
      <c r="AI22" s="111"/>
      <c r="AJ22" s="111">
        <v>1</v>
      </c>
      <c r="AK22" s="111"/>
      <c r="AL22" s="111"/>
      <c r="AM22" s="111"/>
      <c r="AN22" s="111"/>
      <c r="AO22" s="111">
        <v>1</v>
      </c>
      <c r="AP22" s="111"/>
      <c r="AQ22" s="111"/>
      <c r="AR22" s="111"/>
      <c r="AS22" s="111"/>
      <c r="AT22" s="111">
        <v>1</v>
      </c>
      <c r="AU22" s="111">
        <v>1</v>
      </c>
      <c r="AV22" s="111"/>
      <c r="AW22" s="111"/>
      <c r="AX22" s="111"/>
      <c r="AY22" s="111"/>
      <c r="AZ22" s="111"/>
      <c r="BA22" s="103"/>
      <c r="BB22" s="289">
        <v>1</v>
      </c>
      <c r="BC22" s="289"/>
      <c r="BD22" s="289">
        <v>1</v>
      </c>
      <c r="BE22" s="289"/>
      <c r="BF22" s="289">
        <v>1</v>
      </c>
      <c r="BG22" s="289"/>
      <c r="BH22" s="289">
        <v>1</v>
      </c>
      <c r="BI22" s="289"/>
      <c r="BJ22" s="289">
        <v>1</v>
      </c>
      <c r="BK22" s="289"/>
      <c r="BL22" s="289"/>
      <c r="BM22" s="289">
        <v>1</v>
      </c>
      <c r="BN22" s="289"/>
      <c r="BO22" s="289"/>
      <c r="BP22" s="289">
        <v>1</v>
      </c>
      <c r="BQ22" s="289"/>
      <c r="BR22" s="289"/>
      <c r="BS22" s="289">
        <v>1</v>
      </c>
      <c r="BT22" s="289"/>
      <c r="BU22" s="289"/>
      <c r="BV22" s="289">
        <v>1</v>
      </c>
      <c r="BW22" s="289"/>
      <c r="BX22" s="289"/>
      <c r="BY22" s="289">
        <v>1</v>
      </c>
      <c r="BZ22" s="289"/>
      <c r="CA22" s="289"/>
      <c r="CB22" s="289"/>
      <c r="CC22" s="103"/>
      <c r="CD22" s="103"/>
      <c r="CE22" s="103"/>
      <c r="CF22" s="103"/>
      <c r="CG22" s="103"/>
      <c r="CH22" s="103"/>
      <c r="CI22" s="103"/>
      <c r="CJ22" s="289">
        <v>1</v>
      </c>
      <c r="CK22" s="103"/>
      <c r="CL22" s="289"/>
      <c r="CM22" s="289">
        <v>1</v>
      </c>
      <c r="CN22" s="289"/>
      <c r="CO22" s="289"/>
      <c r="CP22" s="289"/>
      <c r="CQ22" s="289"/>
      <c r="CR22" s="289"/>
      <c r="CS22" s="289"/>
      <c r="CT22" s="289">
        <v>1</v>
      </c>
      <c r="CU22" s="289"/>
      <c r="CV22" s="289"/>
      <c r="CW22" s="289"/>
      <c r="CX22" s="289"/>
      <c r="CY22" s="289"/>
      <c r="CZ22" s="289"/>
      <c r="DA22" s="289"/>
      <c r="DB22" s="392">
        <v>1</v>
      </c>
      <c r="DC22" s="289"/>
      <c r="DD22" s="266" t="s">
        <v>1318</v>
      </c>
      <c r="DE22" s="267" t="str">
        <f>CONCATENATE("Acceder al sistema Gemma con usuario y perfil activo para la funcionalidad modulo Maestro - Distribuidor, hacer clic en el boton,"," ",IF(K22=1,"Modificar un registro","")," ",IF(L22=1,"Eliminar un registro","")," ",IF(J22=1,"Agregar un nuevo registro con ","")," ",IF(N22=1,"Exportar Documento Excel",""), ,IF(M22=1,"Link Nombre Distribuidor",""),"sin seleccion datos. ",IF(FW23=1,$FW$4,"")," ")</f>
        <v xml:space="preserve">Acceder al sistema Gemma con usuario y perfil activo para la funcionalidad modulo Maestro - Distribuidor, hacer clic en el boton,   Agregar un nuevo registro con  sin seleccion datos.  </v>
      </c>
      <c r="DF22" s="267" t="s">
        <v>1316</v>
      </c>
      <c r="DG22" s="267" t="s">
        <v>905</v>
      </c>
    </row>
    <row r="23" spans="1:111" s="109" customFormat="1" x14ac:dyDescent="0.25">
      <c r="A23" s="20"/>
      <c r="B23" s="111"/>
      <c r="C23" s="111"/>
      <c r="D23" s="111">
        <v>1</v>
      </c>
      <c r="E23" s="13"/>
      <c r="F23" s="13"/>
      <c r="G23" s="13"/>
      <c r="H23" s="111">
        <v>1</v>
      </c>
      <c r="I23" s="111"/>
      <c r="J23" s="111">
        <v>1</v>
      </c>
      <c r="K23" s="111"/>
      <c r="L23" s="111"/>
      <c r="M23" s="111"/>
      <c r="N23" s="280"/>
      <c r="O23" s="20">
        <v>1</v>
      </c>
      <c r="P23" s="289">
        <v>1</v>
      </c>
      <c r="Q23" s="111" t="s">
        <v>906</v>
      </c>
      <c r="R23" s="111"/>
      <c r="S23" s="111"/>
      <c r="T23" s="111"/>
      <c r="U23" s="111"/>
      <c r="V23" s="111"/>
      <c r="W23" s="13">
        <v>1</v>
      </c>
      <c r="X23" s="13"/>
      <c r="Y23" s="13"/>
      <c r="Z23" s="111">
        <v>1</v>
      </c>
      <c r="AA23" s="111"/>
      <c r="AB23" s="103"/>
      <c r="AC23" s="111"/>
      <c r="AD23" s="111">
        <v>1</v>
      </c>
      <c r="AE23" s="103"/>
      <c r="AF23" s="111"/>
      <c r="AG23" s="111"/>
      <c r="AH23" s="111"/>
      <c r="AI23" s="111"/>
      <c r="AJ23" s="111">
        <v>1</v>
      </c>
      <c r="AK23" s="111"/>
      <c r="AL23" s="111"/>
      <c r="AM23" s="111"/>
      <c r="AN23" s="111"/>
      <c r="AO23" s="111">
        <v>1</v>
      </c>
      <c r="AP23" s="111"/>
      <c r="AQ23" s="111"/>
      <c r="AR23" s="111"/>
      <c r="AS23" s="111"/>
      <c r="AT23" s="111">
        <v>1</v>
      </c>
      <c r="AU23" s="111">
        <v>1</v>
      </c>
      <c r="AV23" s="111"/>
      <c r="AW23" s="111"/>
      <c r="AX23" s="111"/>
      <c r="AY23" s="111"/>
      <c r="AZ23" s="111"/>
      <c r="BA23" s="103"/>
      <c r="BB23" s="289">
        <v>1</v>
      </c>
      <c r="BC23" s="289"/>
      <c r="BD23" s="289">
        <v>1</v>
      </c>
      <c r="BE23" s="289"/>
      <c r="BF23" s="289">
        <v>1</v>
      </c>
      <c r="BG23" s="289"/>
      <c r="BH23" s="289">
        <v>1</v>
      </c>
      <c r="BI23" s="289"/>
      <c r="BJ23" s="289">
        <v>1</v>
      </c>
      <c r="BK23" s="111"/>
      <c r="BL23" s="111"/>
      <c r="BM23" s="289">
        <v>1</v>
      </c>
      <c r="BN23" s="289"/>
      <c r="BO23" s="289"/>
      <c r="BP23" s="289">
        <v>1</v>
      </c>
      <c r="BQ23" s="289"/>
      <c r="BR23" s="289"/>
      <c r="BS23" s="289">
        <v>1</v>
      </c>
      <c r="BT23" s="289"/>
      <c r="BU23" s="289"/>
      <c r="BV23" s="289">
        <v>1</v>
      </c>
      <c r="BW23" s="289"/>
      <c r="BX23" s="289"/>
      <c r="BY23" s="289">
        <v>1</v>
      </c>
      <c r="BZ23" s="87"/>
      <c r="CA23" s="87"/>
      <c r="CB23" s="87"/>
      <c r="CC23" s="111"/>
      <c r="CD23" s="111"/>
      <c r="CE23" s="111"/>
      <c r="CF23" s="111"/>
      <c r="CG23" s="111"/>
      <c r="CH23" s="111"/>
      <c r="CI23" s="111"/>
      <c r="CJ23" s="289">
        <v>1</v>
      </c>
      <c r="CK23" s="103"/>
      <c r="CL23" s="289"/>
      <c r="CM23" s="289">
        <v>1</v>
      </c>
      <c r="CN23" s="289"/>
      <c r="CO23" s="289"/>
      <c r="CP23" s="289"/>
      <c r="CQ23" s="289"/>
      <c r="CR23" s="289"/>
      <c r="CS23" s="289"/>
      <c r="CT23" s="289">
        <v>1</v>
      </c>
      <c r="CU23" s="87"/>
      <c r="CV23" s="87"/>
      <c r="CW23" s="87"/>
      <c r="CX23" s="87"/>
      <c r="CY23" s="87"/>
      <c r="CZ23" s="87"/>
      <c r="DA23" s="87"/>
      <c r="DB23" s="442">
        <v>1</v>
      </c>
      <c r="DC23" s="87"/>
      <c r="DD23" s="266" t="s">
        <v>1317</v>
      </c>
      <c r="DE23" s="267" t="str">
        <f>CONCATENATE("Acceder al sistema Gemma con usuario y perfil activo para la funcionalidad modulo Maestro - Distribuidor, hacer clic en el boton,"," ",IF(K23=1,"Modificar un registro","")," ",IF(L23=1,"Eliminar un registro","")," ",IF(J23=1,"Agregar un nuevo registro con ","")," ",IF(N23=1,"Exportar Documento Excel",""), ,IF(M23=1,"Link Nombre Distribuidor",""),"colocando un RUT invalido. ",IF(FW24=1,$FW$4,"")," ")</f>
        <v xml:space="preserve">Acceder al sistema Gemma con usuario y perfil activo para la funcionalidad modulo Maestro - Distribuidor, hacer clic en el boton,   Agregar un nuevo registro con  colocando un RUT invalido.  </v>
      </c>
      <c r="DF23" s="267" t="s">
        <v>1319</v>
      </c>
      <c r="DG23" s="267" t="s">
        <v>907</v>
      </c>
    </row>
    <row r="24" spans="1:111" s="109" customFormat="1" x14ac:dyDescent="0.25">
      <c r="A24" s="20"/>
      <c r="B24" s="13"/>
      <c r="C24" s="13"/>
      <c r="D24" s="111"/>
      <c r="E24" s="13"/>
      <c r="F24" s="13"/>
      <c r="G24" s="13"/>
      <c r="H24" s="111"/>
      <c r="I24" s="13"/>
      <c r="J24" s="13"/>
      <c r="K24" s="13"/>
      <c r="L24" s="13">
        <v>1</v>
      </c>
      <c r="M24" s="111"/>
      <c r="N24" s="280"/>
      <c r="O24" s="20"/>
      <c r="P24" s="103"/>
      <c r="Q24" s="111"/>
      <c r="R24" s="13"/>
      <c r="S24" s="13"/>
      <c r="T24" s="103"/>
      <c r="U24" s="103"/>
      <c r="V24" s="103"/>
      <c r="W24" s="13"/>
      <c r="X24" s="13"/>
      <c r="Y24" s="13"/>
      <c r="Z24" s="111"/>
      <c r="AA24" s="111"/>
      <c r="AB24" s="103"/>
      <c r="AC24" s="111"/>
      <c r="AD24" s="111"/>
      <c r="AE24" s="103"/>
      <c r="AF24" s="111"/>
      <c r="AG24" s="111"/>
      <c r="AH24" s="111"/>
      <c r="AI24" s="111"/>
      <c r="AJ24" s="111"/>
      <c r="AK24" s="111"/>
      <c r="AL24" s="111"/>
      <c r="AM24" s="111"/>
      <c r="AN24" s="111"/>
      <c r="AO24" s="111"/>
      <c r="AP24" s="111"/>
      <c r="AQ24" s="111"/>
      <c r="AR24" s="111"/>
      <c r="AS24" s="111"/>
      <c r="AT24" s="111"/>
      <c r="AU24" s="111"/>
      <c r="AV24" s="111"/>
      <c r="AW24" s="111"/>
      <c r="AX24" s="111"/>
      <c r="AY24" s="111"/>
      <c r="AZ24" s="111"/>
      <c r="BA24" s="103"/>
      <c r="BB24" s="103"/>
      <c r="BC24" s="103"/>
      <c r="BD24" s="103"/>
      <c r="BE24" s="103"/>
      <c r="BF24" s="103"/>
      <c r="BG24" s="103"/>
      <c r="BH24" s="103"/>
      <c r="BI24" s="103"/>
      <c r="BJ24" s="103"/>
      <c r="BK24" s="103"/>
      <c r="BL24" s="103"/>
      <c r="BM24" s="289"/>
      <c r="BN24" s="289"/>
      <c r="BO24" s="289"/>
      <c r="BP24" s="289"/>
      <c r="BQ24" s="289"/>
      <c r="BR24" s="289"/>
      <c r="BS24" s="289"/>
      <c r="BT24" s="289"/>
      <c r="BU24" s="289"/>
      <c r="BV24" s="289"/>
      <c r="BW24" s="289"/>
      <c r="BX24" s="289"/>
      <c r="BY24" s="289"/>
      <c r="BZ24" s="289"/>
      <c r="CA24" s="289"/>
      <c r="CB24" s="289"/>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386"/>
      <c r="DC24" s="103"/>
      <c r="DD24" s="266" t="s">
        <v>1330</v>
      </c>
      <c r="DE24" s="267" t="str">
        <f>CONCATENATE("Acceder al sistema Gemma con usuario y perfil activo para la funcionalidad modulo Maestro - Distribuidor, hacer clic en el boton,"," ",IF(K24=1,"Modificar un registro","")," ",IF(L24=1,"Eliminar un registro","")," ",IF(J24=1,"Agregar un nuevo registro con ","")," ",IF(N24=1,"Exportar Documento Excel",""), ,IF(M24=1,"Link Nombre Distribuidor",""),"un registro en uso.",IF(FW25=1,$FW$4,"")," ")</f>
        <v xml:space="preserve">Acceder al sistema Gemma con usuario y perfil activo para la funcionalidad modulo Maestro - Distribuidor, hacer clic en el boton,  Eliminar un registro  un registro en uso. </v>
      </c>
      <c r="DF24" s="267" t="s">
        <v>1331</v>
      </c>
      <c r="DG24" s="267" t="s">
        <v>1332</v>
      </c>
    </row>
    <row r="25" spans="1:111" s="109" customFormat="1" x14ac:dyDescent="0.25">
      <c r="A25" s="20"/>
      <c r="B25" s="13"/>
      <c r="C25" s="13"/>
      <c r="D25" s="103"/>
      <c r="E25" s="13"/>
      <c r="F25" s="13"/>
      <c r="G25" s="13"/>
      <c r="H25" s="103"/>
      <c r="I25" s="13"/>
      <c r="J25" s="13"/>
      <c r="K25" s="13"/>
      <c r="L25" s="13"/>
      <c r="M25" s="103"/>
      <c r="N25" s="280"/>
      <c r="O25" s="20"/>
      <c r="P25" s="103"/>
      <c r="Q25" s="111"/>
      <c r="R25" s="13"/>
      <c r="S25" s="13"/>
      <c r="T25" s="103"/>
      <c r="U25" s="103"/>
      <c r="V25" s="103"/>
      <c r="W25" s="13"/>
      <c r="X25" s="13"/>
      <c r="Y25" s="13"/>
      <c r="Z25" s="111"/>
      <c r="AA25" s="111"/>
      <c r="AB25" s="103"/>
      <c r="AC25" s="111"/>
      <c r="AD25" s="111"/>
      <c r="AE25" s="103"/>
      <c r="AF25" s="111"/>
      <c r="AG25" s="111"/>
      <c r="AH25" s="111"/>
      <c r="AI25" s="111"/>
      <c r="AJ25" s="111"/>
      <c r="AK25" s="111"/>
      <c r="AL25" s="111"/>
      <c r="AM25" s="111"/>
      <c r="AN25" s="111"/>
      <c r="AO25" s="111"/>
      <c r="AP25" s="111"/>
      <c r="AQ25" s="111"/>
      <c r="AR25" s="111"/>
      <c r="AS25" s="111"/>
      <c r="AT25" s="111"/>
      <c r="AU25" s="111"/>
      <c r="AV25" s="111"/>
      <c r="AW25" s="111"/>
      <c r="AX25" s="111"/>
      <c r="AY25" s="111"/>
      <c r="AZ25" s="111"/>
      <c r="BA25" s="103"/>
      <c r="BB25" s="103"/>
      <c r="BC25" s="103"/>
      <c r="BD25" s="103"/>
      <c r="BE25" s="103"/>
      <c r="BF25" s="103"/>
      <c r="BG25" s="103"/>
      <c r="BH25" s="103"/>
      <c r="BI25" s="103"/>
      <c r="BJ25" s="103"/>
      <c r="BK25" s="103"/>
      <c r="BL25" s="103"/>
      <c r="BM25" s="103"/>
      <c r="BN25" s="103"/>
      <c r="BO25" s="103"/>
      <c r="BP25" s="103"/>
      <c r="BQ25" s="103"/>
      <c r="BR25" s="103"/>
      <c r="BS25" s="103"/>
      <c r="BT25" s="103"/>
      <c r="BU25" s="103"/>
      <c r="BV25" s="103"/>
      <c r="BW25" s="103"/>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386"/>
      <c r="DC25" s="103"/>
      <c r="DD25" s="266"/>
      <c r="DE25" s="267"/>
      <c r="DF25" s="267"/>
      <c r="DG25" s="267"/>
    </row>
    <row r="26" spans="1:111" s="109" customFormat="1" x14ac:dyDescent="0.25">
      <c r="A26" s="20"/>
      <c r="B26" s="13"/>
      <c r="C26" s="13"/>
      <c r="D26" s="103"/>
      <c r="E26" s="13"/>
      <c r="F26" s="13"/>
      <c r="G26" s="13"/>
      <c r="H26" s="103"/>
      <c r="I26" s="13"/>
      <c r="J26" s="13"/>
      <c r="K26" s="13"/>
      <c r="L26" s="13"/>
      <c r="M26" s="103"/>
      <c r="N26" s="280"/>
      <c r="O26" s="20"/>
      <c r="P26" s="103"/>
      <c r="Q26" s="111"/>
      <c r="R26" s="13"/>
      <c r="S26" s="13"/>
      <c r="T26" s="103"/>
      <c r="U26" s="103"/>
      <c r="V26" s="103"/>
      <c r="W26" s="13"/>
      <c r="X26" s="13"/>
      <c r="Y26" s="13"/>
      <c r="Z26" s="111"/>
      <c r="AA26" s="111"/>
      <c r="AB26" s="103"/>
      <c r="AC26" s="111"/>
      <c r="AD26" s="111"/>
      <c r="AE26" s="103"/>
      <c r="AF26" s="111"/>
      <c r="AG26" s="111"/>
      <c r="AH26" s="111"/>
      <c r="AI26" s="111"/>
      <c r="AJ26" s="111"/>
      <c r="AK26" s="111"/>
      <c r="AL26" s="111"/>
      <c r="AM26" s="111"/>
      <c r="AN26" s="111"/>
      <c r="AO26" s="111"/>
      <c r="AP26" s="111"/>
      <c r="AQ26" s="111"/>
      <c r="AR26" s="111"/>
      <c r="AS26" s="111"/>
      <c r="AT26" s="111"/>
      <c r="AU26" s="111"/>
      <c r="AV26" s="111"/>
      <c r="AW26" s="111"/>
      <c r="AX26" s="111"/>
      <c r="AY26" s="111"/>
      <c r="AZ26" s="111"/>
      <c r="BA26" s="103"/>
      <c r="BB26" s="103"/>
      <c r="BC26" s="103"/>
      <c r="BD26" s="103"/>
      <c r="BE26" s="103"/>
      <c r="BF26" s="103"/>
      <c r="BG26" s="103"/>
      <c r="BH26" s="103"/>
      <c r="BI26" s="103"/>
      <c r="BJ26" s="103"/>
      <c r="BK26" s="103"/>
      <c r="BL26" s="103"/>
      <c r="BM26" s="103"/>
      <c r="BN26" s="103"/>
      <c r="BO26" s="103"/>
      <c r="BP26" s="103"/>
      <c r="BQ26" s="103"/>
      <c r="BR26" s="103"/>
      <c r="BS26" s="103"/>
      <c r="BT26" s="103"/>
      <c r="BU26" s="103"/>
      <c r="BV26" s="103"/>
      <c r="BW26" s="103"/>
      <c r="BX26" s="103"/>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386"/>
      <c r="DC26" s="103"/>
      <c r="DD26" s="266"/>
      <c r="DE26" s="267"/>
      <c r="DF26" s="267"/>
      <c r="DG26" s="267"/>
    </row>
    <row r="27" spans="1:111" s="109" customFormat="1" x14ac:dyDescent="0.25">
      <c r="A27" s="20"/>
      <c r="B27" s="13"/>
      <c r="C27" s="13"/>
      <c r="D27" s="103"/>
      <c r="E27" s="13"/>
      <c r="F27" s="13"/>
      <c r="G27" s="13"/>
      <c r="H27" s="103"/>
      <c r="I27" s="13"/>
      <c r="J27" s="13"/>
      <c r="K27" s="13"/>
      <c r="L27" s="13"/>
      <c r="M27" s="103"/>
      <c r="N27" s="280"/>
      <c r="O27" s="20"/>
      <c r="P27" s="103"/>
      <c r="Q27" s="111"/>
      <c r="R27" s="13"/>
      <c r="S27" s="13"/>
      <c r="T27" s="103"/>
      <c r="U27" s="103"/>
      <c r="V27" s="103"/>
      <c r="W27" s="13"/>
      <c r="X27" s="13"/>
      <c r="Y27" s="13"/>
      <c r="Z27" s="111"/>
      <c r="AA27" s="111"/>
      <c r="AB27" s="103"/>
      <c r="AC27" s="111"/>
      <c r="AD27" s="111"/>
      <c r="AE27" s="103"/>
      <c r="AF27" s="111"/>
      <c r="AG27" s="111"/>
      <c r="AH27" s="111"/>
      <c r="AI27" s="111"/>
      <c r="AJ27" s="111"/>
      <c r="AK27" s="111"/>
      <c r="AL27" s="111"/>
      <c r="AM27" s="111"/>
      <c r="AN27" s="111"/>
      <c r="AO27" s="111"/>
      <c r="AP27" s="111"/>
      <c r="AQ27" s="111"/>
      <c r="AR27" s="111"/>
      <c r="AS27" s="111"/>
      <c r="AT27" s="111"/>
      <c r="AU27" s="111"/>
      <c r="AV27" s="111"/>
      <c r="AW27" s="111"/>
      <c r="AX27" s="111"/>
      <c r="AY27" s="111"/>
      <c r="AZ27" s="111"/>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103"/>
      <c r="BX27" s="103"/>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386"/>
      <c r="DC27" s="103"/>
      <c r="DD27" s="266"/>
      <c r="DE27" s="267"/>
      <c r="DF27" s="267"/>
      <c r="DG27" s="267"/>
    </row>
    <row r="28" spans="1:111" s="109" customFormat="1" x14ac:dyDescent="0.25">
      <c r="A28" s="20"/>
      <c r="B28" s="13"/>
      <c r="C28" s="13"/>
      <c r="D28" s="13"/>
      <c r="E28" s="13"/>
      <c r="F28" s="13"/>
      <c r="G28" s="13"/>
      <c r="H28" s="13"/>
      <c r="I28" s="13"/>
      <c r="J28" s="13"/>
      <c r="K28" s="13"/>
      <c r="L28" s="13"/>
      <c r="M28" s="13"/>
      <c r="N28" s="280"/>
      <c r="O28" s="20"/>
      <c r="P28" s="103"/>
      <c r="Q28" s="111"/>
      <c r="R28" s="13"/>
      <c r="S28" s="13"/>
      <c r="T28" s="103"/>
      <c r="U28" s="103"/>
      <c r="V28" s="103"/>
      <c r="W28" s="13"/>
      <c r="X28" s="13"/>
      <c r="Y28" s="13"/>
      <c r="Z28" s="111"/>
      <c r="AA28" s="111"/>
      <c r="AB28" s="103"/>
      <c r="AC28" s="111"/>
      <c r="AD28" s="111"/>
      <c r="AE28" s="103"/>
      <c r="AF28" s="111"/>
      <c r="AG28" s="111"/>
      <c r="AH28" s="111"/>
      <c r="AI28" s="111"/>
      <c r="AJ28" s="111"/>
      <c r="AK28" s="111"/>
      <c r="AL28" s="111"/>
      <c r="AM28" s="111"/>
      <c r="AN28" s="111"/>
      <c r="AO28" s="111"/>
      <c r="AP28" s="111"/>
      <c r="AQ28" s="111"/>
      <c r="AR28" s="111"/>
      <c r="AS28" s="111"/>
      <c r="AT28" s="111"/>
      <c r="AU28" s="111"/>
      <c r="AV28" s="111"/>
      <c r="AW28" s="111"/>
      <c r="AX28" s="111"/>
      <c r="AY28" s="111"/>
      <c r="AZ28" s="111"/>
      <c r="BA28" s="103"/>
      <c r="BB28" s="103"/>
      <c r="BC28" s="103"/>
      <c r="BD28" s="103"/>
      <c r="BE28" s="103"/>
      <c r="BF28" s="103"/>
      <c r="BG28" s="103"/>
      <c r="BH28" s="103"/>
      <c r="BI28" s="103"/>
      <c r="BJ28" s="103"/>
      <c r="BK28" s="103"/>
      <c r="BL28" s="103"/>
      <c r="BM28" s="103"/>
      <c r="BN28" s="103"/>
      <c r="BO28" s="103"/>
      <c r="BP28" s="103"/>
      <c r="BQ28" s="103"/>
      <c r="BR28" s="103"/>
      <c r="BS28" s="103"/>
      <c r="BT28" s="103"/>
      <c r="BU28" s="103"/>
      <c r="BV28" s="103"/>
      <c r="BW28" s="103"/>
      <c r="BX28" s="103"/>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386"/>
      <c r="DC28" s="103"/>
      <c r="DD28" s="266"/>
      <c r="DE28" s="267"/>
      <c r="DF28" s="267"/>
      <c r="DG28" s="267"/>
    </row>
    <row r="29" spans="1:111" s="109" customFormat="1" x14ac:dyDescent="0.25">
      <c r="A29" s="20"/>
      <c r="B29" s="13"/>
      <c r="C29" s="13"/>
      <c r="D29" s="13"/>
      <c r="E29" s="13"/>
      <c r="F29" s="13"/>
      <c r="G29" s="13"/>
      <c r="H29" s="13"/>
      <c r="I29" s="13"/>
      <c r="J29" s="13"/>
      <c r="K29" s="13"/>
      <c r="L29" s="13"/>
      <c r="M29" s="13"/>
      <c r="N29" s="280"/>
      <c r="O29" s="20"/>
      <c r="P29" s="103"/>
      <c r="Q29" s="111"/>
      <c r="R29" s="13"/>
      <c r="S29" s="13"/>
      <c r="T29" s="103"/>
      <c r="U29" s="103"/>
      <c r="V29" s="103"/>
      <c r="W29" s="13"/>
      <c r="X29" s="13"/>
      <c r="Y29" s="13"/>
      <c r="Z29" s="111"/>
      <c r="AA29" s="111"/>
      <c r="AB29" s="103"/>
      <c r="AC29" s="111"/>
      <c r="AD29" s="111"/>
      <c r="AE29" s="103"/>
      <c r="AF29" s="111"/>
      <c r="AG29" s="111"/>
      <c r="AH29" s="111"/>
      <c r="AI29" s="111"/>
      <c r="AJ29" s="111"/>
      <c r="AK29" s="111"/>
      <c r="AL29" s="111"/>
      <c r="AM29" s="111"/>
      <c r="AN29" s="111"/>
      <c r="AO29" s="111"/>
      <c r="AP29" s="111"/>
      <c r="AQ29" s="111"/>
      <c r="AR29" s="111"/>
      <c r="AS29" s="111"/>
      <c r="AT29" s="111"/>
      <c r="AU29" s="111"/>
      <c r="AV29" s="111"/>
      <c r="AW29" s="111"/>
      <c r="AX29" s="111"/>
      <c r="AY29" s="111"/>
      <c r="AZ29" s="111"/>
      <c r="BA29" s="103"/>
      <c r="BB29" s="103"/>
      <c r="BC29" s="103"/>
      <c r="BD29" s="103"/>
      <c r="BE29" s="103"/>
      <c r="BF29" s="103"/>
      <c r="BG29" s="103"/>
      <c r="BH29" s="103"/>
      <c r="BI29" s="103"/>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386"/>
      <c r="DC29" s="103"/>
      <c r="DD29" s="266"/>
      <c r="DE29" s="267"/>
      <c r="DF29" s="267"/>
      <c r="DG29" s="267"/>
    </row>
    <row r="30" spans="1:111" s="109" customFormat="1" x14ac:dyDescent="0.25">
      <c r="A30" s="20"/>
      <c r="B30" s="13"/>
      <c r="C30" s="13"/>
      <c r="D30" s="13"/>
      <c r="E30" s="13"/>
      <c r="F30" s="13"/>
      <c r="G30" s="13"/>
      <c r="H30" s="13"/>
      <c r="I30" s="13"/>
      <c r="J30" s="13"/>
      <c r="K30" s="13"/>
      <c r="L30" s="13"/>
      <c r="M30" s="13"/>
      <c r="N30" s="280"/>
      <c r="O30" s="20"/>
      <c r="P30" s="103"/>
      <c r="Q30" s="111"/>
      <c r="R30" s="13"/>
      <c r="S30" s="13"/>
      <c r="T30" s="103"/>
      <c r="U30" s="103"/>
      <c r="V30" s="103"/>
      <c r="W30" s="13"/>
      <c r="X30" s="13"/>
      <c r="Y30" s="13"/>
      <c r="Z30" s="111"/>
      <c r="AA30" s="111"/>
      <c r="AB30" s="103"/>
      <c r="AC30" s="111"/>
      <c r="AD30" s="111"/>
      <c r="AE30" s="103"/>
      <c r="AF30" s="111"/>
      <c r="AG30" s="111"/>
      <c r="AH30" s="111"/>
      <c r="AI30" s="111"/>
      <c r="AJ30" s="111"/>
      <c r="AK30" s="111"/>
      <c r="AL30" s="111"/>
      <c r="AM30" s="111"/>
      <c r="AN30" s="111"/>
      <c r="AO30" s="111"/>
      <c r="AP30" s="111"/>
      <c r="AQ30" s="111"/>
      <c r="AR30" s="111"/>
      <c r="AS30" s="111"/>
      <c r="AT30" s="111"/>
      <c r="AU30" s="111"/>
      <c r="AV30" s="111"/>
      <c r="AW30" s="111"/>
      <c r="AX30" s="111"/>
      <c r="AY30" s="111"/>
      <c r="AZ30" s="111"/>
      <c r="BA30" s="103"/>
      <c r="BB30" s="103"/>
      <c r="BC30" s="103"/>
      <c r="BD30" s="103"/>
      <c r="BE30" s="103"/>
      <c r="BF30" s="103"/>
      <c r="BG30" s="103"/>
      <c r="BH30" s="103"/>
      <c r="BI30" s="103"/>
      <c r="BJ30" s="103"/>
      <c r="BK30" s="103"/>
      <c r="BL30" s="103"/>
      <c r="BM30" s="103"/>
      <c r="BN30" s="103"/>
      <c r="BO30" s="103"/>
      <c r="BP30" s="103"/>
      <c r="BQ30" s="103"/>
      <c r="BR30" s="103"/>
      <c r="BS30" s="103"/>
      <c r="BT30" s="103"/>
      <c r="BU30" s="103"/>
      <c r="BV30" s="103"/>
      <c r="BW30" s="103"/>
      <c r="BX30" s="103"/>
      <c r="BY30" s="103"/>
      <c r="BZ30" s="103"/>
      <c r="CA30" s="103"/>
      <c r="CB30" s="103"/>
      <c r="CC30" s="103"/>
      <c r="CD30" s="103"/>
      <c r="CE30" s="10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386"/>
      <c r="DC30" s="103"/>
      <c r="DD30" s="266"/>
      <c r="DE30" s="267"/>
      <c r="DF30" s="267"/>
      <c r="DG30" s="267"/>
    </row>
    <row r="31" spans="1:111" s="109" customFormat="1" x14ac:dyDescent="0.25">
      <c r="A31" s="20"/>
      <c r="B31" s="13"/>
      <c r="C31" s="13"/>
      <c r="D31" s="13"/>
      <c r="E31" s="13"/>
      <c r="F31" s="13"/>
      <c r="G31" s="13"/>
      <c r="H31" s="13"/>
      <c r="I31" s="13"/>
      <c r="J31" s="13"/>
      <c r="K31" s="13"/>
      <c r="L31" s="13"/>
      <c r="M31" s="13"/>
      <c r="N31" s="280"/>
      <c r="O31" s="20"/>
      <c r="P31" s="103"/>
      <c r="Q31" s="111"/>
      <c r="R31" s="13"/>
      <c r="S31" s="13"/>
      <c r="T31" s="103"/>
      <c r="U31" s="103"/>
      <c r="V31" s="103"/>
      <c r="W31" s="13"/>
      <c r="X31" s="13"/>
      <c r="Y31" s="13"/>
      <c r="Z31" s="111"/>
      <c r="AA31" s="111"/>
      <c r="AB31" s="103"/>
      <c r="AC31" s="111"/>
      <c r="AD31" s="111"/>
      <c r="AE31" s="103"/>
      <c r="AF31" s="111"/>
      <c r="AG31" s="111"/>
      <c r="AH31" s="111"/>
      <c r="AI31" s="111"/>
      <c r="AJ31" s="111"/>
      <c r="AK31" s="111"/>
      <c r="AL31" s="111"/>
      <c r="AM31" s="111"/>
      <c r="AN31" s="111"/>
      <c r="AO31" s="111"/>
      <c r="AP31" s="111"/>
      <c r="AQ31" s="111"/>
      <c r="AR31" s="111"/>
      <c r="AS31" s="111"/>
      <c r="AT31" s="111"/>
      <c r="AU31" s="111"/>
      <c r="AV31" s="111"/>
      <c r="AW31" s="111"/>
      <c r="AX31" s="111"/>
      <c r="AY31" s="111"/>
      <c r="AZ31" s="111"/>
      <c r="BA31" s="103"/>
      <c r="BB31" s="103"/>
      <c r="BC31" s="103"/>
      <c r="BD31" s="103"/>
      <c r="BE31" s="103"/>
      <c r="BF31" s="103"/>
      <c r="BG31" s="103"/>
      <c r="BH31" s="103"/>
      <c r="BI31" s="103"/>
      <c r="BJ31" s="103"/>
      <c r="BK31" s="103"/>
      <c r="BL31" s="103"/>
      <c r="BM31" s="103"/>
      <c r="BN31" s="103"/>
      <c r="BO31" s="103"/>
      <c r="BP31" s="103"/>
      <c r="BQ31" s="103"/>
      <c r="BR31" s="103"/>
      <c r="BS31" s="103"/>
      <c r="BT31" s="103"/>
      <c r="BU31" s="103"/>
      <c r="BV31" s="103"/>
      <c r="BW31" s="103"/>
      <c r="BX31" s="103"/>
      <c r="BY31" s="103"/>
      <c r="BZ31" s="103"/>
      <c r="CA31" s="103"/>
      <c r="CB31" s="103"/>
      <c r="CC31" s="103"/>
      <c r="CD31" s="103"/>
      <c r="CE31" s="10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386"/>
      <c r="DC31" s="103"/>
      <c r="DD31" s="266"/>
      <c r="DE31" s="267"/>
      <c r="DF31" s="267"/>
      <c r="DG31" s="267"/>
    </row>
    <row r="32" spans="1:111" s="109" customFormat="1" ht="15" customHeight="1" x14ac:dyDescent="0.25">
      <c r="A32" s="20"/>
      <c r="B32" s="13"/>
      <c r="C32" s="13"/>
      <c r="D32" s="287"/>
      <c r="E32" s="13"/>
      <c r="F32" s="13"/>
      <c r="G32" s="13"/>
      <c r="H32" s="287"/>
      <c r="I32" s="13"/>
      <c r="J32" s="13"/>
      <c r="K32" s="13"/>
      <c r="L32" s="13"/>
      <c r="M32" s="287"/>
      <c r="N32" s="280"/>
      <c r="O32" s="20"/>
      <c r="P32" s="103"/>
      <c r="Q32" s="111"/>
      <c r="R32" s="13"/>
      <c r="S32" s="13"/>
      <c r="T32" s="103"/>
      <c r="U32" s="103"/>
      <c r="V32" s="103"/>
      <c r="W32" s="13"/>
      <c r="X32" s="13"/>
      <c r="Y32" s="13"/>
      <c r="Z32" s="111"/>
      <c r="AA32" s="111"/>
      <c r="AB32" s="103"/>
      <c r="AC32" s="111"/>
      <c r="AD32" s="111"/>
      <c r="AE32" s="103"/>
      <c r="AF32" s="111"/>
      <c r="AG32" s="111"/>
      <c r="AH32" s="111"/>
      <c r="AI32" s="111"/>
      <c r="AJ32" s="111"/>
      <c r="AK32" s="111"/>
      <c r="AL32" s="111"/>
      <c r="AM32" s="111"/>
      <c r="AN32" s="111"/>
      <c r="AO32" s="111"/>
      <c r="AP32" s="111"/>
      <c r="AQ32" s="111"/>
      <c r="AR32" s="111"/>
      <c r="AS32" s="111"/>
      <c r="AT32" s="111"/>
      <c r="AU32" s="111"/>
      <c r="AV32" s="111"/>
      <c r="AW32" s="111"/>
      <c r="AX32" s="111"/>
      <c r="AY32" s="111"/>
      <c r="AZ32" s="111"/>
      <c r="BA32" s="103"/>
      <c r="BB32" s="103"/>
      <c r="BC32" s="103"/>
      <c r="BD32" s="103"/>
      <c r="BE32" s="103"/>
      <c r="BF32" s="103"/>
      <c r="BG32" s="103"/>
      <c r="BH32" s="103"/>
      <c r="BI32" s="103"/>
      <c r="BJ32" s="103"/>
      <c r="BK32" s="103"/>
      <c r="BL32" s="103"/>
      <c r="BM32" s="103"/>
      <c r="BN32" s="103"/>
      <c r="BO32" s="103"/>
      <c r="BP32" s="103"/>
      <c r="BQ32" s="103"/>
      <c r="BR32" s="103"/>
      <c r="BS32" s="103"/>
      <c r="BT32" s="103"/>
      <c r="BU32" s="103"/>
      <c r="BV32" s="103"/>
      <c r="BW32" s="103"/>
      <c r="BX32" s="103"/>
      <c r="BY32" s="103"/>
      <c r="BZ32" s="103"/>
      <c r="CA32" s="103"/>
      <c r="CB32" s="103"/>
      <c r="CC32" s="103"/>
      <c r="CD32" s="103"/>
      <c r="CE32" s="103"/>
      <c r="CF32" s="103"/>
      <c r="CG32" s="103"/>
      <c r="CH32" s="103"/>
      <c r="CI32" s="103"/>
      <c r="CJ32" s="103"/>
      <c r="CK32" s="103"/>
      <c r="CL32" s="103"/>
      <c r="CM32" s="103"/>
      <c r="CN32" s="103"/>
      <c r="CO32" s="103"/>
      <c r="CP32" s="103"/>
      <c r="CQ32" s="103"/>
      <c r="CR32" s="103"/>
      <c r="CS32" s="103"/>
      <c r="CT32" s="103"/>
      <c r="CU32" s="103"/>
      <c r="CV32" s="103"/>
      <c r="CW32" s="103"/>
      <c r="CX32" s="103"/>
      <c r="CY32" s="103"/>
      <c r="CZ32" s="103"/>
      <c r="DA32" s="103"/>
      <c r="DB32" s="386"/>
      <c r="DC32" s="103"/>
      <c r="DD32" s="266"/>
      <c r="DE32" s="267"/>
      <c r="DF32" s="267"/>
      <c r="DG32" s="267"/>
    </row>
    <row r="33" spans="1:111" s="109" customFormat="1" x14ac:dyDescent="0.25">
      <c r="A33" s="14"/>
      <c r="B33" s="13"/>
      <c r="C33" s="13"/>
      <c r="D33" s="13"/>
      <c r="E33" s="13"/>
      <c r="F33" s="13"/>
      <c r="G33" s="13"/>
      <c r="H33" s="13"/>
      <c r="I33" s="13"/>
      <c r="J33" s="13"/>
      <c r="K33" s="13"/>
      <c r="L33" s="13"/>
      <c r="M33" s="13"/>
      <c r="N33" s="280"/>
      <c r="O33" s="20"/>
      <c r="P33" s="111"/>
      <c r="Q33" s="111"/>
      <c r="R33" s="111"/>
      <c r="S33" s="111"/>
      <c r="T33" s="111"/>
      <c r="U33" s="111"/>
      <c r="V33" s="111"/>
      <c r="W33" s="13"/>
      <c r="X33" s="13"/>
      <c r="Y33" s="13"/>
      <c r="Z33" s="111"/>
      <c r="AA33" s="111"/>
      <c r="AB33" s="111"/>
      <c r="AC33" s="111"/>
      <c r="AD33" s="111"/>
      <c r="AE33" s="111"/>
      <c r="AF33" s="111"/>
      <c r="AG33" s="111"/>
      <c r="AH33" s="111"/>
      <c r="AI33" s="111"/>
      <c r="AJ33" s="111"/>
      <c r="AK33" s="111"/>
      <c r="AL33" s="111"/>
      <c r="AM33" s="111"/>
      <c r="AN33" s="111"/>
      <c r="AO33" s="111"/>
      <c r="AP33" s="111"/>
      <c r="AQ33" s="111"/>
      <c r="AR33" s="111"/>
      <c r="AS33" s="111"/>
      <c r="AT33" s="111"/>
      <c r="AU33" s="111"/>
      <c r="AV33" s="111"/>
      <c r="AW33" s="111"/>
      <c r="AX33" s="111"/>
      <c r="AY33" s="111"/>
      <c r="AZ33" s="111"/>
      <c r="BA33" s="111"/>
      <c r="BB33" s="111"/>
      <c r="BC33" s="111"/>
      <c r="BD33" s="111"/>
      <c r="BE33" s="111"/>
      <c r="BF33" s="111"/>
      <c r="BG33" s="111"/>
      <c r="BH33" s="111"/>
      <c r="BI33" s="111"/>
      <c r="BJ33" s="111"/>
      <c r="BK33" s="111"/>
      <c r="BL33" s="111"/>
      <c r="BM33" s="111"/>
      <c r="BN33" s="111"/>
      <c r="BO33" s="111"/>
      <c r="BP33" s="111"/>
      <c r="BQ33" s="111"/>
      <c r="BR33" s="111"/>
      <c r="BS33" s="111"/>
      <c r="BT33" s="111"/>
      <c r="BU33" s="111"/>
      <c r="BV33" s="111"/>
      <c r="BW33" s="111"/>
      <c r="BX33" s="111"/>
      <c r="BY33" s="111"/>
      <c r="BZ33" s="111"/>
      <c r="CA33" s="111"/>
      <c r="CB33" s="111"/>
      <c r="CC33" s="111"/>
      <c r="CD33" s="111"/>
      <c r="CE33" s="111"/>
      <c r="CF33" s="111"/>
      <c r="CG33" s="111"/>
      <c r="CH33" s="111"/>
      <c r="CI33" s="111"/>
      <c r="CJ33" s="111"/>
      <c r="CK33" s="111"/>
      <c r="CL33" s="111"/>
      <c r="CM33" s="111"/>
      <c r="CN33" s="111"/>
      <c r="CO33" s="111"/>
      <c r="CP33" s="111"/>
      <c r="CQ33" s="111"/>
      <c r="CR33" s="111"/>
      <c r="CS33" s="111"/>
      <c r="CT33" s="111"/>
      <c r="CU33" s="111"/>
      <c r="CV33" s="111"/>
      <c r="CW33" s="111"/>
      <c r="CX33" s="111"/>
      <c r="CY33" s="111"/>
      <c r="CZ33" s="111"/>
      <c r="DA33" s="111"/>
      <c r="DB33" s="305"/>
      <c r="DC33" s="111"/>
      <c r="DD33" s="266"/>
      <c r="DE33" s="267"/>
      <c r="DF33" s="267"/>
      <c r="DG33" s="267"/>
    </row>
    <row r="34" spans="1:111" s="109" customFormat="1" x14ac:dyDescent="0.25">
      <c r="A34" s="14"/>
      <c r="B34" s="13"/>
      <c r="C34" s="13"/>
      <c r="D34" s="13"/>
      <c r="E34" s="13"/>
      <c r="F34" s="13"/>
      <c r="G34" s="13"/>
      <c r="H34" s="13"/>
      <c r="I34" s="13"/>
      <c r="J34" s="13"/>
      <c r="K34" s="13"/>
      <c r="L34" s="13"/>
      <c r="M34" s="13"/>
      <c r="N34" s="280"/>
      <c r="O34" s="20"/>
      <c r="P34" s="103"/>
      <c r="Q34" s="111"/>
      <c r="R34" s="13"/>
      <c r="S34" s="13"/>
      <c r="T34" s="103"/>
      <c r="U34" s="103"/>
      <c r="V34" s="103"/>
      <c r="W34" s="13"/>
      <c r="X34" s="13"/>
      <c r="Y34" s="13"/>
      <c r="Z34" s="111"/>
      <c r="AA34" s="111"/>
      <c r="AB34" s="103"/>
      <c r="AC34" s="111"/>
      <c r="AD34" s="111"/>
      <c r="AE34" s="103"/>
      <c r="AF34" s="111"/>
      <c r="AG34" s="111"/>
      <c r="AH34" s="111"/>
      <c r="AI34" s="111"/>
      <c r="AJ34" s="111"/>
      <c r="AK34" s="111"/>
      <c r="AL34" s="111"/>
      <c r="AM34" s="111"/>
      <c r="AN34" s="111"/>
      <c r="AO34" s="111"/>
      <c r="AP34" s="111"/>
      <c r="AQ34" s="111"/>
      <c r="AR34" s="111"/>
      <c r="AS34" s="111"/>
      <c r="AT34" s="111"/>
      <c r="AU34" s="111"/>
      <c r="AV34" s="111"/>
      <c r="AW34" s="111"/>
      <c r="AX34" s="111"/>
      <c r="AY34" s="111"/>
      <c r="AZ34" s="111"/>
      <c r="BA34" s="103"/>
      <c r="BB34" s="103"/>
      <c r="BC34" s="103"/>
      <c r="BD34" s="103"/>
      <c r="BE34" s="103"/>
      <c r="BF34" s="103"/>
      <c r="BG34" s="103"/>
      <c r="BH34" s="103"/>
      <c r="BI34" s="103"/>
      <c r="BJ34" s="103"/>
      <c r="BK34" s="103"/>
      <c r="BL34" s="103"/>
      <c r="BM34" s="103"/>
      <c r="BN34" s="103"/>
      <c r="BO34" s="103"/>
      <c r="BP34" s="103"/>
      <c r="BQ34" s="103"/>
      <c r="BR34" s="103"/>
      <c r="BS34" s="103"/>
      <c r="BT34" s="103"/>
      <c r="BU34" s="103"/>
      <c r="BV34" s="103"/>
      <c r="BW34" s="103"/>
      <c r="BX34" s="103"/>
      <c r="BY34" s="103"/>
      <c r="BZ34" s="103"/>
      <c r="CA34" s="103"/>
      <c r="CB34" s="103"/>
      <c r="CC34" s="103"/>
      <c r="CD34" s="103"/>
      <c r="CE34" s="103"/>
      <c r="CF34" s="103"/>
      <c r="CG34" s="103"/>
      <c r="CH34" s="103"/>
      <c r="CI34" s="103"/>
      <c r="CJ34" s="103"/>
      <c r="CK34" s="103"/>
      <c r="CL34" s="103"/>
      <c r="CM34" s="103"/>
      <c r="CN34" s="103"/>
      <c r="CO34" s="103"/>
      <c r="CP34" s="103"/>
      <c r="CQ34" s="103"/>
      <c r="CR34" s="103"/>
      <c r="CS34" s="103"/>
      <c r="CT34" s="103"/>
      <c r="CU34" s="103"/>
      <c r="CV34" s="103"/>
      <c r="CW34" s="103"/>
      <c r="CX34" s="103"/>
      <c r="CY34" s="103"/>
      <c r="CZ34" s="103"/>
      <c r="DA34" s="103"/>
      <c r="DB34" s="386"/>
      <c r="DC34" s="103"/>
      <c r="DD34" s="266"/>
      <c r="DE34" s="267"/>
      <c r="DF34" s="267"/>
      <c r="DG34" s="267"/>
    </row>
    <row r="35" spans="1:111" s="109" customFormat="1" x14ac:dyDescent="0.25">
      <c r="A35" s="14"/>
      <c r="B35" s="13"/>
      <c r="C35" s="13"/>
      <c r="D35" s="13"/>
      <c r="E35" s="13"/>
      <c r="F35" s="13"/>
      <c r="G35" s="13"/>
      <c r="H35" s="13"/>
      <c r="I35" s="13"/>
      <c r="J35" s="13"/>
      <c r="K35" s="13"/>
      <c r="L35" s="13"/>
      <c r="M35" s="13"/>
      <c r="N35" s="280"/>
      <c r="O35" s="20"/>
      <c r="P35" s="103"/>
      <c r="Q35" s="111"/>
      <c r="R35" s="13"/>
      <c r="S35" s="13"/>
      <c r="T35" s="103"/>
      <c r="U35" s="103"/>
      <c r="V35" s="103"/>
      <c r="W35" s="13"/>
      <c r="X35" s="13"/>
      <c r="Y35" s="13"/>
      <c r="Z35" s="111"/>
      <c r="AA35" s="111"/>
      <c r="AB35" s="103"/>
      <c r="AC35" s="111"/>
      <c r="AD35" s="111"/>
      <c r="AE35" s="103"/>
      <c r="AF35" s="111"/>
      <c r="AG35" s="111"/>
      <c r="AH35" s="111"/>
      <c r="AI35" s="111"/>
      <c r="AJ35" s="111"/>
      <c r="AK35" s="111"/>
      <c r="AL35" s="111"/>
      <c r="AM35" s="111"/>
      <c r="AN35" s="111"/>
      <c r="AO35" s="111"/>
      <c r="AP35" s="111"/>
      <c r="AQ35" s="111"/>
      <c r="AR35" s="111"/>
      <c r="AS35" s="111"/>
      <c r="AT35" s="111"/>
      <c r="AU35" s="111"/>
      <c r="AV35" s="111"/>
      <c r="AW35" s="111"/>
      <c r="AX35" s="111"/>
      <c r="AY35" s="111"/>
      <c r="AZ35" s="111"/>
      <c r="BA35" s="103"/>
      <c r="BB35" s="103"/>
      <c r="BC35" s="103"/>
      <c r="BD35" s="103"/>
      <c r="BE35" s="103"/>
      <c r="BF35" s="103"/>
      <c r="BG35" s="103"/>
      <c r="BH35" s="103"/>
      <c r="BI35" s="103"/>
      <c r="BJ35" s="103"/>
      <c r="BK35" s="103"/>
      <c r="BL35" s="103"/>
      <c r="BM35" s="103"/>
      <c r="BN35" s="103"/>
      <c r="BO35" s="103"/>
      <c r="BP35" s="103"/>
      <c r="BQ35" s="103"/>
      <c r="BR35" s="103"/>
      <c r="BS35" s="103"/>
      <c r="BT35" s="103"/>
      <c r="BU35" s="103"/>
      <c r="BV35" s="103"/>
      <c r="BW35" s="103"/>
      <c r="BX35" s="103"/>
      <c r="BY35" s="103"/>
      <c r="BZ35" s="103"/>
      <c r="CA35" s="103"/>
      <c r="CB35" s="103"/>
      <c r="CC35" s="103"/>
      <c r="CD35" s="103"/>
      <c r="CE35" s="103"/>
      <c r="CF35" s="103"/>
      <c r="CG35" s="103"/>
      <c r="CH35" s="103"/>
      <c r="CI35" s="103"/>
      <c r="CJ35" s="103"/>
      <c r="CK35" s="103"/>
      <c r="CL35" s="103"/>
      <c r="CM35" s="103"/>
      <c r="CN35" s="103"/>
      <c r="CO35" s="103"/>
      <c r="CP35" s="103"/>
      <c r="CQ35" s="103"/>
      <c r="CR35" s="103"/>
      <c r="CS35" s="103"/>
      <c r="CT35" s="103"/>
      <c r="CU35" s="103"/>
      <c r="CV35" s="103"/>
      <c r="CW35" s="103"/>
      <c r="CX35" s="103"/>
      <c r="CY35" s="103"/>
      <c r="CZ35" s="103"/>
      <c r="DA35" s="103"/>
      <c r="DB35" s="386"/>
      <c r="DC35" s="103"/>
      <c r="DD35" s="266"/>
      <c r="DE35" s="267"/>
      <c r="DF35" s="267"/>
      <c r="DG35" s="267"/>
    </row>
    <row r="36" spans="1:111" s="109" customFormat="1" x14ac:dyDescent="0.25">
      <c r="A36" s="14"/>
      <c r="B36" s="13"/>
      <c r="C36" s="13"/>
      <c r="D36" s="13"/>
      <c r="E36" s="13"/>
      <c r="F36" s="13"/>
      <c r="G36" s="13"/>
      <c r="H36" s="13"/>
      <c r="I36" s="13"/>
      <c r="J36" s="13"/>
      <c r="K36" s="13"/>
      <c r="L36" s="13"/>
      <c r="M36" s="13"/>
      <c r="N36" s="280"/>
      <c r="O36" s="20"/>
      <c r="P36" s="103"/>
      <c r="Q36" s="111"/>
      <c r="R36" s="13"/>
      <c r="S36" s="13"/>
      <c r="T36" s="103"/>
      <c r="U36" s="103"/>
      <c r="V36" s="103"/>
      <c r="W36" s="13"/>
      <c r="X36" s="13"/>
      <c r="Y36" s="13"/>
      <c r="Z36" s="111"/>
      <c r="AA36" s="111"/>
      <c r="AB36" s="103"/>
      <c r="AC36" s="111"/>
      <c r="AD36" s="111"/>
      <c r="AE36" s="103"/>
      <c r="AF36" s="111"/>
      <c r="AG36" s="111"/>
      <c r="AH36" s="111"/>
      <c r="AI36" s="111"/>
      <c r="AJ36" s="111"/>
      <c r="AK36" s="111"/>
      <c r="AL36" s="111"/>
      <c r="AM36" s="111"/>
      <c r="AN36" s="111"/>
      <c r="AO36" s="111"/>
      <c r="AP36" s="111"/>
      <c r="AQ36" s="111"/>
      <c r="AR36" s="111"/>
      <c r="AS36" s="111"/>
      <c r="AT36" s="111"/>
      <c r="AU36" s="111"/>
      <c r="AV36" s="111"/>
      <c r="AW36" s="111"/>
      <c r="AX36" s="111"/>
      <c r="AY36" s="111"/>
      <c r="AZ36" s="111"/>
      <c r="BA36" s="103"/>
      <c r="BB36" s="103"/>
      <c r="BC36" s="103"/>
      <c r="BD36" s="103"/>
      <c r="BE36" s="103"/>
      <c r="BF36" s="103"/>
      <c r="BG36" s="103"/>
      <c r="BH36" s="103"/>
      <c r="BI36" s="103"/>
      <c r="BJ36" s="103"/>
      <c r="BK36" s="103"/>
      <c r="BL36" s="103"/>
      <c r="BM36" s="103"/>
      <c r="BN36" s="103"/>
      <c r="BO36" s="103"/>
      <c r="BP36" s="103"/>
      <c r="BQ36" s="103"/>
      <c r="BR36" s="103"/>
      <c r="BS36" s="103"/>
      <c r="BT36" s="103"/>
      <c r="BU36" s="103"/>
      <c r="BV36" s="103"/>
      <c r="BW36" s="103"/>
      <c r="BX36" s="103"/>
      <c r="BY36" s="103"/>
      <c r="BZ36" s="103"/>
      <c r="CA36" s="103"/>
      <c r="CB36" s="103"/>
      <c r="CC36" s="103"/>
      <c r="CD36" s="103"/>
      <c r="CE36" s="103"/>
      <c r="CF36" s="103"/>
      <c r="CG36" s="103"/>
      <c r="CH36" s="103"/>
      <c r="CI36" s="103"/>
      <c r="CJ36" s="103"/>
      <c r="CK36" s="103"/>
      <c r="CL36" s="103"/>
      <c r="CM36" s="103"/>
      <c r="CN36" s="103"/>
      <c r="CO36" s="103"/>
      <c r="CP36" s="103"/>
      <c r="CQ36" s="103"/>
      <c r="CR36" s="103"/>
      <c r="CS36" s="103"/>
      <c r="CT36" s="103"/>
      <c r="CU36" s="103"/>
      <c r="CV36" s="103"/>
      <c r="CW36" s="103"/>
      <c r="CX36" s="103"/>
      <c r="CY36" s="103"/>
      <c r="CZ36" s="103"/>
      <c r="DA36" s="103"/>
      <c r="DB36" s="386"/>
      <c r="DC36" s="103"/>
      <c r="DD36" s="266"/>
      <c r="DE36" s="267"/>
      <c r="DF36" s="267"/>
      <c r="DG36" s="267"/>
    </row>
    <row r="37" spans="1:111" s="109" customFormat="1" x14ac:dyDescent="0.25">
      <c r="A37" s="14"/>
      <c r="B37" s="13"/>
      <c r="C37" s="13"/>
      <c r="D37" s="13"/>
      <c r="E37" s="13"/>
      <c r="F37" s="13"/>
      <c r="G37" s="13"/>
      <c r="H37" s="13"/>
      <c r="I37" s="13"/>
      <c r="J37" s="13"/>
      <c r="K37" s="13"/>
      <c r="L37" s="13"/>
      <c r="M37" s="13"/>
      <c r="N37" s="280"/>
      <c r="O37" s="20"/>
      <c r="P37" s="13"/>
      <c r="Q37" s="111"/>
      <c r="R37" s="13"/>
      <c r="S37" s="13"/>
      <c r="T37" s="13"/>
      <c r="U37" s="13"/>
      <c r="V37" s="13"/>
      <c r="W37" s="13"/>
      <c r="X37" s="13"/>
      <c r="Y37" s="13"/>
      <c r="Z37" s="111"/>
      <c r="AA37" s="111"/>
      <c r="AB37" s="13"/>
      <c r="AC37" s="111"/>
      <c r="AD37" s="111"/>
      <c r="AE37" s="13"/>
      <c r="AF37" s="111"/>
      <c r="AG37" s="111"/>
      <c r="AH37" s="111"/>
      <c r="AI37" s="111"/>
      <c r="AJ37" s="111"/>
      <c r="AK37" s="111"/>
      <c r="AL37" s="111"/>
      <c r="AM37" s="111"/>
      <c r="AN37" s="111"/>
      <c r="AO37" s="111"/>
      <c r="AP37" s="111"/>
      <c r="AQ37" s="111"/>
      <c r="AR37" s="111"/>
      <c r="AS37" s="111"/>
      <c r="AT37" s="111"/>
      <c r="AU37" s="111"/>
      <c r="AV37" s="111"/>
      <c r="AW37" s="111"/>
      <c r="AX37" s="111"/>
      <c r="AY37" s="111"/>
      <c r="AZ37" s="111"/>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360"/>
      <c r="DC37" s="13"/>
      <c r="DD37" s="266"/>
      <c r="DE37" s="267"/>
      <c r="DF37" s="267"/>
      <c r="DG37" s="267"/>
    </row>
    <row r="38" spans="1:111" s="109" customFormat="1" x14ac:dyDescent="0.25">
      <c r="A38" s="14"/>
      <c r="B38" s="13"/>
      <c r="C38" s="13"/>
      <c r="D38" s="13"/>
      <c r="E38" s="13"/>
      <c r="F38" s="13"/>
      <c r="G38" s="13"/>
      <c r="H38" s="13"/>
      <c r="I38" s="13"/>
      <c r="J38" s="13"/>
      <c r="K38" s="13"/>
      <c r="L38" s="13"/>
      <c r="M38" s="13"/>
      <c r="N38" s="280"/>
      <c r="O38" s="20"/>
      <c r="P38" s="13"/>
      <c r="Q38" s="111"/>
      <c r="R38" s="13"/>
      <c r="S38" s="13"/>
      <c r="T38" s="13"/>
      <c r="U38" s="13"/>
      <c r="V38" s="13"/>
      <c r="W38" s="13"/>
      <c r="X38" s="13"/>
      <c r="Y38" s="13"/>
      <c r="Z38" s="111"/>
      <c r="AA38" s="111"/>
      <c r="AB38" s="13"/>
      <c r="AC38" s="111"/>
      <c r="AD38" s="111"/>
      <c r="AE38" s="13"/>
      <c r="AF38" s="111"/>
      <c r="AG38" s="111"/>
      <c r="AH38" s="111"/>
      <c r="AI38" s="111"/>
      <c r="AJ38" s="111"/>
      <c r="AK38" s="111"/>
      <c r="AL38" s="111"/>
      <c r="AM38" s="111"/>
      <c r="AN38" s="111"/>
      <c r="AO38" s="111"/>
      <c r="AP38" s="111"/>
      <c r="AQ38" s="111"/>
      <c r="AR38" s="111"/>
      <c r="AS38" s="111"/>
      <c r="AT38" s="111"/>
      <c r="AU38" s="111"/>
      <c r="AV38" s="111"/>
      <c r="AW38" s="111"/>
      <c r="AX38" s="111"/>
      <c r="AY38" s="111"/>
      <c r="AZ38" s="111"/>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360"/>
      <c r="DC38" s="13"/>
      <c r="DD38" s="266"/>
      <c r="DE38" s="267"/>
      <c r="DF38" s="267"/>
      <c r="DG38" s="267"/>
    </row>
    <row r="39" spans="1:111" s="109" customFormat="1" x14ac:dyDescent="0.25">
      <c r="A39" s="14"/>
      <c r="B39" s="13"/>
      <c r="C39" s="13"/>
      <c r="D39" s="13"/>
      <c r="E39" s="13"/>
      <c r="F39" s="13"/>
      <c r="G39" s="13"/>
      <c r="H39" s="13"/>
      <c r="I39" s="13"/>
      <c r="J39" s="13"/>
      <c r="K39" s="13"/>
      <c r="L39" s="13"/>
      <c r="M39" s="13"/>
      <c r="N39" s="280"/>
      <c r="O39" s="20"/>
      <c r="P39" s="13"/>
      <c r="Q39" s="111"/>
      <c r="R39" s="13"/>
      <c r="S39" s="13"/>
      <c r="T39" s="13"/>
      <c r="U39" s="13"/>
      <c r="V39" s="13"/>
      <c r="W39" s="13"/>
      <c r="X39" s="13"/>
      <c r="Y39" s="13"/>
      <c r="Z39" s="111"/>
      <c r="AA39" s="111"/>
      <c r="AB39" s="13"/>
      <c r="AC39" s="111"/>
      <c r="AD39" s="111"/>
      <c r="AE39" s="13"/>
      <c r="AF39" s="111"/>
      <c r="AG39" s="111"/>
      <c r="AH39" s="111"/>
      <c r="AI39" s="111"/>
      <c r="AJ39" s="111"/>
      <c r="AK39" s="111"/>
      <c r="AL39" s="111"/>
      <c r="AM39" s="111"/>
      <c r="AN39" s="111"/>
      <c r="AO39" s="111"/>
      <c r="AP39" s="111"/>
      <c r="AQ39" s="111"/>
      <c r="AR39" s="111"/>
      <c r="AS39" s="111"/>
      <c r="AT39" s="111"/>
      <c r="AU39" s="111"/>
      <c r="AV39" s="111"/>
      <c r="AW39" s="111"/>
      <c r="AX39" s="111"/>
      <c r="AY39" s="111"/>
      <c r="AZ39" s="111"/>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360"/>
      <c r="DC39" s="13"/>
      <c r="DD39" s="266"/>
      <c r="DE39" s="267"/>
      <c r="DF39" s="267"/>
      <c r="DG39" s="267"/>
    </row>
    <row r="40" spans="1:111" s="109" customFormat="1" x14ac:dyDescent="0.25">
      <c r="A40" s="20"/>
      <c r="B40" s="13"/>
      <c r="C40" s="13"/>
      <c r="D40" s="13"/>
      <c r="E40" s="13"/>
      <c r="F40" s="13"/>
      <c r="G40" s="13"/>
      <c r="H40" s="13"/>
      <c r="I40" s="13"/>
      <c r="J40" s="13"/>
      <c r="K40" s="13"/>
      <c r="L40" s="13"/>
      <c r="M40" s="13"/>
      <c r="N40" s="280"/>
      <c r="O40" s="20"/>
      <c r="P40" s="13"/>
      <c r="Q40" s="111"/>
      <c r="R40" s="13"/>
      <c r="S40" s="13"/>
      <c r="T40" s="13"/>
      <c r="U40" s="13"/>
      <c r="V40" s="13"/>
      <c r="W40" s="13"/>
      <c r="X40" s="13"/>
      <c r="Y40" s="13"/>
      <c r="Z40" s="111"/>
      <c r="AA40" s="111"/>
      <c r="AB40" s="13"/>
      <c r="AC40" s="111"/>
      <c r="AD40" s="111"/>
      <c r="AE40" s="13"/>
      <c r="AF40" s="111"/>
      <c r="AG40" s="111"/>
      <c r="AH40" s="111"/>
      <c r="AI40" s="111"/>
      <c r="AJ40" s="111"/>
      <c r="AK40" s="111"/>
      <c r="AL40" s="111"/>
      <c r="AM40" s="111"/>
      <c r="AN40" s="111"/>
      <c r="AO40" s="111"/>
      <c r="AP40" s="111"/>
      <c r="AQ40" s="111"/>
      <c r="AR40" s="111"/>
      <c r="AS40" s="111"/>
      <c r="AT40" s="111"/>
      <c r="AU40" s="111"/>
      <c r="AV40" s="111"/>
      <c r="AW40" s="111"/>
      <c r="AX40" s="111"/>
      <c r="AY40" s="111"/>
      <c r="AZ40" s="111"/>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360"/>
      <c r="DC40" s="13"/>
      <c r="DD40" s="266"/>
      <c r="DE40" s="267"/>
      <c r="DF40" s="267"/>
      <c r="DG40" s="267"/>
    </row>
    <row r="41" spans="1:111" s="109" customFormat="1" x14ac:dyDescent="0.25">
      <c r="A41" s="20"/>
      <c r="B41" s="13"/>
      <c r="C41" s="13"/>
      <c r="D41" s="13"/>
      <c r="E41" s="13"/>
      <c r="F41" s="13"/>
      <c r="G41" s="13"/>
      <c r="H41" s="13"/>
      <c r="I41" s="13"/>
      <c r="J41" s="13"/>
      <c r="K41" s="13"/>
      <c r="L41" s="13"/>
      <c r="M41" s="13"/>
      <c r="N41" s="280"/>
      <c r="O41" s="20"/>
      <c r="P41" s="13"/>
      <c r="Q41" s="111"/>
      <c r="R41" s="13"/>
      <c r="S41" s="13"/>
      <c r="T41" s="13"/>
      <c r="U41" s="13"/>
      <c r="V41" s="13"/>
      <c r="W41" s="13"/>
      <c r="X41" s="13"/>
      <c r="Y41" s="13"/>
      <c r="Z41" s="111"/>
      <c r="AA41" s="111"/>
      <c r="AB41" s="13"/>
      <c r="AC41" s="111"/>
      <c r="AD41" s="111"/>
      <c r="AE41" s="13"/>
      <c r="AF41" s="111"/>
      <c r="AG41" s="111"/>
      <c r="AH41" s="111"/>
      <c r="AI41" s="111"/>
      <c r="AJ41" s="111"/>
      <c r="AK41" s="111"/>
      <c r="AL41" s="111"/>
      <c r="AM41" s="111"/>
      <c r="AN41" s="111"/>
      <c r="AO41" s="111"/>
      <c r="AP41" s="111"/>
      <c r="AQ41" s="111"/>
      <c r="AR41" s="111"/>
      <c r="AS41" s="111"/>
      <c r="AT41" s="111"/>
      <c r="AU41" s="111"/>
      <c r="AV41" s="111"/>
      <c r="AW41" s="111"/>
      <c r="AX41" s="111"/>
      <c r="AY41" s="111"/>
      <c r="AZ41" s="111"/>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360"/>
      <c r="DC41" s="13"/>
      <c r="DD41" s="266"/>
      <c r="DE41" s="267"/>
      <c r="DF41" s="267"/>
      <c r="DG41" s="267"/>
    </row>
    <row r="42" spans="1:111" s="109" customFormat="1" ht="15" customHeight="1" x14ac:dyDescent="0.25">
      <c r="A42" s="20"/>
      <c r="B42" s="13"/>
      <c r="C42" s="13"/>
      <c r="D42" s="287"/>
      <c r="E42" s="13"/>
      <c r="F42" s="13"/>
      <c r="G42" s="13"/>
      <c r="H42" s="287"/>
      <c r="I42" s="13"/>
      <c r="J42" s="13"/>
      <c r="K42" s="13"/>
      <c r="L42" s="13"/>
      <c r="M42" s="287"/>
      <c r="N42" s="280"/>
      <c r="O42" s="14"/>
      <c r="P42" s="13"/>
      <c r="Q42" s="110"/>
      <c r="R42" s="111"/>
      <c r="S42" s="111"/>
      <c r="T42" s="13"/>
      <c r="U42" s="13"/>
      <c r="V42" s="13"/>
      <c r="W42" s="13"/>
      <c r="X42" s="13"/>
      <c r="Y42" s="13"/>
      <c r="Z42" s="110"/>
      <c r="AA42" s="110"/>
      <c r="AB42" s="13"/>
      <c r="AC42" s="110"/>
      <c r="AD42" s="110"/>
      <c r="AE42" s="13"/>
      <c r="AF42" s="110"/>
      <c r="AG42" s="110"/>
      <c r="AH42" s="110"/>
      <c r="AI42" s="110"/>
      <c r="AJ42" s="110"/>
      <c r="AK42" s="110"/>
      <c r="AL42" s="110"/>
      <c r="AM42" s="110"/>
      <c r="AN42" s="110"/>
      <c r="AO42" s="110"/>
      <c r="AP42" s="110"/>
      <c r="AQ42" s="110"/>
      <c r="AR42" s="110"/>
      <c r="AS42" s="110"/>
      <c r="AT42" s="110"/>
      <c r="AU42" s="110"/>
      <c r="AV42" s="110"/>
      <c r="AW42" s="110"/>
      <c r="AX42" s="110"/>
      <c r="AY42" s="110"/>
      <c r="AZ42" s="110"/>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360"/>
      <c r="DC42" s="13"/>
      <c r="DD42" s="266"/>
      <c r="DE42" s="267"/>
      <c r="DF42" s="267"/>
      <c r="DG42" s="267"/>
    </row>
    <row r="43" spans="1:111" s="109" customFormat="1" x14ac:dyDescent="0.25">
      <c r="A43" s="14"/>
      <c r="B43" s="13"/>
      <c r="C43" s="13"/>
      <c r="D43" s="13"/>
      <c r="E43" s="13"/>
      <c r="F43" s="13"/>
      <c r="G43" s="13"/>
      <c r="H43" s="13"/>
      <c r="I43" s="13"/>
      <c r="J43" s="13"/>
      <c r="K43" s="13"/>
      <c r="L43" s="13"/>
      <c r="M43" s="13"/>
      <c r="N43" s="308"/>
      <c r="O43" s="14"/>
      <c r="P43" s="13"/>
      <c r="Q43" s="110"/>
      <c r="R43" s="13"/>
      <c r="S43" s="13"/>
      <c r="T43" s="13"/>
      <c r="U43" s="13"/>
      <c r="V43" s="13"/>
      <c r="W43" s="13"/>
      <c r="X43" s="13"/>
      <c r="Y43" s="13"/>
      <c r="Z43" s="110"/>
      <c r="AA43" s="110"/>
      <c r="AB43" s="13"/>
      <c r="AC43" s="110"/>
      <c r="AD43" s="110"/>
      <c r="AE43" s="13"/>
      <c r="AF43" s="110"/>
      <c r="AG43" s="110"/>
      <c r="AH43" s="110"/>
      <c r="AI43" s="110"/>
      <c r="AJ43" s="110"/>
      <c r="AK43" s="110"/>
      <c r="AL43" s="110"/>
      <c r="AM43" s="110"/>
      <c r="AN43" s="110"/>
      <c r="AO43" s="110"/>
      <c r="AP43" s="110"/>
      <c r="AQ43" s="110"/>
      <c r="AR43" s="110"/>
      <c r="AS43" s="110"/>
      <c r="AT43" s="110"/>
      <c r="AU43" s="110"/>
      <c r="AV43" s="110"/>
      <c r="AW43" s="110"/>
      <c r="AX43" s="110"/>
      <c r="AY43" s="110"/>
      <c r="AZ43" s="110"/>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360"/>
      <c r="DC43" s="13"/>
      <c r="DD43" s="266"/>
      <c r="DE43" s="267"/>
      <c r="DF43" s="267"/>
      <c r="DG43" s="267"/>
    </row>
    <row r="44" spans="1:111" s="109" customFormat="1" x14ac:dyDescent="0.25">
      <c r="A44" s="14"/>
      <c r="B44" s="13"/>
      <c r="C44" s="13"/>
      <c r="D44" s="13"/>
      <c r="E44" s="13"/>
      <c r="F44" s="13"/>
      <c r="G44" s="13"/>
      <c r="H44" s="13"/>
      <c r="I44" s="13"/>
      <c r="J44" s="13"/>
      <c r="K44" s="13"/>
      <c r="L44" s="13"/>
      <c r="M44" s="13"/>
      <c r="N44" s="308"/>
      <c r="O44" s="14"/>
      <c r="P44" s="13"/>
      <c r="Q44" s="110"/>
      <c r="R44" s="13"/>
      <c r="S44" s="13"/>
      <c r="T44" s="13"/>
      <c r="U44" s="13"/>
      <c r="V44" s="13"/>
      <c r="W44" s="13"/>
      <c r="X44" s="13"/>
      <c r="Y44" s="13"/>
      <c r="Z44" s="110"/>
      <c r="AA44" s="110"/>
      <c r="AB44" s="13"/>
      <c r="AC44" s="110"/>
      <c r="AD44" s="110"/>
      <c r="AE44" s="13"/>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360"/>
      <c r="DC44" s="13"/>
      <c r="DD44" s="266"/>
      <c r="DE44" s="267"/>
      <c r="DF44" s="267"/>
      <c r="DG44" s="267"/>
    </row>
    <row r="45" spans="1:111" s="109" customFormat="1" x14ac:dyDescent="0.25">
      <c r="A45" s="14"/>
      <c r="B45" s="13"/>
      <c r="C45" s="13"/>
      <c r="D45" s="13"/>
      <c r="E45" s="13"/>
      <c r="F45" s="13"/>
      <c r="G45" s="13"/>
      <c r="H45" s="13"/>
      <c r="I45" s="13"/>
      <c r="J45" s="13"/>
      <c r="K45" s="13"/>
      <c r="L45" s="13"/>
      <c r="M45" s="13"/>
      <c r="N45" s="308"/>
      <c r="O45" s="14"/>
      <c r="P45" s="13"/>
      <c r="Q45" s="110"/>
      <c r="R45" s="13"/>
      <c r="S45" s="13"/>
      <c r="T45" s="13"/>
      <c r="U45" s="13"/>
      <c r="V45" s="13"/>
      <c r="W45" s="13"/>
      <c r="X45" s="13"/>
      <c r="Y45" s="13"/>
      <c r="Z45" s="110"/>
      <c r="AA45" s="110"/>
      <c r="AB45" s="13"/>
      <c r="AC45" s="110"/>
      <c r="AD45" s="110"/>
      <c r="AE45" s="13"/>
      <c r="AF45" s="110"/>
      <c r="AG45" s="110"/>
      <c r="AH45" s="110"/>
      <c r="AI45" s="110"/>
      <c r="AJ45" s="110"/>
      <c r="AK45" s="110"/>
      <c r="AL45" s="110"/>
      <c r="AM45" s="110"/>
      <c r="AN45" s="110"/>
      <c r="AO45" s="110"/>
      <c r="AP45" s="110"/>
      <c r="AQ45" s="110"/>
      <c r="AR45" s="110"/>
      <c r="AS45" s="110"/>
      <c r="AT45" s="110"/>
      <c r="AU45" s="110"/>
      <c r="AV45" s="110"/>
      <c r="AW45" s="110"/>
      <c r="AX45" s="110"/>
      <c r="AY45" s="110"/>
      <c r="AZ45" s="110"/>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360"/>
      <c r="DC45" s="13"/>
      <c r="DD45" s="266"/>
      <c r="DE45" s="267"/>
      <c r="DF45" s="267"/>
      <c r="DG45" s="267"/>
    </row>
    <row r="46" spans="1:111" s="109" customFormat="1" x14ac:dyDescent="0.25">
      <c r="A46" s="14"/>
      <c r="B46" s="13"/>
      <c r="C46" s="13"/>
      <c r="D46" s="13"/>
      <c r="E46" s="13"/>
      <c r="F46" s="13"/>
      <c r="G46" s="13"/>
      <c r="H46" s="13"/>
      <c r="I46" s="13"/>
      <c r="J46" s="13"/>
      <c r="K46" s="13"/>
      <c r="L46" s="13"/>
      <c r="M46" s="13"/>
      <c r="N46" s="308"/>
      <c r="O46" s="14"/>
      <c r="P46" s="13"/>
      <c r="Q46" s="110"/>
      <c r="R46" s="13"/>
      <c r="S46" s="13"/>
      <c r="T46" s="13"/>
      <c r="U46" s="13"/>
      <c r="V46" s="13"/>
      <c r="W46" s="13"/>
      <c r="X46" s="13"/>
      <c r="Y46" s="13"/>
      <c r="Z46" s="110"/>
      <c r="AA46" s="110"/>
      <c r="AB46" s="13"/>
      <c r="AC46" s="110"/>
      <c r="AD46" s="110"/>
      <c r="AE46" s="13"/>
      <c r="AF46" s="110"/>
      <c r="AG46" s="110"/>
      <c r="AH46" s="110"/>
      <c r="AI46" s="110"/>
      <c r="AJ46" s="110"/>
      <c r="AK46" s="110"/>
      <c r="AL46" s="110"/>
      <c r="AM46" s="110"/>
      <c r="AN46" s="110"/>
      <c r="AO46" s="110"/>
      <c r="AP46" s="110"/>
      <c r="AQ46" s="110"/>
      <c r="AR46" s="110"/>
      <c r="AS46" s="110"/>
      <c r="AT46" s="110"/>
      <c r="AU46" s="110"/>
      <c r="AV46" s="110"/>
      <c r="AW46" s="110"/>
      <c r="AX46" s="110"/>
      <c r="AY46" s="110"/>
      <c r="AZ46" s="110"/>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360"/>
      <c r="DC46" s="13"/>
      <c r="DD46" s="266"/>
      <c r="DE46" s="267"/>
      <c r="DF46" s="267"/>
      <c r="DG46" s="267"/>
    </row>
    <row r="47" spans="1:111" s="109" customFormat="1" x14ac:dyDescent="0.25">
      <c r="A47" s="14"/>
      <c r="B47" s="13"/>
      <c r="C47" s="13"/>
      <c r="D47" s="13"/>
      <c r="E47" s="13"/>
      <c r="F47" s="13"/>
      <c r="G47" s="13"/>
      <c r="H47" s="13"/>
      <c r="I47" s="13"/>
      <c r="J47" s="13"/>
      <c r="K47" s="13"/>
      <c r="L47" s="13"/>
      <c r="M47" s="13"/>
      <c r="N47" s="308"/>
      <c r="O47" s="14"/>
      <c r="P47" s="13"/>
      <c r="Q47" s="110"/>
      <c r="R47" s="13"/>
      <c r="S47" s="13"/>
      <c r="T47" s="13"/>
      <c r="U47" s="13"/>
      <c r="V47" s="13"/>
      <c r="W47" s="13"/>
      <c r="X47" s="13"/>
      <c r="Y47" s="13"/>
      <c r="Z47" s="110"/>
      <c r="AA47" s="110"/>
      <c r="AB47" s="13"/>
      <c r="AC47" s="110"/>
      <c r="AD47" s="110"/>
      <c r="AE47" s="13"/>
      <c r="AF47" s="110"/>
      <c r="AG47" s="110"/>
      <c r="AH47" s="110"/>
      <c r="AI47" s="110"/>
      <c r="AJ47" s="110"/>
      <c r="AK47" s="110"/>
      <c r="AL47" s="110"/>
      <c r="AM47" s="110"/>
      <c r="AN47" s="110"/>
      <c r="AO47" s="110"/>
      <c r="AP47" s="110"/>
      <c r="AQ47" s="110"/>
      <c r="AR47" s="110"/>
      <c r="AS47" s="110"/>
      <c r="AT47" s="110"/>
      <c r="AU47" s="110"/>
      <c r="AV47" s="110"/>
      <c r="AW47" s="110"/>
      <c r="AX47" s="110"/>
      <c r="AY47" s="110"/>
      <c r="AZ47" s="110"/>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360"/>
      <c r="DC47" s="13"/>
      <c r="DD47" s="266"/>
      <c r="DE47" s="267"/>
      <c r="DF47" s="267"/>
      <c r="DG47" s="267"/>
    </row>
    <row r="48" spans="1:111" s="109" customFormat="1" x14ac:dyDescent="0.25">
      <c r="A48" s="14"/>
      <c r="B48" s="13"/>
      <c r="C48" s="13"/>
      <c r="D48" s="13"/>
      <c r="E48" s="13"/>
      <c r="F48" s="13"/>
      <c r="G48" s="13"/>
      <c r="H48" s="13"/>
      <c r="I48" s="13"/>
      <c r="J48" s="13"/>
      <c r="K48" s="13"/>
      <c r="L48" s="13"/>
      <c r="M48" s="13"/>
      <c r="N48" s="308"/>
      <c r="O48" s="14"/>
      <c r="P48" s="13"/>
      <c r="Q48" s="110"/>
      <c r="R48" s="13"/>
      <c r="S48" s="13"/>
      <c r="T48" s="13"/>
      <c r="U48" s="13"/>
      <c r="V48" s="13"/>
      <c r="W48" s="13"/>
      <c r="X48" s="13"/>
      <c r="Y48" s="13"/>
      <c r="Z48" s="110"/>
      <c r="AA48" s="110"/>
      <c r="AB48" s="13"/>
      <c r="AC48" s="110"/>
      <c r="AD48" s="110"/>
      <c r="AE48" s="13"/>
      <c r="AF48" s="110"/>
      <c r="AG48" s="110"/>
      <c r="AH48" s="110"/>
      <c r="AI48" s="110"/>
      <c r="AJ48" s="110"/>
      <c r="AK48" s="110"/>
      <c r="AL48" s="110"/>
      <c r="AM48" s="110"/>
      <c r="AN48" s="110"/>
      <c r="AO48" s="110"/>
      <c r="AP48" s="110"/>
      <c r="AQ48" s="110"/>
      <c r="AR48" s="110"/>
      <c r="AS48" s="110"/>
      <c r="AT48" s="110"/>
      <c r="AU48" s="110"/>
      <c r="AV48" s="110"/>
      <c r="AW48" s="110"/>
      <c r="AX48" s="110"/>
      <c r="AY48" s="110"/>
      <c r="AZ48" s="110"/>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360"/>
      <c r="DC48" s="13"/>
      <c r="DD48" s="266"/>
      <c r="DE48" s="267"/>
      <c r="DF48" s="267"/>
      <c r="DG48" s="267"/>
    </row>
    <row r="49" spans="1:111" s="109" customFormat="1" x14ac:dyDescent="0.25">
      <c r="A49" s="14"/>
      <c r="B49" s="13"/>
      <c r="C49" s="13"/>
      <c r="D49" s="13"/>
      <c r="E49" s="13"/>
      <c r="F49" s="13"/>
      <c r="G49" s="13"/>
      <c r="H49" s="13"/>
      <c r="I49" s="13"/>
      <c r="J49" s="13"/>
      <c r="K49" s="13"/>
      <c r="L49" s="13"/>
      <c r="M49" s="13"/>
      <c r="N49" s="308"/>
      <c r="O49" s="14"/>
      <c r="P49" s="13"/>
      <c r="Q49" s="110"/>
      <c r="R49" s="13"/>
      <c r="S49" s="13"/>
      <c r="T49" s="13"/>
      <c r="U49" s="13"/>
      <c r="V49" s="13"/>
      <c r="W49" s="13"/>
      <c r="X49" s="13"/>
      <c r="Y49" s="13"/>
      <c r="Z49" s="110"/>
      <c r="AA49" s="110"/>
      <c r="AB49" s="13"/>
      <c r="AC49" s="110"/>
      <c r="AD49" s="110"/>
      <c r="AE49" s="13"/>
      <c r="AF49" s="110"/>
      <c r="AG49" s="110"/>
      <c r="AH49" s="110"/>
      <c r="AI49" s="110"/>
      <c r="AJ49" s="110"/>
      <c r="AK49" s="110"/>
      <c r="AL49" s="110"/>
      <c r="AM49" s="110"/>
      <c r="AN49" s="110"/>
      <c r="AO49" s="110"/>
      <c r="AP49" s="110"/>
      <c r="AQ49" s="110"/>
      <c r="AR49" s="110"/>
      <c r="AS49" s="110"/>
      <c r="AT49" s="110"/>
      <c r="AU49" s="110"/>
      <c r="AV49" s="110"/>
      <c r="AW49" s="110"/>
      <c r="AX49" s="110"/>
      <c r="AY49" s="110"/>
      <c r="AZ49" s="110"/>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360"/>
      <c r="DC49" s="13"/>
      <c r="DD49" s="266"/>
      <c r="DE49" s="267"/>
      <c r="DF49" s="267"/>
      <c r="DG49" s="267"/>
    </row>
    <row r="50" spans="1:111" s="109" customFormat="1" x14ac:dyDescent="0.25">
      <c r="A50" s="14"/>
      <c r="B50" s="13"/>
      <c r="C50" s="13"/>
      <c r="D50" s="13"/>
      <c r="E50" s="13"/>
      <c r="F50" s="13"/>
      <c r="G50" s="13"/>
      <c r="H50" s="13"/>
      <c r="I50" s="13"/>
      <c r="J50" s="13"/>
      <c r="K50" s="13"/>
      <c r="L50" s="13"/>
      <c r="M50" s="13"/>
      <c r="N50" s="308"/>
      <c r="O50" s="14"/>
      <c r="P50" s="13"/>
      <c r="Q50" s="110"/>
      <c r="R50" s="13"/>
      <c r="S50" s="13"/>
      <c r="T50" s="13"/>
      <c r="U50" s="13"/>
      <c r="V50" s="13"/>
      <c r="W50" s="13"/>
      <c r="X50" s="13"/>
      <c r="Y50" s="13"/>
      <c r="Z50" s="110"/>
      <c r="AA50" s="110"/>
      <c r="AB50" s="13"/>
      <c r="AC50" s="110"/>
      <c r="AD50" s="110"/>
      <c r="AE50" s="13"/>
      <c r="AF50" s="110"/>
      <c r="AG50" s="110"/>
      <c r="AH50" s="110"/>
      <c r="AI50" s="110"/>
      <c r="AJ50" s="110"/>
      <c r="AK50" s="110"/>
      <c r="AL50" s="110"/>
      <c r="AM50" s="110"/>
      <c r="AN50" s="110"/>
      <c r="AO50" s="110"/>
      <c r="AP50" s="110"/>
      <c r="AQ50" s="110"/>
      <c r="AR50" s="110"/>
      <c r="AS50" s="110"/>
      <c r="AT50" s="110"/>
      <c r="AU50" s="110"/>
      <c r="AV50" s="110"/>
      <c r="AW50" s="110"/>
      <c r="AX50" s="110"/>
      <c r="AY50" s="110"/>
      <c r="AZ50" s="110"/>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360"/>
      <c r="DC50" s="13"/>
      <c r="DD50" s="266"/>
      <c r="DE50" s="267"/>
      <c r="DF50" s="267"/>
      <c r="DG50" s="267"/>
    </row>
    <row r="51" spans="1:111" s="109" customFormat="1" x14ac:dyDescent="0.25">
      <c r="A51" s="14"/>
      <c r="B51" s="13"/>
      <c r="C51" s="13"/>
      <c r="D51" s="13"/>
      <c r="E51" s="13"/>
      <c r="F51" s="13"/>
      <c r="G51" s="13"/>
      <c r="H51" s="13"/>
      <c r="I51" s="13"/>
      <c r="J51" s="13"/>
      <c r="K51" s="13"/>
      <c r="L51" s="13"/>
      <c r="M51" s="13"/>
      <c r="N51" s="308"/>
      <c r="O51" s="14"/>
      <c r="P51" s="13"/>
      <c r="Q51" s="110"/>
      <c r="R51" s="13"/>
      <c r="S51" s="13"/>
      <c r="T51" s="13"/>
      <c r="U51" s="13"/>
      <c r="V51" s="13"/>
      <c r="W51" s="13"/>
      <c r="X51" s="13"/>
      <c r="Y51" s="13"/>
      <c r="Z51" s="110"/>
      <c r="AA51" s="110"/>
      <c r="AB51" s="13"/>
      <c r="AC51" s="110"/>
      <c r="AD51" s="110"/>
      <c r="AE51" s="13"/>
      <c r="AF51" s="110"/>
      <c r="AG51" s="110"/>
      <c r="AH51" s="110"/>
      <c r="AI51" s="110"/>
      <c r="AJ51" s="110"/>
      <c r="AK51" s="110"/>
      <c r="AL51" s="110"/>
      <c r="AM51" s="110"/>
      <c r="AN51" s="110"/>
      <c r="AO51" s="110"/>
      <c r="AP51" s="110"/>
      <c r="AQ51" s="110"/>
      <c r="AR51" s="110"/>
      <c r="AS51" s="110"/>
      <c r="AT51" s="110"/>
      <c r="AU51" s="110"/>
      <c r="AV51" s="110"/>
      <c r="AW51" s="110"/>
      <c r="AX51" s="110"/>
      <c r="AY51" s="110"/>
      <c r="AZ51" s="110"/>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360"/>
      <c r="DC51" s="13"/>
      <c r="DD51" s="266"/>
      <c r="DE51" s="267"/>
      <c r="DF51" s="267"/>
      <c r="DG51" s="267"/>
    </row>
    <row r="52" spans="1:111" s="109" customFormat="1" x14ac:dyDescent="0.25">
      <c r="A52" s="14"/>
      <c r="B52" s="13"/>
      <c r="C52" s="13"/>
      <c r="D52" s="13"/>
      <c r="E52" s="13"/>
      <c r="F52" s="13"/>
      <c r="G52" s="13"/>
      <c r="H52" s="13"/>
      <c r="I52" s="13"/>
      <c r="J52" s="13"/>
      <c r="K52" s="13"/>
      <c r="L52" s="13"/>
      <c r="M52" s="13"/>
      <c r="N52" s="308"/>
      <c r="O52" s="14"/>
      <c r="P52" s="13"/>
      <c r="Q52" s="110"/>
      <c r="R52" s="13"/>
      <c r="S52" s="13"/>
      <c r="T52" s="13"/>
      <c r="U52" s="13"/>
      <c r="V52" s="13"/>
      <c r="W52" s="13"/>
      <c r="X52" s="13"/>
      <c r="Y52" s="13"/>
      <c r="Z52" s="110"/>
      <c r="AA52" s="110"/>
      <c r="AB52" s="13"/>
      <c r="AC52" s="110"/>
      <c r="AD52" s="110"/>
      <c r="AE52" s="13"/>
      <c r="AF52" s="110"/>
      <c r="AG52" s="110"/>
      <c r="AH52" s="110"/>
      <c r="AI52" s="110"/>
      <c r="AJ52" s="110"/>
      <c r="AK52" s="110"/>
      <c r="AL52" s="110"/>
      <c r="AM52" s="110"/>
      <c r="AN52" s="110"/>
      <c r="AO52" s="110"/>
      <c r="AP52" s="110"/>
      <c r="AQ52" s="110"/>
      <c r="AR52" s="110"/>
      <c r="AS52" s="110"/>
      <c r="AT52" s="110"/>
      <c r="AU52" s="110"/>
      <c r="AV52" s="110"/>
      <c r="AW52" s="110"/>
      <c r="AX52" s="110"/>
      <c r="AY52" s="110"/>
      <c r="AZ52" s="110"/>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360"/>
      <c r="DC52" s="13"/>
      <c r="DD52" s="266"/>
      <c r="DE52" s="267"/>
      <c r="DF52" s="267"/>
      <c r="DG52" s="267"/>
    </row>
    <row r="53" spans="1:111" s="109" customFormat="1" x14ac:dyDescent="0.25">
      <c r="A53" s="14"/>
      <c r="B53" s="13"/>
      <c r="C53" s="13"/>
      <c r="D53" s="13"/>
      <c r="E53" s="13"/>
      <c r="F53" s="13"/>
      <c r="G53" s="13"/>
      <c r="H53" s="13"/>
      <c r="I53" s="13"/>
      <c r="J53" s="13"/>
      <c r="K53" s="13"/>
      <c r="L53" s="13"/>
      <c r="M53" s="13"/>
      <c r="N53" s="308"/>
      <c r="O53" s="14"/>
      <c r="P53" s="13"/>
      <c r="Q53" s="110"/>
      <c r="R53" s="13"/>
      <c r="S53" s="13"/>
      <c r="T53" s="13"/>
      <c r="U53" s="13"/>
      <c r="V53" s="13"/>
      <c r="W53" s="13"/>
      <c r="X53" s="13"/>
      <c r="Y53" s="13"/>
      <c r="Z53" s="110"/>
      <c r="AA53" s="110"/>
      <c r="AB53" s="13"/>
      <c r="AC53" s="110"/>
      <c r="AD53" s="110"/>
      <c r="AE53" s="13"/>
      <c r="AF53" s="110"/>
      <c r="AG53" s="110"/>
      <c r="AH53" s="110"/>
      <c r="AI53" s="110"/>
      <c r="AJ53" s="110"/>
      <c r="AK53" s="110"/>
      <c r="AL53" s="110"/>
      <c r="AM53" s="110"/>
      <c r="AN53" s="110"/>
      <c r="AO53" s="110"/>
      <c r="AP53" s="110"/>
      <c r="AQ53" s="110"/>
      <c r="AR53" s="110"/>
      <c r="AS53" s="110"/>
      <c r="AT53" s="110"/>
      <c r="AU53" s="110"/>
      <c r="AV53" s="110"/>
      <c r="AW53" s="110"/>
      <c r="AX53" s="110"/>
      <c r="AY53" s="110"/>
      <c r="AZ53" s="110"/>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360"/>
      <c r="DC53" s="13"/>
      <c r="DD53" s="266"/>
      <c r="DE53" s="267"/>
      <c r="DF53" s="267"/>
      <c r="DG53" s="267"/>
    </row>
    <row r="54" spans="1:111" s="109" customFormat="1" x14ac:dyDescent="0.25">
      <c r="A54" s="14"/>
      <c r="B54" s="13"/>
      <c r="C54" s="13"/>
      <c r="D54" s="13"/>
      <c r="E54" s="13"/>
      <c r="F54" s="13"/>
      <c r="G54" s="13"/>
      <c r="H54" s="13"/>
      <c r="I54" s="13"/>
      <c r="J54" s="13"/>
      <c r="K54" s="13"/>
      <c r="L54" s="13"/>
      <c r="M54" s="13"/>
      <c r="N54" s="308"/>
      <c r="O54" s="14"/>
      <c r="P54" s="13"/>
      <c r="Q54" s="110"/>
      <c r="R54" s="13"/>
      <c r="S54" s="13"/>
      <c r="T54" s="13"/>
      <c r="U54" s="13"/>
      <c r="V54" s="13"/>
      <c r="W54" s="13"/>
      <c r="X54" s="13"/>
      <c r="Y54" s="13"/>
      <c r="Z54" s="110"/>
      <c r="AA54" s="110"/>
      <c r="AB54" s="13"/>
      <c r="AC54" s="110"/>
      <c r="AD54" s="110"/>
      <c r="AE54" s="13"/>
      <c r="AF54" s="110"/>
      <c r="AG54" s="110"/>
      <c r="AH54" s="110"/>
      <c r="AI54" s="110"/>
      <c r="AJ54" s="110"/>
      <c r="AK54" s="110"/>
      <c r="AL54" s="110"/>
      <c r="AM54" s="110"/>
      <c r="AN54" s="110"/>
      <c r="AO54" s="110"/>
      <c r="AP54" s="110"/>
      <c r="AQ54" s="110"/>
      <c r="AR54" s="110"/>
      <c r="AS54" s="110"/>
      <c r="AT54" s="110"/>
      <c r="AU54" s="110"/>
      <c r="AV54" s="110"/>
      <c r="AW54" s="110"/>
      <c r="AX54" s="110"/>
      <c r="AY54" s="110"/>
      <c r="AZ54" s="110"/>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360"/>
      <c r="DC54" s="13"/>
      <c r="DD54" s="266"/>
      <c r="DE54" s="267"/>
      <c r="DF54" s="267"/>
      <c r="DG54" s="267"/>
    </row>
    <row r="55" spans="1:111" s="109" customFormat="1" x14ac:dyDescent="0.25">
      <c r="A55" s="14"/>
      <c r="B55" s="13"/>
      <c r="C55" s="13"/>
      <c r="D55" s="13"/>
      <c r="E55" s="13"/>
      <c r="F55" s="13"/>
      <c r="G55" s="13"/>
      <c r="H55" s="13"/>
      <c r="I55" s="13"/>
      <c r="J55" s="13"/>
      <c r="K55" s="13"/>
      <c r="L55" s="13"/>
      <c r="M55" s="13"/>
      <c r="N55" s="308"/>
      <c r="O55" s="14"/>
      <c r="P55" s="13"/>
      <c r="Q55" s="110"/>
      <c r="R55" s="13"/>
      <c r="S55" s="13"/>
      <c r="T55" s="13"/>
      <c r="U55" s="13"/>
      <c r="V55" s="13"/>
      <c r="W55" s="13"/>
      <c r="X55" s="13"/>
      <c r="Y55" s="13"/>
      <c r="Z55" s="110"/>
      <c r="AA55" s="110"/>
      <c r="AB55" s="13"/>
      <c r="AC55" s="110"/>
      <c r="AD55" s="110"/>
      <c r="AE55" s="13"/>
      <c r="AF55" s="110"/>
      <c r="AG55" s="110"/>
      <c r="AH55" s="110"/>
      <c r="AI55" s="110"/>
      <c r="AJ55" s="110"/>
      <c r="AK55" s="110"/>
      <c r="AL55" s="110"/>
      <c r="AM55" s="110"/>
      <c r="AN55" s="110"/>
      <c r="AO55" s="110"/>
      <c r="AP55" s="110"/>
      <c r="AQ55" s="110"/>
      <c r="AR55" s="110"/>
      <c r="AS55" s="110"/>
      <c r="AT55" s="110"/>
      <c r="AU55" s="110"/>
      <c r="AV55" s="110"/>
      <c r="AW55" s="110"/>
      <c r="AX55" s="110"/>
      <c r="AY55" s="110"/>
      <c r="AZ55" s="110"/>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360"/>
      <c r="DC55" s="13"/>
      <c r="DD55" s="266"/>
      <c r="DE55" s="267"/>
      <c r="DF55" s="267"/>
      <c r="DG55" s="267"/>
    </row>
    <row r="56" spans="1:111" s="109" customFormat="1" x14ac:dyDescent="0.25">
      <c r="A56" s="14"/>
      <c r="B56" s="13"/>
      <c r="C56" s="13"/>
      <c r="D56" s="13"/>
      <c r="E56" s="13"/>
      <c r="F56" s="13"/>
      <c r="G56" s="13"/>
      <c r="H56" s="13"/>
      <c r="I56" s="13"/>
      <c r="J56" s="13"/>
      <c r="K56" s="13"/>
      <c r="L56" s="13"/>
      <c r="M56" s="13"/>
      <c r="N56" s="308"/>
      <c r="O56" s="14"/>
      <c r="P56" s="13"/>
      <c r="Q56" s="110"/>
      <c r="R56" s="13"/>
      <c r="S56" s="13"/>
      <c r="T56" s="13"/>
      <c r="U56" s="13"/>
      <c r="V56" s="13"/>
      <c r="W56" s="13"/>
      <c r="X56" s="13"/>
      <c r="Y56" s="13"/>
      <c r="Z56" s="110"/>
      <c r="AA56" s="110"/>
      <c r="AB56" s="13"/>
      <c r="AC56" s="110"/>
      <c r="AD56" s="110"/>
      <c r="AE56" s="13"/>
      <c r="AF56" s="110"/>
      <c r="AG56" s="110"/>
      <c r="AH56" s="110"/>
      <c r="AI56" s="110"/>
      <c r="AJ56" s="110"/>
      <c r="AK56" s="110"/>
      <c r="AL56" s="110"/>
      <c r="AM56" s="110"/>
      <c r="AN56" s="110"/>
      <c r="AO56" s="110"/>
      <c r="AP56" s="110"/>
      <c r="AQ56" s="110"/>
      <c r="AR56" s="110"/>
      <c r="AS56" s="110"/>
      <c r="AT56" s="110"/>
      <c r="AU56" s="110"/>
      <c r="AV56" s="110"/>
      <c r="AW56" s="110"/>
      <c r="AX56" s="110"/>
      <c r="AY56" s="110"/>
      <c r="AZ56" s="110"/>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360"/>
      <c r="DC56" s="13"/>
      <c r="DD56" s="266"/>
      <c r="DE56" s="267"/>
      <c r="DF56" s="267"/>
      <c r="DG56" s="267"/>
    </row>
    <row r="57" spans="1:111" s="109" customFormat="1" x14ac:dyDescent="0.25">
      <c r="A57" s="20"/>
      <c r="B57" s="13"/>
      <c r="C57" s="13"/>
      <c r="D57" s="13"/>
      <c r="E57" s="13"/>
      <c r="F57" s="13"/>
      <c r="G57" s="13"/>
      <c r="H57" s="13"/>
      <c r="I57" s="13"/>
      <c r="J57" s="13"/>
      <c r="K57" s="13"/>
      <c r="L57" s="13"/>
      <c r="M57" s="13"/>
      <c r="N57" s="280"/>
      <c r="O57" s="20"/>
      <c r="P57" s="13"/>
      <c r="Q57" s="111"/>
      <c r="R57" s="13"/>
      <c r="S57" s="13"/>
      <c r="T57" s="13"/>
      <c r="U57" s="13"/>
      <c r="V57" s="13"/>
      <c r="W57" s="13"/>
      <c r="X57" s="13"/>
      <c r="Y57" s="13"/>
      <c r="Z57" s="111"/>
      <c r="AA57" s="111"/>
      <c r="AB57" s="13"/>
      <c r="AC57" s="111"/>
      <c r="AD57" s="111"/>
      <c r="AE57" s="13"/>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360"/>
      <c r="DC57" s="13"/>
      <c r="DD57" s="266"/>
      <c r="DE57" s="267"/>
      <c r="DF57" s="267"/>
      <c r="DG57" s="267"/>
    </row>
    <row r="58" spans="1:111" s="109" customFormat="1" x14ac:dyDescent="0.25">
      <c r="A58" s="20"/>
      <c r="B58" s="13"/>
      <c r="C58" s="13"/>
      <c r="D58" s="13"/>
      <c r="E58" s="13"/>
      <c r="F58" s="13"/>
      <c r="G58" s="13"/>
      <c r="H58" s="13"/>
      <c r="I58" s="13"/>
      <c r="J58" s="13"/>
      <c r="K58" s="13"/>
      <c r="L58" s="13"/>
      <c r="M58" s="13"/>
      <c r="N58" s="280"/>
      <c r="O58" s="20"/>
      <c r="P58" s="13"/>
      <c r="Q58" s="111"/>
      <c r="R58" s="13"/>
      <c r="S58" s="13"/>
      <c r="T58" s="13"/>
      <c r="U58" s="13"/>
      <c r="V58" s="13"/>
      <c r="W58" s="13"/>
      <c r="X58" s="13"/>
      <c r="Y58" s="13"/>
      <c r="Z58" s="111"/>
      <c r="AA58" s="111"/>
      <c r="AB58" s="13"/>
      <c r="AC58" s="111"/>
      <c r="AD58" s="111"/>
      <c r="AE58" s="13"/>
      <c r="AF58" s="111"/>
      <c r="AG58" s="111"/>
      <c r="AH58" s="111"/>
      <c r="AI58" s="111"/>
      <c r="AJ58" s="111"/>
      <c r="AK58" s="111"/>
      <c r="AL58" s="111"/>
      <c r="AM58" s="111"/>
      <c r="AN58" s="111"/>
      <c r="AO58" s="111"/>
      <c r="AP58" s="111"/>
      <c r="AQ58" s="111"/>
      <c r="AR58" s="111"/>
      <c r="AS58" s="111"/>
      <c r="AT58" s="111"/>
      <c r="AU58" s="111"/>
      <c r="AV58" s="111"/>
      <c r="AW58" s="111"/>
      <c r="AX58" s="111"/>
      <c r="AY58" s="111"/>
      <c r="AZ58" s="111"/>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360"/>
      <c r="DC58" s="13"/>
      <c r="DD58" s="266"/>
      <c r="DE58" s="267"/>
      <c r="DF58" s="267"/>
      <c r="DG58" s="267"/>
    </row>
    <row r="59" spans="1:111" s="109" customFormat="1" ht="15" customHeight="1" x14ac:dyDescent="0.25">
      <c r="A59" s="20"/>
      <c r="B59" s="13"/>
      <c r="C59" s="13"/>
      <c r="D59" s="287"/>
      <c r="E59" s="13"/>
      <c r="F59" s="13"/>
      <c r="G59" s="13"/>
      <c r="H59" s="287"/>
      <c r="I59" s="13"/>
      <c r="J59" s="13"/>
      <c r="K59" s="13"/>
      <c r="L59" s="13"/>
      <c r="M59" s="287"/>
      <c r="N59" s="280"/>
      <c r="O59" s="14"/>
      <c r="P59" s="13"/>
      <c r="Q59" s="110"/>
      <c r="R59" s="111"/>
      <c r="S59" s="111"/>
      <c r="T59" s="13"/>
      <c r="U59" s="13"/>
      <c r="V59" s="13"/>
      <c r="W59" s="13"/>
      <c r="X59" s="13"/>
      <c r="Y59" s="13"/>
      <c r="Z59" s="110"/>
      <c r="AA59" s="110"/>
      <c r="AB59" s="13"/>
      <c r="AC59" s="110"/>
      <c r="AD59" s="110"/>
      <c r="AE59" s="13"/>
      <c r="AF59" s="110"/>
      <c r="AG59" s="110"/>
      <c r="AH59" s="110"/>
      <c r="AI59" s="110"/>
      <c r="AJ59" s="110"/>
      <c r="AK59" s="110"/>
      <c r="AL59" s="110"/>
      <c r="AM59" s="110"/>
      <c r="AN59" s="110"/>
      <c r="AO59" s="110"/>
      <c r="AP59" s="110"/>
      <c r="AQ59" s="110"/>
      <c r="AR59" s="110"/>
      <c r="AS59" s="110"/>
      <c r="AT59" s="110"/>
      <c r="AU59" s="110"/>
      <c r="AV59" s="110"/>
      <c r="AW59" s="110"/>
      <c r="AX59" s="110"/>
      <c r="AY59" s="110"/>
      <c r="AZ59" s="110"/>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360"/>
      <c r="DC59" s="13"/>
      <c r="DD59" s="266"/>
      <c r="DE59" s="267"/>
      <c r="DF59" s="267"/>
      <c r="DG59" s="267"/>
    </row>
    <row r="60" spans="1:111" s="109" customFormat="1" x14ac:dyDescent="0.25">
      <c r="A60" s="20"/>
      <c r="B60" s="111"/>
      <c r="C60" s="111"/>
      <c r="D60" s="111"/>
      <c r="E60" s="111"/>
      <c r="F60" s="111"/>
      <c r="G60" s="111"/>
      <c r="H60" s="111"/>
      <c r="I60" s="111"/>
      <c r="J60" s="111"/>
      <c r="K60" s="111"/>
      <c r="L60" s="111"/>
      <c r="M60" s="111"/>
      <c r="N60" s="280"/>
      <c r="O60" s="20"/>
      <c r="P60" s="111"/>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11"/>
      <c r="CI60" s="111"/>
      <c r="CJ60" s="111"/>
      <c r="CK60" s="111"/>
      <c r="CL60" s="111"/>
      <c r="CM60" s="111"/>
      <c r="CN60" s="111"/>
      <c r="CO60" s="111"/>
      <c r="CP60" s="111"/>
      <c r="CQ60" s="111"/>
      <c r="CR60" s="111"/>
      <c r="CS60" s="111"/>
      <c r="CT60" s="111"/>
      <c r="CU60" s="111"/>
      <c r="CV60" s="111"/>
      <c r="CW60" s="111"/>
      <c r="CX60" s="111"/>
      <c r="CY60" s="111"/>
      <c r="CZ60" s="111"/>
      <c r="DA60" s="111"/>
      <c r="DB60" s="305"/>
      <c r="DC60" s="111"/>
      <c r="DD60" s="266"/>
      <c r="DE60" s="269"/>
      <c r="DF60" s="269"/>
      <c r="DG60" s="269"/>
    </row>
    <row r="61" spans="1:111" s="109" customFormat="1" x14ac:dyDescent="0.25">
      <c r="A61" s="14"/>
      <c r="B61" s="111"/>
      <c r="C61" s="111"/>
      <c r="D61" s="111"/>
      <c r="E61" s="111"/>
      <c r="F61" s="111"/>
      <c r="G61" s="111"/>
      <c r="H61" s="111"/>
      <c r="I61" s="111"/>
      <c r="J61" s="111"/>
      <c r="K61" s="111"/>
      <c r="L61" s="111"/>
      <c r="M61" s="111"/>
      <c r="N61" s="280"/>
      <c r="O61" s="20"/>
      <c r="P61" s="103"/>
      <c r="Q61" s="111"/>
      <c r="R61" s="13"/>
      <c r="S61" s="13"/>
      <c r="T61" s="103"/>
      <c r="U61" s="103"/>
      <c r="V61" s="103"/>
      <c r="W61" s="111"/>
      <c r="X61" s="111"/>
      <c r="Y61" s="111"/>
      <c r="Z61" s="111"/>
      <c r="AA61" s="111"/>
      <c r="AB61" s="103"/>
      <c r="AC61" s="111"/>
      <c r="AD61" s="111"/>
      <c r="AE61" s="103"/>
      <c r="AF61" s="111"/>
      <c r="AG61" s="111"/>
      <c r="AH61" s="111"/>
      <c r="AI61" s="111"/>
      <c r="AJ61" s="111"/>
      <c r="AK61" s="111"/>
      <c r="AL61" s="111"/>
      <c r="AM61" s="111"/>
      <c r="AN61" s="111"/>
      <c r="AO61" s="111"/>
      <c r="AP61" s="111"/>
      <c r="AQ61" s="111"/>
      <c r="AR61" s="111"/>
      <c r="AS61" s="111"/>
      <c r="AT61" s="111"/>
      <c r="AU61" s="111"/>
      <c r="AV61" s="111"/>
      <c r="AW61" s="111"/>
      <c r="AX61" s="111"/>
      <c r="AY61" s="111"/>
      <c r="AZ61" s="111"/>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c r="CR61" s="103"/>
      <c r="CS61" s="103"/>
      <c r="CT61" s="103"/>
      <c r="CU61" s="103"/>
      <c r="CV61" s="103"/>
      <c r="CW61" s="103"/>
      <c r="CX61" s="103"/>
      <c r="CY61" s="103"/>
      <c r="CZ61" s="103"/>
      <c r="DA61" s="103"/>
      <c r="DB61" s="386"/>
      <c r="DC61" s="103"/>
      <c r="DD61" s="266"/>
      <c r="DE61" s="269"/>
      <c r="DF61" s="269"/>
      <c r="DG61" s="269"/>
    </row>
    <row r="62" spans="1:111" s="109" customFormat="1" x14ac:dyDescent="0.25">
      <c r="A62" s="14"/>
      <c r="B62" s="111"/>
      <c r="C62" s="111"/>
      <c r="D62" s="111"/>
      <c r="E62" s="111"/>
      <c r="F62" s="111"/>
      <c r="G62" s="111"/>
      <c r="H62" s="111"/>
      <c r="I62" s="111"/>
      <c r="J62" s="111"/>
      <c r="K62" s="111"/>
      <c r="L62" s="111"/>
      <c r="M62" s="111"/>
      <c r="N62" s="280"/>
      <c r="O62" s="20"/>
      <c r="P62" s="103"/>
      <c r="Q62" s="111"/>
      <c r="R62" s="13"/>
      <c r="S62" s="13"/>
      <c r="T62" s="103"/>
      <c r="U62" s="103"/>
      <c r="V62" s="103"/>
      <c r="W62" s="111"/>
      <c r="X62" s="111"/>
      <c r="Y62" s="111"/>
      <c r="Z62" s="111"/>
      <c r="AA62" s="111"/>
      <c r="AB62" s="103"/>
      <c r="AC62" s="111"/>
      <c r="AD62" s="111"/>
      <c r="AE62" s="103"/>
      <c r="AF62" s="111"/>
      <c r="AG62" s="111"/>
      <c r="AH62" s="111"/>
      <c r="AI62" s="111"/>
      <c r="AJ62" s="111"/>
      <c r="AK62" s="111"/>
      <c r="AL62" s="111"/>
      <c r="AM62" s="111"/>
      <c r="AN62" s="111"/>
      <c r="AO62" s="111"/>
      <c r="AP62" s="111"/>
      <c r="AQ62" s="111"/>
      <c r="AR62" s="111"/>
      <c r="AS62" s="111"/>
      <c r="AT62" s="111"/>
      <c r="AU62" s="111"/>
      <c r="AV62" s="111"/>
      <c r="AW62" s="111"/>
      <c r="AX62" s="111"/>
      <c r="AY62" s="111"/>
      <c r="AZ62" s="111"/>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c r="CR62" s="103"/>
      <c r="CS62" s="103"/>
      <c r="CT62" s="103"/>
      <c r="CU62" s="103"/>
      <c r="CV62" s="103"/>
      <c r="CW62" s="103"/>
      <c r="CX62" s="103"/>
      <c r="CY62" s="103"/>
      <c r="CZ62" s="103"/>
      <c r="DA62" s="103"/>
      <c r="DB62" s="386"/>
      <c r="DC62" s="103"/>
      <c r="DD62" s="266"/>
      <c r="DE62" s="269"/>
      <c r="DF62" s="269"/>
      <c r="DG62" s="269"/>
    </row>
    <row r="63" spans="1:111" s="109" customFormat="1" x14ac:dyDescent="0.25">
      <c r="A63" s="14"/>
      <c r="B63" s="111"/>
      <c r="C63" s="111"/>
      <c r="D63" s="111"/>
      <c r="E63" s="111"/>
      <c r="F63" s="111"/>
      <c r="G63" s="111"/>
      <c r="H63" s="111"/>
      <c r="I63" s="111"/>
      <c r="J63" s="111"/>
      <c r="K63" s="111"/>
      <c r="L63" s="111"/>
      <c r="M63" s="111"/>
      <c r="N63" s="280"/>
      <c r="O63" s="20"/>
      <c r="P63" s="103"/>
      <c r="Q63" s="111"/>
      <c r="R63" s="13"/>
      <c r="S63" s="13"/>
      <c r="T63" s="103"/>
      <c r="U63" s="103"/>
      <c r="V63" s="103"/>
      <c r="W63" s="111"/>
      <c r="X63" s="111"/>
      <c r="Y63" s="111"/>
      <c r="Z63" s="111"/>
      <c r="AA63" s="111"/>
      <c r="AB63" s="103"/>
      <c r="AC63" s="111"/>
      <c r="AD63" s="111"/>
      <c r="AE63" s="103"/>
      <c r="AF63" s="111"/>
      <c r="AG63" s="111"/>
      <c r="AH63" s="111"/>
      <c r="AI63" s="111"/>
      <c r="AJ63" s="111"/>
      <c r="AK63" s="111"/>
      <c r="AL63" s="111"/>
      <c r="AM63" s="111"/>
      <c r="AN63" s="111"/>
      <c r="AO63" s="111"/>
      <c r="AP63" s="111"/>
      <c r="AQ63" s="111"/>
      <c r="AR63" s="111"/>
      <c r="AS63" s="111"/>
      <c r="AT63" s="111"/>
      <c r="AU63" s="111"/>
      <c r="AV63" s="111"/>
      <c r="AW63" s="111"/>
      <c r="AX63" s="111"/>
      <c r="AY63" s="111"/>
      <c r="AZ63" s="111"/>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c r="CR63" s="103"/>
      <c r="CS63" s="103"/>
      <c r="CT63" s="103"/>
      <c r="CU63" s="103"/>
      <c r="CV63" s="103"/>
      <c r="CW63" s="103"/>
      <c r="CX63" s="103"/>
      <c r="CY63" s="103"/>
      <c r="CZ63" s="103"/>
      <c r="DA63" s="103"/>
      <c r="DB63" s="386"/>
      <c r="DC63" s="103"/>
      <c r="DD63" s="266"/>
      <c r="DE63" s="269"/>
      <c r="DF63" s="269"/>
      <c r="DG63" s="269"/>
    </row>
    <row r="64" spans="1:111" s="109" customFormat="1" x14ac:dyDescent="0.25">
      <c r="A64" s="14"/>
      <c r="B64" s="111"/>
      <c r="C64" s="111"/>
      <c r="D64" s="111"/>
      <c r="E64" s="111"/>
      <c r="F64" s="111"/>
      <c r="G64" s="111"/>
      <c r="H64" s="111"/>
      <c r="I64" s="111"/>
      <c r="J64" s="111"/>
      <c r="K64" s="111"/>
      <c r="L64" s="111"/>
      <c r="M64" s="111"/>
      <c r="N64" s="280"/>
      <c r="O64" s="20"/>
      <c r="P64" s="13"/>
      <c r="Q64" s="111"/>
      <c r="R64" s="13"/>
      <c r="S64" s="13"/>
      <c r="T64" s="13"/>
      <c r="U64" s="13"/>
      <c r="V64" s="13"/>
      <c r="W64" s="111"/>
      <c r="X64" s="111"/>
      <c r="Y64" s="111"/>
      <c r="Z64" s="111"/>
      <c r="AA64" s="111"/>
      <c r="AB64" s="13"/>
      <c r="AC64" s="111"/>
      <c r="AD64" s="111"/>
      <c r="AE64" s="13"/>
      <c r="AF64" s="111"/>
      <c r="AG64" s="111"/>
      <c r="AH64" s="111"/>
      <c r="AI64" s="111"/>
      <c r="AJ64" s="111"/>
      <c r="AK64" s="111"/>
      <c r="AL64" s="111"/>
      <c r="AM64" s="111"/>
      <c r="AN64" s="111"/>
      <c r="AO64" s="111"/>
      <c r="AP64" s="111"/>
      <c r="AQ64" s="111"/>
      <c r="AR64" s="111"/>
      <c r="AS64" s="111"/>
      <c r="AT64" s="111"/>
      <c r="AU64" s="111"/>
      <c r="AV64" s="111"/>
      <c r="AW64" s="111"/>
      <c r="AX64" s="111"/>
      <c r="AY64" s="111"/>
      <c r="AZ64" s="111"/>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360"/>
      <c r="DC64" s="13"/>
      <c r="DD64" s="266"/>
      <c r="DE64" s="269"/>
      <c r="DF64" s="269"/>
      <c r="DG64" s="269"/>
    </row>
    <row r="65" spans="1:111" s="109" customFormat="1" x14ac:dyDescent="0.25">
      <c r="A65" s="14"/>
      <c r="B65" s="111"/>
      <c r="C65" s="111"/>
      <c r="D65" s="111"/>
      <c r="E65" s="111"/>
      <c r="F65" s="111"/>
      <c r="G65" s="111"/>
      <c r="H65" s="111"/>
      <c r="I65" s="111"/>
      <c r="J65" s="111"/>
      <c r="K65" s="111"/>
      <c r="L65" s="111"/>
      <c r="M65" s="111"/>
      <c r="N65" s="280"/>
      <c r="O65" s="20"/>
      <c r="P65" s="13"/>
      <c r="Q65" s="111"/>
      <c r="R65" s="13"/>
      <c r="S65" s="13"/>
      <c r="T65" s="13"/>
      <c r="U65" s="13"/>
      <c r="V65" s="13"/>
      <c r="W65" s="111"/>
      <c r="X65" s="111"/>
      <c r="Y65" s="111"/>
      <c r="Z65" s="111"/>
      <c r="AA65" s="111"/>
      <c r="AB65" s="13"/>
      <c r="AC65" s="111"/>
      <c r="AD65" s="111"/>
      <c r="AE65" s="13"/>
      <c r="AF65" s="111"/>
      <c r="AG65" s="111"/>
      <c r="AH65" s="111"/>
      <c r="AI65" s="111"/>
      <c r="AJ65" s="111"/>
      <c r="AK65" s="111"/>
      <c r="AL65" s="111"/>
      <c r="AM65" s="111"/>
      <c r="AN65" s="111"/>
      <c r="AO65" s="111"/>
      <c r="AP65" s="111"/>
      <c r="AQ65" s="111"/>
      <c r="AR65" s="111"/>
      <c r="AS65" s="111"/>
      <c r="AT65" s="111"/>
      <c r="AU65" s="111"/>
      <c r="AV65" s="111"/>
      <c r="AW65" s="111"/>
      <c r="AX65" s="111"/>
      <c r="AY65" s="111"/>
      <c r="AZ65" s="111"/>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360"/>
      <c r="DC65" s="13"/>
      <c r="DD65" s="266"/>
      <c r="DE65" s="269"/>
      <c r="DF65" s="269"/>
      <c r="DG65" s="269"/>
    </row>
    <row r="66" spans="1:111" s="109" customFormat="1" x14ac:dyDescent="0.25">
      <c r="A66" s="14"/>
      <c r="B66" s="111"/>
      <c r="C66" s="111"/>
      <c r="D66" s="111"/>
      <c r="E66" s="111"/>
      <c r="F66" s="111"/>
      <c r="G66" s="111"/>
      <c r="H66" s="111"/>
      <c r="I66" s="111"/>
      <c r="J66" s="111"/>
      <c r="K66" s="111"/>
      <c r="L66" s="111"/>
      <c r="M66" s="111"/>
      <c r="N66" s="280"/>
      <c r="O66" s="20"/>
      <c r="P66" s="13"/>
      <c r="Q66" s="111"/>
      <c r="R66" s="13"/>
      <c r="S66" s="13"/>
      <c r="T66" s="13"/>
      <c r="U66" s="13"/>
      <c r="V66" s="13"/>
      <c r="W66" s="111"/>
      <c r="X66" s="111"/>
      <c r="Y66" s="111"/>
      <c r="Z66" s="111"/>
      <c r="AA66" s="111"/>
      <c r="AB66" s="13"/>
      <c r="AC66" s="111"/>
      <c r="AD66" s="111"/>
      <c r="AE66" s="13"/>
      <c r="AF66" s="111"/>
      <c r="AG66" s="111"/>
      <c r="AH66" s="111"/>
      <c r="AI66" s="111"/>
      <c r="AJ66" s="111"/>
      <c r="AK66" s="111"/>
      <c r="AL66" s="111"/>
      <c r="AM66" s="111"/>
      <c r="AN66" s="111"/>
      <c r="AO66" s="111"/>
      <c r="AP66" s="111"/>
      <c r="AQ66" s="111"/>
      <c r="AR66" s="111"/>
      <c r="AS66" s="111"/>
      <c r="AT66" s="111"/>
      <c r="AU66" s="111"/>
      <c r="AV66" s="111"/>
      <c r="AW66" s="111"/>
      <c r="AX66" s="111"/>
      <c r="AY66" s="111"/>
      <c r="AZ66" s="111"/>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360"/>
      <c r="DC66" s="13"/>
      <c r="DD66" s="266"/>
      <c r="DE66" s="269"/>
      <c r="DF66" s="269"/>
      <c r="DG66" s="269"/>
    </row>
    <row r="67" spans="1:111" s="109" customFormat="1" x14ac:dyDescent="0.25">
      <c r="A67" s="14"/>
      <c r="B67" s="111"/>
      <c r="C67" s="111"/>
      <c r="D67" s="111"/>
      <c r="E67" s="111"/>
      <c r="F67" s="111"/>
      <c r="G67" s="111"/>
      <c r="H67" s="111"/>
      <c r="I67" s="111"/>
      <c r="J67" s="111"/>
      <c r="K67" s="111"/>
      <c r="L67" s="111"/>
      <c r="M67" s="111"/>
      <c r="N67" s="280"/>
      <c r="O67" s="20"/>
      <c r="P67" s="13"/>
      <c r="Q67" s="111"/>
      <c r="R67" s="13"/>
      <c r="S67" s="13"/>
      <c r="T67" s="13"/>
      <c r="U67" s="13"/>
      <c r="V67" s="13"/>
      <c r="W67" s="111"/>
      <c r="X67" s="111"/>
      <c r="Y67" s="111"/>
      <c r="Z67" s="111"/>
      <c r="AA67" s="111"/>
      <c r="AB67" s="13"/>
      <c r="AC67" s="111"/>
      <c r="AD67" s="111"/>
      <c r="AE67" s="13"/>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360"/>
      <c r="DC67" s="13"/>
      <c r="DD67" s="266"/>
      <c r="DE67" s="269"/>
      <c r="DF67" s="269"/>
      <c r="DG67" s="269"/>
    </row>
    <row r="68" spans="1:111" s="109" customFormat="1" x14ac:dyDescent="0.25">
      <c r="A68" s="20"/>
      <c r="B68" s="111"/>
      <c r="C68" s="111"/>
      <c r="D68" s="111"/>
      <c r="E68" s="111"/>
      <c r="F68" s="111"/>
      <c r="G68" s="111"/>
      <c r="H68" s="111"/>
      <c r="I68" s="111"/>
      <c r="J68" s="111"/>
      <c r="K68" s="111"/>
      <c r="L68" s="111"/>
      <c r="M68" s="111"/>
      <c r="N68" s="280"/>
      <c r="O68" s="20"/>
      <c r="P68" s="13"/>
      <c r="Q68" s="111"/>
      <c r="R68" s="13"/>
      <c r="S68" s="13"/>
      <c r="T68" s="13"/>
      <c r="U68" s="13"/>
      <c r="V68" s="13"/>
      <c r="W68" s="111"/>
      <c r="X68" s="111"/>
      <c r="Y68" s="111"/>
      <c r="Z68" s="111"/>
      <c r="AA68" s="111"/>
      <c r="AB68" s="13"/>
      <c r="AC68" s="111"/>
      <c r="AD68" s="111"/>
      <c r="AE68" s="13"/>
      <c r="AF68" s="111"/>
      <c r="AG68" s="111"/>
      <c r="AH68" s="111"/>
      <c r="AI68" s="111"/>
      <c r="AJ68" s="111"/>
      <c r="AK68" s="111"/>
      <c r="AL68" s="111"/>
      <c r="AM68" s="111"/>
      <c r="AN68" s="111"/>
      <c r="AO68" s="111"/>
      <c r="AP68" s="111"/>
      <c r="AQ68" s="111"/>
      <c r="AR68" s="111"/>
      <c r="AS68" s="111"/>
      <c r="AT68" s="111"/>
      <c r="AU68" s="111"/>
      <c r="AV68" s="111"/>
      <c r="AW68" s="111"/>
      <c r="AX68" s="111"/>
      <c r="AY68" s="111"/>
      <c r="AZ68" s="111"/>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360"/>
      <c r="DC68" s="13"/>
      <c r="DD68" s="266"/>
      <c r="DE68" s="269"/>
      <c r="DF68" s="269"/>
      <c r="DG68" s="269"/>
    </row>
    <row r="69" spans="1:111" s="109" customFormat="1" x14ac:dyDescent="0.25">
      <c r="A69" s="20"/>
      <c r="B69" s="111"/>
      <c r="C69" s="111"/>
      <c r="D69" s="111"/>
      <c r="E69" s="111"/>
      <c r="F69" s="111"/>
      <c r="G69" s="111"/>
      <c r="H69" s="111"/>
      <c r="I69" s="111"/>
      <c r="J69" s="111"/>
      <c r="K69" s="111"/>
      <c r="L69" s="111"/>
      <c r="M69" s="111"/>
      <c r="N69" s="280"/>
      <c r="O69" s="14"/>
      <c r="P69" s="13"/>
      <c r="Q69" s="110"/>
      <c r="R69" s="111"/>
      <c r="S69" s="111"/>
      <c r="T69" s="13"/>
      <c r="U69" s="13"/>
      <c r="V69" s="13"/>
      <c r="W69" s="111"/>
      <c r="X69" s="111"/>
      <c r="Y69" s="111"/>
      <c r="Z69" s="110"/>
      <c r="AA69" s="110"/>
      <c r="AB69" s="13"/>
      <c r="AC69" s="110"/>
      <c r="AD69" s="110"/>
      <c r="AE69" s="13"/>
      <c r="AF69" s="110"/>
      <c r="AG69" s="110"/>
      <c r="AH69" s="110"/>
      <c r="AI69" s="110"/>
      <c r="AJ69" s="110"/>
      <c r="AK69" s="110"/>
      <c r="AL69" s="110"/>
      <c r="AM69" s="110"/>
      <c r="AN69" s="110"/>
      <c r="AO69" s="110"/>
      <c r="AP69" s="110"/>
      <c r="AQ69" s="110"/>
      <c r="AR69" s="110"/>
      <c r="AS69" s="110"/>
      <c r="AT69" s="110"/>
      <c r="AU69" s="110"/>
      <c r="AV69" s="110"/>
      <c r="AW69" s="110"/>
      <c r="AX69" s="110"/>
      <c r="AY69" s="110"/>
      <c r="AZ69" s="110"/>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360"/>
      <c r="DC69" s="13"/>
      <c r="DD69" s="266"/>
      <c r="DE69" s="269"/>
      <c r="DF69" s="269"/>
      <c r="DG69" s="269"/>
    </row>
    <row r="70" spans="1:111" s="109" customFormat="1" x14ac:dyDescent="0.25">
      <c r="A70" s="20"/>
      <c r="B70" s="111"/>
      <c r="C70" s="111"/>
      <c r="D70" s="111"/>
      <c r="E70" s="111"/>
      <c r="F70" s="111"/>
      <c r="G70" s="111"/>
      <c r="H70" s="111"/>
      <c r="I70" s="111"/>
      <c r="J70" s="111"/>
      <c r="K70" s="111"/>
      <c r="L70" s="111"/>
      <c r="M70" s="111"/>
      <c r="N70" s="280"/>
      <c r="O70" s="20"/>
      <c r="P70" s="111"/>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11"/>
      <c r="BM70" s="111"/>
      <c r="BN70" s="111"/>
      <c r="BO70" s="111"/>
      <c r="BP70" s="111"/>
      <c r="BQ70" s="111"/>
      <c r="BR70" s="111"/>
      <c r="BS70" s="111"/>
      <c r="BT70" s="111"/>
      <c r="BU70" s="111"/>
      <c r="BV70" s="111"/>
      <c r="BW70" s="111"/>
      <c r="BX70" s="111"/>
      <c r="BY70" s="111"/>
      <c r="BZ70" s="111"/>
      <c r="CA70" s="111"/>
      <c r="CB70" s="111"/>
      <c r="CC70" s="111"/>
      <c r="CD70" s="111"/>
      <c r="CE70" s="111"/>
      <c r="CF70" s="111"/>
      <c r="CG70" s="111"/>
      <c r="CH70" s="111"/>
      <c r="CI70" s="111"/>
      <c r="CJ70" s="111"/>
      <c r="CK70" s="111"/>
      <c r="CL70" s="111"/>
      <c r="CM70" s="111"/>
      <c r="CN70" s="111"/>
      <c r="CO70" s="111"/>
      <c r="CP70" s="111"/>
      <c r="CQ70" s="111"/>
      <c r="CR70" s="111"/>
      <c r="CS70" s="111"/>
      <c r="CT70" s="111"/>
      <c r="CU70" s="111"/>
      <c r="CV70" s="111"/>
      <c r="CW70" s="111"/>
      <c r="CX70" s="111"/>
      <c r="CY70" s="111"/>
      <c r="CZ70" s="111"/>
      <c r="DA70" s="111"/>
      <c r="DB70" s="305"/>
      <c r="DC70" s="111"/>
      <c r="DD70" s="266"/>
      <c r="DE70" s="269"/>
      <c r="DF70" s="269"/>
      <c r="DG70" s="269"/>
    </row>
    <row r="71" spans="1:111" s="109" customFormat="1" x14ac:dyDescent="0.25">
      <c r="A71" s="20"/>
      <c r="B71" s="111"/>
      <c r="C71" s="111"/>
      <c r="D71" s="111"/>
      <c r="E71" s="111"/>
      <c r="F71" s="111"/>
      <c r="G71" s="111"/>
      <c r="H71" s="111"/>
      <c r="I71" s="111"/>
      <c r="J71" s="111"/>
      <c r="K71" s="111"/>
      <c r="L71" s="111"/>
      <c r="M71" s="111"/>
      <c r="N71" s="280"/>
      <c r="O71" s="20"/>
      <c r="P71" s="103"/>
      <c r="Q71" s="111"/>
      <c r="R71" s="13"/>
      <c r="S71" s="13"/>
      <c r="T71" s="103"/>
      <c r="U71" s="103"/>
      <c r="V71" s="103"/>
      <c r="W71" s="111"/>
      <c r="X71" s="111"/>
      <c r="Y71" s="111"/>
      <c r="Z71" s="111"/>
      <c r="AA71" s="111"/>
      <c r="AB71" s="103"/>
      <c r="AC71" s="111"/>
      <c r="AD71" s="111"/>
      <c r="AE71" s="103"/>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c r="CR71" s="103"/>
      <c r="CS71" s="103"/>
      <c r="CT71" s="103"/>
      <c r="CU71" s="103"/>
      <c r="CV71" s="103"/>
      <c r="CW71" s="103"/>
      <c r="CX71" s="103"/>
      <c r="CY71" s="103"/>
      <c r="CZ71" s="103"/>
      <c r="DA71" s="103"/>
      <c r="DB71" s="386"/>
      <c r="DC71" s="103"/>
      <c r="DD71" s="266"/>
      <c r="DE71" s="269"/>
      <c r="DF71" s="269"/>
      <c r="DG71" s="269"/>
    </row>
    <row r="72" spans="1:111" s="109" customFormat="1" x14ac:dyDescent="0.25">
      <c r="A72" s="20"/>
      <c r="B72" s="111"/>
      <c r="C72" s="111"/>
      <c r="D72" s="111"/>
      <c r="E72" s="111"/>
      <c r="F72" s="111"/>
      <c r="G72" s="111"/>
      <c r="H72" s="111"/>
      <c r="I72" s="111"/>
      <c r="J72" s="111"/>
      <c r="K72" s="111"/>
      <c r="L72" s="111"/>
      <c r="M72" s="111"/>
      <c r="N72" s="280"/>
      <c r="O72" s="20"/>
      <c r="P72" s="103"/>
      <c r="Q72" s="111"/>
      <c r="R72" s="13"/>
      <c r="S72" s="13"/>
      <c r="T72" s="103"/>
      <c r="U72" s="103"/>
      <c r="V72" s="103"/>
      <c r="W72" s="111"/>
      <c r="X72" s="111"/>
      <c r="Y72" s="111"/>
      <c r="Z72" s="111"/>
      <c r="AA72" s="111"/>
      <c r="AB72" s="103"/>
      <c r="AC72" s="111"/>
      <c r="AD72" s="111"/>
      <c r="AE72" s="103"/>
      <c r="AF72" s="111"/>
      <c r="AG72" s="111"/>
      <c r="AH72" s="111"/>
      <c r="AI72" s="111"/>
      <c r="AJ72" s="111"/>
      <c r="AK72" s="111"/>
      <c r="AL72" s="111"/>
      <c r="AM72" s="111"/>
      <c r="AN72" s="111"/>
      <c r="AO72" s="111"/>
      <c r="AP72" s="111"/>
      <c r="AQ72" s="111"/>
      <c r="AR72" s="111"/>
      <c r="AS72" s="111"/>
      <c r="AT72" s="111"/>
      <c r="AU72" s="111"/>
      <c r="AV72" s="111"/>
      <c r="AW72" s="111"/>
      <c r="AX72" s="111"/>
      <c r="AY72" s="111"/>
      <c r="AZ72" s="111"/>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c r="CR72" s="103"/>
      <c r="CS72" s="103"/>
      <c r="CT72" s="103"/>
      <c r="CU72" s="103"/>
      <c r="CV72" s="103"/>
      <c r="CW72" s="103"/>
      <c r="CX72" s="103"/>
      <c r="CY72" s="103"/>
      <c r="CZ72" s="103"/>
      <c r="DA72" s="103"/>
      <c r="DB72" s="386"/>
      <c r="DC72" s="103"/>
      <c r="DD72" s="266"/>
      <c r="DE72" s="269"/>
      <c r="DF72" s="269"/>
      <c r="DG72" s="269"/>
    </row>
    <row r="73" spans="1:111" s="109" customFormat="1" x14ac:dyDescent="0.25">
      <c r="A73" s="20"/>
      <c r="B73" s="111"/>
      <c r="C73" s="111"/>
      <c r="D73" s="111"/>
      <c r="E73" s="111"/>
      <c r="F73" s="111"/>
      <c r="G73" s="111"/>
      <c r="H73" s="111"/>
      <c r="I73" s="111"/>
      <c r="J73" s="111"/>
      <c r="K73" s="111"/>
      <c r="L73" s="111"/>
      <c r="M73" s="111"/>
      <c r="N73" s="280"/>
      <c r="O73" s="20"/>
      <c r="P73" s="103"/>
      <c r="Q73" s="111"/>
      <c r="R73" s="13"/>
      <c r="S73" s="13"/>
      <c r="T73" s="103"/>
      <c r="U73" s="103"/>
      <c r="V73" s="103"/>
      <c r="W73" s="111"/>
      <c r="X73" s="111"/>
      <c r="Y73" s="111"/>
      <c r="Z73" s="111"/>
      <c r="AA73" s="111"/>
      <c r="AB73" s="103"/>
      <c r="AC73" s="111"/>
      <c r="AD73" s="111"/>
      <c r="AE73" s="103"/>
      <c r="AF73" s="111"/>
      <c r="AG73" s="111"/>
      <c r="AH73" s="111"/>
      <c r="AI73" s="111"/>
      <c r="AJ73" s="111"/>
      <c r="AK73" s="111"/>
      <c r="AL73" s="111"/>
      <c r="AM73" s="111"/>
      <c r="AN73" s="111"/>
      <c r="AO73" s="111"/>
      <c r="AP73" s="111"/>
      <c r="AQ73" s="111"/>
      <c r="AR73" s="111"/>
      <c r="AS73" s="111"/>
      <c r="AT73" s="111"/>
      <c r="AU73" s="111"/>
      <c r="AV73" s="111"/>
      <c r="AW73" s="111"/>
      <c r="AX73" s="111"/>
      <c r="AY73" s="111"/>
      <c r="AZ73" s="111"/>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c r="CR73" s="103"/>
      <c r="CS73" s="103"/>
      <c r="CT73" s="103"/>
      <c r="CU73" s="103"/>
      <c r="CV73" s="103"/>
      <c r="CW73" s="103"/>
      <c r="CX73" s="103"/>
      <c r="CY73" s="103"/>
      <c r="CZ73" s="103"/>
      <c r="DA73" s="103"/>
      <c r="DB73" s="386"/>
      <c r="DC73" s="103"/>
      <c r="DD73" s="266"/>
      <c r="DE73" s="269"/>
      <c r="DF73" s="269"/>
      <c r="DG73" s="269"/>
    </row>
    <row r="74" spans="1:111" s="109" customFormat="1" x14ac:dyDescent="0.25">
      <c r="A74" s="20"/>
      <c r="B74" s="111"/>
      <c r="C74" s="111"/>
      <c r="D74" s="111"/>
      <c r="E74" s="111"/>
      <c r="F74" s="111"/>
      <c r="G74" s="111"/>
      <c r="H74" s="111"/>
      <c r="I74" s="111"/>
      <c r="J74" s="111"/>
      <c r="K74" s="111"/>
      <c r="L74" s="111"/>
      <c r="M74" s="111"/>
      <c r="N74" s="280"/>
      <c r="O74" s="20"/>
      <c r="P74" s="13"/>
      <c r="Q74" s="111"/>
      <c r="R74" s="13"/>
      <c r="S74" s="13"/>
      <c r="T74" s="13"/>
      <c r="U74" s="13"/>
      <c r="V74" s="13"/>
      <c r="W74" s="111"/>
      <c r="X74" s="111"/>
      <c r="Y74" s="111"/>
      <c r="Z74" s="111"/>
      <c r="AA74" s="111"/>
      <c r="AB74" s="13"/>
      <c r="AC74" s="111"/>
      <c r="AD74" s="111"/>
      <c r="AE74" s="13"/>
      <c r="AF74" s="111"/>
      <c r="AG74" s="111"/>
      <c r="AH74" s="111"/>
      <c r="AI74" s="111"/>
      <c r="AJ74" s="111"/>
      <c r="AK74" s="111"/>
      <c r="AL74" s="111"/>
      <c r="AM74" s="111"/>
      <c r="AN74" s="111"/>
      <c r="AO74" s="111"/>
      <c r="AP74" s="111"/>
      <c r="AQ74" s="111"/>
      <c r="AR74" s="111"/>
      <c r="AS74" s="111"/>
      <c r="AT74" s="111"/>
      <c r="AU74" s="111"/>
      <c r="AV74" s="111"/>
      <c r="AW74" s="111"/>
      <c r="AX74" s="111"/>
      <c r="AY74" s="111"/>
      <c r="AZ74" s="111"/>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360"/>
      <c r="DC74" s="13"/>
      <c r="DD74" s="266"/>
      <c r="DE74" s="269"/>
      <c r="DF74" s="269"/>
      <c r="DG74" s="269"/>
    </row>
    <row r="75" spans="1:111" s="109" customFormat="1" x14ac:dyDescent="0.25">
      <c r="A75" s="20"/>
      <c r="B75" s="111"/>
      <c r="C75" s="111"/>
      <c r="D75" s="111"/>
      <c r="E75" s="111"/>
      <c r="F75" s="111"/>
      <c r="G75" s="111"/>
      <c r="H75" s="111"/>
      <c r="I75" s="111"/>
      <c r="J75" s="111"/>
      <c r="K75" s="111"/>
      <c r="L75" s="111"/>
      <c r="M75" s="111"/>
      <c r="N75" s="280"/>
      <c r="O75" s="20"/>
      <c r="P75" s="13"/>
      <c r="Q75" s="111"/>
      <c r="R75" s="13"/>
      <c r="S75" s="13"/>
      <c r="T75" s="13"/>
      <c r="U75" s="13"/>
      <c r="V75" s="13"/>
      <c r="W75" s="111"/>
      <c r="X75" s="111"/>
      <c r="Y75" s="111"/>
      <c r="Z75" s="111"/>
      <c r="AA75" s="111"/>
      <c r="AB75" s="13"/>
      <c r="AC75" s="111"/>
      <c r="AD75" s="111"/>
      <c r="AE75" s="13"/>
      <c r="AF75" s="111"/>
      <c r="AG75" s="111"/>
      <c r="AH75" s="111"/>
      <c r="AI75" s="111"/>
      <c r="AJ75" s="111"/>
      <c r="AK75" s="111"/>
      <c r="AL75" s="111"/>
      <c r="AM75" s="111"/>
      <c r="AN75" s="111"/>
      <c r="AO75" s="111"/>
      <c r="AP75" s="111"/>
      <c r="AQ75" s="111"/>
      <c r="AR75" s="111"/>
      <c r="AS75" s="111"/>
      <c r="AT75" s="111"/>
      <c r="AU75" s="111"/>
      <c r="AV75" s="111"/>
      <c r="AW75" s="111"/>
      <c r="AX75" s="111"/>
      <c r="AY75" s="111"/>
      <c r="AZ75" s="111"/>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360"/>
      <c r="DC75" s="13"/>
      <c r="DD75" s="266"/>
      <c r="DE75" s="269"/>
      <c r="DF75" s="269"/>
      <c r="DG75" s="269"/>
    </row>
    <row r="76" spans="1:111" s="109" customFormat="1" x14ac:dyDescent="0.25">
      <c r="A76" s="20"/>
      <c r="B76" s="111"/>
      <c r="C76" s="111"/>
      <c r="D76" s="111"/>
      <c r="E76" s="111"/>
      <c r="F76" s="111"/>
      <c r="G76" s="111"/>
      <c r="H76" s="111"/>
      <c r="I76" s="111"/>
      <c r="J76" s="111"/>
      <c r="K76" s="111"/>
      <c r="L76" s="111"/>
      <c r="M76" s="111"/>
      <c r="N76" s="280"/>
      <c r="O76" s="20"/>
      <c r="P76" s="13"/>
      <c r="Q76" s="111"/>
      <c r="R76" s="13"/>
      <c r="S76" s="13"/>
      <c r="T76" s="13"/>
      <c r="U76" s="13"/>
      <c r="V76" s="13"/>
      <c r="W76" s="111"/>
      <c r="X76" s="111"/>
      <c r="Y76" s="111"/>
      <c r="Z76" s="111"/>
      <c r="AA76" s="111"/>
      <c r="AB76" s="13"/>
      <c r="AC76" s="111"/>
      <c r="AD76" s="111"/>
      <c r="AE76" s="13"/>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360"/>
      <c r="DC76" s="13"/>
      <c r="DD76" s="266"/>
      <c r="DE76" s="269"/>
      <c r="DF76" s="269"/>
      <c r="DG76" s="269"/>
    </row>
    <row r="77" spans="1:111" s="109" customFormat="1" x14ac:dyDescent="0.25">
      <c r="A77" s="20"/>
      <c r="B77" s="111"/>
      <c r="C77" s="111"/>
      <c r="D77" s="111"/>
      <c r="E77" s="111"/>
      <c r="F77" s="111"/>
      <c r="G77" s="111"/>
      <c r="H77" s="111"/>
      <c r="I77" s="111"/>
      <c r="J77" s="111"/>
      <c r="K77" s="111"/>
      <c r="L77" s="111"/>
      <c r="M77" s="111"/>
      <c r="N77" s="280"/>
      <c r="O77" s="20"/>
      <c r="P77" s="13"/>
      <c r="Q77" s="111"/>
      <c r="R77" s="13"/>
      <c r="S77" s="13"/>
      <c r="T77" s="13"/>
      <c r="U77" s="13"/>
      <c r="V77" s="13"/>
      <c r="W77" s="111"/>
      <c r="X77" s="111"/>
      <c r="Y77" s="111"/>
      <c r="Z77" s="111"/>
      <c r="AA77" s="111"/>
      <c r="AB77" s="13"/>
      <c r="AC77" s="111"/>
      <c r="AD77" s="111"/>
      <c r="AE77" s="13"/>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360"/>
      <c r="DC77" s="13"/>
      <c r="DD77" s="266"/>
      <c r="DE77" s="269"/>
      <c r="DF77" s="269"/>
      <c r="DG77" s="269"/>
    </row>
    <row r="78" spans="1:111" s="109" customFormat="1" x14ac:dyDescent="0.25">
      <c r="A78" s="20"/>
      <c r="B78" s="111"/>
      <c r="C78" s="111"/>
      <c r="D78" s="111"/>
      <c r="E78" s="111"/>
      <c r="F78" s="111"/>
      <c r="G78" s="111"/>
      <c r="H78" s="111"/>
      <c r="I78" s="111"/>
      <c r="J78" s="111"/>
      <c r="K78" s="111"/>
      <c r="L78" s="111"/>
      <c r="M78" s="111"/>
      <c r="N78" s="280"/>
      <c r="O78" s="20"/>
      <c r="P78" s="13"/>
      <c r="Q78" s="111"/>
      <c r="R78" s="13"/>
      <c r="S78" s="13"/>
      <c r="T78" s="13"/>
      <c r="U78" s="13"/>
      <c r="V78" s="13"/>
      <c r="W78" s="111"/>
      <c r="X78" s="111"/>
      <c r="Y78" s="111"/>
      <c r="Z78" s="111"/>
      <c r="AA78" s="111"/>
      <c r="AB78" s="13"/>
      <c r="AC78" s="111"/>
      <c r="AD78" s="111"/>
      <c r="AE78" s="13"/>
      <c r="AF78" s="111"/>
      <c r="AG78" s="111"/>
      <c r="AH78" s="111"/>
      <c r="AI78" s="111"/>
      <c r="AJ78" s="111"/>
      <c r="AK78" s="111"/>
      <c r="AL78" s="111"/>
      <c r="AM78" s="111"/>
      <c r="AN78" s="111"/>
      <c r="AO78" s="111"/>
      <c r="AP78" s="111"/>
      <c r="AQ78" s="111"/>
      <c r="AR78" s="111"/>
      <c r="AS78" s="111"/>
      <c r="AT78" s="111"/>
      <c r="AU78" s="111"/>
      <c r="AV78" s="111"/>
      <c r="AW78" s="111"/>
      <c r="AX78" s="111"/>
      <c r="AY78" s="111"/>
      <c r="AZ78" s="111"/>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360"/>
      <c r="DC78" s="13"/>
      <c r="DD78" s="266"/>
      <c r="DE78" s="269"/>
      <c r="DF78" s="269"/>
      <c r="DG78" s="269"/>
    </row>
    <row r="79" spans="1:111" s="109" customFormat="1" x14ac:dyDescent="0.25">
      <c r="A79" s="20"/>
      <c r="B79" s="111"/>
      <c r="C79" s="111"/>
      <c r="D79" s="111"/>
      <c r="E79" s="111"/>
      <c r="F79" s="111"/>
      <c r="G79" s="111"/>
      <c r="H79" s="111"/>
      <c r="I79" s="111"/>
      <c r="J79" s="111"/>
      <c r="K79" s="111"/>
      <c r="L79" s="111"/>
      <c r="M79" s="111"/>
      <c r="N79" s="280"/>
      <c r="O79" s="14"/>
      <c r="P79" s="13"/>
      <c r="Q79" s="110"/>
      <c r="R79" s="111"/>
      <c r="S79" s="111"/>
      <c r="T79" s="13"/>
      <c r="U79" s="13"/>
      <c r="V79" s="13"/>
      <c r="W79" s="111"/>
      <c r="X79" s="111"/>
      <c r="Y79" s="111"/>
      <c r="Z79" s="110"/>
      <c r="AA79" s="110"/>
      <c r="AB79" s="13"/>
      <c r="AC79" s="110"/>
      <c r="AD79" s="110"/>
      <c r="AE79" s="13"/>
      <c r="AF79" s="110"/>
      <c r="AG79" s="110"/>
      <c r="AH79" s="110"/>
      <c r="AI79" s="110"/>
      <c r="AJ79" s="110"/>
      <c r="AK79" s="110"/>
      <c r="AL79" s="110"/>
      <c r="AM79" s="110"/>
      <c r="AN79" s="110"/>
      <c r="AO79" s="110"/>
      <c r="AP79" s="110"/>
      <c r="AQ79" s="110"/>
      <c r="AR79" s="110"/>
      <c r="AS79" s="110"/>
      <c r="AT79" s="110"/>
      <c r="AU79" s="110"/>
      <c r="AV79" s="110"/>
      <c r="AW79" s="110"/>
      <c r="AX79" s="110"/>
      <c r="AY79" s="110"/>
      <c r="AZ79" s="110"/>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360"/>
      <c r="DC79" s="13"/>
      <c r="DD79" s="266"/>
      <c r="DE79" s="269"/>
      <c r="DF79" s="269"/>
      <c r="DG79" s="269"/>
    </row>
    <row r="80" spans="1:111" s="109" customFormat="1" x14ac:dyDescent="0.25">
      <c r="A80" s="20"/>
      <c r="B80" s="111"/>
      <c r="C80" s="111"/>
      <c r="D80" s="111"/>
      <c r="E80" s="111"/>
      <c r="F80" s="111"/>
      <c r="G80" s="111"/>
      <c r="H80" s="111"/>
      <c r="I80" s="111"/>
      <c r="J80" s="111"/>
      <c r="K80" s="111"/>
      <c r="L80" s="111"/>
      <c r="M80" s="111"/>
      <c r="N80" s="280"/>
      <c r="O80" s="20"/>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11"/>
      <c r="BM80" s="111"/>
      <c r="BN80" s="111"/>
      <c r="BO80" s="111"/>
      <c r="BP80" s="111"/>
      <c r="BQ80" s="111"/>
      <c r="BR80" s="111"/>
      <c r="BS80" s="111"/>
      <c r="BT80" s="111"/>
      <c r="BU80" s="111"/>
      <c r="BV80" s="111"/>
      <c r="BW80" s="111"/>
      <c r="BX80" s="111"/>
      <c r="BY80" s="111"/>
      <c r="BZ80" s="111"/>
      <c r="CA80" s="111"/>
      <c r="CB80" s="111"/>
      <c r="CC80" s="111"/>
      <c r="CD80" s="111"/>
      <c r="CE80" s="111"/>
      <c r="CF80" s="111"/>
      <c r="CG80" s="111"/>
      <c r="CH80" s="111"/>
      <c r="CI80" s="111"/>
      <c r="CJ80" s="111"/>
      <c r="CK80" s="111"/>
      <c r="CL80" s="111"/>
      <c r="CM80" s="111"/>
      <c r="CN80" s="111"/>
      <c r="CO80" s="111"/>
      <c r="CP80" s="111"/>
      <c r="CQ80" s="111"/>
      <c r="CR80" s="111"/>
      <c r="CS80" s="111"/>
      <c r="CT80" s="111"/>
      <c r="CU80" s="111"/>
      <c r="CV80" s="111"/>
      <c r="CW80" s="111"/>
      <c r="CX80" s="111"/>
      <c r="CY80" s="111"/>
      <c r="CZ80" s="111"/>
      <c r="DA80" s="111"/>
      <c r="DB80" s="305"/>
      <c r="DC80" s="111"/>
      <c r="DD80" s="266"/>
      <c r="DE80" s="269"/>
      <c r="DF80" s="269"/>
      <c r="DG80" s="269"/>
    </row>
    <row r="81" spans="1:111" s="109" customFormat="1" x14ac:dyDescent="0.25">
      <c r="A81" s="20"/>
      <c r="B81" s="111"/>
      <c r="C81" s="111"/>
      <c r="D81" s="111"/>
      <c r="E81" s="111"/>
      <c r="F81" s="111"/>
      <c r="G81" s="111"/>
      <c r="H81" s="111"/>
      <c r="I81" s="111"/>
      <c r="J81" s="111"/>
      <c r="K81" s="111"/>
      <c r="L81" s="111"/>
      <c r="M81" s="111"/>
      <c r="N81" s="280"/>
      <c r="O81" s="20"/>
      <c r="P81" s="103"/>
      <c r="Q81" s="111"/>
      <c r="R81" s="13"/>
      <c r="S81" s="13"/>
      <c r="T81" s="103"/>
      <c r="U81" s="103"/>
      <c r="V81" s="103"/>
      <c r="W81" s="111"/>
      <c r="X81" s="111"/>
      <c r="Y81" s="111"/>
      <c r="Z81" s="111"/>
      <c r="AA81" s="111"/>
      <c r="AB81" s="103"/>
      <c r="AC81" s="111"/>
      <c r="AD81" s="111"/>
      <c r="AE81" s="103"/>
      <c r="AF81" s="111"/>
      <c r="AG81" s="111"/>
      <c r="AH81" s="111"/>
      <c r="AI81" s="111"/>
      <c r="AJ81" s="111"/>
      <c r="AK81" s="111"/>
      <c r="AL81" s="111"/>
      <c r="AM81" s="111"/>
      <c r="AN81" s="111"/>
      <c r="AO81" s="111"/>
      <c r="AP81" s="111"/>
      <c r="AQ81" s="111"/>
      <c r="AR81" s="111"/>
      <c r="AS81" s="111"/>
      <c r="AT81" s="111"/>
      <c r="AU81" s="111"/>
      <c r="AV81" s="111"/>
      <c r="AW81" s="111"/>
      <c r="AX81" s="111"/>
      <c r="AY81" s="111"/>
      <c r="AZ81" s="111"/>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c r="CR81" s="103"/>
      <c r="CS81" s="103"/>
      <c r="CT81" s="103"/>
      <c r="CU81" s="103"/>
      <c r="CV81" s="103"/>
      <c r="CW81" s="103"/>
      <c r="CX81" s="103"/>
      <c r="CY81" s="103"/>
      <c r="CZ81" s="103"/>
      <c r="DA81" s="103"/>
      <c r="DB81" s="386"/>
      <c r="DC81" s="103"/>
      <c r="DD81" s="266"/>
      <c r="DE81" s="269"/>
      <c r="DF81" s="269"/>
      <c r="DG81" s="269"/>
    </row>
    <row r="82" spans="1:111" s="109" customFormat="1" x14ac:dyDescent="0.25">
      <c r="A82" s="20"/>
      <c r="B82" s="111"/>
      <c r="C82" s="111"/>
      <c r="D82" s="111"/>
      <c r="E82" s="111"/>
      <c r="F82" s="111"/>
      <c r="G82" s="111"/>
      <c r="H82" s="111"/>
      <c r="I82" s="111"/>
      <c r="J82" s="111"/>
      <c r="K82" s="111"/>
      <c r="L82" s="111"/>
      <c r="M82" s="111"/>
      <c r="N82" s="280"/>
      <c r="O82" s="20"/>
      <c r="P82" s="103"/>
      <c r="Q82" s="111"/>
      <c r="R82" s="13"/>
      <c r="S82" s="13"/>
      <c r="T82" s="103"/>
      <c r="U82" s="103"/>
      <c r="V82" s="103"/>
      <c r="W82" s="111"/>
      <c r="X82" s="111"/>
      <c r="Y82" s="111"/>
      <c r="Z82" s="111"/>
      <c r="AA82" s="111"/>
      <c r="AB82" s="103"/>
      <c r="AC82" s="111"/>
      <c r="AD82" s="111"/>
      <c r="AE82" s="103"/>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c r="CR82" s="103"/>
      <c r="CS82" s="103"/>
      <c r="CT82" s="103"/>
      <c r="CU82" s="103"/>
      <c r="CV82" s="103"/>
      <c r="CW82" s="103"/>
      <c r="CX82" s="103"/>
      <c r="CY82" s="103"/>
      <c r="CZ82" s="103"/>
      <c r="DA82" s="103"/>
      <c r="DB82" s="386"/>
      <c r="DC82" s="103"/>
      <c r="DD82" s="266"/>
      <c r="DE82" s="269"/>
      <c r="DF82" s="269"/>
      <c r="DG82" s="269"/>
    </row>
    <row r="83" spans="1:111" s="109" customFormat="1" x14ac:dyDescent="0.25">
      <c r="A83" s="20"/>
      <c r="B83" s="111"/>
      <c r="C83" s="111"/>
      <c r="D83" s="111"/>
      <c r="E83" s="111"/>
      <c r="F83" s="111"/>
      <c r="G83" s="111"/>
      <c r="H83" s="111"/>
      <c r="I83" s="111"/>
      <c r="J83" s="111"/>
      <c r="K83" s="111"/>
      <c r="L83" s="111"/>
      <c r="M83" s="111"/>
      <c r="N83" s="280"/>
      <c r="O83" s="20"/>
      <c r="P83" s="103"/>
      <c r="Q83" s="111"/>
      <c r="R83" s="13"/>
      <c r="S83" s="13"/>
      <c r="T83" s="103"/>
      <c r="U83" s="103"/>
      <c r="V83" s="103"/>
      <c r="W83" s="111"/>
      <c r="X83" s="111"/>
      <c r="Y83" s="111"/>
      <c r="Z83" s="111"/>
      <c r="AA83" s="111"/>
      <c r="AB83" s="103"/>
      <c r="AC83" s="111"/>
      <c r="AD83" s="111"/>
      <c r="AE83" s="103"/>
      <c r="AF83" s="111"/>
      <c r="AG83" s="111"/>
      <c r="AH83" s="111"/>
      <c r="AI83" s="111"/>
      <c r="AJ83" s="111"/>
      <c r="AK83" s="111"/>
      <c r="AL83" s="111"/>
      <c r="AM83" s="111"/>
      <c r="AN83" s="111"/>
      <c r="AO83" s="111"/>
      <c r="AP83" s="111"/>
      <c r="AQ83" s="111"/>
      <c r="AR83" s="111"/>
      <c r="AS83" s="111"/>
      <c r="AT83" s="111"/>
      <c r="AU83" s="111"/>
      <c r="AV83" s="111"/>
      <c r="AW83" s="111"/>
      <c r="AX83" s="111"/>
      <c r="AY83" s="111"/>
      <c r="AZ83" s="111"/>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c r="CR83" s="103"/>
      <c r="CS83" s="103"/>
      <c r="CT83" s="103"/>
      <c r="CU83" s="103"/>
      <c r="CV83" s="103"/>
      <c r="CW83" s="103"/>
      <c r="CX83" s="103"/>
      <c r="CY83" s="103"/>
      <c r="CZ83" s="103"/>
      <c r="DA83" s="103"/>
      <c r="DB83" s="386"/>
      <c r="DC83" s="103"/>
      <c r="DD83" s="266"/>
      <c r="DE83" s="269"/>
      <c r="DF83" s="269"/>
      <c r="DG83" s="269"/>
    </row>
    <row r="84" spans="1:111" s="109" customFormat="1" x14ac:dyDescent="0.25">
      <c r="A84" s="20"/>
      <c r="B84" s="111"/>
      <c r="C84" s="111"/>
      <c r="D84" s="111"/>
      <c r="E84" s="111"/>
      <c r="F84" s="111"/>
      <c r="G84" s="111"/>
      <c r="H84" s="111"/>
      <c r="I84" s="111"/>
      <c r="J84" s="111"/>
      <c r="K84" s="111"/>
      <c r="L84" s="111"/>
      <c r="M84" s="111"/>
      <c r="N84" s="280"/>
      <c r="O84" s="20"/>
      <c r="P84" s="13"/>
      <c r="Q84" s="111"/>
      <c r="R84" s="13"/>
      <c r="S84" s="13"/>
      <c r="T84" s="13"/>
      <c r="U84" s="13"/>
      <c r="V84" s="13"/>
      <c r="W84" s="111"/>
      <c r="X84" s="111"/>
      <c r="Y84" s="111"/>
      <c r="Z84" s="111"/>
      <c r="AA84" s="111"/>
      <c r="AB84" s="13"/>
      <c r="AC84" s="111"/>
      <c r="AD84" s="111"/>
      <c r="AE84" s="13"/>
      <c r="AF84" s="111"/>
      <c r="AG84" s="111"/>
      <c r="AH84" s="111"/>
      <c r="AI84" s="111"/>
      <c r="AJ84" s="111"/>
      <c r="AK84" s="111"/>
      <c r="AL84" s="111"/>
      <c r="AM84" s="111"/>
      <c r="AN84" s="111"/>
      <c r="AO84" s="111"/>
      <c r="AP84" s="111"/>
      <c r="AQ84" s="111"/>
      <c r="AR84" s="111"/>
      <c r="AS84" s="111"/>
      <c r="AT84" s="111"/>
      <c r="AU84" s="111"/>
      <c r="AV84" s="111"/>
      <c r="AW84" s="111"/>
      <c r="AX84" s="111"/>
      <c r="AY84" s="111"/>
      <c r="AZ84" s="111"/>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360"/>
      <c r="DC84" s="13"/>
      <c r="DD84" s="266"/>
      <c r="DE84" s="269"/>
      <c r="DF84" s="269"/>
      <c r="DG84" s="269"/>
    </row>
    <row r="85" spans="1:111" s="109" customFormat="1" x14ac:dyDescent="0.25">
      <c r="A85" s="20"/>
      <c r="B85" s="111"/>
      <c r="C85" s="111"/>
      <c r="D85" s="111"/>
      <c r="E85" s="111"/>
      <c r="F85" s="111"/>
      <c r="G85" s="111"/>
      <c r="H85" s="111"/>
      <c r="I85" s="111"/>
      <c r="J85" s="111"/>
      <c r="K85" s="111"/>
      <c r="L85" s="111"/>
      <c r="M85" s="111"/>
      <c r="N85" s="280"/>
      <c r="O85" s="20"/>
      <c r="P85" s="13"/>
      <c r="Q85" s="111"/>
      <c r="R85" s="13"/>
      <c r="S85" s="13"/>
      <c r="T85" s="13"/>
      <c r="U85" s="13"/>
      <c r="V85" s="13"/>
      <c r="W85" s="111"/>
      <c r="X85" s="111"/>
      <c r="Y85" s="111"/>
      <c r="Z85" s="111"/>
      <c r="AA85" s="111"/>
      <c r="AB85" s="13"/>
      <c r="AC85" s="111"/>
      <c r="AD85" s="111"/>
      <c r="AE85" s="13"/>
      <c r="AF85" s="111"/>
      <c r="AG85" s="111"/>
      <c r="AH85" s="111"/>
      <c r="AI85" s="111"/>
      <c r="AJ85" s="111"/>
      <c r="AK85" s="111"/>
      <c r="AL85" s="111"/>
      <c r="AM85" s="111"/>
      <c r="AN85" s="111"/>
      <c r="AO85" s="111"/>
      <c r="AP85" s="111"/>
      <c r="AQ85" s="111"/>
      <c r="AR85" s="111"/>
      <c r="AS85" s="111"/>
      <c r="AT85" s="111"/>
      <c r="AU85" s="111"/>
      <c r="AV85" s="111"/>
      <c r="AW85" s="111"/>
      <c r="AX85" s="111"/>
      <c r="AY85" s="111"/>
      <c r="AZ85" s="111"/>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360"/>
      <c r="DC85" s="13"/>
      <c r="DD85" s="266"/>
      <c r="DE85" s="269"/>
      <c r="DF85" s="269"/>
      <c r="DG85" s="269"/>
    </row>
    <row r="86" spans="1:111" s="109" customFormat="1" x14ac:dyDescent="0.25">
      <c r="A86" s="20"/>
      <c r="B86" s="111"/>
      <c r="C86" s="111"/>
      <c r="D86" s="111"/>
      <c r="E86" s="111"/>
      <c r="F86" s="111"/>
      <c r="G86" s="111"/>
      <c r="H86" s="111"/>
      <c r="I86" s="111"/>
      <c r="J86" s="111"/>
      <c r="K86" s="111"/>
      <c r="L86" s="111"/>
      <c r="M86" s="111"/>
      <c r="N86" s="280"/>
      <c r="O86" s="20"/>
      <c r="P86" s="13"/>
      <c r="Q86" s="111"/>
      <c r="R86" s="13"/>
      <c r="S86" s="13"/>
      <c r="T86" s="13"/>
      <c r="U86" s="13"/>
      <c r="V86" s="13"/>
      <c r="W86" s="111"/>
      <c r="X86" s="111"/>
      <c r="Y86" s="111"/>
      <c r="Z86" s="111"/>
      <c r="AA86" s="111"/>
      <c r="AB86" s="13"/>
      <c r="AC86" s="111"/>
      <c r="AD86" s="111"/>
      <c r="AE86" s="13"/>
      <c r="AF86" s="111"/>
      <c r="AG86" s="111"/>
      <c r="AH86" s="111"/>
      <c r="AI86" s="111"/>
      <c r="AJ86" s="111"/>
      <c r="AK86" s="111"/>
      <c r="AL86" s="111"/>
      <c r="AM86" s="111"/>
      <c r="AN86" s="111"/>
      <c r="AO86" s="111"/>
      <c r="AP86" s="111"/>
      <c r="AQ86" s="111"/>
      <c r="AR86" s="111"/>
      <c r="AS86" s="111"/>
      <c r="AT86" s="111"/>
      <c r="AU86" s="111"/>
      <c r="AV86" s="111"/>
      <c r="AW86" s="111"/>
      <c r="AX86" s="111"/>
      <c r="AY86" s="111"/>
      <c r="AZ86" s="111"/>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360"/>
      <c r="DC86" s="13"/>
      <c r="DD86" s="266"/>
      <c r="DE86" s="269"/>
      <c r="DF86" s="269"/>
      <c r="DG86" s="269"/>
    </row>
    <row r="87" spans="1:111" s="109" customFormat="1" x14ac:dyDescent="0.25">
      <c r="A87" s="20"/>
      <c r="B87" s="111"/>
      <c r="C87" s="111"/>
      <c r="D87" s="111"/>
      <c r="E87" s="111"/>
      <c r="F87" s="111"/>
      <c r="G87" s="111"/>
      <c r="H87" s="111"/>
      <c r="I87" s="111"/>
      <c r="J87" s="111"/>
      <c r="K87" s="111"/>
      <c r="L87" s="111"/>
      <c r="M87" s="111"/>
      <c r="N87" s="280"/>
      <c r="O87" s="20"/>
      <c r="P87" s="13"/>
      <c r="Q87" s="111"/>
      <c r="R87" s="13"/>
      <c r="S87" s="13"/>
      <c r="T87" s="13"/>
      <c r="U87" s="13"/>
      <c r="V87" s="13"/>
      <c r="W87" s="111"/>
      <c r="X87" s="111"/>
      <c r="Y87" s="111"/>
      <c r="Z87" s="111"/>
      <c r="AA87" s="111"/>
      <c r="AB87" s="13"/>
      <c r="AC87" s="111"/>
      <c r="AD87" s="111"/>
      <c r="AE87" s="13"/>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360"/>
      <c r="DC87" s="13"/>
      <c r="DD87" s="266"/>
      <c r="DE87" s="269"/>
      <c r="DF87" s="269"/>
      <c r="DG87" s="269"/>
    </row>
    <row r="88" spans="1:111" s="109" customFormat="1" x14ac:dyDescent="0.25">
      <c r="A88" s="20"/>
      <c r="B88" s="111"/>
      <c r="C88" s="111"/>
      <c r="D88" s="111"/>
      <c r="E88" s="111"/>
      <c r="F88" s="111"/>
      <c r="G88" s="111"/>
      <c r="H88" s="111"/>
      <c r="I88" s="111"/>
      <c r="J88" s="111"/>
      <c r="K88" s="111"/>
      <c r="L88" s="111"/>
      <c r="M88" s="111"/>
      <c r="N88" s="280"/>
      <c r="O88" s="20"/>
      <c r="P88" s="13"/>
      <c r="Q88" s="111"/>
      <c r="R88" s="13"/>
      <c r="S88" s="13"/>
      <c r="T88" s="13"/>
      <c r="U88" s="13"/>
      <c r="V88" s="13"/>
      <c r="W88" s="111"/>
      <c r="X88" s="111"/>
      <c r="Y88" s="111"/>
      <c r="Z88" s="111"/>
      <c r="AA88" s="111"/>
      <c r="AB88" s="13"/>
      <c r="AC88" s="111"/>
      <c r="AD88" s="111"/>
      <c r="AE88" s="13"/>
      <c r="AF88" s="111"/>
      <c r="AG88" s="111"/>
      <c r="AH88" s="111"/>
      <c r="AI88" s="111"/>
      <c r="AJ88" s="111"/>
      <c r="AK88" s="111"/>
      <c r="AL88" s="111"/>
      <c r="AM88" s="111"/>
      <c r="AN88" s="111"/>
      <c r="AO88" s="111"/>
      <c r="AP88" s="111"/>
      <c r="AQ88" s="111"/>
      <c r="AR88" s="111"/>
      <c r="AS88" s="111"/>
      <c r="AT88" s="111"/>
      <c r="AU88" s="111"/>
      <c r="AV88" s="111"/>
      <c r="AW88" s="111"/>
      <c r="AX88" s="111"/>
      <c r="AY88" s="111"/>
      <c r="AZ88" s="111"/>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360"/>
      <c r="DC88" s="13"/>
      <c r="DD88" s="266"/>
      <c r="DE88" s="269"/>
      <c r="DF88" s="269"/>
      <c r="DG88" s="269"/>
    </row>
    <row r="89" spans="1:111" s="109" customFormat="1" x14ac:dyDescent="0.25">
      <c r="A89" s="20"/>
      <c r="B89" s="111"/>
      <c r="C89" s="111"/>
      <c r="D89" s="111"/>
      <c r="E89" s="111"/>
      <c r="F89" s="111"/>
      <c r="G89" s="111"/>
      <c r="H89" s="111"/>
      <c r="I89" s="111"/>
      <c r="J89" s="111"/>
      <c r="K89" s="111"/>
      <c r="L89" s="111"/>
      <c r="M89" s="111"/>
      <c r="N89" s="280"/>
      <c r="O89" s="14"/>
      <c r="P89" s="13"/>
      <c r="Q89" s="110"/>
      <c r="R89" s="111"/>
      <c r="S89" s="111"/>
      <c r="T89" s="13"/>
      <c r="U89" s="13"/>
      <c r="V89" s="13"/>
      <c r="W89" s="111"/>
      <c r="X89" s="111"/>
      <c r="Y89" s="111"/>
      <c r="Z89" s="110"/>
      <c r="AA89" s="110"/>
      <c r="AB89" s="13"/>
      <c r="AC89" s="110"/>
      <c r="AD89" s="110"/>
      <c r="AE89" s="13"/>
      <c r="AF89" s="110"/>
      <c r="AG89" s="110"/>
      <c r="AH89" s="110"/>
      <c r="AI89" s="110"/>
      <c r="AJ89" s="110"/>
      <c r="AK89" s="110"/>
      <c r="AL89" s="110"/>
      <c r="AM89" s="110"/>
      <c r="AN89" s="110"/>
      <c r="AO89" s="110"/>
      <c r="AP89" s="110"/>
      <c r="AQ89" s="110"/>
      <c r="AR89" s="110"/>
      <c r="AS89" s="110"/>
      <c r="AT89" s="110"/>
      <c r="AU89" s="110"/>
      <c r="AV89" s="110"/>
      <c r="AW89" s="110"/>
      <c r="AX89" s="110"/>
      <c r="AY89" s="110"/>
      <c r="AZ89" s="110"/>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360"/>
      <c r="DC89" s="13"/>
      <c r="DD89" s="266"/>
      <c r="DE89" s="269"/>
      <c r="DF89" s="269"/>
      <c r="DG89" s="269"/>
    </row>
    <row r="90" spans="1:111" s="109" customFormat="1" x14ac:dyDescent="0.25">
      <c r="A90" s="20"/>
      <c r="B90" s="111"/>
      <c r="C90" s="111"/>
      <c r="D90" s="111"/>
      <c r="E90" s="111"/>
      <c r="F90" s="111"/>
      <c r="G90" s="111"/>
      <c r="H90" s="111"/>
      <c r="I90" s="111"/>
      <c r="J90" s="111"/>
      <c r="K90" s="111"/>
      <c r="L90" s="111"/>
      <c r="M90" s="111"/>
      <c r="N90" s="280"/>
      <c r="O90" s="20"/>
      <c r="P90" s="111"/>
      <c r="Q90" s="111"/>
      <c r="R90" s="111"/>
      <c r="S90" s="111"/>
      <c r="T90" s="111"/>
      <c r="U90" s="111"/>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c r="CB90" s="111"/>
      <c r="CC90" s="111"/>
      <c r="CD90" s="111"/>
      <c r="CE90" s="111"/>
      <c r="CF90" s="111"/>
      <c r="CG90" s="111"/>
      <c r="CH90" s="111"/>
      <c r="CI90" s="111"/>
      <c r="CJ90" s="111"/>
      <c r="CK90" s="111"/>
      <c r="CL90" s="111"/>
      <c r="CM90" s="111"/>
      <c r="CN90" s="111"/>
      <c r="CO90" s="111"/>
      <c r="CP90" s="111"/>
      <c r="CQ90" s="111"/>
      <c r="CR90" s="111"/>
      <c r="CS90" s="111"/>
      <c r="CT90" s="111"/>
      <c r="CU90" s="111"/>
      <c r="CV90" s="111"/>
      <c r="CW90" s="111"/>
      <c r="CX90" s="111"/>
      <c r="CY90" s="111"/>
      <c r="CZ90" s="111"/>
      <c r="DA90" s="111"/>
      <c r="DB90" s="305"/>
      <c r="DC90" s="111"/>
      <c r="DD90" s="266"/>
      <c r="DE90" s="269"/>
      <c r="DF90" s="269"/>
      <c r="DG90" s="269"/>
    </row>
    <row r="91" spans="1:111" s="109" customFormat="1" x14ac:dyDescent="0.25">
      <c r="A91" s="20"/>
      <c r="B91" s="111"/>
      <c r="C91" s="111"/>
      <c r="D91" s="111"/>
      <c r="E91" s="111"/>
      <c r="F91" s="111"/>
      <c r="G91" s="111"/>
      <c r="H91" s="111"/>
      <c r="I91" s="111"/>
      <c r="J91" s="111"/>
      <c r="K91" s="111"/>
      <c r="L91" s="111"/>
      <c r="M91" s="111"/>
      <c r="N91" s="280"/>
      <c r="O91" s="20"/>
      <c r="P91" s="103"/>
      <c r="Q91" s="111"/>
      <c r="R91" s="13"/>
      <c r="S91" s="13"/>
      <c r="T91" s="103"/>
      <c r="U91" s="103"/>
      <c r="V91" s="103"/>
      <c r="W91" s="111"/>
      <c r="X91" s="111"/>
      <c r="Y91" s="111"/>
      <c r="Z91" s="111"/>
      <c r="AA91" s="111"/>
      <c r="AB91" s="103"/>
      <c r="AC91" s="111"/>
      <c r="AD91" s="111"/>
      <c r="AE91" s="103"/>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c r="CR91" s="103"/>
      <c r="CS91" s="103"/>
      <c r="CT91" s="103"/>
      <c r="CU91" s="103"/>
      <c r="CV91" s="103"/>
      <c r="CW91" s="103"/>
      <c r="CX91" s="103"/>
      <c r="CY91" s="103"/>
      <c r="CZ91" s="103"/>
      <c r="DA91" s="103"/>
      <c r="DB91" s="386"/>
      <c r="DC91" s="103"/>
      <c r="DD91" s="266"/>
      <c r="DE91" s="269"/>
      <c r="DF91" s="269"/>
      <c r="DG91" s="269"/>
    </row>
    <row r="92" spans="1:111" s="109" customFormat="1" x14ac:dyDescent="0.25">
      <c r="A92" s="20"/>
      <c r="B92" s="111"/>
      <c r="C92" s="111"/>
      <c r="D92" s="111"/>
      <c r="E92" s="111"/>
      <c r="F92" s="111"/>
      <c r="G92" s="111"/>
      <c r="H92" s="111"/>
      <c r="I92" s="111"/>
      <c r="J92" s="111"/>
      <c r="K92" s="111"/>
      <c r="L92" s="111"/>
      <c r="M92" s="111"/>
      <c r="N92" s="280"/>
      <c r="O92" s="20"/>
      <c r="P92" s="103"/>
      <c r="Q92" s="111"/>
      <c r="R92" s="13"/>
      <c r="S92" s="13"/>
      <c r="T92" s="103"/>
      <c r="U92" s="103"/>
      <c r="V92" s="103"/>
      <c r="W92" s="111"/>
      <c r="X92" s="111"/>
      <c r="Y92" s="111"/>
      <c r="Z92" s="111"/>
      <c r="AA92" s="111"/>
      <c r="AB92" s="103"/>
      <c r="AC92" s="111"/>
      <c r="AD92" s="111"/>
      <c r="AE92" s="103"/>
      <c r="AF92" s="111"/>
      <c r="AG92" s="111"/>
      <c r="AH92" s="111"/>
      <c r="AI92" s="111"/>
      <c r="AJ92" s="111"/>
      <c r="AK92" s="111"/>
      <c r="AL92" s="111"/>
      <c r="AM92" s="111"/>
      <c r="AN92" s="111"/>
      <c r="AO92" s="111"/>
      <c r="AP92" s="111"/>
      <c r="AQ92" s="111"/>
      <c r="AR92" s="111"/>
      <c r="AS92" s="111"/>
      <c r="AT92" s="111"/>
      <c r="AU92" s="111"/>
      <c r="AV92" s="111"/>
      <c r="AW92" s="111"/>
      <c r="AX92" s="111"/>
      <c r="AY92" s="111"/>
      <c r="AZ92" s="111"/>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c r="CR92" s="103"/>
      <c r="CS92" s="103"/>
      <c r="CT92" s="103"/>
      <c r="CU92" s="103"/>
      <c r="CV92" s="103"/>
      <c r="CW92" s="103"/>
      <c r="CX92" s="103"/>
      <c r="CY92" s="103"/>
      <c r="CZ92" s="103"/>
      <c r="DA92" s="103"/>
      <c r="DB92" s="386"/>
      <c r="DC92" s="103"/>
      <c r="DD92" s="266"/>
      <c r="DE92" s="269"/>
      <c r="DF92" s="269"/>
      <c r="DG92" s="269"/>
    </row>
    <row r="93" spans="1:111" s="109" customFormat="1" x14ac:dyDescent="0.25">
      <c r="A93" s="20"/>
      <c r="B93" s="111"/>
      <c r="C93" s="111"/>
      <c r="D93" s="111"/>
      <c r="E93" s="111"/>
      <c r="F93" s="111"/>
      <c r="G93" s="111"/>
      <c r="H93" s="111"/>
      <c r="I93" s="111"/>
      <c r="J93" s="111"/>
      <c r="K93" s="111"/>
      <c r="L93" s="111"/>
      <c r="M93" s="111"/>
      <c r="N93" s="280"/>
      <c r="O93" s="20"/>
      <c r="P93" s="103"/>
      <c r="Q93" s="111"/>
      <c r="R93" s="13"/>
      <c r="S93" s="13"/>
      <c r="T93" s="103"/>
      <c r="U93" s="103"/>
      <c r="V93" s="103"/>
      <c r="W93" s="111"/>
      <c r="X93" s="111"/>
      <c r="Y93" s="111"/>
      <c r="Z93" s="111"/>
      <c r="AA93" s="111"/>
      <c r="AB93" s="103"/>
      <c r="AC93" s="111"/>
      <c r="AD93" s="111"/>
      <c r="AE93" s="103"/>
      <c r="AF93" s="111"/>
      <c r="AG93" s="111"/>
      <c r="AH93" s="111"/>
      <c r="AI93" s="111"/>
      <c r="AJ93" s="111"/>
      <c r="AK93" s="111"/>
      <c r="AL93" s="111"/>
      <c r="AM93" s="111"/>
      <c r="AN93" s="111"/>
      <c r="AO93" s="111"/>
      <c r="AP93" s="111"/>
      <c r="AQ93" s="111"/>
      <c r="AR93" s="111"/>
      <c r="AS93" s="111"/>
      <c r="AT93" s="111"/>
      <c r="AU93" s="111"/>
      <c r="AV93" s="111"/>
      <c r="AW93" s="111"/>
      <c r="AX93" s="111"/>
      <c r="AY93" s="111"/>
      <c r="AZ93" s="111"/>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c r="CR93" s="103"/>
      <c r="CS93" s="103"/>
      <c r="CT93" s="103"/>
      <c r="CU93" s="103"/>
      <c r="CV93" s="103"/>
      <c r="CW93" s="103"/>
      <c r="CX93" s="103"/>
      <c r="CY93" s="103"/>
      <c r="CZ93" s="103"/>
      <c r="DA93" s="103"/>
      <c r="DB93" s="386"/>
      <c r="DC93" s="103"/>
      <c r="DD93" s="266"/>
      <c r="DE93" s="269"/>
      <c r="DF93" s="269"/>
      <c r="DG93" s="269"/>
    </row>
    <row r="94" spans="1:111" s="109" customFormat="1" x14ac:dyDescent="0.25">
      <c r="A94" s="18"/>
      <c r="B94" s="13"/>
      <c r="C94" s="13"/>
      <c r="D94" s="13"/>
      <c r="E94" s="13"/>
      <c r="F94" s="13"/>
      <c r="G94" s="13"/>
      <c r="H94" s="13"/>
      <c r="I94" s="13"/>
      <c r="J94" s="13"/>
      <c r="K94" s="13"/>
      <c r="L94" s="13"/>
      <c r="M94" s="13"/>
      <c r="N94" s="280"/>
      <c r="O94" s="20"/>
      <c r="P94" s="13"/>
      <c r="Q94" s="111"/>
      <c r="R94" s="13"/>
      <c r="S94" s="13"/>
      <c r="T94" s="13"/>
      <c r="U94" s="13"/>
      <c r="V94" s="13"/>
      <c r="W94" s="13"/>
      <c r="X94" s="13"/>
      <c r="Y94" s="13"/>
      <c r="Z94" s="111"/>
      <c r="AA94" s="111"/>
      <c r="AB94" s="13"/>
      <c r="AC94" s="111"/>
      <c r="AD94" s="111"/>
      <c r="AE94" s="13"/>
      <c r="AF94" s="111"/>
      <c r="AG94" s="111"/>
      <c r="AH94" s="111"/>
      <c r="AI94" s="111"/>
      <c r="AJ94" s="111"/>
      <c r="AK94" s="111"/>
      <c r="AL94" s="111"/>
      <c r="AM94" s="111"/>
      <c r="AN94" s="111"/>
      <c r="AO94" s="111"/>
      <c r="AP94" s="111"/>
      <c r="AQ94" s="111"/>
      <c r="AR94" s="111"/>
      <c r="AS94" s="111"/>
      <c r="AT94" s="111"/>
      <c r="AU94" s="111"/>
      <c r="AV94" s="111"/>
      <c r="AW94" s="111"/>
      <c r="AX94" s="111"/>
      <c r="AY94" s="111"/>
      <c r="AZ94" s="111"/>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360"/>
      <c r="DC94" s="13"/>
      <c r="DD94" s="266"/>
      <c r="DE94" s="269"/>
      <c r="DF94" s="269"/>
      <c r="DG94" s="269"/>
    </row>
    <row r="95" spans="1:111" s="109" customFormat="1" x14ac:dyDescent="0.25">
      <c r="A95" s="18"/>
      <c r="B95" s="13"/>
      <c r="C95" s="13"/>
      <c r="D95" s="13"/>
      <c r="E95" s="13"/>
      <c r="F95" s="13"/>
      <c r="G95" s="13"/>
      <c r="H95" s="13"/>
      <c r="I95" s="13"/>
      <c r="J95" s="13"/>
      <c r="K95" s="13"/>
      <c r="L95" s="13"/>
      <c r="M95" s="13"/>
      <c r="N95" s="280"/>
      <c r="O95" s="20"/>
      <c r="P95" s="13"/>
      <c r="Q95" s="111"/>
      <c r="R95" s="13"/>
      <c r="S95" s="13"/>
      <c r="T95" s="13"/>
      <c r="U95" s="13"/>
      <c r="V95" s="13"/>
      <c r="W95" s="13"/>
      <c r="X95" s="13"/>
      <c r="Y95" s="13"/>
      <c r="Z95" s="111"/>
      <c r="AA95" s="111"/>
      <c r="AB95" s="13"/>
      <c r="AC95" s="111"/>
      <c r="AD95" s="111"/>
      <c r="AE95" s="13"/>
      <c r="AF95" s="111"/>
      <c r="AG95" s="111"/>
      <c r="AH95" s="111"/>
      <c r="AI95" s="111"/>
      <c r="AJ95" s="111"/>
      <c r="AK95" s="111"/>
      <c r="AL95" s="111"/>
      <c r="AM95" s="111"/>
      <c r="AN95" s="111"/>
      <c r="AO95" s="111"/>
      <c r="AP95" s="111"/>
      <c r="AQ95" s="111"/>
      <c r="AR95" s="111"/>
      <c r="AS95" s="111"/>
      <c r="AT95" s="111"/>
      <c r="AU95" s="111"/>
      <c r="AV95" s="111"/>
      <c r="AW95" s="111"/>
      <c r="AX95" s="111"/>
      <c r="AY95" s="111"/>
      <c r="AZ95" s="111"/>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360"/>
      <c r="DC95" s="13"/>
      <c r="DD95" s="266"/>
      <c r="DE95" s="269"/>
      <c r="DF95" s="269"/>
      <c r="DG95" s="269"/>
    </row>
    <row r="96" spans="1:111" s="109" customFormat="1" x14ac:dyDescent="0.25">
      <c r="A96" s="18"/>
      <c r="B96" s="13"/>
      <c r="C96" s="13"/>
      <c r="D96" s="13"/>
      <c r="E96" s="13"/>
      <c r="F96" s="13"/>
      <c r="G96" s="13"/>
      <c r="H96" s="13"/>
      <c r="I96" s="13"/>
      <c r="J96" s="13"/>
      <c r="K96" s="13"/>
      <c r="L96" s="13"/>
      <c r="M96" s="13"/>
      <c r="N96" s="280"/>
      <c r="O96" s="20"/>
      <c r="P96" s="13"/>
      <c r="Q96" s="111"/>
      <c r="R96" s="13"/>
      <c r="S96" s="13"/>
      <c r="T96" s="13"/>
      <c r="U96" s="13"/>
      <c r="V96" s="13"/>
      <c r="W96" s="13"/>
      <c r="X96" s="13"/>
      <c r="Y96" s="13"/>
      <c r="Z96" s="111"/>
      <c r="AA96" s="111"/>
      <c r="AB96" s="13"/>
      <c r="AC96" s="111"/>
      <c r="AD96" s="111"/>
      <c r="AE96" s="13"/>
      <c r="AF96" s="111"/>
      <c r="AG96" s="111"/>
      <c r="AH96" s="111"/>
      <c r="AI96" s="111"/>
      <c r="AJ96" s="111"/>
      <c r="AK96" s="111"/>
      <c r="AL96" s="111"/>
      <c r="AM96" s="111"/>
      <c r="AN96" s="111"/>
      <c r="AO96" s="111"/>
      <c r="AP96" s="111"/>
      <c r="AQ96" s="111"/>
      <c r="AR96" s="111"/>
      <c r="AS96" s="111"/>
      <c r="AT96" s="111"/>
      <c r="AU96" s="111"/>
      <c r="AV96" s="111"/>
      <c r="AW96" s="111"/>
      <c r="AX96" s="111"/>
      <c r="AY96" s="111"/>
      <c r="AZ96" s="111"/>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360"/>
      <c r="DC96" s="13"/>
      <c r="DD96" s="266"/>
      <c r="DE96" s="269"/>
      <c r="DF96" s="269"/>
      <c r="DG96" s="269"/>
    </row>
    <row r="97" spans="1:111" s="109" customFormat="1" x14ac:dyDescent="0.25">
      <c r="A97" s="18"/>
      <c r="B97" s="13"/>
      <c r="C97" s="13"/>
      <c r="D97" s="13"/>
      <c r="E97" s="13"/>
      <c r="F97" s="13"/>
      <c r="G97" s="13"/>
      <c r="H97" s="13"/>
      <c r="I97" s="13"/>
      <c r="J97" s="13"/>
      <c r="K97" s="13"/>
      <c r="L97" s="13"/>
      <c r="M97" s="13"/>
      <c r="N97" s="280"/>
      <c r="O97" s="20"/>
      <c r="P97" s="13"/>
      <c r="Q97" s="111"/>
      <c r="R97" s="13"/>
      <c r="S97" s="13"/>
      <c r="T97" s="13"/>
      <c r="U97" s="13"/>
      <c r="V97" s="13"/>
      <c r="W97" s="13"/>
      <c r="X97" s="13"/>
      <c r="Y97" s="13"/>
      <c r="Z97" s="111"/>
      <c r="AA97" s="111"/>
      <c r="AB97" s="13"/>
      <c r="AC97" s="111"/>
      <c r="AD97" s="111"/>
      <c r="AE97" s="13"/>
      <c r="AF97" s="111"/>
      <c r="AG97" s="111"/>
      <c r="AH97" s="111"/>
      <c r="AI97" s="111"/>
      <c r="AJ97" s="111"/>
      <c r="AK97" s="111"/>
      <c r="AL97" s="111"/>
      <c r="AM97" s="111"/>
      <c r="AN97" s="111"/>
      <c r="AO97" s="111"/>
      <c r="AP97" s="111"/>
      <c r="AQ97" s="111"/>
      <c r="AR97" s="111"/>
      <c r="AS97" s="111"/>
      <c r="AT97" s="111"/>
      <c r="AU97" s="111"/>
      <c r="AV97" s="111"/>
      <c r="AW97" s="111"/>
      <c r="AX97" s="111"/>
      <c r="AY97" s="111"/>
      <c r="AZ97" s="111"/>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360"/>
      <c r="DC97" s="13"/>
      <c r="DD97" s="266"/>
      <c r="DE97" s="269"/>
      <c r="DF97" s="269"/>
      <c r="DG97" s="269"/>
    </row>
    <row r="98" spans="1:111" s="109" customFormat="1" x14ac:dyDescent="0.25">
      <c r="A98" s="18"/>
      <c r="B98" s="13"/>
      <c r="C98" s="13"/>
      <c r="D98" s="13"/>
      <c r="E98" s="13"/>
      <c r="F98" s="13"/>
      <c r="G98" s="13"/>
      <c r="H98" s="13"/>
      <c r="I98" s="13"/>
      <c r="J98" s="13"/>
      <c r="K98" s="13"/>
      <c r="L98" s="13"/>
      <c r="M98" s="13"/>
      <c r="N98" s="280"/>
      <c r="O98" s="20"/>
      <c r="P98" s="13"/>
      <c r="Q98" s="111"/>
      <c r="R98" s="13"/>
      <c r="S98" s="13"/>
      <c r="T98" s="13"/>
      <c r="U98" s="13"/>
      <c r="V98" s="13"/>
      <c r="W98" s="13"/>
      <c r="X98" s="13"/>
      <c r="Y98" s="13"/>
      <c r="Z98" s="111"/>
      <c r="AA98" s="111"/>
      <c r="AB98" s="13"/>
      <c r="AC98" s="111"/>
      <c r="AD98" s="111"/>
      <c r="AE98" s="13"/>
      <c r="AF98" s="111"/>
      <c r="AG98" s="111"/>
      <c r="AH98" s="111"/>
      <c r="AI98" s="111"/>
      <c r="AJ98" s="111"/>
      <c r="AK98" s="111"/>
      <c r="AL98" s="111"/>
      <c r="AM98" s="111"/>
      <c r="AN98" s="111"/>
      <c r="AO98" s="111"/>
      <c r="AP98" s="111"/>
      <c r="AQ98" s="111"/>
      <c r="AR98" s="111"/>
      <c r="AS98" s="111"/>
      <c r="AT98" s="111"/>
      <c r="AU98" s="111"/>
      <c r="AV98" s="111"/>
      <c r="AW98" s="111"/>
      <c r="AX98" s="111"/>
      <c r="AY98" s="111"/>
      <c r="AZ98" s="111"/>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360"/>
      <c r="DC98" s="13"/>
      <c r="DD98" s="266"/>
      <c r="DE98" s="269"/>
      <c r="DF98" s="269"/>
      <c r="DG98" s="269"/>
    </row>
    <row r="99" spans="1:111" s="109" customFormat="1" x14ac:dyDescent="0.25">
      <c r="A99" s="18"/>
      <c r="B99" s="13"/>
      <c r="C99" s="13"/>
      <c r="D99" s="13"/>
      <c r="E99" s="13"/>
      <c r="F99" s="13"/>
      <c r="G99" s="13"/>
      <c r="H99" s="13"/>
      <c r="I99" s="13"/>
      <c r="J99" s="13"/>
      <c r="K99" s="13"/>
      <c r="L99" s="13"/>
      <c r="M99" s="13"/>
      <c r="N99" s="280"/>
      <c r="O99" s="14"/>
      <c r="P99" s="13"/>
      <c r="Q99" s="110"/>
      <c r="R99" s="111"/>
      <c r="S99" s="111"/>
      <c r="T99" s="13"/>
      <c r="U99" s="13"/>
      <c r="V99" s="13"/>
      <c r="W99" s="13"/>
      <c r="X99" s="13"/>
      <c r="Y99" s="13"/>
      <c r="Z99" s="110"/>
      <c r="AA99" s="110"/>
      <c r="AB99" s="13"/>
      <c r="AC99" s="110"/>
      <c r="AD99" s="110"/>
      <c r="AE99" s="13"/>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360"/>
      <c r="DC99" s="13"/>
      <c r="DD99" s="266"/>
      <c r="DE99" s="269"/>
      <c r="DF99" s="269"/>
      <c r="DG99" s="269"/>
    </row>
    <row r="100" spans="1:111" x14ac:dyDescent="0.25">
      <c r="A100" s="18"/>
      <c r="B100" s="13"/>
      <c r="C100" s="13"/>
      <c r="D100" s="13"/>
      <c r="E100" s="13"/>
      <c r="F100" s="13"/>
      <c r="G100" s="13"/>
      <c r="H100" s="13"/>
      <c r="I100" s="13"/>
      <c r="J100" s="13"/>
      <c r="K100" s="13"/>
      <c r="L100" s="13"/>
      <c r="M100" s="13"/>
      <c r="N100" s="278"/>
      <c r="O100" s="18"/>
      <c r="P100" s="13"/>
      <c r="Q100" s="111"/>
      <c r="R100" s="111"/>
      <c r="S100" s="111"/>
      <c r="T100" s="111"/>
      <c r="U100" s="111"/>
      <c r="V100" s="111"/>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360"/>
      <c r="DC100" s="13"/>
      <c r="DD100" s="266"/>
      <c r="DE100" s="269"/>
      <c r="DF100" s="269"/>
      <c r="DG100" s="269"/>
    </row>
    <row r="101" spans="1:111" x14ac:dyDescent="0.25">
      <c r="A101" s="18"/>
      <c r="B101" s="13"/>
      <c r="C101" s="13"/>
      <c r="D101" s="13"/>
      <c r="E101" s="13"/>
      <c r="F101" s="13"/>
      <c r="G101" s="13"/>
      <c r="H101" s="13"/>
      <c r="I101" s="13"/>
      <c r="J101" s="13"/>
      <c r="K101" s="13"/>
      <c r="L101" s="13"/>
      <c r="M101" s="13"/>
      <c r="N101" s="278"/>
      <c r="O101" s="18"/>
      <c r="P101" s="13"/>
      <c r="Q101" s="111"/>
      <c r="R101" s="111"/>
      <c r="S101" s="111"/>
      <c r="T101" s="111"/>
      <c r="U101" s="111"/>
      <c r="V101" s="111"/>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360"/>
      <c r="DC101" s="13"/>
      <c r="DD101" s="266"/>
      <c r="DE101" s="269"/>
      <c r="DF101" s="269"/>
      <c r="DG101" s="269"/>
    </row>
    <row r="102" spans="1:111" x14ac:dyDescent="0.25">
      <c r="A102" s="18"/>
      <c r="B102" s="13"/>
      <c r="C102" s="13"/>
      <c r="D102" s="13"/>
      <c r="E102" s="13"/>
      <c r="F102" s="13"/>
      <c r="G102" s="13"/>
      <c r="H102" s="13"/>
      <c r="I102" s="13"/>
      <c r="J102" s="13"/>
      <c r="K102" s="13"/>
      <c r="L102" s="13"/>
      <c r="M102" s="13"/>
      <c r="N102" s="278"/>
      <c r="O102" s="18"/>
      <c r="P102" s="13"/>
      <c r="Q102" s="111"/>
      <c r="R102" s="13"/>
      <c r="S102" s="13"/>
      <c r="T102" s="103"/>
      <c r="U102" s="103"/>
      <c r="V102" s="10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360"/>
      <c r="DC102" s="13"/>
      <c r="DD102" s="266"/>
      <c r="DE102" s="269"/>
      <c r="DF102" s="269"/>
      <c r="DG102" s="269"/>
    </row>
    <row r="103" spans="1:111" x14ac:dyDescent="0.25">
      <c r="A103" s="18"/>
      <c r="B103" s="13"/>
      <c r="C103" s="13"/>
      <c r="D103" s="13"/>
      <c r="E103" s="13"/>
      <c r="F103" s="13"/>
      <c r="G103" s="13"/>
      <c r="H103" s="13"/>
      <c r="I103" s="13"/>
      <c r="J103" s="13"/>
      <c r="K103" s="13"/>
      <c r="L103" s="13"/>
      <c r="M103" s="13"/>
      <c r="N103" s="278"/>
      <c r="O103" s="18"/>
      <c r="P103" s="13"/>
      <c r="Q103" s="111"/>
      <c r="R103" s="13"/>
      <c r="S103" s="13"/>
      <c r="T103" s="103"/>
      <c r="U103" s="103"/>
      <c r="V103" s="10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360"/>
      <c r="DC103" s="13"/>
      <c r="DD103" s="266"/>
      <c r="DE103" s="269"/>
      <c r="DF103" s="269"/>
      <c r="DG103" s="269"/>
    </row>
    <row r="104" spans="1:111" x14ac:dyDescent="0.25">
      <c r="A104" s="18"/>
      <c r="B104" s="13"/>
      <c r="C104" s="13"/>
      <c r="D104" s="13"/>
      <c r="E104" s="13"/>
      <c r="F104" s="13"/>
      <c r="G104" s="13"/>
      <c r="H104" s="13"/>
      <c r="I104" s="13"/>
      <c r="J104" s="13"/>
      <c r="K104" s="13"/>
      <c r="L104" s="13"/>
      <c r="M104" s="13"/>
      <c r="N104" s="278"/>
      <c r="O104" s="18"/>
      <c r="P104" s="13"/>
      <c r="Q104" s="111"/>
      <c r="R104" s="13"/>
      <c r="S104" s="13"/>
      <c r="T104" s="103"/>
      <c r="U104" s="103"/>
      <c r="V104" s="10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360"/>
      <c r="DC104" s="13"/>
      <c r="DD104" s="266"/>
      <c r="DE104" s="269"/>
      <c r="DF104" s="269"/>
      <c r="DG104" s="269"/>
    </row>
    <row r="105" spans="1:111" x14ac:dyDescent="0.25">
      <c r="A105" s="18"/>
      <c r="B105" s="13"/>
      <c r="C105" s="13"/>
      <c r="D105" s="13"/>
      <c r="E105" s="13"/>
      <c r="F105" s="13"/>
      <c r="G105" s="13"/>
      <c r="H105" s="13"/>
      <c r="I105" s="13"/>
      <c r="J105" s="13"/>
      <c r="K105" s="13"/>
      <c r="L105" s="13"/>
      <c r="M105" s="13"/>
      <c r="N105" s="278"/>
      <c r="O105" s="18"/>
      <c r="P105" s="13"/>
      <c r="Q105" s="111"/>
      <c r="R105" s="13"/>
      <c r="S105" s="13"/>
      <c r="T105" s="103"/>
      <c r="U105" s="103"/>
      <c r="V105" s="10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360"/>
      <c r="DC105" s="13"/>
      <c r="DD105" s="266"/>
      <c r="DE105" s="269"/>
      <c r="DF105" s="269"/>
      <c r="DG105" s="269"/>
    </row>
    <row r="106" spans="1:111" x14ac:dyDescent="0.25">
      <c r="A106" s="18"/>
      <c r="B106" s="13"/>
      <c r="C106" s="13"/>
      <c r="D106" s="13"/>
      <c r="E106" s="13"/>
      <c r="F106" s="13"/>
      <c r="G106" s="13"/>
      <c r="H106" s="13"/>
      <c r="I106" s="13"/>
      <c r="J106" s="13"/>
      <c r="K106" s="13"/>
      <c r="L106" s="13"/>
      <c r="M106" s="13"/>
      <c r="N106" s="278"/>
      <c r="O106" s="18"/>
      <c r="P106" s="13"/>
      <c r="Q106" s="111"/>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360"/>
      <c r="DC106" s="13"/>
      <c r="DD106" s="266"/>
      <c r="DE106" s="269"/>
      <c r="DF106" s="269"/>
      <c r="DG106" s="269"/>
    </row>
    <row r="107" spans="1:111" x14ac:dyDescent="0.25">
      <c r="A107" s="18"/>
      <c r="B107" s="13"/>
      <c r="C107" s="13"/>
      <c r="D107" s="13"/>
      <c r="E107" s="13"/>
      <c r="F107" s="13"/>
      <c r="G107" s="13"/>
      <c r="H107" s="13"/>
      <c r="I107" s="13"/>
      <c r="J107" s="13"/>
      <c r="K107" s="13"/>
      <c r="L107" s="13"/>
      <c r="M107" s="13"/>
      <c r="N107" s="278"/>
      <c r="O107" s="18"/>
      <c r="P107" s="13"/>
      <c r="Q107" s="111"/>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360"/>
      <c r="DC107" s="13"/>
      <c r="DD107" s="266"/>
      <c r="DE107" s="269"/>
      <c r="DF107" s="269"/>
      <c r="DG107" s="269"/>
    </row>
    <row r="108" spans="1:111" x14ac:dyDescent="0.25">
      <c r="A108" s="18"/>
      <c r="B108" s="13"/>
      <c r="C108" s="13"/>
      <c r="D108" s="13"/>
      <c r="E108" s="13"/>
      <c r="F108" s="13"/>
      <c r="G108" s="13"/>
      <c r="H108" s="13"/>
      <c r="I108" s="13"/>
      <c r="J108" s="13"/>
      <c r="K108" s="13"/>
      <c r="L108" s="13"/>
      <c r="M108" s="13"/>
      <c r="N108" s="278"/>
      <c r="O108" s="18"/>
      <c r="P108" s="13"/>
      <c r="Q108" s="111"/>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360"/>
      <c r="DC108" s="13"/>
      <c r="DD108" s="266"/>
      <c r="DE108" s="269"/>
      <c r="DF108" s="269"/>
      <c r="DG108" s="269"/>
    </row>
    <row r="109" spans="1:111" x14ac:dyDescent="0.25">
      <c r="A109" s="18"/>
      <c r="B109" s="13"/>
      <c r="C109" s="13"/>
      <c r="D109" s="13"/>
      <c r="E109" s="13"/>
      <c r="F109" s="13"/>
      <c r="G109" s="13"/>
      <c r="H109" s="13"/>
      <c r="I109" s="13"/>
      <c r="J109" s="13"/>
      <c r="K109" s="13"/>
      <c r="L109" s="13"/>
      <c r="M109" s="13"/>
      <c r="N109" s="278"/>
      <c r="O109" s="18"/>
      <c r="P109" s="13"/>
      <c r="Q109" s="111"/>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360"/>
      <c r="DC109" s="13"/>
      <c r="DD109" s="266"/>
      <c r="DE109" s="269"/>
      <c r="DF109" s="269"/>
      <c r="DG109" s="269"/>
    </row>
    <row r="110" spans="1:111" x14ac:dyDescent="0.25">
      <c r="A110" s="18"/>
      <c r="B110" s="13"/>
      <c r="C110" s="13"/>
      <c r="D110" s="13"/>
      <c r="E110" s="13"/>
      <c r="F110" s="13"/>
      <c r="G110" s="13"/>
      <c r="H110" s="13"/>
      <c r="I110" s="13"/>
      <c r="J110" s="13"/>
      <c r="K110" s="13"/>
      <c r="L110" s="13"/>
      <c r="M110" s="13"/>
      <c r="N110" s="278"/>
      <c r="O110" s="18"/>
      <c r="P110" s="13"/>
      <c r="Q110" s="111"/>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360"/>
      <c r="DC110" s="13"/>
      <c r="DD110" s="266"/>
      <c r="DE110" s="269"/>
      <c r="DF110" s="269"/>
      <c r="DG110" s="269"/>
    </row>
    <row r="111" spans="1:111" x14ac:dyDescent="0.25">
      <c r="A111" s="18"/>
      <c r="B111" s="13"/>
      <c r="C111" s="13"/>
      <c r="D111" s="13"/>
      <c r="E111" s="13"/>
      <c r="F111" s="13"/>
      <c r="G111" s="13"/>
      <c r="H111" s="13"/>
      <c r="I111" s="13"/>
      <c r="J111" s="13"/>
      <c r="K111" s="13"/>
      <c r="L111" s="13"/>
      <c r="M111" s="13"/>
      <c r="N111" s="278"/>
      <c r="O111" s="18"/>
      <c r="P111" s="13"/>
      <c r="Q111" s="110"/>
      <c r="R111" s="111"/>
      <c r="S111" s="111"/>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360"/>
      <c r="DC111" s="13"/>
      <c r="DD111" s="266"/>
      <c r="DE111" s="269"/>
      <c r="DF111" s="269"/>
      <c r="DG111" s="269"/>
    </row>
    <row r="112" spans="1:111" s="109" customFormat="1" x14ac:dyDescent="0.25">
      <c r="A112" s="18"/>
      <c r="B112" s="13"/>
      <c r="C112" s="13"/>
      <c r="D112" s="13"/>
      <c r="E112" s="13"/>
      <c r="F112" s="13"/>
      <c r="G112" s="13"/>
      <c r="H112" s="13"/>
      <c r="I112" s="13"/>
      <c r="J112" s="13"/>
      <c r="K112" s="13"/>
      <c r="L112" s="13"/>
      <c r="M112" s="13"/>
      <c r="N112" s="280"/>
      <c r="O112" s="18"/>
      <c r="P112" s="13"/>
      <c r="Q112" s="13"/>
      <c r="R112" s="13"/>
      <c r="S112" s="13"/>
      <c r="T112" s="13"/>
      <c r="U112" s="13"/>
      <c r="V112" s="13"/>
      <c r="W112" s="13"/>
      <c r="X112" s="13"/>
      <c r="Y112" s="13"/>
      <c r="Z112" s="111"/>
      <c r="AA112" s="111"/>
      <c r="AB112" s="111"/>
      <c r="AC112" s="13"/>
      <c r="AD112" s="111"/>
      <c r="AE112" s="111"/>
      <c r="AF112" s="111"/>
      <c r="AG112" s="13"/>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c r="CB112" s="111"/>
      <c r="CC112" s="111"/>
      <c r="CD112" s="111"/>
      <c r="CE112" s="111"/>
      <c r="CF112" s="111"/>
      <c r="CG112" s="111"/>
      <c r="CH112" s="111"/>
      <c r="CI112" s="111"/>
      <c r="CJ112" s="111"/>
      <c r="CK112" s="111"/>
      <c r="CL112" s="111"/>
      <c r="CM112" s="111"/>
      <c r="CN112" s="111"/>
      <c r="CO112" s="111"/>
      <c r="CP112" s="111"/>
      <c r="CQ112" s="111"/>
      <c r="CR112" s="111"/>
      <c r="CS112" s="111"/>
      <c r="CT112" s="111"/>
      <c r="CU112" s="111"/>
      <c r="CV112" s="111"/>
      <c r="CW112" s="111"/>
      <c r="CX112" s="111"/>
      <c r="CY112" s="111"/>
      <c r="CZ112" s="111"/>
      <c r="DA112" s="111"/>
      <c r="DB112" s="305"/>
      <c r="DC112" s="111"/>
      <c r="DD112" s="266"/>
      <c r="DE112" s="269"/>
      <c r="DF112" s="269"/>
      <c r="DG112" s="269"/>
    </row>
    <row r="113" spans="1:111" s="109" customFormat="1" x14ac:dyDescent="0.25">
      <c r="A113" s="18"/>
      <c r="B113" s="13"/>
      <c r="C113" s="13"/>
      <c r="D113" s="13"/>
      <c r="E113" s="13"/>
      <c r="F113" s="13"/>
      <c r="G113" s="13"/>
      <c r="H113" s="13"/>
      <c r="I113" s="13"/>
      <c r="J113" s="13"/>
      <c r="K113" s="13"/>
      <c r="L113" s="13"/>
      <c r="M113" s="13"/>
      <c r="N113" s="280"/>
      <c r="O113" s="18"/>
      <c r="P113" s="13"/>
      <c r="Q113" s="13"/>
      <c r="R113" s="13"/>
      <c r="S113" s="13"/>
      <c r="T113" s="13"/>
      <c r="U113" s="13"/>
      <c r="V113" s="13"/>
      <c r="W113" s="13"/>
      <c r="X113" s="13"/>
      <c r="Y113" s="13"/>
      <c r="Z113" s="111"/>
      <c r="AA113" s="111"/>
      <c r="AB113" s="103"/>
      <c r="AC113" s="13"/>
      <c r="AD113" s="111"/>
      <c r="AE113" s="103"/>
      <c r="AF113" s="111"/>
      <c r="AG113" s="13"/>
      <c r="AH113" s="111"/>
      <c r="AI113" s="111"/>
      <c r="AJ113" s="111"/>
      <c r="AK113" s="111"/>
      <c r="AL113" s="111"/>
      <c r="AM113" s="111"/>
      <c r="AN113" s="111"/>
      <c r="AO113" s="111"/>
      <c r="AP113" s="111"/>
      <c r="AQ113" s="111"/>
      <c r="AR113" s="111"/>
      <c r="AS113" s="111"/>
      <c r="AT113" s="111"/>
      <c r="AU113" s="111"/>
      <c r="AV113" s="111"/>
      <c r="AW113" s="111"/>
      <c r="AX113" s="111"/>
      <c r="AY113" s="111"/>
      <c r="AZ113" s="111"/>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c r="CR113" s="103"/>
      <c r="CS113" s="103"/>
      <c r="CT113" s="103"/>
      <c r="CU113" s="103"/>
      <c r="CV113" s="103"/>
      <c r="CW113" s="103"/>
      <c r="CX113" s="103"/>
      <c r="CY113" s="103"/>
      <c r="CZ113" s="103"/>
      <c r="DA113" s="103"/>
      <c r="DB113" s="386"/>
      <c r="DC113" s="103"/>
      <c r="DD113" s="266"/>
      <c r="DE113" s="269"/>
      <c r="DF113" s="269"/>
      <c r="DG113" s="269"/>
    </row>
    <row r="114" spans="1:111" s="109" customFormat="1" x14ac:dyDescent="0.25">
      <c r="A114" s="14"/>
      <c r="B114" s="110"/>
      <c r="C114" s="110"/>
      <c r="D114" s="110"/>
      <c r="E114" s="110"/>
      <c r="F114" s="110"/>
      <c r="G114" s="110"/>
      <c r="H114" s="110"/>
      <c r="I114" s="110"/>
      <c r="J114" s="110"/>
      <c r="K114" s="110"/>
      <c r="L114" s="110"/>
      <c r="M114" s="110"/>
      <c r="N114" s="280"/>
      <c r="O114" s="14"/>
      <c r="P114" s="110"/>
      <c r="Q114" s="110"/>
      <c r="R114" s="110"/>
      <c r="S114" s="110"/>
      <c r="T114" s="110"/>
      <c r="U114" s="110"/>
      <c r="V114" s="110"/>
      <c r="W114" s="110"/>
      <c r="X114" s="110"/>
      <c r="Y114" s="110"/>
      <c r="Z114" s="111"/>
      <c r="AA114" s="111"/>
      <c r="AB114" s="103"/>
      <c r="AC114" s="110"/>
      <c r="AD114" s="111"/>
      <c r="AE114" s="103"/>
      <c r="AF114" s="111"/>
      <c r="AG114" s="110"/>
      <c r="AH114" s="111"/>
      <c r="AI114" s="111"/>
      <c r="AJ114" s="111"/>
      <c r="AK114" s="111"/>
      <c r="AL114" s="111"/>
      <c r="AM114" s="111"/>
      <c r="AN114" s="111"/>
      <c r="AO114" s="111"/>
      <c r="AP114" s="111"/>
      <c r="AQ114" s="111"/>
      <c r="AR114" s="111"/>
      <c r="AS114" s="111"/>
      <c r="AT114" s="111"/>
      <c r="AU114" s="111"/>
      <c r="AV114" s="111"/>
      <c r="AW114" s="111"/>
      <c r="AX114" s="111"/>
      <c r="AY114" s="111"/>
      <c r="AZ114" s="111"/>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c r="CR114" s="103"/>
      <c r="CS114" s="103"/>
      <c r="CT114" s="103"/>
      <c r="CU114" s="103"/>
      <c r="CV114" s="103"/>
      <c r="CW114" s="103"/>
      <c r="CX114" s="103"/>
      <c r="CY114" s="103"/>
      <c r="CZ114" s="103"/>
      <c r="DA114" s="103"/>
      <c r="DB114" s="386"/>
      <c r="DC114" s="103"/>
      <c r="DD114" s="266"/>
      <c r="DE114" s="269"/>
      <c r="DF114" s="269"/>
      <c r="DG114" s="269"/>
    </row>
    <row r="115" spans="1:111" s="109" customFormat="1" x14ac:dyDescent="0.25">
      <c r="A115" s="14"/>
      <c r="B115" s="110"/>
      <c r="C115" s="110"/>
      <c r="D115" s="110"/>
      <c r="E115" s="110"/>
      <c r="F115" s="110"/>
      <c r="G115" s="110"/>
      <c r="H115" s="110"/>
      <c r="I115" s="110"/>
      <c r="J115" s="110"/>
      <c r="K115" s="110"/>
      <c r="L115" s="110"/>
      <c r="M115" s="110"/>
      <c r="N115" s="280"/>
      <c r="O115" s="14"/>
      <c r="P115" s="110"/>
      <c r="Q115" s="110"/>
      <c r="R115" s="110"/>
      <c r="S115" s="110"/>
      <c r="T115" s="110"/>
      <c r="U115" s="110"/>
      <c r="V115" s="110"/>
      <c r="W115" s="110"/>
      <c r="X115" s="110"/>
      <c r="Y115" s="110"/>
      <c r="Z115" s="111"/>
      <c r="AA115" s="111"/>
      <c r="AB115" s="103"/>
      <c r="AC115" s="110"/>
      <c r="AD115" s="111"/>
      <c r="AE115" s="103"/>
      <c r="AF115" s="111"/>
      <c r="AG115" s="110"/>
      <c r="AH115" s="111"/>
      <c r="AI115" s="111"/>
      <c r="AJ115" s="111"/>
      <c r="AK115" s="111"/>
      <c r="AL115" s="111"/>
      <c r="AM115" s="111"/>
      <c r="AN115" s="111"/>
      <c r="AO115" s="111"/>
      <c r="AP115" s="111"/>
      <c r="AQ115" s="111"/>
      <c r="AR115" s="111"/>
      <c r="AS115" s="111"/>
      <c r="AT115" s="111"/>
      <c r="AU115" s="111"/>
      <c r="AV115" s="111"/>
      <c r="AW115" s="111"/>
      <c r="AX115" s="111"/>
      <c r="AY115" s="111"/>
      <c r="AZ115" s="111"/>
      <c r="BA115" s="103"/>
      <c r="BB115" s="103"/>
      <c r="BC115" s="103"/>
      <c r="BD115" s="103"/>
      <c r="BE115" s="103"/>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c r="CR115" s="103"/>
      <c r="CS115" s="103"/>
      <c r="CT115" s="103"/>
      <c r="CU115" s="103"/>
      <c r="CV115" s="103"/>
      <c r="CW115" s="103"/>
      <c r="CX115" s="103"/>
      <c r="CY115" s="103"/>
      <c r="CZ115" s="103"/>
      <c r="DA115" s="103"/>
      <c r="DB115" s="386"/>
      <c r="DC115" s="103"/>
      <c r="DD115" s="266"/>
      <c r="DE115" s="269"/>
      <c r="DF115" s="269"/>
      <c r="DG115" s="269"/>
    </row>
    <row r="116" spans="1:111" s="109" customFormat="1" x14ac:dyDescent="0.25">
      <c r="A116" s="14"/>
      <c r="B116" s="110"/>
      <c r="C116" s="110"/>
      <c r="D116" s="110"/>
      <c r="E116" s="110"/>
      <c r="F116" s="110"/>
      <c r="G116" s="110"/>
      <c r="H116" s="110"/>
      <c r="I116" s="110"/>
      <c r="J116" s="110"/>
      <c r="K116" s="110"/>
      <c r="L116" s="110"/>
      <c r="M116" s="110"/>
      <c r="N116" s="280"/>
      <c r="O116" s="14"/>
      <c r="P116" s="110"/>
      <c r="Q116" s="110"/>
      <c r="R116" s="110"/>
      <c r="S116" s="110"/>
      <c r="T116" s="110"/>
      <c r="U116" s="110"/>
      <c r="V116" s="110"/>
      <c r="W116" s="110"/>
      <c r="X116" s="110"/>
      <c r="Y116" s="110"/>
      <c r="Z116" s="111"/>
      <c r="AA116" s="111"/>
      <c r="AB116" s="13"/>
      <c r="AC116" s="110"/>
      <c r="AD116" s="111"/>
      <c r="AE116" s="13"/>
      <c r="AF116" s="111"/>
      <c r="AG116" s="110"/>
      <c r="AH116" s="111"/>
      <c r="AI116" s="111"/>
      <c r="AJ116" s="111"/>
      <c r="AK116" s="111"/>
      <c r="AL116" s="111"/>
      <c r="AM116" s="111"/>
      <c r="AN116" s="111"/>
      <c r="AO116" s="111"/>
      <c r="AP116" s="111"/>
      <c r="AQ116" s="111"/>
      <c r="AR116" s="111"/>
      <c r="AS116" s="111"/>
      <c r="AT116" s="111"/>
      <c r="AU116" s="111"/>
      <c r="AV116" s="111"/>
      <c r="AW116" s="111"/>
      <c r="AX116" s="111"/>
      <c r="AY116" s="111"/>
      <c r="AZ116" s="111"/>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360"/>
      <c r="DC116" s="13"/>
      <c r="DD116" s="266"/>
      <c r="DE116" s="269"/>
      <c r="DF116" s="269"/>
      <c r="DG116" s="269"/>
    </row>
    <row r="117" spans="1:111" s="109" customFormat="1" x14ac:dyDescent="0.25">
      <c r="A117" s="14"/>
      <c r="B117" s="110"/>
      <c r="C117" s="110"/>
      <c r="D117" s="110"/>
      <c r="E117" s="110"/>
      <c r="F117" s="110"/>
      <c r="G117" s="110"/>
      <c r="H117" s="110"/>
      <c r="I117" s="110"/>
      <c r="J117" s="110"/>
      <c r="K117" s="110"/>
      <c r="L117" s="110"/>
      <c r="M117" s="110"/>
      <c r="N117" s="280"/>
      <c r="O117" s="14"/>
      <c r="P117" s="110"/>
      <c r="Q117" s="110"/>
      <c r="R117" s="110"/>
      <c r="S117" s="110"/>
      <c r="T117" s="110"/>
      <c r="U117" s="110"/>
      <c r="V117" s="110"/>
      <c r="W117" s="110"/>
      <c r="X117" s="110"/>
      <c r="Y117" s="110"/>
      <c r="Z117" s="111"/>
      <c r="AA117" s="111"/>
      <c r="AB117" s="13"/>
      <c r="AC117" s="110"/>
      <c r="AD117" s="111"/>
      <c r="AE117" s="13"/>
      <c r="AF117" s="111"/>
      <c r="AG117" s="110"/>
      <c r="AH117" s="111"/>
      <c r="AI117" s="111"/>
      <c r="AJ117" s="111"/>
      <c r="AK117" s="111"/>
      <c r="AL117" s="111"/>
      <c r="AM117" s="111"/>
      <c r="AN117" s="111"/>
      <c r="AO117" s="111"/>
      <c r="AP117" s="111"/>
      <c r="AQ117" s="111"/>
      <c r="AR117" s="111"/>
      <c r="AS117" s="111"/>
      <c r="AT117" s="111"/>
      <c r="AU117" s="111"/>
      <c r="AV117" s="111"/>
      <c r="AW117" s="111"/>
      <c r="AX117" s="111"/>
      <c r="AY117" s="111"/>
      <c r="AZ117" s="111"/>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360"/>
      <c r="DC117" s="13"/>
      <c r="DD117" s="266"/>
      <c r="DE117" s="269"/>
      <c r="DF117" s="269"/>
      <c r="DG117" s="269"/>
    </row>
    <row r="118" spans="1:111" s="109" customFormat="1" x14ac:dyDescent="0.25">
      <c r="A118" s="14"/>
      <c r="B118" s="110"/>
      <c r="C118" s="110"/>
      <c r="D118" s="110"/>
      <c r="E118" s="110"/>
      <c r="F118" s="110"/>
      <c r="G118" s="110"/>
      <c r="H118" s="110"/>
      <c r="I118" s="110"/>
      <c r="J118" s="110"/>
      <c r="K118" s="110"/>
      <c r="L118" s="110"/>
      <c r="M118" s="110"/>
      <c r="N118" s="280"/>
      <c r="O118" s="14"/>
      <c r="P118" s="110"/>
      <c r="Q118" s="110"/>
      <c r="R118" s="110"/>
      <c r="S118" s="110"/>
      <c r="T118" s="110"/>
      <c r="U118" s="110"/>
      <c r="V118" s="110"/>
      <c r="W118" s="110"/>
      <c r="X118" s="110"/>
      <c r="Y118" s="110"/>
      <c r="Z118" s="111"/>
      <c r="AA118" s="111"/>
      <c r="AB118" s="13"/>
      <c r="AC118" s="110"/>
      <c r="AD118" s="111"/>
      <c r="AE118" s="13"/>
      <c r="AF118" s="111"/>
      <c r="AG118" s="110"/>
      <c r="AH118" s="111"/>
      <c r="AI118" s="111"/>
      <c r="AJ118" s="111"/>
      <c r="AK118" s="111"/>
      <c r="AL118" s="111"/>
      <c r="AM118" s="111"/>
      <c r="AN118" s="111"/>
      <c r="AO118" s="111"/>
      <c r="AP118" s="111"/>
      <c r="AQ118" s="111"/>
      <c r="AR118" s="111"/>
      <c r="AS118" s="111"/>
      <c r="AT118" s="111"/>
      <c r="AU118" s="111"/>
      <c r="AV118" s="111"/>
      <c r="AW118" s="111"/>
      <c r="AX118" s="111"/>
      <c r="AY118" s="111"/>
      <c r="AZ118" s="111"/>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360"/>
      <c r="DC118" s="13"/>
      <c r="DD118" s="266"/>
      <c r="DE118" s="269"/>
      <c r="DF118" s="269"/>
      <c r="DG118" s="269"/>
    </row>
    <row r="119" spans="1:111" s="109" customFormat="1" x14ac:dyDescent="0.25">
      <c r="A119" s="14"/>
      <c r="B119" s="110"/>
      <c r="C119" s="110"/>
      <c r="D119" s="110"/>
      <c r="E119" s="110"/>
      <c r="F119" s="110"/>
      <c r="G119" s="110"/>
      <c r="H119" s="110"/>
      <c r="I119" s="110"/>
      <c r="J119" s="110"/>
      <c r="K119" s="110"/>
      <c r="L119" s="110"/>
      <c r="M119" s="110"/>
      <c r="N119" s="280"/>
      <c r="O119" s="14"/>
      <c r="P119" s="110"/>
      <c r="Q119" s="110"/>
      <c r="R119" s="110"/>
      <c r="S119" s="110"/>
      <c r="T119" s="110"/>
      <c r="U119" s="110"/>
      <c r="V119" s="110"/>
      <c r="W119" s="110"/>
      <c r="X119" s="110"/>
      <c r="Y119" s="110"/>
      <c r="Z119" s="111"/>
      <c r="AA119" s="111"/>
      <c r="AB119" s="13"/>
      <c r="AC119" s="110"/>
      <c r="AD119" s="111"/>
      <c r="AE119" s="13"/>
      <c r="AF119" s="111"/>
      <c r="AG119" s="110"/>
      <c r="AH119" s="111"/>
      <c r="AI119" s="111"/>
      <c r="AJ119" s="111"/>
      <c r="AK119" s="111"/>
      <c r="AL119" s="111"/>
      <c r="AM119" s="111"/>
      <c r="AN119" s="111"/>
      <c r="AO119" s="111"/>
      <c r="AP119" s="111"/>
      <c r="AQ119" s="111"/>
      <c r="AR119" s="111"/>
      <c r="AS119" s="111"/>
      <c r="AT119" s="111"/>
      <c r="AU119" s="111"/>
      <c r="AV119" s="111"/>
      <c r="AW119" s="111"/>
      <c r="AX119" s="111"/>
      <c r="AY119" s="111"/>
      <c r="AZ119" s="111"/>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360"/>
      <c r="DC119" s="13"/>
      <c r="DD119" s="266"/>
    </row>
    <row r="120" spans="1:111" s="109" customFormat="1" x14ac:dyDescent="0.25">
      <c r="A120" s="14"/>
      <c r="B120" s="110"/>
      <c r="C120" s="110"/>
      <c r="D120" s="110"/>
      <c r="E120" s="110"/>
      <c r="F120" s="110"/>
      <c r="G120" s="110"/>
      <c r="H120" s="110"/>
      <c r="I120" s="110"/>
      <c r="J120" s="110"/>
      <c r="K120" s="110"/>
      <c r="L120" s="110"/>
      <c r="M120" s="110"/>
      <c r="N120" s="280"/>
      <c r="O120" s="14"/>
      <c r="P120" s="110"/>
      <c r="Q120" s="110"/>
      <c r="R120" s="110"/>
      <c r="S120" s="110"/>
      <c r="T120" s="110"/>
      <c r="U120" s="110"/>
      <c r="V120" s="110"/>
      <c r="W120" s="110"/>
      <c r="X120" s="110"/>
      <c r="Y120" s="110"/>
      <c r="Z120" s="111"/>
      <c r="AA120" s="111"/>
      <c r="AB120" s="13"/>
      <c r="AC120" s="110"/>
      <c r="AD120" s="111"/>
      <c r="AE120" s="13"/>
      <c r="AF120" s="111"/>
      <c r="AG120" s="110"/>
      <c r="AH120" s="111"/>
      <c r="AI120" s="111"/>
      <c r="AJ120" s="111"/>
      <c r="AK120" s="111"/>
      <c r="AL120" s="111"/>
      <c r="AM120" s="111"/>
      <c r="AN120" s="111"/>
      <c r="AO120" s="111"/>
      <c r="AP120" s="111"/>
      <c r="AQ120" s="111"/>
      <c r="AR120" s="111"/>
      <c r="AS120" s="111"/>
      <c r="AT120" s="111"/>
      <c r="AU120" s="111"/>
      <c r="AV120" s="111"/>
      <c r="AW120" s="111"/>
      <c r="AX120" s="111"/>
      <c r="AY120" s="111"/>
      <c r="AZ120" s="111"/>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360"/>
      <c r="DC120" s="13"/>
      <c r="DD120" s="266"/>
    </row>
    <row r="121" spans="1:111" s="109" customFormat="1" x14ac:dyDescent="0.25">
      <c r="A121" s="14"/>
      <c r="B121" s="110"/>
      <c r="C121" s="110"/>
      <c r="D121" s="110"/>
      <c r="E121" s="110"/>
      <c r="F121" s="110"/>
      <c r="G121" s="110"/>
      <c r="H121" s="110"/>
      <c r="I121" s="110"/>
      <c r="J121" s="110"/>
      <c r="K121" s="110"/>
      <c r="L121" s="110"/>
      <c r="M121" s="110"/>
      <c r="N121" s="280"/>
      <c r="O121" s="14"/>
      <c r="P121" s="110"/>
      <c r="Q121" s="110"/>
      <c r="R121" s="110"/>
      <c r="S121" s="110"/>
      <c r="T121" s="110"/>
      <c r="U121" s="110"/>
      <c r="V121" s="110"/>
      <c r="W121" s="110"/>
      <c r="X121" s="110"/>
      <c r="Y121" s="110"/>
      <c r="Z121" s="111"/>
      <c r="AA121" s="111"/>
      <c r="AB121" s="13"/>
      <c r="AC121" s="110"/>
      <c r="AD121" s="111"/>
      <c r="AE121" s="13"/>
      <c r="AF121" s="111"/>
      <c r="AG121" s="110"/>
      <c r="AH121" s="111"/>
      <c r="AI121" s="111"/>
      <c r="AJ121" s="111"/>
      <c r="AK121" s="111"/>
      <c r="AL121" s="111"/>
      <c r="AM121" s="111"/>
      <c r="AN121" s="111"/>
      <c r="AO121" s="111"/>
      <c r="AP121" s="111"/>
      <c r="AQ121" s="111"/>
      <c r="AR121" s="111"/>
      <c r="AS121" s="111"/>
      <c r="AT121" s="111"/>
      <c r="AU121" s="111"/>
      <c r="AV121" s="111"/>
      <c r="AW121" s="111"/>
      <c r="AX121" s="111"/>
      <c r="AY121" s="111"/>
      <c r="AZ121" s="111"/>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360"/>
      <c r="DC121" s="13"/>
      <c r="DD121" s="266"/>
      <c r="DE121" s="269"/>
      <c r="DF121" s="269"/>
      <c r="DG121" s="269"/>
    </row>
    <row r="122" spans="1:111" s="109" customFormat="1" x14ac:dyDescent="0.25">
      <c r="A122" s="14"/>
      <c r="B122" s="110"/>
      <c r="C122" s="110"/>
      <c r="D122" s="110"/>
      <c r="E122" s="110"/>
      <c r="F122" s="110"/>
      <c r="G122" s="110"/>
      <c r="H122" s="110"/>
      <c r="I122" s="110"/>
      <c r="J122" s="110"/>
      <c r="K122" s="110"/>
      <c r="L122" s="110"/>
      <c r="M122" s="110"/>
      <c r="N122" s="280"/>
      <c r="O122" s="14"/>
      <c r="P122" s="110"/>
      <c r="Q122" s="110"/>
      <c r="R122" s="110"/>
      <c r="S122" s="110"/>
      <c r="T122" s="110"/>
      <c r="U122" s="110"/>
      <c r="V122" s="110"/>
      <c r="W122" s="110"/>
      <c r="X122" s="110"/>
      <c r="Y122" s="110"/>
      <c r="Z122" s="111"/>
      <c r="AA122" s="111"/>
      <c r="AB122" s="13"/>
      <c r="AC122" s="110"/>
      <c r="AD122" s="111"/>
      <c r="AE122" s="13"/>
      <c r="AF122" s="111"/>
      <c r="AG122" s="110"/>
      <c r="AH122" s="111"/>
      <c r="AI122" s="111"/>
      <c r="AJ122" s="111"/>
      <c r="AK122" s="111"/>
      <c r="AL122" s="111"/>
      <c r="AM122" s="111"/>
      <c r="AN122" s="111"/>
      <c r="AO122" s="111"/>
      <c r="AP122" s="111"/>
      <c r="AQ122" s="111"/>
      <c r="AR122" s="111"/>
      <c r="AS122" s="111"/>
      <c r="AT122" s="111"/>
      <c r="AU122" s="111"/>
      <c r="AV122" s="111"/>
      <c r="AW122" s="111"/>
      <c r="AX122" s="111"/>
      <c r="AY122" s="111"/>
      <c r="AZ122" s="111"/>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360"/>
      <c r="DC122" s="13"/>
      <c r="DD122" s="266"/>
      <c r="DE122" s="269"/>
      <c r="DF122" s="269"/>
      <c r="DG122" s="269"/>
    </row>
    <row r="123" spans="1:111" s="109" customFormat="1" x14ac:dyDescent="0.25">
      <c r="A123" s="14"/>
      <c r="B123" s="110"/>
      <c r="C123" s="110"/>
      <c r="D123" s="110"/>
      <c r="E123" s="110"/>
      <c r="F123" s="110"/>
      <c r="G123" s="110"/>
      <c r="H123" s="110"/>
      <c r="I123" s="110"/>
      <c r="J123" s="110"/>
      <c r="K123" s="110"/>
      <c r="L123" s="110"/>
      <c r="M123" s="110"/>
      <c r="N123" s="280"/>
      <c r="O123" s="14"/>
      <c r="P123" s="110"/>
      <c r="Q123" s="110"/>
      <c r="R123" s="110"/>
      <c r="S123" s="110"/>
      <c r="T123" s="110"/>
      <c r="U123" s="110"/>
      <c r="V123" s="110"/>
      <c r="W123" s="110"/>
      <c r="X123" s="110"/>
      <c r="Y123" s="110"/>
      <c r="Z123" s="110"/>
      <c r="AA123" s="110"/>
      <c r="AB123" s="13"/>
      <c r="AC123" s="110"/>
      <c r="AD123" s="110"/>
      <c r="AE123" s="13"/>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360"/>
      <c r="DC123" s="13"/>
      <c r="DD123" s="266"/>
      <c r="DE123" s="269"/>
      <c r="DF123" s="269"/>
      <c r="DG123" s="269"/>
    </row>
    <row r="124" spans="1:111" s="109" customFormat="1" x14ac:dyDescent="0.25">
      <c r="A124" s="14"/>
      <c r="B124" s="110"/>
      <c r="C124" s="110"/>
      <c r="D124" s="110"/>
      <c r="E124" s="110"/>
      <c r="F124" s="110"/>
      <c r="G124" s="110"/>
      <c r="H124" s="110"/>
      <c r="I124" s="110"/>
      <c r="J124" s="110"/>
      <c r="K124" s="110"/>
      <c r="L124" s="110"/>
      <c r="M124" s="110"/>
      <c r="N124" s="280"/>
      <c r="O124" s="14"/>
      <c r="P124" s="110"/>
      <c r="Q124" s="110"/>
      <c r="R124" s="110"/>
      <c r="S124" s="110"/>
      <c r="T124" s="110"/>
      <c r="U124" s="110"/>
      <c r="V124" s="110"/>
      <c r="W124" s="110"/>
      <c r="X124" s="110"/>
      <c r="Y124" s="110"/>
      <c r="Z124" s="110"/>
      <c r="AA124" s="110"/>
      <c r="AB124" s="110"/>
      <c r="AC124" s="110"/>
      <c r="AD124" s="111"/>
      <c r="AE124" s="111"/>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c r="BO124" s="110"/>
      <c r="BP124" s="110"/>
      <c r="BQ124" s="110"/>
      <c r="BR124" s="110"/>
      <c r="BS124" s="110"/>
      <c r="BT124" s="110"/>
      <c r="BU124" s="110"/>
      <c r="BV124" s="110"/>
      <c r="BW124" s="110"/>
      <c r="BX124" s="110"/>
      <c r="BY124" s="110"/>
      <c r="BZ124" s="110"/>
      <c r="CA124" s="110"/>
      <c r="CB124" s="110"/>
      <c r="CC124" s="110"/>
      <c r="CD124" s="110"/>
      <c r="CE124" s="110"/>
      <c r="CF124" s="110"/>
      <c r="CG124" s="110"/>
      <c r="CH124" s="110"/>
      <c r="CI124" s="110"/>
      <c r="CJ124" s="110"/>
      <c r="CK124" s="110"/>
      <c r="CL124" s="110"/>
      <c r="CM124" s="110"/>
      <c r="CN124" s="110"/>
      <c r="CO124" s="110"/>
      <c r="CP124" s="110"/>
      <c r="CQ124" s="110"/>
      <c r="CR124" s="110"/>
      <c r="CS124" s="110"/>
      <c r="CT124" s="110"/>
      <c r="CU124" s="110"/>
      <c r="CV124" s="110"/>
      <c r="CW124" s="110"/>
      <c r="CX124" s="110"/>
      <c r="CY124" s="110"/>
      <c r="CZ124" s="110"/>
      <c r="DA124" s="110"/>
      <c r="DB124" s="305"/>
      <c r="DC124" s="111"/>
      <c r="DD124" s="266"/>
      <c r="DE124" s="267"/>
      <c r="DF124" s="267"/>
      <c r="DG124" s="267"/>
    </row>
    <row r="125" spans="1:111" s="109" customFormat="1" x14ac:dyDescent="0.25">
      <c r="A125" s="14"/>
      <c r="B125" s="110"/>
      <c r="C125" s="110"/>
      <c r="D125" s="110"/>
      <c r="E125" s="110"/>
      <c r="F125" s="110"/>
      <c r="G125" s="110"/>
      <c r="H125" s="110"/>
      <c r="I125" s="110"/>
      <c r="J125" s="110"/>
      <c r="K125" s="110"/>
      <c r="L125" s="110"/>
      <c r="M125" s="110"/>
      <c r="N125" s="280"/>
      <c r="O125" s="14"/>
      <c r="P125" s="110"/>
      <c r="Q125" s="110"/>
      <c r="R125" s="110"/>
      <c r="S125" s="110"/>
      <c r="T125" s="110"/>
      <c r="U125" s="110"/>
      <c r="V125" s="110"/>
      <c r="W125" s="110"/>
      <c r="X125" s="110"/>
      <c r="Y125" s="110"/>
      <c r="Z125" s="110"/>
      <c r="AA125" s="110"/>
      <c r="AB125" s="110"/>
      <c r="AC125" s="110"/>
      <c r="AD125" s="111"/>
      <c r="AE125" s="103"/>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c r="BZ125" s="110"/>
      <c r="CA125" s="110"/>
      <c r="CB125" s="110"/>
      <c r="CC125" s="110"/>
      <c r="CD125" s="110"/>
      <c r="CE125" s="110"/>
      <c r="CF125" s="110"/>
      <c r="CG125" s="110"/>
      <c r="CH125" s="110"/>
      <c r="CI125" s="110"/>
      <c r="CJ125" s="110"/>
      <c r="CK125" s="110"/>
      <c r="CL125" s="110"/>
      <c r="CM125" s="110"/>
      <c r="CN125" s="110"/>
      <c r="CO125" s="110"/>
      <c r="CP125" s="110"/>
      <c r="CQ125" s="110"/>
      <c r="CR125" s="110"/>
      <c r="CS125" s="110"/>
      <c r="CT125" s="110"/>
      <c r="CU125" s="110"/>
      <c r="CV125" s="110"/>
      <c r="CW125" s="110"/>
      <c r="CX125" s="110"/>
      <c r="CY125" s="110"/>
      <c r="CZ125" s="110"/>
      <c r="DA125" s="110"/>
      <c r="DB125" s="386"/>
      <c r="DC125" s="103"/>
      <c r="DD125" s="266"/>
      <c r="DE125" s="267"/>
      <c r="DF125" s="267"/>
      <c r="DG125" s="267"/>
    </row>
    <row r="126" spans="1:111" s="109" customFormat="1" x14ac:dyDescent="0.25">
      <c r="A126" s="14"/>
      <c r="B126" s="110"/>
      <c r="C126" s="110"/>
      <c r="D126" s="110"/>
      <c r="E126" s="110"/>
      <c r="F126" s="110"/>
      <c r="G126" s="110"/>
      <c r="H126" s="110"/>
      <c r="I126" s="110"/>
      <c r="J126" s="110"/>
      <c r="K126" s="110"/>
      <c r="L126" s="110"/>
      <c r="M126" s="110"/>
      <c r="N126" s="280"/>
      <c r="O126" s="14"/>
      <c r="P126" s="110"/>
      <c r="Q126" s="110"/>
      <c r="R126" s="110"/>
      <c r="S126" s="110"/>
      <c r="T126" s="110"/>
      <c r="U126" s="110"/>
      <c r="V126" s="110"/>
      <c r="W126" s="110"/>
      <c r="X126" s="110"/>
      <c r="Y126" s="110"/>
      <c r="Z126" s="110"/>
      <c r="AA126" s="110"/>
      <c r="AB126" s="110"/>
      <c r="AC126" s="110"/>
      <c r="AD126" s="111"/>
      <c r="AE126" s="103"/>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c r="BZ126" s="110"/>
      <c r="CA126" s="110"/>
      <c r="CB126" s="110"/>
      <c r="CC126" s="110"/>
      <c r="CD126" s="110"/>
      <c r="CE126" s="110"/>
      <c r="CF126" s="110"/>
      <c r="CG126" s="110"/>
      <c r="CH126" s="110"/>
      <c r="CI126" s="110"/>
      <c r="CJ126" s="110"/>
      <c r="CK126" s="110"/>
      <c r="CL126" s="110"/>
      <c r="CM126" s="110"/>
      <c r="CN126" s="110"/>
      <c r="CO126" s="110"/>
      <c r="CP126" s="110"/>
      <c r="CQ126" s="110"/>
      <c r="CR126" s="110"/>
      <c r="CS126" s="110"/>
      <c r="CT126" s="110"/>
      <c r="CU126" s="110"/>
      <c r="CV126" s="110"/>
      <c r="CW126" s="110"/>
      <c r="CX126" s="110"/>
      <c r="CY126" s="110"/>
      <c r="CZ126" s="110"/>
      <c r="DA126" s="110"/>
      <c r="DB126" s="386"/>
      <c r="DC126" s="103"/>
      <c r="DD126" s="266"/>
      <c r="DE126" s="267"/>
      <c r="DF126" s="267"/>
      <c r="DG126" s="267"/>
    </row>
    <row r="127" spans="1:111" s="109" customFormat="1" x14ac:dyDescent="0.25">
      <c r="A127" s="14"/>
      <c r="B127" s="110"/>
      <c r="C127" s="110"/>
      <c r="D127" s="110"/>
      <c r="E127" s="110"/>
      <c r="F127" s="110"/>
      <c r="G127" s="110"/>
      <c r="H127" s="110"/>
      <c r="I127" s="110"/>
      <c r="J127" s="110"/>
      <c r="K127" s="110"/>
      <c r="L127" s="110"/>
      <c r="M127" s="110"/>
      <c r="N127" s="280"/>
      <c r="O127" s="14"/>
      <c r="P127" s="110"/>
      <c r="Q127" s="110"/>
      <c r="R127" s="110"/>
      <c r="S127" s="110"/>
      <c r="T127" s="110"/>
      <c r="U127" s="110"/>
      <c r="V127" s="110"/>
      <c r="W127" s="110"/>
      <c r="X127" s="110"/>
      <c r="Y127" s="110"/>
      <c r="Z127" s="110"/>
      <c r="AA127" s="110"/>
      <c r="AB127" s="110"/>
      <c r="AC127" s="110"/>
      <c r="AD127" s="111"/>
      <c r="AE127" s="103"/>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c r="BO127" s="110"/>
      <c r="BP127" s="110"/>
      <c r="BQ127" s="110"/>
      <c r="BR127" s="110"/>
      <c r="BS127" s="110"/>
      <c r="BT127" s="110"/>
      <c r="BU127" s="110"/>
      <c r="BV127" s="110"/>
      <c r="BW127" s="110"/>
      <c r="BX127" s="110"/>
      <c r="BY127" s="110"/>
      <c r="BZ127" s="110"/>
      <c r="CA127" s="110"/>
      <c r="CB127" s="110"/>
      <c r="CC127" s="110"/>
      <c r="CD127" s="110"/>
      <c r="CE127" s="110"/>
      <c r="CF127" s="110"/>
      <c r="CG127" s="110"/>
      <c r="CH127" s="110"/>
      <c r="CI127" s="110"/>
      <c r="CJ127" s="110"/>
      <c r="CK127" s="110"/>
      <c r="CL127" s="110"/>
      <c r="CM127" s="110"/>
      <c r="CN127" s="110"/>
      <c r="CO127" s="110"/>
      <c r="CP127" s="110"/>
      <c r="CQ127" s="110"/>
      <c r="CR127" s="110"/>
      <c r="CS127" s="110"/>
      <c r="CT127" s="110"/>
      <c r="CU127" s="110"/>
      <c r="CV127" s="110"/>
      <c r="CW127" s="110"/>
      <c r="CX127" s="110"/>
      <c r="CY127" s="110"/>
      <c r="CZ127" s="110"/>
      <c r="DA127" s="110"/>
      <c r="DB127" s="386"/>
      <c r="DC127" s="103"/>
      <c r="DD127" s="266"/>
      <c r="DE127" s="267"/>
      <c r="DF127" s="267"/>
      <c r="DG127" s="267"/>
    </row>
    <row r="128" spans="1:111" s="109" customFormat="1" x14ac:dyDescent="0.25">
      <c r="A128" s="14"/>
      <c r="B128" s="110"/>
      <c r="C128" s="110"/>
      <c r="D128" s="110"/>
      <c r="E128" s="110"/>
      <c r="F128" s="110"/>
      <c r="G128" s="110"/>
      <c r="H128" s="110"/>
      <c r="I128" s="110"/>
      <c r="J128" s="110"/>
      <c r="K128" s="110"/>
      <c r="L128" s="110"/>
      <c r="M128" s="110"/>
      <c r="N128" s="280"/>
      <c r="O128" s="14"/>
      <c r="P128" s="110"/>
      <c r="Q128" s="110"/>
      <c r="R128" s="110"/>
      <c r="S128" s="110"/>
      <c r="T128" s="110"/>
      <c r="U128" s="110"/>
      <c r="V128" s="110"/>
      <c r="W128" s="110"/>
      <c r="X128" s="110"/>
      <c r="Y128" s="110"/>
      <c r="Z128" s="110"/>
      <c r="AA128" s="110"/>
      <c r="AB128" s="110"/>
      <c r="AC128" s="110"/>
      <c r="AD128" s="111"/>
      <c r="AE128" s="13"/>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c r="BO128" s="110"/>
      <c r="BP128" s="110"/>
      <c r="BQ128" s="110"/>
      <c r="BR128" s="110"/>
      <c r="BS128" s="110"/>
      <c r="BT128" s="110"/>
      <c r="BU128" s="110"/>
      <c r="BV128" s="110"/>
      <c r="BW128" s="110"/>
      <c r="BX128" s="110"/>
      <c r="BY128" s="110"/>
      <c r="BZ128" s="110"/>
      <c r="CA128" s="110"/>
      <c r="CB128" s="110"/>
      <c r="CC128" s="110"/>
      <c r="CD128" s="110"/>
      <c r="CE128" s="110"/>
      <c r="CF128" s="110"/>
      <c r="CG128" s="110"/>
      <c r="CH128" s="110"/>
      <c r="CI128" s="110"/>
      <c r="CJ128" s="110"/>
      <c r="CK128" s="110"/>
      <c r="CL128" s="110"/>
      <c r="CM128" s="110"/>
      <c r="CN128" s="110"/>
      <c r="CO128" s="110"/>
      <c r="CP128" s="110"/>
      <c r="CQ128" s="110"/>
      <c r="CR128" s="110"/>
      <c r="CS128" s="110"/>
      <c r="CT128" s="110"/>
      <c r="CU128" s="110"/>
      <c r="CV128" s="110"/>
      <c r="CW128" s="110"/>
      <c r="CX128" s="110"/>
      <c r="CY128" s="110"/>
      <c r="CZ128" s="110"/>
      <c r="DA128" s="110"/>
      <c r="DB128" s="360"/>
      <c r="DC128" s="13"/>
      <c r="DD128" s="266"/>
      <c r="DE128" s="267"/>
      <c r="DF128" s="267"/>
      <c r="DG128" s="267"/>
    </row>
    <row r="129" spans="1:111" s="109" customFormat="1" x14ac:dyDescent="0.25">
      <c r="A129" s="18"/>
      <c r="B129" s="13"/>
      <c r="C129" s="13"/>
      <c r="D129" s="13"/>
      <c r="E129" s="13"/>
      <c r="F129" s="13"/>
      <c r="G129" s="13"/>
      <c r="H129" s="13"/>
      <c r="I129" s="13"/>
      <c r="J129" s="13"/>
      <c r="K129" s="13"/>
      <c r="L129" s="13"/>
      <c r="M129" s="13"/>
      <c r="N129" s="280"/>
      <c r="O129" s="18"/>
      <c r="P129" s="13"/>
      <c r="Q129" s="13"/>
      <c r="R129" s="13"/>
      <c r="S129" s="13"/>
      <c r="T129" s="13"/>
      <c r="U129" s="13"/>
      <c r="V129" s="13"/>
      <c r="W129" s="13"/>
      <c r="X129" s="13"/>
      <c r="Y129" s="13"/>
      <c r="Z129" s="13"/>
      <c r="AA129" s="13"/>
      <c r="AB129" s="13"/>
      <c r="AC129" s="13"/>
      <c r="AD129" s="111"/>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360"/>
      <c r="DC129" s="13"/>
      <c r="DD129" s="266"/>
      <c r="DE129" s="267"/>
      <c r="DF129" s="267"/>
      <c r="DG129" s="267"/>
    </row>
    <row r="130" spans="1:111" s="109" customFormat="1" x14ac:dyDescent="0.25">
      <c r="A130" s="18"/>
      <c r="B130" s="13"/>
      <c r="C130" s="13"/>
      <c r="D130" s="13"/>
      <c r="E130" s="13"/>
      <c r="F130" s="13"/>
      <c r="G130" s="13"/>
      <c r="H130" s="13"/>
      <c r="I130" s="13"/>
      <c r="J130" s="13"/>
      <c r="K130" s="13"/>
      <c r="L130" s="13"/>
      <c r="M130" s="13"/>
      <c r="N130" s="280"/>
      <c r="O130" s="18"/>
      <c r="P130" s="13"/>
      <c r="Q130" s="13"/>
      <c r="R130" s="13"/>
      <c r="S130" s="13"/>
      <c r="T130" s="13"/>
      <c r="U130" s="13"/>
      <c r="V130" s="13"/>
      <c r="W130" s="13"/>
      <c r="X130" s="13"/>
      <c r="Y130" s="13"/>
      <c r="Z130" s="13"/>
      <c r="AA130" s="13"/>
      <c r="AB130" s="13"/>
      <c r="AC130" s="13"/>
      <c r="AD130" s="111"/>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360"/>
      <c r="DC130" s="13"/>
      <c r="DD130" s="266"/>
      <c r="DE130" s="267"/>
      <c r="DF130" s="267"/>
      <c r="DG130" s="267"/>
    </row>
    <row r="131" spans="1:111" s="109" customFormat="1" x14ac:dyDescent="0.25">
      <c r="A131" s="18"/>
      <c r="B131" s="13"/>
      <c r="C131" s="13"/>
      <c r="D131" s="13"/>
      <c r="E131" s="13"/>
      <c r="F131" s="13"/>
      <c r="G131" s="13"/>
      <c r="H131" s="13"/>
      <c r="I131" s="13"/>
      <c r="J131" s="13"/>
      <c r="K131" s="13"/>
      <c r="L131" s="13"/>
      <c r="M131" s="13"/>
      <c r="N131" s="280"/>
      <c r="O131" s="18"/>
      <c r="P131" s="13"/>
      <c r="Q131" s="13"/>
      <c r="R131" s="13"/>
      <c r="S131" s="13"/>
      <c r="T131" s="13"/>
      <c r="U131" s="13"/>
      <c r="V131" s="13"/>
      <c r="W131" s="13"/>
      <c r="X131" s="13"/>
      <c r="Y131" s="13"/>
      <c r="Z131" s="13"/>
      <c r="AA131" s="13"/>
      <c r="AB131" s="13"/>
      <c r="AC131" s="13"/>
      <c r="AD131" s="111"/>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360"/>
      <c r="DC131" s="13"/>
      <c r="DD131" s="266"/>
      <c r="DE131" s="267"/>
      <c r="DF131" s="267"/>
      <c r="DG131" s="267"/>
    </row>
    <row r="132" spans="1:111" s="109" customFormat="1" x14ac:dyDescent="0.25">
      <c r="A132" s="18"/>
      <c r="B132" s="13"/>
      <c r="C132" s="13"/>
      <c r="D132" s="13"/>
      <c r="E132" s="13"/>
      <c r="F132" s="13"/>
      <c r="G132" s="13"/>
      <c r="H132" s="13"/>
      <c r="I132" s="13"/>
      <c r="J132" s="13"/>
      <c r="K132" s="13"/>
      <c r="L132" s="13"/>
      <c r="M132" s="13"/>
      <c r="N132" s="280"/>
      <c r="O132" s="18"/>
      <c r="P132" s="13"/>
      <c r="Q132" s="13"/>
      <c r="R132" s="13"/>
      <c r="S132" s="13"/>
      <c r="T132" s="13"/>
      <c r="U132" s="13"/>
      <c r="V132" s="13"/>
      <c r="W132" s="13"/>
      <c r="X132" s="13"/>
      <c r="Y132" s="13"/>
      <c r="Z132" s="13"/>
      <c r="AA132" s="13"/>
      <c r="AB132" s="13"/>
      <c r="AC132" s="13"/>
      <c r="AD132" s="111"/>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360"/>
      <c r="DC132" s="13"/>
      <c r="DD132" s="266"/>
      <c r="DE132" s="267"/>
      <c r="DF132" s="267"/>
      <c r="DG132" s="267"/>
    </row>
    <row r="133" spans="1:111" s="109" customFormat="1" x14ac:dyDescent="0.25">
      <c r="A133" s="18"/>
      <c r="B133" s="13"/>
      <c r="C133" s="13"/>
      <c r="D133" s="13"/>
      <c r="E133" s="13"/>
      <c r="F133" s="13"/>
      <c r="G133" s="13"/>
      <c r="H133" s="13"/>
      <c r="I133" s="13"/>
      <c r="J133" s="13"/>
      <c r="K133" s="13"/>
      <c r="L133" s="13"/>
      <c r="M133" s="13"/>
      <c r="N133" s="280"/>
      <c r="O133" s="18"/>
      <c r="P133" s="13"/>
      <c r="Q133" s="13"/>
      <c r="R133" s="13"/>
      <c r="S133" s="13"/>
      <c r="T133" s="13"/>
      <c r="U133" s="13"/>
      <c r="V133" s="13"/>
      <c r="W133" s="13"/>
      <c r="X133" s="13"/>
      <c r="Y133" s="13"/>
      <c r="Z133" s="13"/>
      <c r="AA133" s="13"/>
      <c r="AB133" s="13"/>
      <c r="AC133" s="13"/>
      <c r="AD133" s="111"/>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360"/>
      <c r="DC133" s="13"/>
      <c r="DD133" s="266"/>
      <c r="DE133" s="267"/>
      <c r="DF133" s="267"/>
      <c r="DG133" s="267"/>
    </row>
    <row r="134" spans="1:111" s="109" customFormat="1" x14ac:dyDescent="0.25">
      <c r="A134" s="18"/>
      <c r="B134" s="13"/>
      <c r="C134" s="13"/>
      <c r="D134" s="13"/>
      <c r="E134" s="13"/>
      <c r="F134" s="13"/>
      <c r="G134" s="13"/>
      <c r="H134" s="13"/>
      <c r="I134" s="13"/>
      <c r="J134" s="13"/>
      <c r="K134" s="13"/>
      <c r="L134" s="13"/>
      <c r="M134" s="13"/>
      <c r="N134" s="280"/>
      <c r="O134" s="18"/>
      <c r="P134" s="13"/>
      <c r="Q134" s="13"/>
      <c r="R134" s="13"/>
      <c r="S134" s="13"/>
      <c r="T134" s="13"/>
      <c r="U134" s="13"/>
      <c r="V134" s="13"/>
      <c r="W134" s="13"/>
      <c r="X134" s="13"/>
      <c r="Y134" s="13"/>
      <c r="Z134" s="13"/>
      <c r="AA134" s="13"/>
      <c r="AB134" s="13"/>
      <c r="AC134" s="13"/>
      <c r="AD134" s="111"/>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360"/>
      <c r="DC134" s="13"/>
      <c r="DD134" s="266"/>
      <c r="DE134" s="267"/>
      <c r="DF134" s="267"/>
      <c r="DG134" s="267"/>
    </row>
    <row r="135" spans="1:111" s="109" customFormat="1" x14ac:dyDescent="0.25">
      <c r="A135" s="18"/>
      <c r="B135" s="13"/>
      <c r="C135" s="13"/>
      <c r="D135" s="13"/>
      <c r="E135" s="13"/>
      <c r="F135" s="13"/>
      <c r="G135" s="13"/>
      <c r="H135" s="13"/>
      <c r="I135" s="13"/>
      <c r="J135" s="13"/>
      <c r="K135" s="13"/>
      <c r="L135" s="13"/>
      <c r="M135" s="13"/>
      <c r="N135" s="280"/>
      <c r="O135" s="18"/>
      <c r="P135" s="13"/>
      <c r="Q135" s="13"/>
      <c r="R135" s="13"/>
      <c r="S135" s="13"/>
      <c r="T135" s="13"/>
      <c r="U135" s="13"/>
      <c r="V135" s="13"/>
      <c r="W135" s="13"/>
      <c r="X135" s="13"/>
      <c r="Y135" s="13"/>
      <c r="Z135" s="13"/>
      <c r="AA135" s="13"/>
      <c r="AB135" s="13"/>
      <c r="AC135" s="13"/>
      <c r="AD135" s="110"/>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360"/>
      <c r="DC135" s="13"/>
      <c r="DD135" s="266"/>
      <c r="DE135" s="267"/>
      <c r="DF135" s="267"/>
      <c r="DG135" s="267"/>
    </row>
    <row r="136" spans="1:111" s="109" customFormat="1" x14ac:dyDescent="0.25">
      <c r="A136" s="18"/>
      <c r="B136" s="13"/>
      <c r="C136" s="13"/>
      <c r="D136" s="13"/>
      <c r="E136" s="13"/>
      <c r="F136" s="13"/>
      <c r="G136" s="13"/>
      <c r="H136" s="13"/>
      <c r="I136" s="13"/>
      <c r="J136" s="13"/>
      <c r="K136" s="13"/>
      <c r="L136" s="13"/>
      <c r="M136" s="13"/>
      <c r="N136" s="278"/>
      <c r="O136" s="18"/>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360"/>
      <c r="DC136" s="13"/>
      <c r="DD136" s="266"/>
      <c r="DE136" s="267"/>
      <c r="DF136" s="267"/>
      <c r="DG136" s="267"/>
    </row>
    <row r="137" spans="1:111" s="109" customFormat="1" x14ac:dyDescent="0.25">
      <c r="A137" s="18"/>
      <c r="B137" s="13"/>
      <c r="C137" s="13"/>
      <c r="D137" s="13"/>
      <c r="E137" s="13"/>
      <c r="F137" s="13"/>
      <c r="G137" s="13"/>
      <c r="H137" s="13"/>
      <c r="I137" s="13"/>
      <c r="J137" s="13"/>
      <c r="K137" s="13"/>
      <c r="L137" s="13"/>
      <c r="M137" s="13"/>
      <c r="N137" s="278"/>
      <c r="O137" s="18"/>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360"/>
      <c r="DC137" s="13"/>
      <c r="DD137" s="266"/>
      <c r="DE137" s="267"/>
      <c r="DF137" s="267"/>
      <c r="DG137" s="267"/>
    </row>
    <row r="138" spans="1:111" s="109" customFormat="1" x14ac:dyDescent="0.25">
      <c r="A138" s="18"/>
      <c r="B138" s="13"/>
      <c r="C138" s="13"/>
      <c r="D138" s="13"/>
      <c r="E138" s="13"/>
      <c r="F138" s="13"/>
      <c r="G138" s="13"/>
      <c r="H138" s="13"/>
      <c r="I138" s="13"/>
      <c r="J138" s="13"/>
      <c r="K138" s="13"/>
      <c r="L138" s="13"/>
      <c r="M138" s="13"/>
      <c r="N138" s="278"/>
      <c r="O138" s="18"/>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360"/>
      <c r="DC138" s="13"/>
      <c r="DD138" s="266"/>
      <c r="DE138" s="267"/>
      <c r="DF138" s="267"/>
      <c r="DG138" s="267"/>
    </row>
    <row r="139" spans="1:111" s="109" customFormat="1" x14ac:dyDescent="0.25">
      <c r="A139" s="18"/>
      <c r="B139" s="13"/>
      <c r="C139" s="13"/>
      <c r="D139" s="13"/>
      <c r="E139" s="13"/>
      <c r="F139" s="13"/>
      <c r="G139" s="13"/>
      <c r="H139" s="13"/>
      <c r="I139" s="13"/>
      <c r="J139" s="13"/>
      <c r="K139" s="13"/>
      <c r="L139" s="13"/>
      <c r="M139" s="13"/>
      <c r="N139" s="278"/>
      <c r="O139" s="18"/>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360"/>
      <c r="DC139" s="13"/>
      <c r="DD139" s="266"/>
      <c r="DE139" s="267"/>
      <c r="DF139" s="267"/>
      <c r="DG139" s="267"/>
    </row>
    <row r="140" spans="1:111" s="109" customFormat="1" x14ac:dyDescent="0.25">
      <c r="A140" s="18"/>
      <c r="B140" s="13"/>
      <c r="C140" s="13"/>
      <c r="D140" s="13"/>
      <c r="E140" s="13"/>
      <c r="F140" s="13"/>
      <c r="G140" s="13"/>
      <c r="H140" s="13"/>
      <c r="I140" s="13"/>
      <c r="J140" s="13"/>
      <c r="K140" s="13"/>
      <c r="L140" s="13"/>
      <c r="M140" s="13"/>
      <c r="N140" s="278"/>
      <c r="O140" s="18"/>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360"/>
      <c r="DC140" s="13"/>
      <c r="DD140" s="266"/>
      <c r="DE140" s="267"/>
      <c r="DF140" s="267"/>
      <c r="DG140" s="267"/>
    </row>
    <row r="141" spans="1:111" s="109" customFormat="1" x14ac:dyDescent="0.25">
      <c r="A141" s="18"/>
      <c r="B141" s="13"/>
      <c r="C141" s="13"/>
      <c r="D141" s="13"/>
      <c r="E141" s="13"/>
      <c r="F141" s="13"/>
      <c r="G141" s="13"/>
      <c r="H141" s="13"/>
      <c r="I141" s="13"/>
      <c r="J141" s="13"/>
      <c r="K141" s="13"/>
      <c r="L141" s="13"/>
      <c r="M141" s="13"/>
      <c r="N141" s="278"/>
      <c r="O141" s="18"/>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360"/>
      <c r="DC141" s="13"/>
      <c r="DD141" s="266"/>
      <c r="DE141" s="267"/>
      <c r="DF141" s="267"/>
      <c r="DG141" s="267"/>
    </row>
    <row r="142" spans="1:111" s="109" customFormat="1" x14ac:dyDescent="0.25">
      <c r="A142" s="18"/>
      <c r="B142" s="13"/>
      <c r="C142" s="13"/>
      <c r="D142" s="13"/>
      <c r="E142" s="13"/>
      <c r="F142" s="13"/>
      <c r="G142" s="13"/>
      <c r="H142" s="13"/>
      <c r="I142" s="13"/>
      <c r="J142" s="13"/>
      <c r="K142" s="13"/>
      <c r="L142" s="13"/>
      <c r="M142" s="13"/>
      <c r="N142" s="278"/>
      <c r="O142" s="18"/>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360"/>
      <c r="DC142" s="13"/>
      <c r="DD142" s="266"/>
      <c r="DE142" s="267"/>
      <c r="DF142" s="267"/>
      <c r="DG142" s="267"/>
    </row>
    <row r="143" spans="1:111" s="109" customFormat="1" x14ac:dyDescent="0.25">
      <c r="A143" s="18"/>
      <c r="B143" s="13"/>
      <c r="C143" s="13"/>
      <c r="D143" s="13"/>
      <c r="E143" s="13"/>
      <c r="F143" s="13"/>
      <c r="G143" s="13"/>
      <c r="H143" s="13"/>
      <c r="I143" s="13"/>
      <c r="J143" s="13"/>
      <c r="K143" s="13"/>
      <c r="L143" s="13"/>
      <c r="M143" s="13"/>
      <c r="N143" s="278"/>
      <c r="O143" s="18"/>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360"/>
      <c r="DC143" s="13"/>
      <c r="DD143" s="266"/>
      <c r="DE143" s="267"/>
      <c r="DF143" s="267"/>
      <c r="DG143" s="267"/>
    </row>
    <row r="144" spans="1:111" s="109" customFormat="1" x14ac:dyDescent="0.25">
      <c r="A144" s="18"/>
      <c r="B144" s="13"/>
      <c r="C144" s="13"/>
      <c r="D144" s="13"/>
      <c r="E144" s="13"/>
      <c r="F144" s="13"/>
      <c r="G144" s="13"/>
      <c r="H144" s="13"/>
      <c r="I144" s="13"/>
      <c r="J144" s="13"/>
      <c r="K144" s="13"/>
      <c r="L144" s="13"/>
      <c r="M144" s="13"/>
      <c r="N144" s="278"/>
      <c r="O144" s="18"/>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360"/>
      <c r="DC144" s="13"/>
      <c r="DD144" s="266"/>
      <c r="DE144" s="267"/>
      <c r="DF144" s="267"/>
      <c r="DG144" s="267"/>
    </row>
    <row r="145" spans="1:111" s="109" customFormat="1" x14ac:dyDescent="0.25">
      <c r="A145" s="18"/>
      <c r="B145" s="13"/>
      <c r="C145" s="13"/>
      <c r="D145" s="13"/>
      <c r="E145" s="13"/>
      <c r="F145" s="13"/>
      <c r="G145" s="13"/>
      <c r="H145" s="13"/>
      <c r="I145" s="13"/>
      <c r="J145" s="13"/>
      <c r="K145" s="13"/>
      <c r="L145" s="13"/>
      <c r="M145" s="13"/>
      <c r="N145" s="278"/>
      <c r="O145" s="18"/>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360"/>
      <c r="DC145" s="13"/>
      <c r="DD145" s="266"/>
      <c r="DE145" s="267"/>
      <c r="DF145" s="267"/>
      <c r="DG145" s="267"/>
    </row>
    <row r="146" spans="1:111" s="109" customFormat="1" x14ac:dyDescent="0.25">
      <c r="A146" s="18"/>
      <c r="B146" s="13"/>
      <c r="C146" s="13"/>
      <c r="D146" s="13"/>
      <c r="E146" s="13"/>
      <c r="F146" s="13"/>
      <c r="G146" s="13"/>
      <c r="H146" s="13"/>
      <c r="I146" s="13"/>
      <c r="J146" s="13"/>
      <c r="K146" s="13"/>
      <c r="L146" s="13"/>
      <c r="M146" s="13"/>
      <c r="N146" s="278"/>
      <c r="O146" s="18"/>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360"/>
      <c r="DC146" s="13"/>
      <c r="DD146" s="266"/>
      <c r="DE146" s="267"/>
      <c r="DF146" s="267"/>
      <c r="DG146" s="267"/>
    </row>
    <row r="147" spans="1:111" s="109" customFormat="1" x14ac:dyDescent="0.25">
      <c r="A147" s="18"/>
      <c r="B147" s="13"/>
      <c r="C147" s="13"/>
      <c r="D147" s="13"/>
      <c r="E147" s="13"/>
      <c r="F147" s="13"/>
      <c r="G147" s="13"/>
      <c r="H147" s="13"/>
      <c r="I147" s="13"/>
      <c r="J147" s="13"/>
      <c r="K147" s="13"/>
      <c r="L147" s="13"/>
      <c r="M147" s="13"/>
      <c r="N147" s="278"/>
      <c r="O147" s="18"/>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360"/>
      <c r="DC147" s="13"/>
      <c r="DD147" s="266"/>
      <c r="DE147" s="267"/>
      <c r="DF147" s="267"/>
      <c r="DG147" s="267"/>
    </row>
    <row r="148" spans="1:111" s="109" customFormat="1" x14ac:dyDescent="0.25">
      <c r="A148" s="18"/>
      <c r="B148" s="13"/>
      <c r="C148" s="13"/>
      <c r="D148" s="13"/>
      <c r="E148" s="13"/>
      <c r="F148" s="13"/>
      <c r="G148" s="13"/>
      <c r="H148" s="13"/>
      <c r="I148" s="13"/>
      <c r="J148" s="13"/>
      <c r="K148" s="13"/>
      <c r="L148" s="13"/>
      <c r="M148" s="13"/>
      <c r="N148" s="278"/>
      <c r="O148" s="18"/>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360"/>
      <c r="DC148" s="13"/>
      <c r="DD148" s="266"/>
      <c r="DE148" s="267"/>
      <c r="DF148" s="267"/>
      <c r="DG148" s="267"/>
    </row>
    <row r="149" spans="1:111" s="109" customFormat="1" x14ac:dyDescent="0.25">
      <c r="A149" s="18"/>
      <c r="B149" s="13"/>
      <c r="C149" s="13"/>
      <c r="D149" s="13"/>
      <c r="E149" s="13"/>
      <c r="F149" s="13"/>
      <c r="G149" s="13"/>
      <c r="H149" s="13"/>
      <c r="I149" s="13"/>
      <c r="J149" s="13"/>
      <c r="K149" s="13"/>
      <c r="L149" s="13"/>
      <c r="M149" s="13"/>
      <c r="N149" s="278"/>
      <c r="O149" s="18"/>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360"/>
      <c r="DC149" s="13"/>
      <c r="DD149" s="266"/>
      <c r="DE149" s="267"/>
      <c r="DF149" s="267"/>
      <c r="DG149" s="267"/>
    </row>
    <row r="150" spans="1:111" s="109" customFormat="1" ht="15.75" thickBot="1" x14ac:dyDescent="0.3">
      <c r="A150" s="323"/>
      <c r="B150" s="281"/>
      <c r="C150" s="281"/>
      <c r="D150" s="281"/>
      <c r="E150" s="281"/>
      <c r="F150" s="281"/>
      <c r="G150" s="281"/>
      <c r="H150" s="281"/>
      <c r="I150" s="281"/>
      <c r="J150" s="281"/>
      <c r="K150" s="281"/>
      <c r="L150" s="281"/>
      <c r="M150" s="281"/>
      <c r="N150" s="343"/>
      <c r="O150" s="323"/>
      <c r="P150" s="281"/>
      <c r="Q150" s="281"/>
      <c r="R150" s="281"/>
      <c r="S150" s="281"/>
      <c r="T150" s="281"/>
      <c r="U150" s="281"/>
      <c r="V150" s="281"/>
      <c r="W150" s="281"/>
      <c r="X150" s="281"/>
      <c r="Y150" s="281"/>
      <c r="Z150" s="281"/>
      <c r="AA150" s="281"/>
      <c r="AB150" s="281"/>
      <c r="AC150" s="281"/>
      <c r="AD150" s="281"/>
      <c r="AE150" s="281"/>
      <c r="AF150" s="281"/>
      <c r="AG150" s="281"/>
      <c r="AH150" s="281"/>
      <c r="AI150" s="281"/>
      <c r="AJ150" s="281"/>
      <c r="AK150" s="281"/>
      <c r="AL150" s="281"/>
      <c r="AM150" s="281"/>
      <c r="AN150" s="281"/>
      <c r="AO150" s="281"/>
      <c r="AP150" s="281"/>
      <c r="AQ150" s="281"/>
      <c r="AR150" s="281"/>
      <c r="AS150" s="281"/>
      <c r="AT150" s="281"/>
      <c r="AU150" s="281"/>
      <c r="AV150" s="281"/>
      <c r="AW150" s="281"/>
      <c r="AX150" s="281"/>
      <c r="AY150" s="281"/>
      <c r="AZ150" s="281"/>
      <c r="BA150" s="281"/>
      <c r="BB150" s="281"/>
      <c r="BC150" s="281"/>
      <c r="BD150" s="281"/>
      <c r="BE150" s="281"/>
      <c r="BF150" s="281"/>
      <c r="BG150" s="281"/>
      <c r="BH150" s="281"/>
      <c r="BI150" s="281"/>
      <c r="BJ150" s="281"/>
      <c r="BK150" s="281"/>
      <c r="BL150" s="281"/>
      <c r="BM150" s="281"/>
      <c r="BN150" s="281"/>
      <c r="BO150" s="281"/>
      <c r="BP150" s="281"/>
      <c r="BQ150" s="281"/>
      <c r="BR150" s="281"/>
      <c r="BS150" s="281"/>
      <c r="BT150" s="281"/>
      <c r="BU150" s="281"/>
      <c r="BV150" s="281"/>
      <c r="BW150" s="281"/>
      <c r="BX150" s="281"/>
      <c r="BY150" s="281"/>
      <c r="BZ150" s="281"/>
      <c r="CA150" s="281"/>
      <c r="CB150" s="281"/>
      <c r="CC150" s="281"/>
      <c r="CD150" s="281"/>
      <c r="CE150" s="281"/>
      <c r="CF150" s="281"/>
      <c r="CG150" s="281"/>
      <c r="CH150" s="281"/>
      <c r="CI150" s="281"/>
      <c r="CJ150" s="281"/>
      <c r="CK150" s="281"/>
      <c r="CL150" s="281"/>
      <c r="CM150" s="281"/>
      <c r="CN150" s="281"/>
      <c r="CO150" s="281"/>
      <c r="CP150" s="281"/>
      <c r="CQ150" s="281"/>
      <c r="CR150" s="281"/>
      <c r="CS150" s="281"/>
      <c r="CT150" s="281"/>
      <c r="CU150" s="281"/>
      <c r="CV150" s="281"/>
      <c r="CW150" s="281"/>
      <c r="CX150" s="281"/>
      <c r="CY150" s="281"/>
      <c r="CZ150" s="281"/>
      <c r="DA150" s="281"/>
      <c r="DB150" s="361"/>
      <c r="DC150" s="281"/>
      <c r="DD150" s="266"/>
      <c r="DE150" s="267"/>
      <c r="DF150" s="267"/>
      <c r="DG150" s="267"/>
    </row>
    <row r="151" spans="1:111" s="109" customFormat="1" ht="15.75" thickTop="1" x14ac:dyDescent="0.25">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8"/>
      <c r="DD151" s="270"/>
      <c r="DE151" s="267"/>
      <c r="DF151" s="267"/>
      <c r="DG151" s="267"/>
    </row>
    <row r="152" spans="1:111" s="109" customFormat="1" x14ac:dyDescent="0.25">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c r="AD152" s="108"/>
      <c r="AE152" s="108"/>
      <c r="AF152" s="108"/>
      <c r="AG152" s="108"/>
      <c r="AH152" s="108"/>
      <c r="AI152" s="108"/>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c r="CP152" s="108"/>
      <c r="CQ152" s="108"/>
      <c r="CR152" s="108"/>
      <c r="CS152" s="108"/>
      <c r="CT152" s="108"/>
      <c r="CU152" s="108"/>
      <c r="CV152" s="108"/>
      <c r="CW152" s="108"/>
      <c r="CX152" s="108"/>
      <c r="CY152" s="108"/>
      <c r="CZ152" s="108"/>
      <c r="DA152" s="108"/>
      <c r="DB152" s="108"/>
      <c r="DC152" s="108"/>
      <c r="DD152" s="270"/>
      <c r="DE152" s="267"/>
      <c r="DF152" s="267"/>
      <c r="DG152" s="267"/>
    </row>
    <row r="153" spans="1:111" s="109" customFormat="1" x14ac:dyDescent="0.25">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8"/>
      <c r="DD153" s="270"/>
      <c r="DE153" s="267"/>
      <c r="DF153" s="267"/>
      <c r="DG153" s="267"/>
    </row>
    <row r="154" spans="1:111" s="109" customFormat="1" x14ac:dyDescent="0.25">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8"/>
      <c r="DD154" s="270"/>
      <c r="DE154" s="267"/>
      <c r="DF154" s="267"/>
      <c r="DG154" s="267"/>
    </row>
    <row r="155" spans="1:111" s="109" customFormat="1" x14ac:dyDescent="0.25">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c r="CK155" s="108"/>
      <c r="CL155" s="108"/>
      <c r="CM155" s="108"/>
      <c r="CN155" s="108"/>
      <c r="CO155" s="108"/>
      <c r="CP155" s="108"/>
      <c r="CQ155" s="108"/>
      <c r="CR155" s="108"/>
      <c r="CS155" s="108"/>
      <c r="CT155" s="108"/>
      <c r="CU155" s="108"/>
      <c r="CV155" s="108"/>
      <c r="CW155" s="108"/>
      <c r="CX155" s="108"/>
      <c r="CY155" s="108"/>
      <c r="CZ155" s="108"/>
      <c r="DA155" s="108"/>
      <c r="DB155" s="108"/>
      <c r="DC155" s="108"/>
      <c r="DD155" s="270"/>
      <c r="DE155" s="267"/>
      <c r="DF155" s="267"/>
      <c r="DG155" s="267"/>
    </row>
    <row r="156" spans="1:111" s="109" customFormat="1" x14ac:dyDescent="0.25">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c r="CK156" s="108"/>
      <c r="CL156" s="108"/>
      <c r="CM156" s="108"/>
      <c r="CN156" s="108"/>
      <c r="CO156" s="108"/>
      <c r="CP156" s="108"/>
      <c r="CQ156" s="108"/>
      <c r="CR156" s="108"/>
      <c r="CS156" s="108"/>
      <c r="CT156" s="108"/>
      <c r="CU156" s="108"/>
      <c r="CV156" s="108"/>
      <c r="CW156" s="108"/>
      <c r="CX156" s="108"/>
      <c r="CY156" s="108"/>
      <c r="CZ156" s="108"/>
      <c r="DA156" s="108"/>
      <c r="DB156" s="108"/>
      <c r="DC156" s="108"/>
      <c r="DD156" s="270"/>
      <c r="DE156" s="267"/>
      <c r="DF156" s="267"/>
      <c r="DG156" s="267"/>
    </row>
    <row r="157" spans="1:111" s="109" customFormat="1" x14ac:dyDescent="0.25">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c r="CK157" s="108"/>
      <c r="CL157" s="108"/>
      <c r="CM157" s="108"/>
      <c r="CN157" s="108"/>
      <c r="CO157" s="108"/>
      <c r="CP157" s="108"/>
      <c r="CQ157" s="108"/>
      <c r="CR157" s="108"/>
      <c r="CS157" s="108"/>
      <c r="CT157" s="108"/>
      <c r="CU157" s="108"/>
      <c r="CV157" s="108"/>
      <c r="CW157" s="108"/>
      <c r="CX157" s="108"/>
      <c r="CY157" s="108"/>
      <c r="CZ157" s="108"/>
      <c r="DA157" s="108"/>
      <c r="DB157" s="108"/>
      <c r="DC157" s="108"/>
      <c r="DD157" s="270"/>
      <c r="DE157" s="267"/>
      <c r="DF157" s="267"/>
      <c r="DG157" s="267"/>
    </row>
    <row r="158" spans="1:111" s="109" customFormat="1" x14ac:dyDescent="0.25">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8"/>
      <c r="DD158" s="270"/>
      <c r="DE158" s="267"/>
      <c r="DF158" s="267"/>
      <c r="DG158" s="267"/>
    </row>
    <row r="159" spans="1:111" s="109" customFormat="1" x14ac:dyDescent="0.25">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8"/>
      <c r="DD159" s="270"/>
      <c r="DE159" s="267"/>
      <c r="DF159" s="267"/>
      <c r="DG159" s="267"/>
    </row>
    <row r="160" spans="1:111" s="109" customFormat="1" x14ac:dyDescent="0.25">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c r="AD160" s="108"/>
      <c r="AE160" s="108"/>
      <c r="AF160" s="108"/>
      <c r="AG160" s="108"/>
      <c r="AH160" s="108"/>
      <c r="AI160" s="108"/>
      <c r="AJ160" s="108"/>
      <c r="AK160" s="108"/>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c r="CK160" s="108"/>
      <c r="CL160" s="108"/>
      <c r="CM160" s="108"/>
      <c r="CN160" s="108"/>
      <c r="CO160" s="108"/>
      <c r="CP160" s="108"/>
      <c r="CQ160" s="108"/>
      <c r="CR160" s="108"/>
      <c r="CS160" s="108"/>
      <c r="CT160" s="108"/>
      <c r="CU160" s="108"/>
      <c r="CV160" s="108"/>
      <c r="CW160" s="108"/>
      <c r="CX160" s="108"/>
      <c r="CY160" s="108"/>
      <c r="CZ160" s="108"/>
      <c r="DA160" s="108"/>
      <c r="DB160" s="108"/>
      <c r="DC160" s="108"/>
      <c r="DD160" s="270"/>
      <c r="DE160" s="267"/>
      <c r="DF160" s="267"/>
      <c r="DG160" s="267"/>
    </row>
    <row r="161" spans="1:111" s="109" customFormat="1" x14ac:dyDescent="0.25">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c r="AD161" s="108"/>
      <c r="AE161" s="108"/>
      <c r="AF161" s="108"/>
      <c r="AG161" s="108"/>
      <c r="AH161" s="108"/>
      <c r="AI161" s="108"/>
      <c r="AJ161" s="108"/>
      <c r="AK161" s="108"/>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c r="CK161" s="108"/>
      <c r="CL161" s="108"/>
      <c r="CM161" s="108"/>
      <c r="CN161" s="108"/>
      <c r="CO161" s="108"/>
      <c r="CP161" s="108"/>
      <c r="CQ161" s="108"/>
      <c r="CR161" s="108"/>
      <c r="CS161" s="108"/>
      <c r="CT161" s="108"/>
      <c r="CU161" s="108"/>
      <c r="CV161" s="108"/>
      <c r="CW161" s="108"/>
      <c r="CX161" s="108"/>
      <c r="CY161" s="108"/>
      <c r="CZ161" s="108"/>
      <c r="DA161" s="108"/>
      <c r="DB161" s="108"/>
      <c r="DC161" s="108"/>
      <c r="DD161" s="270"/>
      <c r="DE161" s="267"/>
      <c r="DF161" s="267"/>
      <c r="DG161" s="267"/>
    </row>
    <row r="162" spans="1:111" s="109" customFormat="1" x14ac:dyDescent="0.25">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c r="AB162" s="108"/>
      <c r="AC162" s="108"/>
      <c r="AD162" s="108"/>
      <c r="AE162" s="108"/>
      <c r="AF162" s="108"/>
      <c r="AG162" s="108"/>
      <c r="AH162" s="108"/>
      <c r="AI162" s="108"/>
      <c r="AJ162" s="108"/>
      <c r="AK162" s="108"/>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c r="CK162" s="108"/>
      <c r="CL162" s="108"/>
      <c r="CM162" s="108"/>
      <c r="CN162" s="108"/>
      <c r="CO162" s="108"/>
      <c r="CP162" s="108"/>
      <c r="CQ162" s="108"/>
      <c r="CR162" s="108"/>
      <c r="CS162" s="108"/>
      <c r="CT162" s="108"/>
      <c r="CU162" s="108"/>
      <c r="CV162" s="108"/>
      <c r="CW162" s="108"/>
      <c r="CX162" s="108"/>
      <c r="CY162" s="108"/>
      <c r="CZ162" s="108"/>
      <c r="DA162" s="108"/>
      <c r="DB162" s="108"/>
      <c r="DC162" s="108"/>
      <c r="DD162" s="270"/>
      <c r="DE162" s="267"/>
      <c r="DF162" s="267"/>
      <c r="DG162" s="267"/>
    </row>
    <row r="163" spans="1:111" s="109" customFormat="1" x14ac:dyDescent="0.25">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c r="AB163" s="108"/>
      <c r="AC163" s="108"/>
      <c r="AD163" s="108"/>
      <c r="AE163" s="108"/>
      <c r="AF163" s="108"/>
      <c r="AG163" s="108"/>
      <c r="AH163" s="108"/>
      <c r="AI163" s="108"/>
      <c r="AJ163" s="108"/>
      <c r="AK163" s="108"/>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c r="CK163" s="108"/>
      <c r="CL163" s="108"/>
      <c r="CM163" s="108"/>
      <c r="CN163" s="108"/>
      <c r="CO163" s="108"/>
      <c r="CP163" s="108"/>
      <c r="CQ163" s="108"/>
      <c r="CR163" s="108"/>
      <c r="CS163" s="108"/>
      <c r="CT163" s="108"/>
      <c r="CU163" s="108"/>
      <c r="CV163" s="108"/>
      <c r="CW163" s="108"/>
      <c r="CX163" s="108"/>
      <c r="CY163" s="108"/>
      <c r="CZ163" s="108"/>
      <c r="DA163" s="108"/>
      <c r="DB163" s="108"/>
      <c r="DC163" s="108"/>
      <c r="DD163" s="270"/>
      <c r="DE163" s="267"/>
      <c r="DF163" s="267"/>
      <c r="DG163" s="267"/>
    </row>
    <row r="164" spans="1:111" s="109" customFormat="1" x14ac:dyDescent="0.25">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8"/>
      <c r="DD164" s="270"/>
      <c r="DE164" s="267"/>
      <c r="DF164" s="267"/>
      <c r="DG164" s="267"/>
    </row>
    <row r="165" spans="1:111" s="109" customFormat="1" x14ac:dyDescent="0.25">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c r="AB165" s="108"/>
      <c r="AC165" s="108"/>
      <c r="AD165" s="108"/>
      <c r="AE165" s="108"/>
      <c r="AF165" s="108"/>
      <c r="AG165" s="108"/>
      <c r="AH165" s="108"/>
      <c r="AI165" s="108"/>
      <c r="AJ165" s="108"/>
      <c r="AK165" s="108"/>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c r="CK165" s="108"/>
      <c r="CL165" s="108"/>
      <c r="CM165" s="108"/>
      <c r="CN165" s="108"/>
      <c r="CO165" s="108"/>
      <c r="CP165" s="108"/>
      <c r="CQ165" s="108"/>
      <c r="CR165" s="108"/>
      <c r="CS165" s="108"/>
      <c r="CT165" s="108"/>
      <c r="CU165" s="108"/>
      <c r="CV165" s="108"/>
      <c r="CW165" s="108"/>
      <c r="CX165" s="108"/>
      <c r="CY165" s="108"/>
      <c r="CZ165" s="108"/>
      <c r="DA165" s="108"/>
      <c r="DB165" s="108"/>
      <c r="DC165" s="108"/>
      <c r="DD165" s="270"/>
      <c r="DE165" s="267"/>
      <c r="DF165" s="267"/>
      <c r="DG165" s="267"/>
    </row>
    <row r="166" spans="1:111" s="109" customFormat="1" x14ac:dyDescent="0.25">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c r="AB166" s="108"/>
      <c r="AC166" s="108"/>
      <c r="AD166" s="108"/>
      <c r="AE166" s="108"/>
      <c r="AF166" s="108"/>
      <c r="AG166" s="108"/>
      <c r="AH166" s="108"/>
      <c r="AI166" s="108"/>
      <c r="AJ166" s="108"/>
      <c r="AK166" s="108"/>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c r="CK166" s="108"/>
      <c r="CL166" s="108"/>
      <c r="CM166" s="108"/>
      <c r="CN166" s="108"/>
      <c r="CO166" s="108"/>
      <c r="CP166" s="108"/>
      <c r="CQ166" s="108"/>
      <c r="CR166" s="108"/>
      <c r="CS166" s="108"/>
      <c r="CT166" s="108"/>
      <c r="CU166" s="108"/>
      <c r="CV166" s="108"/>
      <c r="CW166" s="108"/>
      <c r="CX166" s="108"/>
      <c r="CY166" s="108"/>
      <c r="CZ166" s="108"/>
      <c r="DA166" s="108"/>
      <c r="DB166" s="108"/>
      <c r="DC166" s="108"/>
      <c r="DD166" s="270"/>
      <c r="DE166" s="267"/>
      <c r="DF166" s="267"/>
      <c r="DG166" s="267"/>
    </row>
    <row r="167" spans="1:111" s="109" customFormat="1" x14ac:dyDescent="0.25">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c r="DA167" s="108"/>
      <c r="DB167" s="108"/>
      <c r="DC167" s="108"/>
      <c r="DD167" s="270"/>
      <c r="DE167" s="267"/>
      <c r="DF167" s="267"/>
      <c r="DG167" s="267"/>
    </row>
    <row r="168" spans="1:111" s="109" customFormat="1" x14ac:dyDescent="0.25">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c r="DA168" s="108"/>
      <c r="DB168" s="108"/>
      <c r="DC168" s="108"/>
      <c r="DD168" s="270"/>
      <c r="DE168" s="267"/>
      <c r="DF168" s="267"/>
      <c r="DG168" s="267"/>
    </row>
    <row r="169" spans="1:111" s="109" customFormat="1" x14ac:dyDescent="0.25">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8"/>
      <c r="DD169" s="270"/>
      <c r="DE169" s="267"/>
      <c r="DF169" s="267"/>
      <c r="DG169" s="267"/>
    </row>
    <row r="170" spans="1:111" s="109" customFormat="1" x14ac:dyDescent="0.25">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8"/>
      <c r="DD170" s="270"/>
      <c r="DE170" s="267"/>
      <c r="DF170" s="267"/>
      <c r="DG170" s="267"/>
    </row>
    <row r="171" spans="1:111" s="109" customFormat="1" x14ac:dyDescent="0.25">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8"/>
      <c r="DD171" s="270"/>
      <c r="DE171" s="267"/>
      <c r="DF171" s="267"/>
      <c r="DG171" s="267"/>
    </row>
    <row r="172" spans="1:111" s="109" customFormat="1" x14ac:dyDescent="0.25">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c r="AE172" s="108"/>
      <c r="AF172" s="108"/>
      <c r="AG172" s="108"/>
      <c r="AH172" s="108"/>
      <c r="AI172" s="108"/>
      <c r="AJ172" s="108"/>
      <c r="AK172" s="108"/>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c r="CK172" s="108"/>
      <c r="CL172" s="108"/>
      <c r="CM172" s="108"/>
      <c r="CN172" s="108"/>
      <c r="CO172" s="108"/>
      <c r="CP172" s="108"/>
      <c r="CQ172" s="108"/>
      <c r="CR172" s="108"/>
      <c r="CS172" s="108"/>
      <c r="CT172" s="108"/>
      <c r="CU172" s="108"/>
      <c r="CV172" s="108"/>
      <c r="CW172" s="108"/>
      <c r="CX172" s="108"/>
      <c r="CY172" s="108"/>
      <c r="CZ172" s="108"/>
      <c r="DA172" s="108"/>
      <c r="DB172" s="108"/>
      <c r="DC172" s="108"/>
      <c r="DD172" s="270"/>
      <c r="DE172" s="267"/>
      <c r="DF172" s="267"/>
      <c r="DG172" s="267"/>
    </row>
    <row r="173" spans="1:111" s="109" customFormat="1" x14ac:dyDescent="0.25">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c r="AB173" s="108"/>
      <c r="AC173" s="108"/>
      <c r="AD173" s="108"/>
      <c r="AE173" s="108"/>
      <c r="AF173" s="108"/>
      <c r="AG173" s="108"/>
      <c r="AH173" s="108"/>
      <c r="AI173" s="108"/>
      <c r="AJ173" s="108"/>
      <c r="AK173" s="108"/>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8"/>
      <c r="DD173" s="270"/>
      <c r="DE173" s="267"/>
      <c r="DF173" s="267"/>
      <c r="DG173" s="267"/>
    </row>
    <row r="174" spans="1:111" s="109" customFormat="1" x14ac:dyDescent="0.25">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8"/>
      <c r="DD174" s="270"/>
      <c r="DE174" s="267"/>
      <c r="DF174" s="267"/>
      <c r="DG174" s="267"/>
    </row>
    <row r="175" spans="1:111" s="109" customFormat="1" x14ac:dyDescent="0.25">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8"/>
      <c r="DD175" s="270"/>
      <c r="DE175" s="267"/>
      <c r="DF175" s="267"/>
      <c r="DG175" s="267"/>
    </row>
    <row r="176" spans="1:111" s="109" customFormat="1" x14ac:dyDescent="0.25">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F176" s="108"/>
      <c r="AG176" s="108"/>
      <c r="AH176" s="108"/>
      <c r="AI176" s="108"/>
      <c r="AJ176" s="108"/>
      <c r="AK176" s="108"/>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8"/>
      <c r="DD176" s="270"/>
      <c r="DE176" s="267"/>
      <c r="DF176" s="267"/>
      <c r="DG176" s="267"/>
    </row>
    <row r="177" spans="1:111" s="109" customFormat="1" x14ac:dyDescent="0.25">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c r="AB177" s="108"/>
      <c r="AC177" s="108"/>
      <c r="AD177" s="108"/>
      <c r="AE177" s="108"/>
      <c r="AF177" s="108"/>
      <c r="AG177" s="108"/>
      <c r="AH177" s="108"/>
      <c r="AI177" s="108"/>
      <c r="AJ177" s="108"/>
      <c r="AK177" s="108"/>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8"/>
      <c r="DD177" s="270"/>
      <c r="DE177" s="267"/>
      <c r="DF177" s="267"/>
      <c r="DG177" s="267"/>
    </row>
    <row r="178" spans="1:111" s="109" customFormat="1" x14ac:dyDescent="0.25">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c r="AB178" s="108"/>
      <c r="AC178" s="108"/>
      <c r="AD178" s="108"/>
      <c r="AE178" s="108"/>
      <c r="AF178" s="108"/>
      <c r="AG178" s="108"/>
      <c r="AH178" s="108"/>
      <c r="AI178" s="108"/>
      <c r="AJ178" s="108"/>
      <c r="AK178" s="108"/>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c r="DA178" s="108"/>
      <c r="DB178" s="108"/>
      <c r="DC178" s="108"/>
      <c r="DD178" s="270"/>
      <c r="DE178" s="267"/>
      <c r="DF178" s="267"/>
      <c r="DG178" s="267"/>
    </row>
    <row r="179" spans="1:111" s="109" customFormat="1" x14ac:dyDescent="0.25">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c r="AE179" s="108"/>
      <c r="AF179" s="108"/>
      <c r="AG179" s="108"/>
      <c r="AH179" s="108"/>
      <c r="AI179" s="108"/>
      <c r="AJ179" s="108"/>
      <c r="AK179" s="108"/>
      <c r="AL179" s="108"/>
      <c r="AM179" s="108"/>
      <c r="AN179" s="108"/>
      <c r="AO179" s="108"/>
      <c r="AP179" s="108"/>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8"/>
      <c r="DD179" s="270"/>
      <c r="DE179" s="267"/>
      <c r="DF179" s="267"/>
      <c r="DG179" s="267"/>
    </row>
    <row r="180" spans="1:111" s="109" customFormat="1" x14ac:dyDescent="0.25">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8"/>
      <c r="DD180" s="270"/>
      <c r="DE180" s="267"/>
      <c r="DF180" s="267"/>
      <c r="DG180" s="267"/>
    </row>
    <row r="181" spans="1:111" s="109" customFormat="1" x14ac:dyDescent="0.25">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c r="AD181" s="108"/>
      <c r="AE181" s="108"/>
      <c r="AF181" s="108"/>
      <c r="AG181" s="108"/>
      <c r="AH181" s="108"/>
      <c r="AI181" s="108"/>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8"/>
      <c r="DD181" s="270"/>
      <c r="DE181" s="267"/>
      <c r="DF181" s="267"/>
      <c r="DG181" s="267"/>
    </row>
    <row r="182" spans="1:111" s="109" customFormat="1" x14ac:dyDescent="0.25">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c r="AH182" s="108"/>
      <c r="AI182" s="108"/>
      <c r="AJ182" s="108"/>
      <c r="AK182" s="108"/>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c r="CP182" s="108"/>
      <c r="CQ182" s="108"/>
      <c r="CR182" s="108"/>
      <c r="CS182" s="108"/>
      <c r="CT182" s="108"/>
      <c r="CU182" s="108"/>
      <c r="CV182" s="108"/>
      <c r="CW182" s="108"/>
      <c r="CX182" s="108"/>
      <c r="CY182" s="108"/>
      <c r="CZ182" s="108"/>
      <c r="DA182" s="108"/>
      <c r="DB182" s="108"/>
      <c r="DC182" s="108"/>
      <c r="DD182" s="270"/>
      <c r="DE182" s="267"/>
      <c r="DF182" s="267"/>
      <c r="DG182" s="267"/>
    </row>
    <row r="183" spans="1:111" s="109" customFormat="1" x14ac:dyDescent="0.25">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c r="AD183" s="108"/>
      <c r="AE183" s="108"/>
      <c r="AF183" s="108"/>
      <c r="AG183" s="108"/>
      <c r="AH183" s="108"/>
      <c r="AI183" s="108"/>
      <c r="AJ183" s="108"/>
      <c r="AK183" s="108"/>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8"/>
      <c r="DD183" s="270"/>
      <c r="DE183" s="267"/>
      <c r="DF183" s="267"/>
      <c r="DG183" s="267"/>
    </row>
    <row r="184" spans="1:111" s="109" customFormat="1" x14ac:dyDescent="0.25">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270"/>
      <c r="DE184" s="267"/>
      <c r="DF184" s="267"/>
      <c r="DG184" s="267"/>
    </row>
    <row r="185" spans="1:111" s="109" customFormat="1" x14ac:dyDescent="0.25">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c r="AD185" s="108"/>
      <c r="AE185" s="108"/>
      <c r="AF185" s="108"/>
      <c r="AG185" s="108"/>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8"/>
      <c r="DD185" s="270"/>
      <c r="DE185" s="267"/>
      <c r="DF185" s="267"/>
      <c r="DG185" s="267"/>
    </row>
    <row r="186" spans="1:111" s="109" customFormat="1" x14ac:dyDescent="0.25">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8"/>
      <c r="DD186" s="270"/>
      <c r="DE186" s="267"/>
      <c r="DF186" s="267"/>
      <c r="DG186" s="267"/>
    </row>
    <row r="187" spans="1:111" s="109" customFormat="1" x14ac:dyDescent="0.25">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c r="AI187" s="108"/>
      <c r="AJ187" s="108"/>
      <c r="AK187" s="108"/>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c r="CK187" s="108"/>
      <c r="CL187" s="108"/>
      <c r="CM187" s="108"/>
      <c r="CN187" s="108"/>
      <c r="CO187" s="108"/>
      <c r="CP187" s="108"/>
      <c r="CQ187" s="108"/>
      <c r="CR187" s="108"/>
      <c r="CS187" s="108"/>
      <c r="CT187" s="108"/>
      <c r="CU187" s="108"/>
      <c r="CV187" s="108"/>
      <c r="CW187" s="108"/>
      <c r="CX187" s="108"/>
      <c r="CY187" s="108"/>
      <c r="CZ187" s="108"/>
      <c r="DA187" s="108"/>
      <c r="DB187" s="108"/>
      <c r="DC187" s="108"/>
      <c r="DD187" s="270"/>
      <c r="DE187" s="267"/>
      <c r="DF187" s="267"/>
      <c r="DG187" s="267"/>
    </row>
    <row r="188" spans="1:111" s="109" customFormat="1" x14ac:dyDescent="0.25">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8"/>
      <c r="DD188" s="270"/>
      <c r="DE188" s="267"/>
      <c r="DF188" s="267"/>
      <c r="DG188" s="267"/>
    </row>
    <row r="189" spans="1:111" s="109" customFormat="1" x14ac:dyDescent="0.25">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c r="AE189" s="108"/>
      <c r="AF189" s="108"/>
      <c r="AG189" s="108"/>
      <c r="AH189" s="108"/>
      <c r="AI189" s="108"/>
      <c r="AJ189" s="108"/>
      <c r="AK189" s="108"/>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108"/>
      <c r="CN189" s="108"/>
      <c r="CO189" s="108"/>
      <c r="CP189" s="108"/>
      <c r="CQ189" s="108"/>
      <c r="CR189" s="108"/>
      <c r="CS189" s="108"/>
      <c r="CT189" s="108"/>
      <c r="CU189" s="108"/>
      <c r="CV189" s="108"/>
      <c r="CW189" s="108"/>
      <c r="CX189" s="108"/>
      <c r="CY189" s="108"/>
      <c r="CZ189" s="108"/>
      <c r="DA189" s="108"/>
      <c r="DB189" s="108"/>
      <c r="DC189" s="108"/>
      <c r="DD189" s="270"/>
      <c r="DE189" s="267"/>
      <c r="DF189" s="267"/>
      <c r="DG189" s="267"/>
    </row>
    <row r="190" spans="1:111" s="109" customFormat="1" x14ac:dyDescent="0.25">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8"/>
      <c r="DD190" s="270"/>
      <c r="DE190" s="267"/>
      <c r="DF190" s="267"/>
      <c r="DG190" s="267"/>
    </row>
    <row r="191" spans="1:111" s="109" customFormat="1" x14ac:dyDescent="0.25">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8"/>
      <c r="DD191" s="270"/>
      <c r="DE191" s="267"/>
      <c r="DF191" s="267"/>
      <c r="DG191" s="267"/>
    </row>
    <row r="192" spans="1:111" s="109" customFormat="1" x14ac:dyDescent="0.25">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c r="AE192" s="108"/>
      <c r="AF192" s="108"/>
      <c r="AG192" s="108"/>
      <c r="AH192" s="108"/>
      <c r="AI192" s="108"/>
      <c r="AJ192" s="108"/>
      <c r="AK192" s="108"/>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8"/>
      <c r="DD192" s="270"/>
      <c r="DE192" s="267"/>
      <c r="DF192" s="267"/>
      <c r="DG192" s="267"/>
    </row>
    <row r="193" spans="1:111" s="109" customFormat="1" x14ac:dyDescent="0.25">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8"/>
      <c r="DD193" s="270"/>
      <c r="DE193" s="267"/>
      <c r="DF193" s="267"/>
      <c r="DG193" s="267"/>
    </row>
    <row r="194" spans="1:111" s="109" customFormat="1" x14ac:dyDescent="0.25">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c r="AE194" s="108"/>
      <c r="AF194" s="108"/>
      <c r="AG194" s="108"/>
      <c r="AH194" s="108"/>
      <c r="AI194" s="108"/>
      <c r="AJ194" s="108"/>
      <c r="AK194" s="108"/>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8"/>
      <c r="DD194" s="270"/>
      <c r="DE194" s="267"/>
      <c r="DF194" s="267"/>
      <c r="DG194" s="267"/>
    </row>
    <row r="195" spans="1:111" s="109" customFormat="1" x14ac:dyDescent="0.25">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8"/>
      <c r="AK195" s="108"/>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8"/>
      <c r="DD195" s="270"/>
      <c r="DE195" s="267"/>
      <c r="DF195" s="267"/>
      <c r="DG195" s="267"/>
    </row>
    <row r="196" spans="1:111" s="109" customFormat="1" x14ac:dyDescent="0.25">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c r="AD196" s="108"/>
      <c r="AE196" s="108"/>
      <c r="AF196" s="108"/>
      <c r="AG196" s="108"/>
      <c r="AH196" s="108"/>
      <c r="AI196" s="108"/>
      <c r="AJ196" s="108"/>
      <c r="AK196" s="108"/>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c r="CK196" s="108"/>
      <c r="CL196" s="108"/>
      <c r="CM196" s="108"/>
      <c r="CN196" s="108"/>
      <c r="CO196" s="108"/>
      <c r="CP196" s="108"/>
      <c r="CQ196" s="108"/>
      <c r="CR196" s="108"/>
      <c r="CS196" s="108"/>
      <c r="CT196" s="108"/>
      <c r="CU196" s="108"/>
      <c r="CV196" s="108"/>
      <c r="CW196" s="108"/>
      <c r="CX196" s="108"/>
      <c r="CY196" s="108"/>
      <c r="CZ196" s="108"/>
      <c r="DA196" s="108"/>
      <c r="DB196" s="108"/>
      <c r="DC196" s="108"/>
      <c r="DD196" s="270"/>
      <c r="DE196" s="267"/>
      <c r="DF196" s="267"/>
      <c r="DG196" s="267"/>
    </row>
    <row r="197" spans="1:111" s="109" customFormat="1" x14ac:dyDescent="0.25">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8"/>
      <c r="DD197" s="270"/>
      <c r="DE197" s="267"/>
      <c r="DF197" s="267"/>
      <c r="DG197" s="267"/>
    </row>
    <row r="198" spans="1:111" s="109" customFormat="1" x14ac:dyDescent="0.25">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8"/>
      <c r="DD198" s="270"/>
      <c r="DE198" s="267"/>
      <c r="DF198" s="267"/>
      <c r="DG198" s="267"/>
    </row>
    <row r="199" spans="1:111" s="109" customFormat="1" x14ac:dyDescent="0.25">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8"/>
      <c r="DD199" s="270"/>
      <c r="DE199" s="267"/>
      <c r="DF199" s="267"/>
      <c r="DG199" s="267"/>
    </row>
    <row r="200" spans="1:111" s="109" customFormat="1" x14ac:dyDescent="0.25">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8"/>
      <c r="DD200" s="270"/>
      <c r="DE200" s="267"/>
      <c r="DF200" s="267"/>
      <c r="DG200" s="267"/>
    </row>
    <row r="201" spans="1:111" s="109" customFormat="1" x14ac:dyDescent="0.25">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8"/>
      <c r="DD201" s="270"/>
      <c r="DE201" s="267"/>
      <c r="DF201" s="267"/>
      <c r="DG201" s="267"/>
    </row>
    <row r="202" spans="1:111" s="109" customFormat="1" x14ac:dyDescent="0.25">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8"/>
      <c r="DD202" s="270"/>
      <c r="DE202" s="267"/>
      <c r="DF202" s="267"/>
      <c r="DG202" s="267"/>
    </row>
    <row r="203" spans="1:111" s="109" customFormat="1" x14ac:dyDescent="0.25">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8"/>
      <c r="DD203" s="270"/>
      <c r="DE203" s="267"/>
      <c r="DF203" s="267"/>
      <c r="DG203" s="267"/>
    </row>
    <row r="204" spans="1:111" s="109" customFormat="1" x14ac:dyDescent="0.25">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8"/>
      <c r="DD204" s="270"/>
      <c r="DE204" s="267"/>
      <c r="DF204" s="267"/>
      <c r="DG204" s="267"/>
    </row>
    <row r="205" spans="1:111" s="109" customFormat="1" x14ac:dyDescent="0.25">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8"/>
      <c r="DD205" s="270"/>
      <c r="DE205" s="267"/>
      <c r="DF205" s="267"/>
      <c r="DG205" s="267"/>
    </row>
    <row r="206" spans="1:111" s="109" customFormat="1" x14ac:dyDescent="0.25">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8"/>
      <c r="DD206" s="270"/>
      <c r="DE206" s="267"/>
      <c r="DF206" s="267"/>
      <c r="DG206" s="267"/>
    </row>
    <row r="207" spans="1:111" s="109" customFormat="1" x14ac:dyDescent="0.25">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8"/>
      <c r="DD207" s="270"/>
      <c r="DE207" s="267"/>
      <c r="DF207" s="267"/>
      <c r="DG207" s="267"/>
    </row>
    <row r="208" spans="1:111" s="109" customFormat="1" x14ac:dyDescent="0.25">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8"/>
      <c r="DD208" s="270"/>
      <c r="DE208" s="267"/>
      <c r="DF208" s="267"/>
      <c r="DG208" s="267"/>
    </row>
    <row r="209" spans="1:111" s="109" customFormat="1" x14ac:dyDescent="0.25">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8"/>
      <c r="DD209" s="270"/>
      <c r="DE209" s="267"/>
      <c r="DF209" s="267"/>
      <c r="DG209" s="267"/>
    </row>
    <row r="210" spans="1:111" s="109" customFormat="1" x14ac:dyDescent="0.25">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8"/>
      <c r="DD210" s="270"/>
      <c r="DE210" s="267"/>
      <c r="DF210" s="267"/>
      <c r="DG210" s="267"/>
    </row>
    <row r="211" spans="1:111" s="109" customFormat="1" x14ac:dyDescent="0.25">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8"/>
      <c r="DD211" s="270"/>
      <c r="DE211" s="267"/>
      <c r="DF211" s="267"/>
      <c r="DG211" s="267"/>
    </row>
    <row r="212" spans="1:111" s="109" customFormat="1" x14ac:dyDescent="0.25">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8"/>
      <c r="DD212" s="270"/>
      <c r="DE212" s="267"/>
      <c r="DF212" s="267"/>
      <c r="DG212" s="267"/>
    </row>
    <row r="213" spans="1:111" s="109" customFormat="1" x14ac:dyDescent="0.25">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8"/>
      <c r="DD213" s="270"/>
      <c r="DE213" s="267"/>
      <c r="DF213" s="267"/>
      <c r="DG213" s="267"/>
    </row>
    <row r="214" spans="1:111" s="109" customFormat="1" x14ac:dyDescent="0.25">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8"/>
      <c r="DD214" s="270"/>
      <c r="DE214" s="267"/>
      <c r="DF214" s="267"/>
      <c r="DG214" s="267"/>
    </row>
    <row r="215" spans="1:111" s="109" customFormat="1" x14ac:dyDescent="0.25">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8"/>
      <c r="DD215" s="270"/>
      <c r="DE215" s="267"/>
      <c r="DF215" s="267"/>
      <c r="DG215" s="267"/>
    </row>
    <row r="216" spans="1:111" s="109" customFormat="1" x14ac:dyDescent="0.25">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8"/>
      <c r="DD216" s="270"/>
      <c r="DE216" s="267"/>
      <c r="DF216" s="267"/>
      <c r="DG216" s="267"/>
    </row>
    <row r="217" spans="1:111" s="109" customFormat="1" x14ac:dyDescent="0.25">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8"/>
      <c r="DD217" s="270"/>
      <c r="DE217" s="268"/>
      <c r="DF217" s="268"/>
      <c r="DG217" s="267"/>
    </row>
    <row r="218" spans="1:111" x14ac:dyDescent="0.25">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8"/>
      <c r="DD218" s="270"/>
    </row>
    <row r="219" spans="1:111" x14ac:dyDescent="0.25">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8"/>
      <c r="DD219" s="270"/>
    </row>
    <row r="220" spans="1:111" x14ac:dyDescent="0.25">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8"/>
      <c r="DD220" s="270"/>
    </row>
    <row r="221" spans="1:111" x14ac:dyDescent="0.25">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8"/>
      <c r="DD221" s="270"/>
    </row>
    <row r="222" spans="1:111" x14ac:dyDescent="0.25">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8"/>
      <c r="DD222" s="270"/>
    </row>
    <row r="223" spans="1:111" x14ac:dyDescent="0.25">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8"/>
      <c r="DD223" s="270"/>
    </row>
    <row r="224" spans="1:111" x14ac:dyDescent="0.25">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8"/>
      <c r="DD224" s="270"/>
    </row>
    <row r="225" spans="1:108" x14ac:dyDescent="0.25">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8"/>
      <c r="DD225" s="270"/>
    </row>
    <row r="226" spans="1:108" x14ac:dyDescent="0.25">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8"/>
      <c r="DD226" s="270"/>
    </row>
    <row r="227" spans="1:108" x14ac:dyDescent="0.25">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c r="AD227" s="108"/>
      <c r="AE227" s="108"/>
      <c r="AF227" s="108"/>
      <c r="AG227" s="108"/>
      <c r="AH227" s="108"/>
      <c r="AI227" s="108"/>
      <c r="AJ227" s="108"/>
      <c r="AK227" s="108"/>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c r="CP227" s="108"/>
      <c r="CQ227" s="108"/>
      <c r="CR227" s="108"/>
      <c r="CS227" s="108"/>
      <c r="CT227" s="108"/>
      <c r="CU227" s="108"/>
      <c r="CV227" s="108"/>
      <c r="CW227" s="108"/>
      <c r="CX227" s="108"/>
      <c r="CY227" s="108"/>
      <c r="CZ227" s="108"/>
      <c r="DA227" s="108"/>
      <c r="DB227" s="108"/>
      <c r="DC227" s="108"/>
      <c r="DD227" s="270"/>
    </row>
    <row r="228" spans="1:108" x14ac:dyDescent="0.25">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8"/>
      <c r="DD228" s="270"/>
    </row>
    <row r="229" spans="1:108" s="268" customFormat="1" x14ac:dyDescent="0.25">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c r="AB229" s="108"/>
      <c r="AC229" s="108"/>
      <c r="AD229" s="108"/>
      <c r="AE229" s="108"/>
      <c r="AF229" s="108"/>
      <c r="AG229" s="108"/>
      <c r="AH229" s="108"/>
      <c r="AI229" s="108"/>
      <c r="AJ229" s="108"/>
      <c r="AK229" s="108"/>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108"/>
      <c r="CN229" s="108"/>
      <c r="CO229" s="108"/>
      <c r="CP229" s="108"/>
      <c r="CQ229" s="108"/>
      <c r="CR229" s="108"/>
      <c r="CS229" s="108"/>
      <c r="CT229" s="108"/>
      <c r="CU229" s="108"/>
      <c r="CV229" s="108"/>
      <c r="CW229" s="108"/>
      <c r="CX229" s="108"/>
      <c r="CY229" s="108"/>
      <c r="CZ229" s="108"/>
      <c r="DA229" s="108"/>
      <c r="DB229" s="108"/>
      <c r="DC229" s="108"/>
      <c r="DD229" s="270"/>
    </row>
    <row r="230" spans="1:108" s="268" customFormat="1" x14ac:dyDescent="0.25">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108"/>
      <c r="CN230" s="108"/>
      <c r="CO230" s="108"/>
      <c r="CP230" s="108"/>
      <c r="CQ230" s="108"/>
      <c r="CR230" s="108"/>
      <c r="CS230" s="108"/>
      <c r="CT230" s="108"/>
      <c r="CU230" s="108"/>
      <c r="CV230" s="108"/>
      <c r="CW230" s="108"/>
      <c r="CX230" s="108"/>
      <c r="CY230" s="108"/>
      <c r="CZ230" s="108"/>
      <c r="DA230" s="108"/>
      <c r="DB230" s="108"/>
      <c r="DC230" s="108"/>
      <c r="DD230" s="270"/>
    </row>
    <row r="231" spans="1:108" s="268" customFormat="1" x14ac:dyDescent="0.25">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c r="AB231" s="108"/>
      <c r="AC231" s="108"/>
      <c r="AD231" s="108"/>
      <c r="AE231" s="108"/>
      <c r="AF231" s="108"/>
      <c r="AG231" s="108"/>
      <c r="AH231" s="108"/>
      <c r="AI231" s="108"/>
      <c r="AJ231" s="108"/>
      <c r="AK231" s="108"/>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c r="CK231" s="108"/>
      <c r="CL231" s="108"/>
      <c r="CM231" s="108"/>
      <c r="CN231" s="108"/>
      <c r="CO231" s="108"/>
      <c r="CP231" s="108"/>
      <c r="CQ231" s="108"/>
      <c r="CR231" s="108"/>
      <c r="CS231" s="108"/>
      <c r="CT231" s="108"/>
      <c r="CU231" s="108"/>
      <c r="CV231" s="108"/>
      <c r="CW231" s="108"/>
      <c r="CX231" s="108"/>
      <c r="CY231" s="108"/>
      <c r="CZ231" s="108"/>
      <c r="DA231" s="108"/>
      <c r="DB231" s="108"/>
      <c r="DC231" s="108"/>
      <c r="DD231" s="270"/>
    </row>
    <row r="232" spans="1:108" s="268" customFormat="1" x14ac:dyDescent="0.25">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108"/>
      <c r="CN232" s="108"/>
      <c r="CO232" s="108"/>
      <c r="CP232" s="108"/>
      <c r="CQ232" s="108"/>
      <c r="CR232" s="108"/>
      <c r="CS232" s="108"/>
      <c r="CT232" s="108"/>
      <c r="CU232" s="108"/>
      <c r="CV232" s="108"/>
      <c r="CW232" s="108"/>
      <c r="CX232" s="108"/>
      <c r="CY232" s="108"/>
      <c r="CZ232" s="108"/>
      <c r="DA232" s="108"/>
      <c r="DB232" s="108"/>
      <c r="DC232" s="108"/>
      <c r="DD232" s="270"/>
    </row>
    <row r="233" spans="1:108" s="268" customFormat="1" x14ac:dyDescent="0.25">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c r="AB233" s="108"/>
      <c r="AC233" s="108"/>
      <c r="AD233" s="108"/>
      <c r="AE233" s="108"/>
      <c r="AF233" s="108"/>
      <c r="AG233" s="108"/>
      <c r="AH233" s="108"/>
      <c r="AI233" s="108"/>
      <c r="AJ233" s="108"/>
      <c r="AK233" s="108"/>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108"/>
      <c r="CN233" s="108"/>
      <c r="CO233" s="108"/>
      <c r="CP233" s="108"/>
      <c r="CQ233" s="108"/>
      <c r="CR233" s="108"/>
      <c r="CS233" s="108"/>
      <c r="CT233" s="108"/>
      <c r="CU233" s="108"/>
      <c r="CV233" s="108"/>
      <c r="CW233" s="108"/>
      <c r="CX233" s="108"/>
      <c r="CY233" s="108"/>
      <c r="CZ233" s="108"/>
      <c r="DA233" s="108"/>
      <c r="DB233" s="108"/>
      <c r="DC233" s="108"/>
      <c r="DD233" s="270"/>
    </row>
    <row r="234" spans="1:108" s="268" customFormat="1" x14ac:dyDescent="0.25">
      <c r="A234" s="107"/>
      <c r="B234" s="9"/>
      <c r="C234" s="9"/>
      <c r="D234" s="107"/>
      <c r="E234" s="9"/>
      <c r="F234" s="9"/>
      <c r="G234" s="9"/>
      <c r="H234" s="107"/>
      <c r="I234" s="9"/>
      <c r="J234" s="9"/>
      <c r="K234" s="9"/>
      <c r="L234" s="9"/>
      <c r="M234" s="107"/>
      <c r="N234" s="107"/>
      <c r="O234" s="107"/>
      <c r="P234" s="107"/>
      <c r="Q234" s="107"/>
      <c r="R234" s="9"/>
      <c r="S234" s="9"/>
      <c r="T234" s="107"/>
      <c r="U234" s="107"/>
      <c r="V234" s="107"/>
      <c r="W234" s="9"/>
      <c r="X234" s="9"/>
      <c r="Y234" s="9"/>
      <c r="Z234" s="107"/>
      <c r="AA234" s="107"/>
      <c r="AB234" s="107"/>
      <c r="AC234" s="107"/>
      <c r="AD234" s="107"/>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row>
    <row r="235" spans="1:108" s="268" customFormat="1" x14ac:dyDescent="0.25">
      <c r="A235" s="107"/>
      <c r="B235" s="9"/>
      <c r="C235" s="9"/>
      <c r="D235" s="107"/>
      <c r="E235" s="9"/>
      <c r="F235" s="9"/>
      <c r="G235" s="9"/>
      <c r="H235" s="107"/>
      <c r="I235" s="9"/>
      <c r="J235" s="9"/>
      <c r="K235" s="9"/>
      <c r="L235" s="9"/>
      <c r="M235" s="107"/>
      <c r="N235" s="107"/>
      <c r="O235" s="107"/>
      <c r="P235" s="107"/>
      <c r="Q235" s="107"/>
      <c r="R235" s="9"/>
      <c r="S235" s="9"/>
      <c r="T235" s="107"/>
      <c r="U235" s="107"/>
      <c r="V235" s="107"/>
      <c r="W235" s="9"/>
      <c r="X235" s="9"/>
      <c r="Y235" s="9"/>
      <c r="Z235" s="107"/>
      <c r="AA235" s="107"/>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c r="CW235" s="107"/>
      <c r="CX235" s="107"/>
      <c r="CY235" s="107"/>
      <c r="CZ235" s="107"/>
      <c r="DA235" s="107"/>
      <c r="DB235" s="107"/>
      <c r="DC235" s="107"/>
    </row>
    <row r="236" spans="1:108" s="268" customFormat="1" x14ac:dyDescent="0.25">
      <c r="A236" s="107"/>
      <c r="B236" s="9"/>
      <c r="C236" s="9"/>
      <c r="D236" s="107"/>
      <c r="E236" s="9"/>
      <c r="F236" s="9"/>
      <c r="G236" s="9"/>
      <c r="H236" s="107"/>
      <c r="I236" s="9"/>
      <c r="J236" s="9"/>
      <c r="K236" s="9"/>
      <c r="L236" s="9"/>
      <c r="M236" s="107"/>
      <c r="N236" s="107"/>
      <c r="O236" s="107"/>
      <c r="P236" s="107"/>
      <c r="Q236" s="107"/>
      <c r="R236" s="9"/>
      <c r="S236" s="9"/>
      <c r="T236" s="107"/>
      <c r="U236" s="107"/>
      <c r="V236" s="107"/>
      <c r="W236" s="9"/>
      <c r="X236" s="9"/>
      <c r="Y236" s="9"/>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c r="CW236" s="107"/>
      <c r="CX236" s="107"/>
      <c r="CY236" s="107"/>
      <c r="CZ236" s="107"/>
      <c r="DA236" s="107"/>
      <c r="DB236" s="107"/>
      <c r="DC236" s="107"/>
    </row>
    <row r="237" spans="1:108" s="268" customFormat="1" x14ac:dyDescent="0.25">
      <c r="A237" s="107"/>
      <c r="B237" s="9"/>
      <c r="C237" s="9"/>
      <c r="D237" s="107"/>
      <c r="E237" s="9"/>
      <c r="F237" s="9"/>
      <c r="G237" s="9"/>
      <c r="H237" s="107"/>
      <c r="I237" s="9"/>
      <c r="J237" s="9"/>
      <c r="K237" s="9"/>
      <c r="L237" s="9"/>
      <c r="M237" s="107"/>
      <c r="N237" s="107"/>
      <c r="O237" s="107"/>
      <c r="P237" s="107"/>
      <c r="Q237" s="107"/>
      <c r="R237" s="9"/>
      <c r="S237" s="9"/>
      <c r="T237" s="107"/>
      <c r="U237" s="107"/>
      <c r="V237" s="107"/>
      <c r="W237" s="9"/>
      <c r="X237" s="9"/>
      <c r="Y237" s="9"/>
      <c r="Z237" s="107"/>
      <c r="AA237" s="107"/>
      <c r="AB237" s="107"/>
      <c r="AC237" s="107"/>
      <c r="AD237" s="107"/>
      <c r="AE237" s="107"/>
      <c r="AF237" s="107"/>
      <c r="AG237" s="10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107"/>
      <c r="BQ237" s="107"/>
      <c r="BR237" s="107"/>
      <c r="BS237" s="107"/>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c r="CW237" s="107"/>
      <c r="CX237" s="107"/>
      <c r="CY237" s="107"/>
      <c r="CZ237" s="107"/>
      <c r="DA237" s="107"/>
      <c r="DB237" s="107"/>
      <c r="DC237" s="107"/>
    </row>
    <row r="238" spans="1:108" s="268" customFormat="1" x14ac:dyDescent="0.25">
      <c r="A238" s="107"/>
      <c r="B238" s="9"/>
      <c r="C238" s="9"/>
      <c r="D238" s="107"/>
      <c r="E238" s="9"/>
      <c r="F238" s="9"/>
      <c r="G238" s="9"/>
      <c r="H238" s="107"/>
      <c r="I238" s="9"/>
      <c r="J238" s="9"/>
      <c r="K238" s="9"/>
      <c r="L238" s="9"/>
      <c r="M238" s="107"/>
      <c r="N238" s="107"/>
      <c r="O238" s="107"/>
      <c r="P238" s="107"/>
      <c r="Q238" s="107"/>
      <c r="R238" s="9"/>
      <c r="S238" s="9"/>
      <c r="T238" s="107"/>
      <c r="U238" s="107"/>
      <c r="V238" s="107"/>
      <c r="W238" s="9"/>
      <c r="X238" s="9"/>
      <c r="Y238" s="9"/>
      <c r="Z238" s="107"/>
      <c r="AA238" s="107"/>
      <c r="AB238" s="107"/>
      <c r="AC238" s="107"/>
      <c r="AD238" s="107"/>
      <c r="AE238" s="107"/>
      <c r="AF238" s="107"/>
      <c r="AG238" s="107"/>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107"/>
      <c r="BQ238" s="107"/>
      <c r="BR238" s="107"/>
      <c r="BS238" s="107"/>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c r="CW238" s="107"/>
      <c r="CX238" s="107"/>
      <c r="CY238" s="107"/>
      <c r="CZ238" s="107"/>
      <c r="DA238" s="107"/>
      <c r="DB238" s="107"/>
      <c r="DC238" s="107"/>
    </row>
    <row r="239" spans="1:108" s="268" customFormat="1" x14ac:dyDescent="0.25">
      <c r="A239" s="107"/>
      <c r="B239" s="9"/>
      <c r="C239" s="9"/>
      <c r="D239" s="107"/>
      <c r="E239" s="9"/>
      <c r="F239" s="9"/>
      <c r="G239" s="9"/>
      <c r="H239" s="107"/>
      <c r="I239" s="9"/>
      <c r="J239" s="9"/>
      <c r="K239" s="9"/>
      <c r="L239" s="9"/>
      <c r="M239" s="107"/>
      <c r="N239" s="107"/>
      <c r="O239" s="107"/>
      <c r="P239" s="107"/>
      <c r="Q239" s="107"/>
      <c r="R239" s="9"/>
      <c r="S239" s="9"/>
      <c r="T239" s="107"/>
      <c r="U239" s="107"/>
      <c r="V239" s="107"/>
      <c r="W239" s="9"/>
      <c r="X239" s="9"/>
      <c r="Y239" s="9"/>
      <c r="Z239" s="107"/>
      <c r="AA239" s="107"/>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row>
    <row r="240" spans="1:108" s="268" customFormat="1" x14ac:dyDescent="0.25">
      <c r="A240" s="107"/>
      <c r="B240" s="9"/>
      <c r="C240" s="9"/>
      <c r="D240" s="107"/>
      <c r="E240" s="9"/>
      <c r="F240" s="9"/>
      <c r="G240" s="9"/>
      <c r="H240" s="107"/>
      <c r="I240" s="9"/>
      <c r="J240" s="9"/>
      <c r="K240" s="9"/>
      <c r="L240" s="9"/>
      <c r="M240" s="107"/>
      <c r="N240" s="107"/>
      <c r="O240" s="107"/>
      <c r="P240" s="107"/>
      <c r="Q240" s="107"/>
      <c r="R240" s="9"/>
      <c r="S240" s="9"/>
      <c r="T240" s="107"/>
      <c r="U240" s="107"/>
      <c r="V240" s="107"/>
      <c r="W240" s="9"/>
      <c r="X240" s="9"/>
      <c r="Y240" s="9"/>
      <c r="Z240" s="107"/>
      <c r="AA240" s="107"/>
      <c r="AB240" s="107"/>
      <c r="AC240" s="107"/>
      <c r="AD240" s="107"/>
      <c r="AE240" s="107"/>
      <c r="AF240" s="107"/>
      <c r="AG240" s="107"/>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row>
    <row r="241" spans="1:107" s="268" customFormat="1" x14ac:dyDescent="0.25">
      <c r="A241" s="107"/>
      <c r="B241" s="9"/>
      <c r="C241" s="9"/>
      <c r="D241" s="107"/>
      <c r="E241" s="9"/>
      <c r="F241" s="9"/>
      <c r="G241" s="9"/>
      <c r="H241" s="107"/>
      <c r="I241" s="9"/>
      <c r="J241" s="9"/>
      <c r="K241" s="9"/>
      <c r="L241" s="9"/>
      <c r="M241" s="107"/>
      <c r="N241" s="107"/>
      <c r="O241" s="107"/>
      <c r="P241" s="107"/>
      <c r="Q241" s="107"/>
      <c r="R241" s="9"/>
      <c r="S241" s="9"/>
      <c r="T241" s="107"/>
      <c r="U241" s="107"/>
      <c r="V241" s="107"/>
      <c r="W241" s="9"/>
      <c r="X241" s="9"/>
      <c r="Y241" s="9"/>
      <c r="Z241" s="107"/>
      <c r="AA241" s="107"/>
      <c r="AB241" s="107"/>
      <c r="AC241" s="107"/>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row>
    <row r="242" spans="1:107" s="268" customFormat="1" x14ac:dyDescent="0.25">
      <c r="A242" s="107"/>
      <c r="B242" s="9"/>
      <c r="C242" s="9"/>
      <c r="D242" s="107"/>
      <c r="E242" s="9"/>
      <c r="F242" s="9"/>
      <c r="G242" s="9"/>
      <c r="H242" s="107"/>
      <c r="I242" s="9"/>
      <c r="J242" s="9"/>
      <c r="K242" s="9"/>
      <c r="L242" s="9"/>
      <c r="M242" s="107"/>
      <c r="N242" s="107"/>
      <c r="O242" s="107"/>
      <c r="P242" s="107"/>
      <c r="Q242" s="107"/>
      <c r="R242" s="9"/>
      <c r="S242" s="9"/>
      <c r="T242" s="107"/>
      <c r="U242" s="107"/>
      <c r="V242" s="107"/>
      <c r="W242" s="9"/>
      <c r="X242" s="9"/>
      <c r="Y242" s="9"/>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c r="CW242" s="107"/>
      <c r="CX242" s="107"/>
      <c r="CY242" s="107"/>
      <c r="CZ242" s="107"/>
      <c r="DA242" s="107"/>
      <c r="DB242" s="107"/>
      <c r="DC242" s="107"/>
    </row>
    <row r="243" spans="1:107" s="268" customFormat="1" x14ac:dyDescent="0.25">
      <c r="A243" s="107"/>
      <c r="B243" s="9"/>
      <c r="C243" s="9"/>
      <c r="D243" s="107"/>
      <c r="E243" s="9"/>
      <c r="F243" s="9"/>
      <c r="G243" s="9"/>
      <c r="H243" s="107"/>
      <c r="I243" s="9"/>
      <c r="J243" s="9"/>
      <c r="K243" s="9"/>
      <c r="L243" s="9"/>
      <c r="M243" s="107"/>
      <c r="N243" s="107"/>
      <c r="O243" s="107"/>
      <c r="P243" s="107"/>
      <c r="Q243" s="107"/>
      <c r="R243" s="9"/>
      <c r="S243" s="9"/>
      <c r="T243" s="107"/>
      <c r="U243" s="107"/>
      <c r="V243" s="107"/>
      <c r="W243" s="9"/>
      <c r="X243" s="9"/>
      <c r="Y243" s="9"/>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row>
    <row r="244" spans="1:107" s="268" customFormat="1" x14ac:dyDescent="0.25">
      <c r="A244" s="107"/>
      <c r="B244" s="9"/>
      <c r="C244" s="9"/>
      <c r="D244" s="107"/>
      <c r="E244" s="9"/>
      <c r="F244" s="9"/>
      <c r="G244" s="9"/>
      <c r="H244" s="107"/>
      <c r="I244" s="9"/>
      <c r="J244" s="9"/>
      <c r="K244" s="9"/>
      <c r="L244" s="9"/>
      <c r="M244" s="107"/>
      <c r="N244" s="107"/>
      <c r="O244" s="107"/>
      <c r="P244" s="107"/>
      <c r="Q244" s="107"/>
      <c r="R244" s="9"/>
      <c r="S244" s="9"/>
      <c r="T244" s="107"/>
      <c r="U244" s="107"/>
      <c r="V244" s="107"/>
      <c r="W244" s="9"/>
      <c r="X244" s="9"/>
      <c r="Y244" s="9"/>
      <c r="Z244" s="107"/>
      <c r="AA244" s="107"/>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row>
    <row r="245" spans="1:107" s="268" customFormat="1" x14ac:dyDescent="0.25">
      <c r="A245" s="107"/>
      <c r="B245" s="9"/>
      <c r="C245" s="9"/>
      <c r="D245" s="107"/>
      <c r="E245" s="9"/>
      <c r="F245" s="9"/>
      <c r="G245" s="9"/>
      <c r="H245" s="107"/>
      <c r="I245" s="9"/>
      <c r="J245" s="9"/>
      <c r="K245" s="9"/>
      <c r="L245" s="9"/>
      <c r="M245" s="107"/>
      <c r="N245" s="107"/>
      <c r="O245" s="107"/>
      <c r="P245" s="107"/>
      <c r="Q245" s="107"/>
      <c r="R245" s="9"/>
      <c r="S245" s="9"/>
      <c r="T245" s="107"/>
      <c r="U245" s="107"/>
      <c r="V245" s="107"/>
      <c r="W245" s="9"/>
      <c r="X245" s="9"/>
      <c r="Y245" s="9"/>
      <c r="Z245" s="107"/>
      <c r="AA245" s="107"/>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row>
    <row r="246" spans="1:107" s="268" customFormat="1" x14ac:dyDescent="0.25">
      <c r="A246" s="107"/>
      <c r="B246" s="9"/>
      <c r="C246" s="9"/>
      <c r="D246" s="107"/>
      <c r="E246" s="9"/>
      <c r="F246" s="9"/>
      <c r="G246" s="9"/>
      <c r="H246" s="107"/>
      <c r="I246" s="9"/>
      <c r="J246" s="9"/>
      <c r="K246" s="9"/>
      <c r="L246" s="9"/>
      <c r="M246" s="107"/>
      <c r="N246" s="107"/>
      <c r="O246" s="107"/>
      <c r="P246" s="107"/>
      <c r="Q246" s="107"/>
      <c r="R246" s="9"/>
      <c r="S246" s="9"/>
      <c r="T246" s="107"/>
      <c r="U246" s="107"/>
      <c r="V246" s="107"/>
      <c r="W246" s="9"/>
      <c r="X246" s="9"/>
      <c r="Y246" s="9"/>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c r="CW246" s="107"/>
      <c r="CX246" s="107"/>
      <c r="CY246" s="107"/>
      <c r="CZ246" s="107"/>
      <c r="DA246" s="107"/>
      <c r="DB246" s="107"/>
      <c r="DC246" s="107"/>
    </row>
    <row r="247" spans="1:107" s="268" customFormat="1" x14ac:dyDescent="0.25">
      <c r="A247" s="107"/>
      <c r="B247" s="9"/>
      <c r="C247" s="9"/>
      <c r="D247" s="107"/>
      <c r="E247" s="9"/>
      <c r="F247" s="9"/>
      <c r="G247" s="9"/>
      <c r="H247" s="107"/>
      <c r="I247" s="9"/>
      <c r="J247" s="9"/>
      <c r="K247" s="9"/>
      <c r="L247" s="9"/>
      <c r="M247" s="107"/>
      <c r="N247" s="107"/>
      <c r="O247" s="107"/>
      <c r="P247" s="107"/>
      <c r="Q247" s="107"/>
      <c r="R247" s="9"/>
      <c r="S247" s="9"/>
      <c r="T247" s="107"/>
      <c r="U247" s="107"/>
      <c r="V247" s="107"/>
      <c r="W247" s="9"/>
      <c r="X247" s="9"/>
      <c r="Y247" s="9"/>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row>
    <row r="248" spans="1:107" s="268" customFormat="1" x14ac:dyDescent="0.25">
      <c r="A248" s="107"/>
      <c r="B248" s="9"/>
      <c r="C248" s="9"/>
      <c r="D248" s="107"/>
      <c r="E248" s="9"/>
      <c r="F248" s="9"/>
      <c r="G248" s="9"/>
      <c r="H248" s="107"/>
      <c r="I248" s="9"/>
      <c r="J248" s="9"/>
      <c r="K248" s="9"/>
      <c r="L248" s="9"/>
      <c r="M248" s="107"/>
      <c r="N248" s="107"/>
      <c r="O248" s="107"/>
      <c r="P248" s="107"/>
      <c r="Q248" s="107"/>
      <c r="R248" s="9"/>
      <c r="S248" s="9"/>
      <c r="T248" s="107"/>
      <c r="U248" s="107"/>
      <c r="V248" s="107"/>
      <c r="W248" s="9"/>
      <c r="X248" s="9"/>
      <c r="Y248" s="9"/>
      <c r="Z248" s="107"/>
      <c r="AA248" s="107"/>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row>
    <row r="249" spans="1:107" s="268" customFormat="1" x14ac:dyDescent="0.25">
      <c r="A249" s="107"/>
      <c r="B249" s="9"/>
      <c r="C249" s="9"/>
      <c r="D249" s="107"/>
      <c r="E249" s="9"/>
      <c r="F249" s="9"/>
      <c r="G249" s="9"/>
      <c r="H249" s="107"/>
      <c r="I249" s="9"/>
      <c r="J249" s="9"/>
      <c r="K249" s="9"/>
      <c r="L249" s="9"/>
      <c r="M249" s="107"/>
      <c r="N249" s="107"/>
      <c r="O249" s="107"/>
      <c r="P249" s="107"/>
      <c r="Q249" s="107"/>
      <c r="R249" s="9"/>
      <c r="S249" s="9"/>
      <c r="T249" s="107"/>
      <c r="U249" s="107"/>
      <c r="V249" s="107"/>
      <c r="W249" s="9"/>
      <c r="X249" s="9"/>
      <c r="Y249" s="9"/>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row>
    <row r="250" spans="1:107" s="268" customFormat="1" x14ac:dyDescent="0.25">
      <c r="A250" s="107"/>
      <c r="B250" s="9"/>
      <c r="C250" s="9"/>
      <c r="D250" s="107"/>
      <c r="E250" s="9"/>
      <c r="F250" s="9"/>
      <c r="G250" s="9"/>
      <c r="H250" s="107"/>
      <c r="I250" s="9"/>
      <c r="J250" s="9"/>
      <c r="K250" s="9"/>
      <c r="L250" s="9"/>
      <c r="M250" s="107"/>
      <c r="N250" s="107"/>
      <c r="O250" s="107"/>
      <c r="P250" s="107"/>
      <c r="Q250" s="107"/>
      <c r="R250" s="9"/>
      <c r="S250" s="9"/>
      <c r="T250" s="107"/>
      <c r="U250" s="107"/>
      <c r="V250" s="107"/>
      <c r="W250" s="9"/>
      <c r="X250" s="9"/>
      <c r="Y250" s="9"/>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row>
    <row r="251" spans="1:107" s="268" customFormat="1" x14ac:dyDescent="0.25">
      <c r="A251" s="107"/>
      <c r="B251" s="9"/>
      <c r="C251" s="9"/>
      <c r="D251" s="107"/>
      <c r="E251" s="9"/>
      <c r="F251" s="9"/>
      <c r="G251" s="9"/>
      <c r="H251" s="107"/>
      <c r="I251" s="9"/>
      <c r="J251" s="9"/>
      <c r="K251" s="9"/>
      <c r="L251" s="9"/>
      <c r="M251" s="107"/>
      <c r="N251" s="107"/>
      <c r="O251" s="107"/>
      <c r="P251" s="107"/>
      <c r="Q251" s="107"/>
      <c r="R251" s="9"/>
      <c r="S251" s="9"/>
      <c r="T251" s="107"/>
      <c r="U251" s="107"/>
      <c r="V251" s="107"/>
      <c r="W251" s="9"/>
      <c r="X251" s="9"/>
      <c r="Y251" s="9"/>
      <c r="Z251" s="107"/>
      <c r="AA251" s="107"/>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row>
    <row r="252" spans="1:107" s="268" customFormat="1" x14ac:dyDescent="0.25">
      <c r="A252" s="107"/>
      <c r="B252" s="9"/>
      <c r="C252" s="9"/>
      <c r="D252" s="107"/>
      <c r="E252" s="9"/>
      <c r="F252" s="9"/>
      <c r="G252" s="9"/>
      <c r="H252" s="107"/>
      <c r="I252" s="9"/>
      <c r="J252" s="9"/>
      <c r="K252" s="9"/>
      <c r="L252" s="9"/>
      <c r="M252" s="107"/>
      <c r="N252" s="107"/>
      <c r="O252" s="107"/>
      <c r="P252" s="107"/>
      <c r="Q252" s="107"/>
      <c r="R252" s="9"/>
      <c r="S252" s="9"/>
      <c r="T252" s="107"/>
      <c r="U252" s="107"/>
      <c r="V252" s="107"/>
      <c r="W252" s="9"/>
      <c r="X252" s="9"/>
      <c r="Y252" s="9"/>
      <c r="Z252" s="107"/>
      <c r="AA252" s="107"/>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row>
    <row r="253" spans="1:107" s="268" customFormat="1" x14ac:dyDescent="0.25">
      <c r="A253" s="107"/>
      <c r="B253" s="9"/>
      <c r="C253" s="9"/>
      <c r="D253" s="107"/>
      <c r="E253" s="9"/>
      <c r="F253" s="9"/>
      <c r="G253" s="9"/>
      <c r="H253" s="107"/>
      <c r="I253" s="9"/>
      <c r="J253" s="9"/>
      <c r="K253" s="9"/>
      <c r="L253" s="9"/>
      <c r="M253" s="107"/>
      <c r="N253" s="107"/>
      <c r="O253" s="107"/>
      <c r="P253" s="107"/>
      <c r="Q253" s="107"/>
      <c r="R253" s="9"/>
      <c r="S253" s="9"/>
      <c r="T253" s="107"/>
      <c r="U253" s="107"/>
      <c r="V253" s="107"/>
      <c r="W253" s="9"/>
      <c r="X253" s="9"/>
      <c r="Y253" s="9"/>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row>
    <row r="254" spans="1:107" s="268" customFormat="1" x14ac:dyDescent="0.25">
      <c r="A254" s="107"/>
      <c r="B254" s="9"/>
      <c r="C254" s="9"/>
      <c r="D254" s="107"/>
      <c r="E254" s="9"/>
      <c r="F254" s="9"/>
      <c r="G254" s="9"/>
      <c r="H254" s="107"/>
      <c r="I254" s="9"/>
      <c r="J254" s="9"/>
      <c r="K254" s="9"/>
      <c r="L254" s="9"/>
      <c r="M254" s="107"/>
      <c r="N254" s="107"/>
      <c r="O254" s="107"/>
      <c r="P254" s="107"/>
      <c r="Q254" s="107"/>
      <c r="R254" s="9"/>
      <c r="S254" s="9"/>
      <c r="T254" s="107"/>
      <c r="U254" s="107"/>
      <c r="V254" s="107"/>
      <c r="W254" s="9"/>
      <c r="X254" s="9"/>
      <c r="Y254" s="9"/>
      <c r="Z254" s="107"/>
      <c r="AA254" s="107"/>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row>
    <row r="255" spans="1:107" s="268" customFormat="1" x14ac:dyDescent="0.25">
      <c r="A255" s="107"/>
      <c r="B255" s="9"/>
      <c r="C255" s="9"/>
      <c r="D255" s="107"/>
      <c r="E255" s="9"/>
      <c r="F255" s="9"/>
      <c r="G255" s="9"/>
      <c r="H255" s="107"/>
      <c r="I255" s="9"/>
      <c r="J255" s="9"/>
      <c r="K255" s="9"/>
      <c r="L255" s="9"/>
      <c r="M255" s="107"/>
      <c r="N255" s="107"/>
      <c r="O255" s="107"/>
      <c r="P255" s="107"/>
      <c r="Q255" s="107"/>
      <c r="R255" s="9"/>
      <c r="S255" s="9"/>
      <c r="T255" s="107"/>
      <c r="U255" s="107"/>
      <c r="V255" s="107"/>
      <c r="W255" s="9"/>
      <c r="X255" s="9"/>
      <c r="Y255" s="9"/>
      <c r="Z255" s="107"/>
      <c r="AA255" s="107"/>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row>
    <row r="256" spans="1:107" s="268" customFormat="1" x14ac:dyDescent="0.25">
      <c r="A256" s="107"/>
      <c r="B256" s="9"/>
      <c r="C256" s="9"/>
      <c r="D256" s="107"/>
      <c r="E256" s="9"/>
      <c r="F256" s="9"/>
      <c r="G256" s="9"/>
      <c r="H256" s="107"/>
      <c r="I256" s="9"/>
      <c r="J256" s="9"/>
      <c r="K256" s="9"/>
      <c r="L256" s="9"/>
      <c r="M256" s="107"/>
      <c r="N256" s="107"/>
      <c r="O256" s="107"/>
      <c r="P256" s="107"/>
      <c r="Q256" s="107"/>
      <c r="R256" s="9"/>
      <c r="S256" s="9"/>
      <c r="T256" s="107"/>
      <c r="U256" s="107"/>
      <c r="V256" s="107"/>
      <c r="W256" s="9"/>
      <c r="X256" s="9"/>
      <c r="Y256" s="9"/>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row>
    <row r="257" spans="1:111" s="268" customFormat="1" x14ac:dyDescent="0.25">
      <c r="A257" s="107"/>
      <c r="B257" s="9"/>
      <c r="C257" s="9"/>
      <c r="D257" s="107"/>
      <c r="E257" s="9"/>
      <c r="F257" s="9"/>
      <c r="G257" s="9"/>
      <c r="H257" s="107"/>
      <c r="I257" s="9"/>
      <c r="J257" s="9"/>
      <c r="K257" s="9"/>
      <c r="L257" s="9"/>
      <c r="M257" s="107"/>
      <c r="N257" s="107"/>
      <c r="O257" s="107"/>
      <c r="P257" s="107"/>
      <c r="Q257" s="107"/>
      <c r="R257" s="9"/>
      <c r="S257" s="9"/>
      <c r="T257" s="107"/>
      <c r="U257" s="107"/>
      <c r="V257" s="107"/>
      <c r="W257" s="9"/>
      <c r="X257" s="9"/>
      <c r="Y257" s="9"/>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row>
    <row r="258" spans="1:111" s="268" customFormat="1" x14ac:dyDescent="0.25">
      <c r="A258" s="107"/>
      <c r="B258" s="9"/>
      <c r="C258" s="9"/>
      <c r="D258" s="107"/>
      <c r="E258" s="9"/>
      <c r="F258" s="9"/>
      <c r="G258" s="9"/>
      <c r="H258" s="107"/>
      <c r="I258" s="9"/>
      <c r="J258" s="9"/>
      <c r="K258" s="9"/>
      <c r="L258" s="9"/>
      <c r="M258" s="107"/>
      <c r="N258" s="107"/>
      <c r="O258" s="107"/>
      <c r="P258" s="107"/>
      <c r="Q258" s="107"/>
      <c r="R258" s="9"/>
      <c r="S258" s="9"/>
      <c r="T258" s="107"/>
      <c r="U258" s="107"/>
      <c r="V258" s="107"/>
      <c r="W258" s="9"/>
      <c r="X258" s="9"/>
      <c r="Y258" s="9"/>
      <c r="Z258" s="107"/>
      <c r="AA258" s="107"/>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row>
    <row r="259" spans="1:111" s="268" customFormat="1" x14ac:dyDescent="0.25">
      <c r="A259" s="107"/>
      <c r="B259" s="9"/>
      <c r="C259" s="9"/>
      <c r="D259" s="107"/>
      <c r="E259" s="9"/>
      <c r="F259" s="9"/>
      <c r="G259" s="9"/>
      <c r="H259" s="107"/>
      <c r="I259" s="9"/>
      <c r="J259" s="9"/>
      <c r="K259" s="9"/>
      <c r="L259" s="9"/>
      <c r="M259" s="107"/>
      <c r="N259" s="107"/>
      <c r="O259" s="107"/>
      <c r="P259" s="107"/>
      <c r="Q259" s="107"/>
      <c r="R259" s="9"/>
      <c r="S259" s="9"/>
      <c r="T259" s="107"/>
      <c r="U259" s="107"/>
      <c r="V259" s="107"/>
      <c r="W259" s="9"/>
      <c r="X259" s="9"/>
      <c r="Y259" s="9"/>
      <c r="Z259" s="107"/>
      <c r="AA259" s="107"/>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row>
    <row r="260" spans="1:111" s="268" customFormat="1" x14ac:dyDescent="0.25">
      <c r="A260" s="107"/>
      <c r="B260" s="9"/>
      <c r="C260" s="9"/>
      <c r="D260" s="107"/>
      <c r="E260" s="9"/>
      <c r="F260" s="9"/>
      <c r="G260" s="9"/>
      <c r="H260" s="107"/>
      <c r="I260" s="9"/>
      <c r="J260" s="9"/>
      <c r="K260" s="9"/>
      <c r="L260" s="9"/>
      <c r="M260" s="107"/>
      <c r="N260" s="107"/>
      <c r="O260" s="107"/>
      <c r="P260" s="107"/>
      <c r="Q260" s="107"/>
      <c r="R260" s="9"/>
      <c r="S260" s="9"/>
      <c r="T260" s="107"/>
      <c r="U260" s="107"/>
      <c r="V260" s="107"/>
      <c r="W260" s="9"/>
      <c r="X260" s="9"/>
      <c r="Y260" s="9"/>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row>
    <row r="261" spans="1:111" x14ac:dyDescent="0.25">
      <c r="B261" s="9"/>
      <c r="C261" s="9"/>
      <c r="E261" s="9"/>
      <c r="F261" s="9"/>
      <c r="G261" s="9"/>
      <c r="I261" s="9"/>
      <c r="J261" s="9"/>
      <c r="K261" s="9"/>
      <c r="L261" s="9"/>
      <c r="R261" s="9"/>
      <c r="S261" s="9"/>
      <c r="W261" s="9"/>
      <c r="X261" s="9"/>
      <c r="Y261" s="9"/>
      <c r="DD261" s="107"/>
      <c r="DE261" s="107"/>
      <c r="DF261" s="107"/>
      <c r="DG261" s="107"/>
    </row>
    <row r="262" spans="1:111" x14ac:dyDescent="0.25">
      <c r="B262" s="9"/>
      <c r="C262" s="9"/>
      <c r="E262" s="9"/>
      <c r="F262" s="9"/>
      <c r="G262" s="9"/>
      <c r="I262" s="9"/>
      <c r="J262" s="9"/>
      <c r="K262" s="9"/>
      <c r="L262" s="9"/>
      <c r="R262" s="9"/>
      <c r="S262" s="9"/>
      <c r="W262" s="9"/>
      <c r="X262" s="9"/>
      <c r="Y262" s="9"/>
      <c r="DD262" s="107"/>
      <c r="DE262" s="107"/>
      <c r="DF262" s="107"/>
      <c r="DG262" s="107"/>
    </row>
    <row r="263" spans="1:111" x14ac:dyDescent="0.25">
      <c r="B263" s="9"/>
      <c r="C263" s="9"/>
      <c r="E263" s="9"/>
      <c r="F263" s="9"/>
      <c r="G263" s="9"/>
      <c r="I263" s="9"/>
      <c r="J263" s="9"/>
      <c r="K263" s="9"/>
      <c r="L263" s="9"/>
      <c r="R263" s="9"/>
      <c r="S263" s="9"/>
      <c r="W263" s="9"/>
      <c r="X263" s="9"/>
      <c r="Y263" s="9"/>
      <c r="DD263" s="107"/>
      <c r="DE263" s="107"/>
      <c r="DF263" s="107"/>
      <c r="DG263" s="107"/>
    </row>
    <row r="264" spans="1:111" x14ac:dyDescent="0.25">
      <c r="B264" s="9"/>
      <c r="C264" s="9"/>
      <c r="E264" s="9"/>
      <c r="F264" s="9"/>
      <c r="G264" s="9"/>
      <c r="I264" s="9"/>
      <c r="J264" s="9"/>
      <c r="K264" s="9"/>
      <c r="L264" s="9"/>
      <c r="R264" s="9"/>
      <c r="S264" s="9"/>
      <c r="W264" s="9"/>
      <c r="X264" s="9"/>
      <c r="Y264" s="9"/>
      <c r="DD264" s="107"/>
      <c r="DE264" s="107"/>
      <c r="DF264" s="107"/>
      <c r="DG264" s="107"/>
    </row>
    <row r="265" spans="1:111" x14ac:dyDescent="0.25">
      <c r="B265" s="9"/>
      <c r="C265" s="9"/>
      <c r="E265" s="9"/>
      <c r="F265" s="9"/>
      <c r="G265" s="9"/>
      <c r="I265" s="9"/>
      <c r="J265" s="9"/>
      <c r="K265" s="9"/>
      <c r="L265" s="9"/>
      <c r="R265" s="9"/>
      <c r="S265" s="9"/>
      <c r="W265" s="9"/>
      <c r="X265" s="9"/>
      <c r="Y265" s="9"/>
      <c r="DD265" s="107"/>
      <c r="DE265" s="107"/>
      <c r="DF265" s="107"/>
      <c r="DG265" s="107"/>
    </row>
    <row r="266" spans="1:111" x14ac:dyDescent="0.25">
      <c r="B266" s="9"/>
      <c r="C266" s="9"/>
      <c r="E266" s="9"/>
      <c r="F266" s="9"/>
      <c r="G266" s="9"/>
      <c r="I266" s="9"/>
      <c r="J266" s="9"/>
      <c r="K266" s="9"/>
      <c r="L266" s="9"/>
      <c r="R266" s="9"/>
      <c r="S266" s="9"/>
      <c r="W266" s="9"/>
      <c r="X266" s="9"/>
      <c r="Y266" s="9"/>
      <c r="DD266" s="107"/>
      <c r="DE266" s="107"/>
      <c r="DF266" s="107"/>
      <c r="DG266" s="107"/>
    </row>
    <row r="267" spans="1:111" x14ac:dyDescent="0.25">
      <c r="B267" s="9"/>
      <c r="C267" s="9"/>
      <c r="E267" s="9"/>
      <c r="F267" s="9"/>
      <c r="G267" s="9"/>
      <c r="I267" s="9"/>
      <c r="J267" s="9"/>
      <c r="K267" s="9"/>
      <c r="L267" s="9"/>
      <c r="R267" s="9"/>
      <c r="S267" s="9"/>
      <c r="W267" s="9"/>
      <c r="X267" s="9"/>
      <c r="Y267" s="9"/>
      <c r="DD267" s="107"/>
      <c r="DE267" s="107"/>
      <c r="DF267" s="107"/>
      <c r="DG267" s="107"/>
    </row>
    <row r="268" spans="1:111" x14ac:dyDescent="0.25">
      <c r="B268" s="9"/>
      <c r="C268" s="9"/>
      <c r="E268" s="9"/>
      <c r="F268" s="9"/>
      <c r="G268" s="9"/>
      <c r="I268" s="9"/>
      <c r="J268" s="9"/>
      <c r="K268" s="9"/>
      <c r="L268" s="9"/>
      <c r="R268" s="9"/>
      <c r="S268" s="9"/>
      <c r="W268" s="9"/>
      <c r="X268" s="9"/>
      <c r="Y268" s="9"/>
      <c r="DD268" s="107"/>
      <c r="DE268" s="107"/>
      <c r="DF268" s="107"/>
      <c r="DG268" s="107"/>
    </row>
    <row r="269" spans="1:111" x14ac:dyDescent="0.25">
      <c r="B269" s="9"/>
      <c r="C269" s="9"/>
      <c r="E269" s="9"/>
      <c r="F269" s="9"/>
      <c r="G269" s="9"/>
      <c r="I269" s="9"/>
      <c r="J269" s="9"/>
      <c r="K269" s="9"/>
      <c r="L269" s="9"/>
      <c r="R269" s="9"/>
      <c r="S269" s="9"/>
      <c r="W269" s="9"/>
      <c r="X269" s="9"/>
      <c r="Y269" s="9"/>
      <c r="DD269" s="107"/>
      <c r="DE269" s="107"/>
      <c r="DF269" s="107"/>
      <c r="DG269" s="107"/>
    </row>
    <row r="270" spans="1:111" x14ac:dyDescent="0.25">
      <c r="B270" s="9"/>
      <c r="C270" s="9"/>
      <c r="E270" s="9"/>
      <c r="F270" s="9"/>
      <c r="G270" s="9"/>
      <c r="I270" s="9"/>
      <c r="J270" s="9"/>
      <c r="K270" s="9"/>
      <c r="L270" s="9"/>
      <c r="R270" s="9"/>
      <c r="S270" s="9"/>
      <c r="W270" s="9"/>
      <c r="X270" s="9"/>
      <c r="Y270" s="9"/>
      <c r="DD270" s="107"/>
      <c r="DE270" s="107"/>
      <c r="DF270" s="107"/>
      <c r="DG270" s="107"/>
    </row>
    <row r="271" spans="1:111" x14ac:dyDescent="0.25">
      <c r="B271" s="9"/>
      <c r="C271" s="9"/>
      <c r="E271" s="9"/>
      <c r="F271" s="9"/>
      <c r="G271" s="9"/>
      <c r="I271" s="9"/>
      <c r="J271" s="9"/>
      <c r="K271" s="9"/>
      <c r="L271" s="9"/>
      <c r="R271" s="9"/>
      <c r="S271" s="9"/>
      <c r="W271" s="9"/>
      <c r="X271" s="9"/>
      <c r="Y271" s="9"/>
      <c r="DD271" s="107"/>
      <c r="DE271" s="107"/>
      <c r="DF271" s="107"/>
      <c r="DG271" s="107"/>
    </row>
    <row r="272" spans="1:111" x14ac:dyDescent="0.25">
      <c r="B272" s="9"/>
      <c r="C272" s="9"/>
      <c r="E272" s="9"/>
      <c r="F272" s="9"/>
      <c r="G272" s="9"/>
      <c r="I272" s="9"/>
      <c r="J272" s="9"/>
      <c r="K272" s="9"/>
      <c r="L272" s="9"/>
      <c r="R272" s="9"/>
      <c r="S272" s="9"/>
      <c r="W272" s="9"/>
      <c r="X272" s="9"/>
      <c r="Y272" s="9"/>
      <c r="DD272" s="107"/>
      <c r="DE272" s="107"/>
      <c r="DF272" s="107"/>
      <c r="DG272" s="107"/>
    </row>
    <row r="273" spans="2:111" x14ac:dyDescent="0.25">
      <c r="B273" s="9"/>
      <c r="C273" s="9"/>
      <c r="E273" s="9"/>
      <c r="F273" s="9"/>
      <c r="G273" s="9"/>
      <c r="I273" s="9"/>
      <c r="J273" s="9"/>
      <c r="K273" s="9"/>
      <c r="L273" s="9"/>
      <c r="R273" s="9"/>
      <c r="S273" s="9"/>
      <c r="W273" s="9"/>
      <c r="X273" s="9"/>
      <c r="Y273" s="9"/>
      <c r="DD273" s="107"/>
      <c r="DE273" s="107"/>
      <c r="DF273" s="107"/>
      <c r="DG273" s="107"/>
    </row>
    <row r="274" spans="2:111" x14ac:dyDescent="0.25">
      <c r="B274" s="9"/>
      <c r="C274" s="9"/>
      <c r="E274" s="9"/>
      <c r="F274" s="9"/>
      <c r="G274" s="9"/>
      <c r="I274" s="9"/>
      <c r="J274" s="9"/>
      <c r="K274" s="9"/>
      <c r="L274" s="9"/>
      <c r="R274" s="9"/>
      <c r="S274" s="9"/>
      <c r="W274" s="9"/>
      <c r="X274" s="9"/>
      <c r="Y274" s="9"/>
      <c r="DD274" s="107"/>
      <c r="DE274" s="107"/>
      <c r="DF274" s="107"/>
      <c r="DG274" s="107"/>
    </row>
    <row r="275" spans="2:111" x14ac:dyDescent="0.25">
      <c r="B275" s="9"/>
      <c r="C275" s="9"/>
      <c r="E275" s="9"/>
      <c r="F275" s="9"/>
      <c r="G275" s="9"/>
      <c r="I275" s="9"/>
      <c r="J275" s="9"/>
      <c r="K275" s="9"/>
      <c r="L275" s="9"/>
      <c r="R275" s="9"/>
      <c r="S275" s="9"/>
      <c r="W275" s="9"/>
      <c r="X275" s="9"/>
      <c r="Y275" s="9"/>
      <c r="DD275" s="107"/>
      <c r="DE275" s="107"/>
      <c r="DF275" s="107"/>
      <c r="DG275" s="107"/>
    </row>
    <row r="276" spans="2:111" x14ac:dyDescent="0.25">
      <c r="B276" s="9"/>
      <c r="C276" s="9"/>
      <c r="E276" s="9"/>
      <c r="F276" s="9"/>
      <c r="G276" s="9"/>
      <c r="I276" s="9"/>
      <c r="J276" s="9"/>
      <c r="K276" s="9"/>
      <c r="L276" s="9"/>
      <c r="R276" s="9"/>
      <c r="S276" s="9"/>
      <c r="W276" s="9"/>
      <c r="X276" s="9"/>
      <c r="Y276" s="9"/>
      <c r="DD276" s="107"/>
      <c r="DE276" s="107"/>
      <c r="DF276" s="107"/>
      <c r="DG276" s="107"/>
    </row>
    <row r="277" spans="2:111" x14ac:dyDescent="0.25">
      <c r="B277" s="9"/>
      <c r="C277" s="9"/>
      <c r="E277" s="9"/>
      <c r="F277" s="9"/>
      <c r="G277" s="9"/>
      <c r="I277" s="9"/>
      <c r="J277" s="9"/>
      <c r="K277" s="9"/>
      <c r="L277" s="9"/>
      <c r="R277" s="9"/>
      <c r="S277" s="9"/>
      <c r="W277" s="9"/>
      <c r="X277" s="9"/>
      <c r="Y277" s="9"/>
      <c r="DD277" s="107"/>
      <c r="DE277" s="107"/>
      <c r="DF277" s="107"/>
      <c r="DG277" s="107"/>
    </row>
    <row r="278" spans="2:111" x14ac:dyDescent="0.25">
      <c r="B278" s="9"/>
      <c r="C278" s="9"/>
      <c r="E278" s="9"/>
      <c r="F278" s="9"/>
      <c r="G278" s="9"/>
      <c r="I278" s="9"/>
      <c r="J278" s="9"/>
      <c r="K278" s="9"/>
      <c r="L278" s="9"/>
      <c r="R278" s="9"/>
      <c r="S278" s="9"/>
      <c r="W278" s="9"/>
      <c r="X278" s="9"/>
      <c r="Y278" s="9"/>
      <c r="DD278" s="107"/>
      <c r="DE278" s="107"/>
      <c r="DF278" s="107"/>
      <c r="DG278" s="107"/>
    </row>
    <row r="279" spans="2:111" x14ac:dyDescent="0.25">
      <c r="B279" s="9"/>
      <c r="C279" s="9"/>
      <c r="E279" s="9"/>
      <c r="F279" s="9"/>
      <c r="G279" s="9"/>
      <c r="I279" s="9"/>
      <c r="J279" s="9"/>
      <c r="K279" s="9"/>
      <c r="L279" s="9"/>
      <c r="R279" s="9"/>
      <c r="S279" s="9"/>
      <c r="W279" s="9"/>
      <c r="X279" s="9"/>
      <c r="Y279" s="9"/>
      <c r="DD279" s="107"/>
      <c r="DE279" s="107"/>
      <c r="DF279" s="107"/>
      <c r="DG279" s="107"/>
    </row>
    <row r="280" spans="2:111" x14ac:dyDescent="0.25">
      <c r="B280" s="9"/>
      <c r="C280" s="9"/>
      <c r="E280" s="9"/>
      <c r="F280" s="9"/>
      <c r="G280" s="9"/>
      <c r="I280" s="9"/>
      <c r="J280" s="9"/>
      <c r="K280" s="9"/>
      <c r="L280" s="9"/>
      <c r="R280" s="9"/>
      <c r="S280" s="9"/>
      <c r="W280" s="9"/>
      <c r="X280" s="9"/>
      <c r="Y280" s="9"/>
      <c r="DD280" s="107"/>
      <c r="DE280" s="107"/>
      <c r="DF280" s="107"/>
      <c r="DG280" s="107"/>
    </row>
    <row r="281" spans="2:111" x14ac:dyDescent="0.25">
      <c r="B281" s="9"/>
      <c r="C281" s="9"/>
      <c r="E281" s="9"/>
      <c r="F281" s="9"/>
      <c r="G281" s="9"/>
      <c r="I281" s="9"/>
      <c r="J281" s="9"/>
      <c r="K281" s="9"/>
      <c r="L281" s="9"/>
      <c r="R281" s="9"/>
      <c r="S281" s="9"/>
      <c r="W281" s="9"/>
      <c r="X281" s="9"/>
      <c r="Y281" s="9"/>
      <c r="DD281" s="107"/>
      <c r="DE281" s="107"/>
      <c r="DF281" s="107"/>
      <c r="DG281" s="107"/>
    </row>
    <row r="282" spans="2:111" x14ac:dyDescent="0.25">
      <c r="B282" s="9"/>
      <c r="C282" s="9"/>
      <c r="E282" s="9"/>
      <c r="F282" s="9"/>
      <c r="G282" s="9"/>
      <c r="I282" s="9"/>
      <c r="J282" s="9"/>
      <c r="K282" s="9"/>
      <c r="L282" s="9"/>
      <c r="R282" s="9"/>
      <c r="S282" s="9"/>
      <c r="W282" s="9"/>
      <c r="X282" s="9"/>
      <c r="Y282" s="9"/>
      <c r="DD282" s="107"/>
      <c r="DE282" s="107"/>
      <c r="DF282" s="107"/>
      <c r="DG282" s="107"/>
    </row>
    <row r="283" spans="2:111" x14ac:dyDescent="0.25">
      <c r="B283" s="9"/>
      <c r="C283" s="9"/>
      <c r="E283" s="9"/>
      <c r="F283" s="9"/>
      <c r="G283" s="9"/>
      <c r="I283" s="9"/>
      <c r="J283" s="9"/>
      <c r="K283" s="9"/>
      <c r="L283" s="9"/>
      <c r="R283" s="9"/>
      <c r="S283" s="9"/>
      <c r="W283" s="9"/>
      <c r="X283" s="9"/>
      <c r="Y283" s="9"/>
      <c r="DD283" s="107"/>
      <c r="DE283" s="107"/>
      <c r="DF283" s="107"/>
      <c r="DG283" s="107"/>
    </row>
    <row r="284" spans="2:111" x14ac:dyDescent="0.25">
      <c r="B284" s="9"/>
      <c r="C284" s="9"/>
      <c r="E284" s="9"/>
      <c r="F284" s="9"/>
      <c r="G284" s="9"/>
      <c r="I284" s="9"/>
      <c r="J284" s="9"/>
      <c r="K284" s="9"/>
      <c r="L284" s="9"/>
      <c r="R284" s="9"/>
      <c r="S284" s="9"/>
      <c r="W284" s="9"/>
      <c r="X284" s="9"/>
      <c r="Y284" s="9"/>
      <c r="DD284" s="107"/>
      <c r="DE284" s="107"/>
      <c r="DF284" s="107"/>
      <c r="DG284" s="107"/>
    </row>
    <row r="285" spans="2:111" x14ac:dyDescent="0.25">
      <c r="B285" s="9"/>
      <c r="C285" s="9"/>
      <c r="E285" s="9"/>
      <c r="F285" s="9"/>
      <c r="G285" s="9"/>
      <c r="I285" s="9"/>
      <c r="J285" s="9"/>
      <c r="K285" s="9"/>
      <c r="L285" s="9"/>
      <c r="R285" s="9"/>
      <c r="S285" s="9"/>
      <c r="W285" s="9"/>
      <c r="X285" s="9"/>
      <c r="Y285" s="9"/>
      <c r="DD285" s="107"/>
      <c r="DE285" s="107"/>
      <c r="DF285" s="107"/>
      <c r="DG285" s="107"/>
    </row>
    <row r="286" spans="2:111" x14ac:dyDescent="0.25">
      <c r="B286" s="9"/>
      <c r="C286" s="9"/>
      <c r="E286" s="9"/>
      <c r="F286" s="9"/>
      <c r="G286" s="9"/>
      <c r="I286" s="9"/>
      <c r="J286" s="9"/>
      <c r="K286" s="9"/>
      <c r="L286" s="9"/>
      <c r="R286" s="9"/>
      <c r="S286" s="9"/>
      <c r="W286" s="9"/>
      <c r="X286" s="9"/>
      <c r="Y286" s="9"/>
      <c r="DD286" s="107"/>
      <c r="DE286" s="107"/>
      <c r="DF286" s="107"/>
      <c r="DG286" s="107"/>
    </row>
    <row r="287" spans="2:111" x14ac:dyDescent="0.25">
      <c r="B287" s="9"/>
      <c r="C287" s="9"/>
      <c r="E287" s="9"/>
      <c r="F287" s="9"/>
      <c r="G287" s="9"/>
      <c r="I287" s="9"/>
      <c r="J287" s="9"/>
      <c r="K287" s="9"/>
      <c r="L287" s="9"/>
      <c r="R287" s="9"/>
      <c r="S287" s="9"/>
      <c r="W287" s="9"/>
      <c r="X287" s="9"/>
      <c r="Y287" s="9"/>
      <c r="DD287" s="107"/>
      <c r="DE287" s="107"/>
      <c r="DF287" s="107"/>
      <c r="DG287" s="107"/>
    </row>
    <row r="288" spans="2:111" x14ac:dyDescent="0.25">
      <c r="B288" s="9"/>
      <c r="C288" s="9"/>
      <c r="E288" s="9"/>
      <c r="F288" s="9"/>
      <c r="G288" s="9"/>
      <c r="I288" s="9"/>
      <c r="J288" s="9"/>
      <c r="K288" s="9"/>
      <c r="L288" s="9"/>
      <c r="R288" s="9"/>
      <c r="S288" s="9"/>
      <c r="W288" s="9"/>
      <c r="X288" s="9"/>
      <c r="Y288" s="9"/>
      <c r="DD288" s="107"/>
      <c r="DE288" s="107"/>
      <c r="DF288" s="107"/>
      <c r="DG288" s="107"/>
    </row>
    <row r="289" spans="1:111" x14ac:dyDescent="0.25">
      <c r="B289" s="9"/>
      <c r="C289" s="9"/>
      <c r="E289" s="9"/>
      <c r="F289" s="9"/>
      <c r="G289" s="9"/>
      <c r="I289" s="9"/>
      <c r="J289" s="9"/>
      <c r="K289" s="9"/>
      <c r="L289" s="9"/>
      <c r="R289" s="9"/>
      <c r="S289" s="9"/>
      <c r="W289" s="9"/>
      <c r="X289" s="9"/>
      <c r="Y289" s="9"/>
      <c r="DD289" s="107"/>
      <c r="DE289" s="107"/>
      <c r="DF289" s="107"/>
      <c r="DG289" s="107"/>
    </row>
    <row r="290" spans="1:111" x14ac:dyDescent="0.25">
      <c r="B290" s="9"/>
      <c r="C290" s="9"/>
      <c r="E290" s="9"/>
      <c r="F290" s="9"/>
      <c r="G290" s="9"/>
      <c r="I290" s="9"/>
      <c r="J290" s="9"/>
      <c r="K290" s="9"/>
      <c r="L290" s="9"/>
      <c r="R290" s="9"/>
      <c r="S290" s="9"/>
      <c r="W290" s="9"/>
      <c r="X290" s="9"/>
      <c r="Y290" s="9"/>
      <c r="DD290" s="107"/>
      <c r="DE290" s="107"/>
      <c r="DF290" s="107"/>
      <c r="DG290" s="107"/>
    </row>
    <row r="291" spans="1:111" x14ac:dyDescent="0.25">
      <c r="B291" s="9"/>
      <c r="C291" s="9"/>
      <c r="E291" s="9"/>
      <c r="F291" s="9"/>
      <c r="G291" s="9"/>
      <c r="I291" s="9"/>
      <c r="J291" s="9"/>
      <c r="K291" s="9"/>
      <c r="L291" s="9"/>
      <c r="R291" s="9"/>
      <c r="S291" s="9"/>
      <c r="W291" s="9"/>
      <c r="X291" s="9"/>
      <c r="Y291" s="9"/>
      <c r="DD291" s="107"/>
      <c r="DE291" s="107"/>
      <c r="DF291" s="107"/>
      <c r="DG291" s="107"/>
    </row>
    <row r="292" spans="1:111" x14ac:dyDescent="0.25">
      <c r="B292" s="9"/>
      <c r="C292" s="9"/>
      <c r="E292" s="9"/>
      <c r="F292" s="9"/>
      <c r="G292" s="9"/>
      <c r="I292" s="9"/>
      <c r="J292" s="9"/>
      <c r="K292" s="9"/>
      <c r="L292" s="9"/>
      <c r="R292" s="9"/>
      <c r="S292" s="9"/>
      <c r="W292" s="9"/>
      <c r="X292" s="9"/>
      <c r="Y292" s="9"/>
      <c r="DD292" s="107"/>
      <c r="DE292" s="107"/>
      <c r="DF292" s="107"/>
      <c r="DG292" s="107"/>
    </row>
    <row r="293" spans="1:111" s="268" customFormat="1" x14ac:dyDescent="0.25">
      <c r="A293" s="107"/>
      <c r="B293" s="9"/>
      <c r="C293" s="9"/>
      <c r="D293" s="107"/>
      <c r="E293" s="9"/>
      <c r="F293" s="9"/>
      <c r="G293" s="9"/>
      <c r="H293" s="107"/>
      <c r="I293" s="9"/>
      <c r="J293" s="9"/>
      <c r="K293" s="9"/>
      <c r="L293" s="9"/>
      <c r="M293" s="107"/>
      <c r="N293" s="107"/>
      <c r="O293" s="107"/>
      <c r="P293" s="107"/>
      <c r="Q293" s="107"/>
      <c r="R293" s="9"/>
      <c r="S293" s="9"/>
      <c r="T293" s="107"/>
      <c r="U293" s="107"/>
      <c r="V293" s="107"/>
      <c r="W293" s="9"/>
      <c r="X293" s="9"/>
      <c r="Y293" s="9"/>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row>
    <row r="294" spans="1:111" s="268" customFormat="1" x14ac:dyDescent="0.25">
      <c r="A294" s="107"/>
      <c r="B294" s="9"/>
      <c r="C294" s="9"/>
      <c r="D294" s="107"/>
      <c r="E294" s="9"/>
      <c r="F294" s="9"/>
      <c r="G294" s="9"/>
      <c r="H294" s="107"/>
      <c r="I294" s="9"/>
      <c r="J294" s="9"/>
      <c r="K294" s="9"/>
      <c r="L294" s="9"/>
      <c r="M294" s="107"/>
      <c r="N294" s="107"/>
      <c r="O294" s="107"/>
      <c r="P294" s="107"/>
      <c r="Q294" s="107"/>
      <c r="R294" s="9"/>
      <c r="S294" s="9"/>
      <c r="T294" s="107"/>
      <c r="U294" s="107"/>
      <c r="V294" s="107"/>
      <c r="W294" s="9"/>
      <c r="X294" s="9"/>
      <c r="Y294" s="9"/>
      <c r="Z294" s="107"/>
      <c r="AA294" s="107"/>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row>
    <row r="295" spans="1:111" s="268" customFormat="1" x14ac:dyDescent="0.25">
      <c r="A295" s="107"/>
      <c r="B295" s="9"/>
      <c r="C295" s="9"/>
      <c r="D295" s="107"/>
      <c r="E295" s="9"/>
      <c r="F295" s="9"/>
      <c r="G295" s="9"/>
      <c r="H295" s="107"/>
      <c r="I295" s="9"/>
      <c r="J295" s="9"/>
      <c r="K295" s="9"/>
      <c r="L295" s="9"/>
      <c r="M295" s="107"/>
      <c r="N295" s="107"/>
      <c r="O295" s="107"/>
      <c r="P295" s="107"/>
      <c r="Q295" s="107"/>
      <c r="R295" s="9"/>
      <c r="S295" s="9"/>
      <c r="T295" s="107"/>
      <c r="U295" s="107"/>
      <c r="V295" s="107"/>
      <c r="W295" s="9"/>
      <c r="X295" s="9"/>
      <c r="Y295" s="9"/>
      <c r="Z295" s="107"/>
      <c r="AA295" s="107"/>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row>
    <row r="296" spans="1:111" s="268" customFormat="1" x14ac:dyDescent="0.25">
      <c r="A296" s="107"/>
      <c r="B296" s="9"/>
      <c r="C296" s="9"/>
      <c r="D296" s="107"/>
      <c r="E296" s="9"/>
      <c r="F296" s="9"/>
      <c r="G296" s="9"/>
      <c r="H296" s="107"/>
      <c r="I296" s="9"/>
      <c r="J296" s="9"/>
      <c r="K296" s="9"/>
      <c r="L296" s="9"/>
      <c r="M296" s="107"/>
      <c r="N296" s="107"/>
      <c r="O296" s="107"/>
      <c r="P296" s="107"/>
      <c r="Q296" s="107"/>
      <c r="R296" s="9"/>
      <c r="S296" s="9"/>
      <c r="T296" s="107"/>
      <c r="U296" s="107"/>
      <c r="V296" s="107"/>
      <c r="W296" s="9"/>
      <c r="X296" s="9"/>
      <c r="Y296" s="9"/>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row>
    <row r="297" spans="1:111" s="268" customFormat="1" x14ac:dyDescent="0.25">
      <c r="A297" s="107"/>
      <c r="B297" s="9"/>
      <c r="C297" s="9"/>
      <c r="D297" s="107"/>
      <c r="E297" s="9"/>
      <c r="F297" s="9"/>
      <c r="G297" s="9"/>
      <c r="H297" s="107"/>
      <c r="I297" s="9"/>
      <c r="J297" s="9"/>
      <c r="K297" s="9"/>
      <c r="L297" s="9"/>
      <c r="M297" s="107"/>
      <c r="N297" s="107"/>
      <c r="O297" s="107"/>
      <c r="P297" s="107"/>
      <c r="Q297" s="107"/>
      <c r="R297" s="9"/>
      <c r="S297" s="9"/>
      <c r="T297" s="107"/>
      <c r="U297" s="107"/>
      <c r="V297" s="107"/>
      <c r="W297" s="9"/>
      <c r="X297" s="9"/>
      <c r="Y297" s="9"/>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row>
    <row r="298" spans="1:111" s="268" customFormat="1" x14ac:dyDescent="0.25">
      <c r="A298" s="107"/>
      <c r="B298" s="9"/>
      <c r="C298" s="9"/>
      <c r="D298" s="107"/>
      <c r="E298" s="9"/>
      <c r="F298" s="9"/>
      <c r="G298" s="9"/>
      <c r="H298" s="107"/>
      <c r="I298" s="9"/>
      <c r="J298" s="9"/>
      <c r="K298" s="9"/>
      <c r="L298" s="9"/>
      <c r="M298" s="107"/>
      <c r="N298" s="107"/>
      <c r="O298" s="107"/>
      <c r="P298" s="107"/>
      <c r="Q298" s="107"/>
      <c r="R298" s="9"/>
      <c r="S298" s="9"/>
      <c r="T298" s="107"/>
      <c r="U298" s="107"/>
      <c r="V298" s="107"/>
      <c r="W298" s="9"/>
      <c r="X298" s="9"/>
      <c r="Y298" s="9"/>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row>
    <row r="299" spans="1:111" s="268" customFormat="1" x14ac:dyDescent="0.25">
      <c r="A299" s="107"/>
      <c r="B299" s="9"/>
      <c r="C299" s="9"/>
      <c r="D299" s="107"/>
      <c r="E299" s="9"/>
      <c r="F299" s="9"/>
      <c r="G299" s="9"/>
      <c r="H299" s="107"/>
      <c r="I299" s="9"/>
      <c r="J299" s="9"/>
      <c r="K299" s="9"/>
      <c r="L299" s="9"/>
      <c r="M299" s="107"/>
      <c r="N299" s="107"/>
      <c r="O299" s="107"/>
      <c r="P299" s="107"/>
      <c r="Q299" s="107"/>
      <c r="R299" s="9"/>
      <c r="S299" s="9"/>
      <c r="T299" s="107"/>
      <c r="U299" s="107"/>
      <c r="V299" s="107"/>
      <c r="W299" s="9"/>
      <c r="X299" s="9"/>
      <c r="Y299" s="9"/>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row>
    <row r="300" spans="1:111" s="268" customFormat="1" x14ac:dyDescent="0.25">
      <c r="A300" s="107"/>
      <c r="B300" s="9"/>
      <c r="C300" s="9"/>
      <c r="D300" s="107"/>
      <c r="E300" s="9"/>
      <c r="F300" s="9"/>
      <c r="G300" s="9"/>
      <c r="H300" s="107"/>
      <c r="I300" s="9"/>
      <c r="J300" s="9"/>
      <c r="K300" s="9"/>
      <c r="L300" s="9"/>
      <c r="M300" s="107"/>
      <c r="N300" s="107"/>
      <c r="O300" s="107"/>
      <c r="P300" s="107"/>
      <c r="Q300" s="107"/>
      <c r="R300" s="9"/>
      <c r="S300" s="9"/>
      <c r="T300" s="107"/>
      <c r="U300" s="107"/>
      <c r="V300" s="107"/>
      <c r="W300" s="9"/>
      <c r="X300" s="9"/>
      <c r="Y300" s="9"/>
      <c r="Z300" s="107"/>
      <c r="AA300" s="107"/>
      <c r="AB300" s="107"/>
      <c r="AC300" s="107"/>
      <c r="AD300" s="107"/>
      <c r="AE300" s="107"/>
      <c r="AF300" s="107"/>
      <c r="AG300" s="107"/>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row>
    <row r="301" spans="1:111" s="268" customFormat="1" x14ac:dyDescent="0.25">
      <c r="A301" s="107"/>
      <c r="B301" s="9"/>
      <c r="C301" s="9"/>
      <c r="D301" s="107"/>
      <c r="E301" s="9"/>
      <c r="F301" s="9"/>
      <c r="G301" s="9"/>
      <c r="H301" s="107"/>
      <c r="I301" s="9"/>
      <c r="J301" s="9"/>
      <c r="K301" s="9"/>
      <c r="L301" s="9"/>
      <c r="M301" s="107"/>
      <c r="N301" s="107"/>
      <c r="O301" s="107"/>
      <c r="P301" s="107"/>
      <c r="Q301" s="107"/>
      <c r="R301" s="9"/>
      <c r="S301" s="9"/>
      <c r="T301" s="107"/>
      <c r="U301" s="107"/>
      <c r="V301" s="107"/>
      <c r="W301" s="9"/>
      <c r="X301" s="9"/>
      <c r="Y301" s="9"/>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row>
    <row r="302" spans="1:111" s="268" customFormat="1" x14ac:dyDescent="0.25">
      <c r="A302" s="107"/>
      <c r="B302" s="9"/>
      <c r="C302" s="9"/>
      <c r="D302" s="107"/>
      <c r="E302" s="9"/>
      <c r="F302" s="9"/>
      <c r="G302" s="9"/>
      <c r="H302" s="107"/>
      <c r="I302" s="9"/>
      <c r="J302" s="9"/>
      <c r="K302" s="9"/>
      <c r="L302" s="9"/>
      <c r="M302" s="107"/>
      <c r="N302" s="107"/>
      <c r="O302" s="107"/>
      <c r="P302" s="107"/>
      <c r="Q302" s="107"/>
      <c r="R302" s="9"/>
      <c r="S302" s="9"/>
      <c r="T302" s="107"/>
      <c r="U302" s="107"/>
      <c r="V302" s="107"/>
      <c r="W302" s="9"/>
      <c r="X302" s="9"/>
      <c r="Y302" s="9"/>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row>
    <row r="303" spans="1:111" s="268" customFormat="1" x14ac:dyDescent="0.25">
      <c r="A303" s="107"/>
      <c r="B303" s="9"/>
      <c r="C303" s="9"/>
      <c r="D303" s="107"/>
      <c r="E303" s="9"/>
      <c r="F303" s="9"/>
      <c r="G303" s="9"/>
      <c r="H303" s="107"/>
      <c r="I303" s="9"/>
      <c r="J303" s="9"/>
      <c r="K303" s="9"/>
      <c r="L303" s="9"/>
      <c r="M303" s="107"/>
      <c r="N303" s="107"/>
      <c r="O303" s="107"/>
      <c r="P303" s="107"/>
      <c r="Q303" s="107"/>
      <c r="R303" s="9"/>
      <c r="S303" s="9"/>
      <c r="T303" s="107"/>
      <c r="U303" s="107"/>
      <c r="V303" s="107"/>
      <c r="W303" s="9"/>
      <c r="X303" s="9"/>
      <c r="Y303" s="9"/>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row>
    <row r="304" spans="1:111" s="268" customFormat="1" x14ac:dyDescent="0.25">
      <c r="A304" s="107"/>
      <c r="B304" s="9"/>
      <c r="C304" s="9"/>
      <c r="D304" s="107"/>
      <c r="E304" s="9"/>
      <c r="F304" s="9"/>
      <c r="G304" s="9"/>
      <c r="H304" s="107"/>
      <c r="I304" s="9"/>
      <c r="J304" s="9"/>
      <c r="K304" s="9"/>
      <c r="L304" s="9"/>
      <c r="M304" s="107"/>
      <c r="N304" s="107"/>
      <c r="O304" s="107"/>
      <c r="P304" s="107"/>
      <c r="Q304" s="107"/>
      <c r="R304" s="9"/>
      <c r="S304" s="9"/>
      <c r="T304" s="107"/>
      <c r="U304" s="107"/>
      <c r="V304" s="107"/>
      <c r="W304" s="9"/>
      <c r="X304" s="9"/>
      <c r="Y304" s="9"/>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row>
    <row r="305" spans="1:108" s="268" customFormat="1" x14ac:dyDescent="0.25">
      <c r="A305" s="107"/>
      <c r="B305" s="9"/>
      <c r="C305" s="9"/>
      <c r="D305" s="107"/>
      <c r="E305" s="9"/>
      <c r="F305" s="9"/>
      <c r="G305" s="9"/>
      <c r="H305" s="107"/>
      <c r="I305" s="9"/>
      <c r="J305" s="9"/>
      <c r="K305" s="9"/>
      <c r="L305" s="9"/>
      <c r="M305" s="107"/>
      <c r="N305" s="107"/>
      <c r="O305" s="107"/>
      <c r="P305" s="107"/>
      <c r="Q305" s="107"/>
      <c r="R305" s="9"/>
      <c r="S305" s="9"/>
      <c r="T305" s="107"/>
      <c r="U305" s="107"/>
      <c r="V305" s="107"/>
      <c r="W305" s="9"/>
      <c r="X305" s="9"/>
      <c r="Y305" s="9"/>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row>
    <row r="306" spans="1:108" s="268" customFormat="1" x14ac:dyDescent="0.25">
      <c r="A306" s="107"/>
      <c r="B306" s="9"/>
      <c r="C306" s="9"/>
      <c r="D306" s="107"/>
      <c r="E306" s="9"/>
      <c r="F306" s="9"/>
      <c r="G306" s="9"/>
      <c r="H306" s="107"/>
      <c r="I306" s="9"/>
      <c r="J306" s="9"/>
      <c r="K306" s="9"/>
      <c r="L306" s="9"/>
      <c r="M306" s="107"/>
      <c r="N306" s="107"/>
      <c r="O306" s="107"/>
      <c r="P306" s="107"/>
      <c r="Q306" s="107"/>
      <c r="R306" s="9"/>
      <c r="S306" s="9"/>
      <c r="T306" s="107"/>
      <c r="U306" s="107"/>
      <c r="V306" s="107"/>
      <c r="W306" s="9"/>
      <c r="X306" s="9"/>
      <c r="Y306" s="9"/>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row>
    <row r="307" spans="1:108" s="268" customFormat="1" x14ac:dyDescent="0.25">
      <c r="A307" s="107"/>
      <c r="B307" s="7"/>
      <c r="C307" s="7"/>
      <c r="D307" s="10"/>
      <c r="E307" s="7"/>
      <c r="F307" s="7"/>
      <c r="G307" s="7"/>
      <c r="H307" s="10"/>
      <c r="I307" s="7"/>
      <c r="J307" s="7"/>
      <c r="K307" s="7"/>
      <c r="L307" s="7"/>
      <c r="M307" s="10"/>
      <c r="N307" s="8"/>
      <c r="O307" s="107"/>
      <c r="P307" s="10"/>
      <c r="Q307" s="107"/>
      <c r="R307" s="7"/>
      <c r="S307" s="7"/>
      <c r="T307" s="10"/>
      <c r="U307" s="10"/>
      <c r="V307" s="10"/>
      <c r="W307" s="7"/>
      <c r="X307" s="7"/>
      <c r="Y307" s="7"/>
      <c r="Z307" s="107"/>
      <c r="AA307" s="107"/>
      <c r="AB307" s="10"/>
      <c r="AC307" s="107"/>
      <c r="AD307" s="107"/>
      <c r="AE307" s="10"/>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266"/>
    </row>
    <row r="308" spans="1:108" s="268" customFormat="1" x14ac:dyDescent="0.25">
      <c r="A308" s="107"/>
      <c r="B308" s="7"/>
      <c r="C308" s="7"/>
      <c r="D308" s="10"/>
      <c r="E308" s="7"/>
      <c r="F308" s="7"/>
      <c r="G308" s="7"/>
      <c r="H308" s="10"/>
      <c r="I308" s="7"/>
      <c r="J308" s="7"/>
      <c r="K308" s="7"/>
      <c r="L308" s="7"/>
      <c r="M308" s="10"/>
      <c r="N308" s="8"/>
      <c r="O308" s="107"/>
      <c r="P308" s="10"/>
      <c r="Q308" s="107"/>
      <c r="R308" s="7"/>
      <c r="S308" s="7"/>
      <c r="T308" s="10"/>
      <c r="U308" s="10"/>
      <c r="V308" s="10"/>
      <c r="W308" s="7"/>
      <c r="X308" s="7"/>
      <c r="Y308" s="7"/>
      <c r="Z308" s="107"/>
      <c r="AA308" s="107"/>
      <c r="AB308" s="10"/>
      <c r="AC308" s="107"/>
      <c r="AD308" s="107"/>
      <c r="AE308" s="10"/>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266"/>
    </row>
    <row r="309" spans="1:108" s="268" customFormat="1" x14ac:dyDescent="0.25">
      <c r="A309" s="107"/>
      <c r="B309" s="7"/>
      <c r="C309" s="7"/>
      <c r="D309" s="10"/>
      <c r="E309" s="7"/>
      <c r="F309" s="7"/>
      <c r="G309" s="7"/>
      <c r="H309" s="10"/>
      <c r="I309" s="7"/>
      <c r="J309" s="7"/>
      <c r="K309" s="7"/>
      <c r="L309" s="7"/>
      <c r="M309" s="10"/>
      <c r="N309" s="8"/>
      <c r="O309" s="107"/>
      <c r="P309" s="10"/>
      <c r="Q309" s="107"/>
      <c r="R309" s="7"/>
      <c r="S309" s="7"/>
      <c r="T309" s="10"/>
      <c r="U309" s="10"/>
      <c r="V309" s="10"/>
      <c r="W309" s="7"/>
      <c r="X309" s="7"/>
      <c r="Y309" s="7"/>
      <c r="Z309" s="107"/>
      <c r="AA309" s="107"/>
      <c r="AB309" s="10"/>
      <c r="AC309" s="107"/>
      <c r="AD309" s="107"/>
      <c r="AE309" s="10"/>
      <c r="AF309" s="107"/>
      <c r="AG309" s="107"/>
      <c r="AH309" s="107"/>
      <c r="AI309" s="107"/>
      <c r="AJ309" s="107"/>
      <c r="AK309" s="107"/>
      <c r="AL309" s="107"/>
      <c r="AM309" s="107"/>
      <c r="AN309" s="107"/>
      <c r="AO309" s="107"/>
      <c r="AP309" s="107"/>
      <c r="AQ309" s="107"/>
      <c r="AR309" s="107"/>
      <c r="AS309" s="107"/>
      <c r="AT309" s="107"/>
      <c r="AU309" s="107"/>
      <c r="AV309" s="107"/>
      <c r="AW309" s="107"/>
      <c r="AX309" s="107"/>
      <c r="AY309" s="107"/>
      <c r="AZ309" s="107"/>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266"/>
    </row>
    <row r="310" spans="1:108" s="268" customFormat="1" x14ac:dyDescent="0.25">
      <c r="A310" s="107"/>
      <c r="B310" s="7"/>
      <c r="C310" s="7"/>
      <c r="D310" s="10"/>
      <c r="E310" s="7"/>
      <c r="F310" s="7"/>
      <c r="G310" s="7"/>
      <c r="H310" s="10"/>
      <c r="I310" s="7"/>
      <c r="J310" s="7"/>
      <c r="K310" s="7"/>
      <c r="L310" s="7"/>
      <c r="M310" s="10"/>
      <c r="N310" s="8"/>
      <c r="O310" s="107"/>
      <c r="P310" s="10"/>
      <c r="Q310" s="107"/>
      <c r="R310" s="7"/>
      <c r="S310" s="7"/>
      <c r="T310" s="10"/>
      <c r="U310" s="10"/>
      <c r="V310" s="10"/>
      <c r="W310" s="7"/>
      <c r="X310" s="7"/>
      <c r="Y310" s="7"/>
      <c r="Z310" s="107"/>
      <c r="AA310" s="107"/>
      <c r="AB310" s="10"/>
      <c r="AC310" s="107"/>
      <c r="AD310" s="107"/>
      <c r="AE310" s="10"/>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266"/>
    </row>
    <row r="311" spans="1:108" s="268" customFormat="1" x14ac:dyDescent="0.25">
      <c r="A311" s="107"/>
      <c r="B311" s="7"/>
      <c r="C311" s="7"/>
      <c r="D311" s="10"/>
      <c r="E311" s="7"/>
      <c r="F311" s="7"/>
      <c r="G311" s="7"/>
      <c r="H311" s="10"/>
      <c r="I311" s="7"/>
      <c r="J311" s="7"/>
      <c r="K311" s="7"/>
      <c r="L311" s="7"/>
      <c r="M311" s="10"/>
      <c r="N311" s="8"/>
      <c r="O311" s="107"/>
      <c r="P311" s="10"/>
      <c r="Q311" s="107"/>
      <c r="R311" s="7"/>
      <c r="S311" s="7"/>
      <c r="T311" s="10"/>
      <c r="U311" s="10"/>
      <c r="V311" s="10"/>
      <c r="W311" s="7"/>
      <c r="X311" s="7"/>
      <c r="Y311" s="7"/>
      <c r="Z311" s="107"/>
      <c r="AA311" s="107"/>
      <c r="AB311" s="10"/>
      <c r="AC311" s="107"/>
      <c r="AD311" s="107"/>
      <c r="AE311" s="10"/>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266"/>
    </row>
    <row r="312" spans="1:108" s="268" customFormat="1" x14ac:dyDescent="0.25">
      <c r="A312" s="107"/>
      <c r="B312" s="7"/>
      <c r="C312" s="7"/>
      <c r="D312" s="10"/>
      <c r="E312" s="7"/>
      <c r="F312" s="7"/>
      <c r="G312" s="7"/>
      <c r="H312" s="10"/>
      <c r="I312" s="7"/>
      <c r="J312" s="7"/>
      <c r="K312" s="7"/>
      <c r="L312" s="7"/>
      <c r="M312" s="10"/>
      <c r="N312" s="8"/>
      <c r="O312" s="107"/>
      <c r="P312" s="10"/>
      <c r="Q312" s="107"/>
      <c r="R312" s="7"/>
      <c r="S312" s="7"/>
      <c r="T312" s="10"/>
      <c r="U312" s="10"/>
      <c r="V312" s="10"/>
      <c r="W312" s="7"/>
      <c r="X312" s="7"/>
      <c r="Y312" s="7"/>
      <c r="Z312" s="107"/>
      <c r="AA312" s="107"/>
      <c r="AB312" s="10"/>
      <c r="AC312" s="107"/>
      <c r="AD312" s="107"/>
      <c r="AE312" s="10"/>
      <c r="AF312" s="107"/>
      <c r="AG312" s="107"/>
      <c r="AH312" s="107"/>
      <c r="AI312" s="107"/>
      <c r="AJ312" s="107"/>
      <c r="AK312" s="107"/>
      <c r="AL312" s="107"/>
      <c r="AM312" s="107"/>
      <c r="AN312" s="107"/>
      <c r="AO312" s="107"/>
      <c r="AP312" s="107"/>
      <c r="AQ312" s="107"/>
      <c r="AR312" s="107"/>
      <c r="AS312" s="107"/>
      <c r="AT312" s="107"/>
      <c r="AU312" s="107"/>
      <c r="AV312" s="107"/>
      <c r="AW312" s="107"/>
      <c r="AX312" s="107"/>
      <c r="AY312" s="107"/>
      <c r="AZ312" s="107"/>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266"/>
    </row>
    <row r="313" spans="1:108" s="268" customFormat="1" x14ac:dyDescent="0.25">
      <c r="A313" s="107"/>
      <c r="B313" s="7"/>
      <c r="C313" s="7"/>
      <c r="D313" s="10"/>
      <c r="E313" s="7"/>
      <c r="F313" s="7"/>
      <c r="G313" s="7"/>
      <c r="H313" s="10"/>
      <c r="I313" s="7"/>
      <c r="J313" s="7"/>
      <c r="K313" s="7"/>
      <c r="L313" s="7"/>
      <c r="M313" s="10"/>
      <c r="N313" s="8"/>
      <c r="O313" s="107"/>
      <c r="P313" s="10"/>
      <c r="Q313" s="107"/>
      <c r="R313" s="7"/>
      <c r="S313" s="7"/>
      <c r="T313" s="10"/>
      <c r="U313" s="10"/>
      <c r="V313" s="10"/>
      <c r="W313" s="7"/>
      <c r="X313" s="7"/>
      <c r="Y313" s="7"/>
      <c r="Z313" s="107"/>
      <c r="AA313" s="107"/>
      <c r="AB313" s="10"/>
      <c r="AC313" s="107"/>
      <c r="AD313" s="107"/>
      <c r="AE313" s="10"/>
      <c r="AF313" s="107"/>
      <c r="AG313" s="107"/>
      <c r="AH313" s="107"/>
      <c r="AI313" s="107"/>
      <c r="AJ313" s="107"/>
      <c r="AK313" s="107"/>
      <c r="AL313" s="107"/>
      <c r="AM313" s="107"/>
      <c r="AN313" s="107"/>
      <c r="AO313" s="107"/>
      <c r="AP313" s="107"/>
      <c r="AQ313" s="107"/>
      <c r="AR313" s="107"/>
      <c r="AS313" s="107"/>
      <c r="AT313" s="107"/>
      <c r="AU313" s="107"/>
      <c r="AV313" s="107"/>
      <c r="AW313" s="107"/>
      <c r="AX313" s="107"/>
      <c r="AY313" s="107"/>
      <c r="AZ313" s="107"/>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266"/>
    </row>
    <row r="314" spans="1:108" s="268" customFormat="1" x14ac:dyDescent="0.25">
      <c r="A314" s="107"/>
      <c r="B314" s="7"/>
      <c r="C314" s="7"/>
      <c r="D314" s="10"/>
      <c r="E314" s="7"/>
      <c r="F314" s="7"/>
      <c r="G314" s="7"/>
      <c r="H314" s="10"/>
      <c r="I314" s="7"/>
      <c r="J314" s="7"/>
      <c r="K314" s="7"/>
      <c r="L314" s="7"/>
      <c r="M314" s="10"/>
      <c r="N314" s="8"/>
      <c r="O314" s="107"/>
      <c r="P314" s="10"/>
      <c r="Q314" s="107"/>
      <c r="R314" s="7"/>
      <c r="S314" s="7"/>
      <c r="T314" s="10"/>
      <c r="U314" s="10"/>
      <c r="V314" s="10"/>
      <c r="W314" s="7"/>
      <c r="X314" s="7"/>
      <c r="Y314" s="7"/>
      <c r="Z314" s="107"/>
      <c r="AA314" s="107"/>
      <c r="AB314" s="10"/>
      <c r="AC314" s="107"/>
      <c r="AD314" s="107"/>
      <c r="AE314" s="10"/>
      <c r="AF314" s="107"/>
      <c r="AG314" s="107"/>
      <c r="AH314" s="107"/>
      <c r="AI314" s="107"/>
      <c r="AJ314" s="107"/>
      <c r="AK314" s="107"/>
      <c r="AL314" s="107"/>
      <c r="AM314" s="107"/>
      <c r="AN314" s="107"/>
      <c r="AO314" s="107"/>
      <c r="AP314" s="107"/>
      <c r="AQ314" s="107"/>
      <c r="AR314" s="107"/>
      <c r="AS314" s="107"/>
      <c r="AT314" s="107"/>
      <c r="AU314" s="107"/>
      <c r="AV314" s="107"/>
      <c r="AW314" s="107"/>
      <c r="AX314" s="107"/>
      <c r="AY314" s="107"/>
      <c r="AZ314" s="107"/>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266"/>
    </row>
    <row r="315" spans="1:108" s="268" customFormat="1" x14ac:dyDescent="0.25">
      <c r="A315" s="107"/>
      <c r="B315" s="7"/>
      <c r="C315" s="7"/>
      <c r="D315" s="10"/>
      <c r="E315" s="7"/>
      <c r="F315" s="7"/>
      <c r="G315" s="7"/>
      <c r="H315" s="10"/>
      <c r="I315" s="7"/>
      <c r="J315" s="7"/>
      <c r="K315" s="7"/>
      <c r="L315" s="7"/>
      <c r="M315" s="10"/>
      <c r="N315" s="8"/>
      <c r="O315" s="107"/>
      <c r="P315" s="10"/>
      <c r="Q315" s="107"/>
      <c r="R315" s="7"/>
      <c r="S315" s="7"/>
      <c r="T315" s="10"/>
      <c r="U315" s="10"/>
      <c r="V315" s="10"/>
      <c r="W315" s="7"/>
      <c r="X315" s="7"/>
      <c r="Y315" s="7"/>
      <c r="Z315" s="107"/>
      <c r="AA315" s="107"/>
      <c r="AB315" s="10"/>
      <c r="AC315" s="107"/>
      <c r="AD315" s="107"/>
      <c r="AE315" s="10"/>
      <c r="AF315" s="107"/>
      <c r="AG315" s="107"/>
      <c r="AH315" s="107"/>
      <c r="AI315" s="107"/>
      <c r="AJ315" s="107"/>
      <c r="AK315" s="107"/>
      <c r="AL315" s="107"/>
      <c r="AM315" s="107"/>
      <c r="AN315" s="107"/>
      <c r="AO315" s="107"/>
      <c r="AP315" s="107"/>
      <c r="AQ315" s="107"/>
      <c r="AR315" s="107"/>
      <c r="AS315" s="107"/>
      <c r="AT315" s="107"/>
      <c r="AU315" s="107"/>
      <c r="AV315" s="107"/>
      <c r="AW315" s="107"/>
      <c r="AX315" s="107"/>
      <c r="AY315" s="107"/>
      <c r="AZ315" s="107"/>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266"/>
    </row>
    <row r="316" spans="1:108" s="268" customFormat="1" x14ac:dyDescent="0.25">
      <c r="A316" s="107"/>
      <c r="B316" s="7"/>
      <c r="C316" s="7"/>
      <c r="D316" s="10"/>
      <c r="E316" s="7"/>
      <c r="F316" s="7"/>
      <c r="G316" s="7"/>
      <c r="H316" s="10"/>
      <c r="I316" s="7"/>
      <c r="J316" s="7"/>
      <c r="K316" s="7"/>
      <c r="L316" s="7"/>
      <c r="M316" s="10"/>
      <c r="N316" s="8"/>
      <c r="O316" s="107"/>
      <c r="P316" s="10"/>
      <c r="Q316" s="107"/>
      <c r="R316" s="7"/>
      <c r="S316" s="7"/>
      <c r="T316" s="10"/>
      <c r="U316" s="10"/>
      <c r="V316" s="10"/>
      <c r="W316" s="7"/>
      <c r="X316" s="7"/>
      <c r="Y316" s="7"/>
      <c r="Z316" s="107"/>
      <c r="AA316" s="107"/>
      <c r="AB316" s="10"/>
      <c r="AC316" s="107"/>
      <c r="AD316" s="107"/>
      <c r="AE316" s="10"/>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266"/>
    </row>
    <row r="317" spans="1:108" s="268" customFormat="1" x14ac:dyDescent="0.25">
      <c r="A317" s="107"/>
      <c r="B317" s="7"/>
      <c r="C317" s="7"/>
      <c r="D317" s="10"/>
      <c r="E317" s="7"/>
      <c r="F317" s="7"/>
      <c r="G317" s="7"/>
      <c r="H317" s="10"/>
      <c r="I317" s="7"/>
      <c r="J317" s="7"/>
      <c r="K317" s="7"/>
      <c r="L317" s="7"/>
      <c r="M317" s="10"/>
      <c r="N317" s="8"/>
      <c r="O317" s="107"/>
      <c r="P317" s="10"/>
      <c r="Q317" s="107"/>
      <c r="R317" s="7"/>
      <c r="S317" s="7"/>
      <c r="T317" s="10"/>
      <c r="U317" s="10"/>
      <c r="V317" s="10"/>
      <c r="W317" s="7"/>
      <c r="X317" s="7"/>
      <c r="Y317" s="7"/>
      <c r="Z317" s="107"/>
      <c r="AA317" s="107"/>
      <c r="AB317" s="10"/>
      <c r="AC317" s="107"/>
      <c r="AD317" s="107"/>
      <c r="AE317" s="10"/>
      <c r="AF317" s="107"/>
      <c r="AG317" s="10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266"/>
    </row>
    <row r="318" spans="1:108" s="268" customFormat="1" x14ac:dyDescent="0.25">
      <c r="A318" s="107"/>
      <c r="B318" s="7"/>
      <c r="C318" s="7"/>
      <c r="D318" s="10"/>
      <c r="E318" s="7"/>
      <c r="F318" s="7"/>
      <c r="G318" s="7"/>
      <c r="H318" s="10"/>
      <c r="I318" s="7"/>
      <c r="J318" s="7"/>
      <c r="K318" s="7"/>
      <c r="L318" s="7"/>
      <c r="M318" s="10"/>
      <c r="N318" s="8"/>
      <c r="O318" s="107"/>
      <c r="P318" s="10"/>
      <c r="Q318" s="107"/>
      <c r="R318" s="7"/>
      <c r="S318" s="7"/>
      <c r="T318" s="10"/>
      <c r="U318" s="10"/>
      <c r="V318" s="10"/>
      <c r="W318" s="7"/>
      <c r="X318" s="7"/>
      <c r="Y318" s="7"/>
      <c r="Z318" s="107"/>
      <c r="AA318" s="107"/>
      <c r="AB318" s="10"/>
      <c r="AC318" s="107"/>
      <c r="AD318" s="107"/>
      <c r="AE318" s="10"/>
      <c r="AF318" s="107"/>
      <c r="AG318" s="107"/>
      <c r="AH318" s="107"/>
      <c r="AI318" s="107"/>
      <c r="AJ318" s="107"/>
      <c r="AK318" s="107"/>
      <c r="AL318" s="107"/>
      <c r="AM318" s="107"/>
      <c r="AN318" s="107"/>
      <c r="AO318" s="107"/>
      <c r="AP318" s="107"/>
      <c r="AQ318" s="107"/>
      <c r="AR318" s="107"/>
      <c r="AS318" s="107"/>
      <c r="AT318" s="107"/>
      <c r="AU318" s="107"/>
      <c r="AV318" s="107"/>
      <c r="AW318" s="107"/>
      <c r="AX318" s="107"/>
      <c r="AY318" s="107"/>
      <c r="AZ318" s="107"/>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266"/>
    </row>
    <row r="319" spans="1:108" s="268" customFormat="1" x14ac:dyDescent="0.25">
      <c r="A319" s="107"/>
      <c r="B319" s="7"/>
      <c r="C319" s="7"/>
      <c r="D319" s="10"/>
      <c r="E319" s="7"/>
      <c r="F319" s="7"/>
      <c r="G319" s="7"/>
      <c r="H319" s="10"/>
      <c r="I319" s="7"/>
      <c r="J319" s="7"/>
      <c r="K319" s="7"/>
      <c r="L319" s="7"/>
      <c r="M319" s="10"/>
      <c r="N319" s="8"/>
      <c r="O319" s="107"/>
      <c r="P319" s="10"/>
      <c r="Q319" s="107"/>
      <c r="R319" s="7"/>
      <c r="S319" s="7"/>
      <c r="T319" s="10"/>
      <c r="U319" s="10"/>
      <c r="V319" s="10"/>
      <c r="W319" s="7"/>
      <c r="X319" s="7"/>
      <c r="Y319" s="7"/>
      <c r="Z319" s="107"/>
      <c r="AA319" s="107"/>
      <c r="AB319" s="10"/>
      <c r="AC319" s="107"/>
      <c r="AD319" s="107"/>
      <c r="AE319" s="10"/>
      <c r="AF319" s="107"/>
      <c r="AG319" s="107"/>
      <c r="AH319" s="107"/>
      <c r="AI319" s="107"/>
      <c r="AJ319" s="107"/>
      <c r="AK319" s="107"/>
      <c r="AL319" s="107"/>
      <c r="AM319" s="107"/>
      <c r="AN319" s="107"/>
      <c r="AO319" s="107"/>
      <c r="AP319" s="107"/>
      <c r="AQ319" s="107"/>
      <c r="AR319" s="107"/>
      <c r="AS319" s="107"/>
      <c r="AT319" s="107"/>
      <c r="AU319" s="107"/>
      <c r="AV319" s="107"/>
      <c r="AW319" s="107"/>
      <c r="AX319" s="107"/>
      <c r="AY319" s="107"/>
      <c r="AZ319" s="107"/>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266"/>
    </row>
    <row r="320" spans="1:108" s="268" customFormat="1" x14ac:dyDescent="0.25">
      <c r="A320" s="107"/>
      <c r="B320" s="7"/>
      <c r="C320" s="7"/>
      <c r="D320" s="10"/>
      <c r="E320" s="7"/>
      <c r="F320" s="7"/>
      <c r="G320" s="7"/>
      <c r="H320" s="10"/>
      <c r="I320" s="7"/>
      <c r="J320" s="7"/>
      <c r="K320" s="7"/>
      <c r="L320" s="7"/>
      <c r="M320" s="10"/>
      <c r="N320" s="8"/>
      <c r="O320" s="107"/>
      <c r="P320" s="10"/>
      <c r="Q320" s="107"/>
      <c r="R320" s="7"/>
      <c r="S320" s="7"/>
      <c r="T320" s="10"/>
      <c r="U320" s="10"/>
      <c r="V320" s="10"/>
      <c r="W320" s="7"/>
      <c r="X320" s="7"/>
      <c r="Y320" s="7"/>
      <c r="Z320" s="107"/>
      <c r="AA320" s="107"/>
      <c r="AB320" s="10"/>
      <c r="AC320" s="107"/>
      <c r="AD320" s="107"/>
      <c r="AE320" s="10"/>
      <c r="AF320" s="107"/>
      <c r="AG320" s="107"/>
      <c r="AH320" s="107"/>
      <c r="AI320" s="107"/>
      <c r="AJ320" s="107"/>
      <c r="AK320" s="107"/>
      <c r="AL320" s="107"/>
      <c r="AM320" s="107"/>
      <c r="AN320" s="107"/>
      <c r="AO320" s="107"/>
      <c r="AP320" s="107"/>
      <c r="AQ320" s="107"/>
      <c r="AR320" s="107"/>
      <c r="AS320" s="107"/>
      <c r="AT320" s="107"/>
      <c r="AU320" s="107"/>
      <c r="AV320" s="107"/>
      <c r="AW320" s="107"/>
      <c r="AX320" s="107"/>
      <c r="AY320" s="107"/>
      <c r="AZ320" s="107"/>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266"/>
    </row>
    <row r="321" spans="1:108" s="268" customFormat="1" x14ac:dyDescent="0.25">
      <c r="A321" s="107"/>
      <c r="B321" s="7"/>
      <c r="C321" s="7"/>
      <c r="D321" s="10"/>
      <c r="E321" s="7"/>
      <c r="F321" s="7"/>
      <c r="G321" s="7"/>
      <c r="H321" s="10"/>
      <c r="I321" s="7"/>
      <c r="J321" s="7"/>
      <c r="K321" s="7"/>
      <c r="L321" s="7"/>
      <c r="M321" s="10"/>
      <c r="N321" s="8"/>
      <c r="O321" s="107"/>
      <c r="P321" s="10"/>
      <c r="Q321" s="107"/>
      <c r="R321" s="7"/>
      <c r="S321" s="7"/>
      <c r="T321" s="10"/>
      <c r="U321" s="10"/>
      <c r="V321" s="10"/>
      <c r="W321" s="7"/>
      <c r="X321" s="7"/>
      <c r="Y321" s="7"/>
      <c r="Z321" s="107"/>
      <c r="AA321" s="107"/>
      <c r="AB321" s="10"/>
      <c r="AC321" s="107"/>
      <c r="AD321" s="107"/>
      <c r="AE321" s="10"/>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266"/>
    </row>
    <row r="322" spans="1:108" s="268" customFormat="1" x14ac:dyDescent="0.25">
      <c r="A322" s="107"/>
      <c r="B322" s="7"/>
      <c r="C322" s="7"/>
      <c r="D322" s="10"/>
      <c r="E322" s="7"/>
      <c r="F322" s="7"/>
      <c r="G322" s="7"/>
      <c r="H322" s="10"/>
      <c r="I322" s="7"/>
      <c r="J322" s="7"/>
      <c r="K322" s="7"/>
      <c r="L322" s="7"/>
      <c r="M322" s="10"/>
      <c r="N322" s="8"/>
      <c r="O322" s="107"/>
      <c r="P322" s="10"/>
      <c r="Q322" s="107"/>
      <c r="R322" s="7"/>
      <c r="S322" s="7"/>
      <c r="T322" s="10"/>
      <c r="U322" s="10"/>
      <c r="V322" s="10"/>
      <c r="W322" s="7"/>
      <c r="X322" s="7"/>
      <c r="Y322" s="7"/>
      <c r="Z322" s="107"/>
      <c r="AA322" s="107"/>
      <c r="AB322" s="10"/>
      <c r="AC322" s="107"/>
      <c r="AD322" s="107"/>
      <c r="AE322" s="10"/>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266"/>
    </row>
    <row r="323" spans="1:108" s="268" customFormat="1" x14ac:dyDescent="0.25">
      <c r="A323" s="107"/>
      <c r="B323" s="7"/>
      <c r="C323" s="7"/>
      <c r="D323" s="10"/>
      <c r="E323" s="7"/>
      <c r="F323" s="7"/>
      <c r="G323" s="7"/>
      <c r="H323" s="10"/>
      <c r="I323" s="7"/>
      <c r="J323" s="7"/>
      <c r="K323" s="7"/>
      <c r="L323" s="7"/>
      <c r="M323" s="10"/>
      <c r="N323" s="8"/>
      <c r="O323" s="107"/>
      <c r="P323" s="10"/>
      <c r="Q323" s="107"/>
      <c r="R323" s="7"/>
      <c r="S323" s="7"/>
      <c r="T323" s="10"/>
      <c r="U323" s="10"/>
      <c r="V323" s="10"/>
      <c r="W323" s="7"/>
      <c r="X323" s="7"/>
      <c r="Y323" s="7"/>
      <c r="Z323" s="107"/>
      <c r="AA323" s="107"/>
      <c r="AB323" s="10"/>
      <c r="AC323" s="107"/>
      <c r="AD323" s="107"/>
      <c r="AE323" s="10"/>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266"/>
    </row>
    <row r="324" spans="1:108" s="268" customFormat="1" x14ac:dyDescent="0.25">
      <c r="A324" s="107"/>
      <c r="B324" s="7"/>
      <c r="C324" s="7"/>
      <c r="D324" s="10"/>
      <c r="E324" s="7"/>
      <c r="F324" s="7"/>
      <c r="G324" s="7"/>
      <c r="H324" s="10"/>
      <c r="I324" s="7"/>
      <c r="J324" s="7"/>
      <c r="K324" s="7"/>
      <c r="L324" s="7"/>
      <c r="M324" s="10"/>
      <c r="N324" s="8"/>
      <c r="O324" s="107"/>
      <c r="P324" s="10"/>
      <c r="Q324" s="107"/>
      <c r="R324" s="7"/>
      <c r="S324" s="7"/>
      <c r="T324" s="10"/>
      <c r="U324" s="10"/>
      <c r="V324" s="10"/>
      <c r="W324" s="7"/>
      <c r="X324" s="7"/>
      <c r="Y324" s="7"/>
      <c r="Z324" s="107"/>
      <c r="AA324" s="107"/>
      <c r="AB324" s="10"/>
      <c r="AC324" s="107"/>
      <c r="AD324" s="107"/>
      <c r="AE324" s="10"/>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266"/>
    </row>
    <row r="325" spans="1:108" s="268" customFormat="1" x14ac:dyDescent="0.25">
      <c r="A325" s="107"/>
      <c r="B325" s="7"/>
      <c r="C325" s="7"/>
      <c r="D325" s="10"/>
      <c r="E325" s="7"/>
      <c r="F325" s="7"/>
      <c r="G325" s="7"/>
      <c r="H325" s="10"/>
      <c r="I325" s="7"/>
      <c r="J325" s="7"/>
      <c r="K325" s="7"/>
      <c r="L325" s="7"/>
      <c r="M325" s="10"/>
      <c r="N325" s="8"/>
      <c r="O325" s="107"/>
      <c r="P325" s="10"/>
      <c r="Q325" s="107"/>
      <c r="R325" s="7"/>
      <c r="S325" s="7"/>
      <c r="T325" s="10"/>
      <c r="U325" s="10"/>
      <c r="V325" s="10"/>
      <c r="W325" s="7"/>
      <c r="X325" s="7"/>
      <c r="Y325" s="7"/>
      <c r="Z325" s="107"/>
      <c r="AA325" s="107"/>
      <c r="AB325" s="10"/>
      <c r="AC325" s="107"/>
      <c r="AD325" s="107"/>
      <c r="AE325" s="10"/>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266"/>
    </row>
    <row r="326" spans="1:108" s="268" customFormat="1" x14ac:dyDescent="0.25">
      <c r="A326" s="107"/>
      <c r="B326" s="7"/>
      <c r="C326" s="7"/>
      <c r="D326" s="10"/>
      <c r="E326" s="7"/>
      <c r="F326" s="7"/>
      <c r="G326" s="7"/>
      <c r="H326" s="10"/>
      <c r="I326" s="7"/>
      <c r="J326" s="7"/>
      <c r="K326" s="7"/>
      <c r="L326" s="7"/>
      <c r="M326" s="10"/>
      <c r="N326" s="8"/>
      <c r="O326" s="107"/>
      <c r="P326" s="10"/>
      <c r="Q326" s="107"/>
      <c r="R326" s="7"/>
      <c r="S326" s="7"/>
      <c r="T326" s="10"/>
      <c r="U326" s="10"/>
      <c r="V326" s="10"/>
      <c r="W326" s="7"/>
      <c r="X326" s="7"/>
      <c r="Y326" s="7"/>
      <c r="Z326" s="107"/>
      <c r="AA326" s="107"/>
      <c r="AB326" s="10"/>
      <c r="AC326" s="107"/>
      <c r="AD326" s="107"/>
      <c r="AE326" s="10"/>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266"/>
    </row>
    <row r="327" spans="1:108" s="268" customFormat="1" x14ac:dyDescent="0.25">
      <c r="A327" s="107"/>
      <c r="B327" s="7"/>
      <c r="C327" s="7"/>
      <c r="D327" s="10"/>
      <c r="E327" s="7"/>
      <c r="F327" s="7"/>
      <c r="G327" s="7"/>
      <c r="H327" s="10"/>
      <c r="I327" s="7"/>
      <c r="J327" s="7"/>
      <c r="K327" s="7"/>
      <c r="L327" s="7"/>
      <c r="M327" s="10"/>
      <c r="N327" s="8"/>
      <c r="O327" s="107"/>
      <c r="P327" s="10"/>
      <c r="Q327" s="107"/>
      <c r="R327" s="7"/>
      <c r="S327" s="7"/>
      <c r="T327" s="10"/>
      <c r="U327" s="10"/>
      <c r="V327" s="10"/>
      <c r="W327" s="7"/>
      <c r="X327" s="7"/>
      <c r="Y327" s="7"/>
      <c r="Z327" s="107"/>
      <c r="AA327" s="107"/>
      <c r="AB327" s="10"/>
      <c r="AC327" s="107"/>
      <c r="AD327" s="107"/>
      <c r="AE327" s="10"/>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266"/>
    </row>
    <row r="328" spans="1:108" s="268" customFormat="1" x14ac:dyDescent="0.25">
      <c r="A328" s="107"/>
      <c r="B328" s="7"/>
      <c r="C328" s="7"/>
      <c r="D328" s="10"/>
      <c r="E328" s="7"/>
      <c r="F328" s="7"/>
      <c r="G328" s="7"/>
      <c r="H328" s="10"/>
      <c r="I328" s="7"/>
      <c r="J328" s="7"/>
      <c r="K328" s="7"/>
      <c r="L328" s="7"/>
      <c r="M328" s="10"/>
      <c r="N328" s="8"/>
      <c r="O328" s="107"/>
      <c r="P328" s="10"/>
      <c r="Q328" s="107"/>
      <c r="R328" s="7"/>
      <c r="S328" s="7"/>
      <c r="T328" s="10"/>
      <c r="U328" s="10"/>
      <c r="V328" s="10"/>
      <c r="W328" s="7"/>
      <c r="X328" s="7"/>
      <c r="Y328" s="7"/>
      <c r="Z328" s="107"/>
      <c r="AA328" s="107"/>
      <c r="AB328" s="10"/>
      <c r="AC328" s="107"/>
      <c r="AD328" s="107"/>
      <c r="AE328" s="10"/>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266"/>
    </row>
    <row r="329" spans="1:108" s="268" customFormat="1" x14ac:dyDescent="0.25">
      <c r="A329" s="107"/>
      <c r="B329" s="7"/>
      <c r="C329" s="7"/>
      <c r="D329" s="10"/>
      <c r="E329" s="7"/>
      <c r="F329" s="7"/>
      <c r="G329" s="7"/>
      <c r="H329" s="10"/>
      <c r="I329" s="7"/>
      <c r="J329" s="7"/>
      <c r="K329" s="7"/>
      <c r="L329" s="7"/>
      <c r="M329" s="10"/>
      <c r="N329" s="8"/>
      <c r="O329" s="107"/>
      <c r="P329" s="10"/>
      <c r="Q329" s="107"/>
      <c r="R329" s="7"/>
      <c r="S329" s="7"/>
      <c r="T329" s="10"/>
      <c r="U329" s="10"/>
      <c r="V329" s="10"/>
      <c r="W329" s="7"/>
      <c r="X329" s="7"/>
      <c r="Y329" s="7"/>
      <c r="Z329" s="107"/>
      <c r="AA329" s="107"/>
      <c r="AB329" s="10"/>
      <c r="AC329" s="107"/>
      <c r="AD329" s="107"/>
      <c r="AE329" s="10"/>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266"/>
    </row>
    <row r="330" spans="1:108" s="268" customFormat="1" x14ac:dyDescent="0.25">
      <c r="A330" s="107"/>
      <c r="B330" s="7"/>
      <c r="C330" s="7"/>
      <c r="D330" s="10"/>
      <c r="E330" s="7"/>
      <c r="F330" s="7"/>
      <c r="G330" s="7"/>
      <c r="H330" s="10"/>
      <c r="I330" s="7"/>
      <c r="J330" s="7"/>
      <c r="K330" s="7"/>
      <c r="L330" s="7"/>
      <c r="M330" s="10"/>
      <c r="N330" s="8"/>
      <c r="O330" s="107"/>
      <c r="P330" s="10"/>
      <c r="Q330" s="107"/>
      <c r="R330" s="7"/>
      <c r="S330" s="7"/>
      <c r="T330" s="10"/>
      <c r="U330" s="10"/>
      <c r="V330" s="10"/>
      <c r="W330" s="7"/>
      <c r="X330" s="7"/>
      <c r="Y330" s="7"/>
      <c r="Z330" s="107"/>
      <c r="AA330" s="107"/>
      <c r="AB330" s="10"/>
      <c r="AC330" s="107"/>
      <c r="AD330" s="107"/>
      <c r="AE330" s="10"/>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266"/>
    </row>
    <row r="331" spans="1:108" s="268" customFormat="1" x14ac:dyDescent="0.25">
      <c r="A331" s="107"/>
      <c r="B331" s="7"/>
      <c r="C331" s="7"/>
      <c r="D331" s="10"/>
      <c r="E331" s="7"/>
      <c r="F331" s="7"/>
      <c r="G331" s="7"/>
      <c r="H331" s="10"/>
      <c r="I331" s="7"/>
      <c r="J331" s="7"/>
      <c r="K331" s="7"/>
      <c r="L331" s="7"/>
      <c r="M331" s="10"/>
      <c r="N331" s="8"/>
      <c r="O331" s="107"/>
      <c r="P331" s="10"/>
      <c r="Q331" s="107"/>
      <c r="R331" s="7"/>
      <c r="S331" s="7"/>
      <c r="T331" s="10"/>
      <c r="U331" s="10"/>
      <c r="V331" s="10"/>
      <c r="W331" s="7"/>
      <c r="X331" s="7"/>
      <c r="Y331" s="7"/>
      <c r="Z331" s="107"/>
      <c r="AA331" s="107"/>
      <c r="AB331" s="10"/>
      <c r="AC331" s="107"/>
      <c r="AD331" s="107"/>
      <c r="AE331" s="10"/>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266"/>
    </row>
    <row r="332" spans="1:108" s="268" customFormat="1" x14ac:dyDescent="0.25">
      <c r="A332" s="107"/>
      <c r="B332" s="7"/>
      <c r="C332" s="7"/>
      <c r="D332" s="10"/>
      <c r="E332" s="7"/>
      <c r="F332" s="7"/>
      <c r="G332" s="7"/>
      <c r="H332" s="10"/>
      <c r="I332" s="7"/>
      <c r="J332" s="7"/>
      <c r="K332" s="7"/>
      <c r="L332" s="7"/>
      <c r="M332" s="10"/>
      <c r="N332" s="8"/>
      <c r="O332" s="107"/>
      <c r="P332" s="10"/>
      <c r="Q332" s="107"/>
      <c r="R332" s="7"/>
      <c r="S332" s="7"/>
      <c r="T332" s="10"/>
      <c r="U332" s="10"/>
      <c r="V332" s="10"/>
      <c r="W332" s="7"/>
      <c r="X332" s="7"/>
      <c r="Y332" s="7"/>
      <c r="Z332" s="107"/>
      <c r="AA332" s="107"/>
      <c r="AB332" s="10"/>
      <c r="AC332" s="107"/>
      <c r="AD332" s="107"/>
      <c r="AE332" s="10"/>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266"/>
    </row>
    <row r="333" spans="1:108" s="268" customFormat="1" x14ac:dyDescent="0.25">
      <c r="A333" s="107"/>
      <c r="B333" s="7"/>
      <c r="C333" s="7"/>
      <c r="D333" s="10"/>
      <c r="E333" s="7"/>
      <c r="F333" s="7"/>
      <c r="G333" s="7"/>
      <c r="H333" s="10"/>
      <c r="I333" s="7"/>
      <c r="J333" s="7"/>
      <c r="K333" s="7"/>
      <c r="L333" s="7"/>
      <c r="M333" s="10"/>
      <c r="N333" s="8"/>
      <c r="O333" s="107"/>
      <c r="P333" s="10"/>
      <c r="Q333" s="107"/>
      <c r="R333" s="7"/>
      <c r="S333" s="7"/>
      <c r="T333" s="10"/>
      <c r="U333" s="10"/>
      <c r="V333" s="10"/>
      <c r="W333" s="7"/>
      <c r="X333" s="7"/>
      <c r="Y333" s="7"/>
      <c r="Z333" s="107"/>
      <c r="AA333" s="107"/>
      <c r="AB333" s="10"/>
      <c r="AC333" s="107"/>
      <c r="AD333" s="107"/>
      <c r="AE333" s="10"/>
      <c r="AF333" s="107"/>
      <c r="AG333" s="107"/>
      <c r="AH333" s="107"/>
      <c r="AI333" s="107"/>
      <c r="AJ333" s="107"/>
      <c r="AK333" s="107"/>
      <c r="AL333" s="107"/>
      <c r="AM333" s="107"/>
      <c r="AN333" s="107"/>
      <c r="AO333" s="107"/>
      <c r="AP333" s="107"/>
      <c r="AQ333" s="107"/>
      <c r="AR333" s="107"/>
      <c r="AS333" s="107"/>
      <c r="AT333" s="107"/>
      <c r="AU333" s="107"/>
      <c r="AV333" s="107"/>
      <c r="AW333" s="107"/>
      <c r="AX333" s="107"/>
      <c r="AY333" s="107"/>
      <c r="AZ333" s="107"/>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266"/>
    </row>
    <row r="334" spans="1:108" s="268" customFormat="1" x14ac:dyDescent="0.25">
      <c r="A334" s="107"/>
      <c r="B334" s="7"/>
      <c r="C334" s="7"/>
      <c r="D334" s="10"/>
      <c r="E334" s="7"/>
      <c r="F334" s="7"/>
      <c r="G334" s="7"/>
      <c r="H334" s="10"/>
      <c r="I334" s="7"/>
      <c r="J334" s="7"/>
      <c r="K334" s="7"/>
      <c r="L334" s="7"/>
      <c r="M334" s="10"/>
      <c r="N334" s="8"/>
      <c r="O334" s="107"/>
      <c r="P334" s="10"/>
      <c r="Q334" s="107"/>
      <c r="R334" s="7"/>
      <c r="S334" s="7"/>
      <c r="T334" s="10"/>
      <c r="U334" s="10"/>
      <c r="V334" s="10"/>
      <c r="W334" s="7"/>
      <c r="X334" s="7"/>
      <c r="Y334" s="7"/>
      <c r="Z334" s="107"/>
      <c r="AA334" s="107"/>
      <c r="AB334" s="10"/>
      <c r="AC334" s="107"/>
      <c r="AD334" s="107"/>
      <c r="AE334" s="10"/>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266"/>
    </row>
    <row r="335" spans="1:108" s="268" customFormat="1" x14ac:dyDescent="0.25">
      <c r="A335" s="107"/>
      <c r="B335" s="7"/>
      <c r="C335" s="7"/>
      <c r="D335" s="10"/>
      <c r="E335" s="7"/>
      <c r="F335" s="7"/>
      <c r="G335" s="7"/>
      <c r="H335" s="10"/>
      <c r="I335" s="7"/>
      <c r="J335" s="7"/>
      <c r="K335" s="7"/>
      <c r="L335" s="7"/>
      <c r="M335" s="10"/>
      <c r="N335" s="8"/>
      <c r="O335" s="107"/>
      <c r="P335" s="10"/>
      <c r="Q335" s="107"/>
      <c r="R335" s="7"/>
      <c r="S335" s="7"/>
      <c r="T335" s="10"/>
      <c r="U335" s="10"/>
      <c r="V335" s="10"/>
      <c r="W335" s="7"/>
      <c r="X335" s="7"/>
      <c r="Y335" s="7"/>
      <c r="Z335" s="107"/>
      <c r="AA335" s="107"/>
      <c r="AB335" s="10"/>
      <c r="AC335" s="107"/>
      <c r="AD335" s="107"/>
      <c r="AE335" s="10"/>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266"/>
    </row>
    <row r="336" spans="1:108" s="268" customFormat="1" x14ac:dyDescent="0.25">
      <c r="A336" s="107"/>
      <c r="B336" s="7"/>
      <c r="C336" s="7"/>
      <c r="D336" s="10"/>
      <c r="E336" s="7"/>
      <c r="F336" s="7"/>
      <c r="G336" s="7"/>
      <c r="H336" s="10"/>
      <c r="I336" s="7"/>
      <c r="J336" s="7"/>
      <c r="K336" s="7"/>
      <c r="L336" s="7"/>
      <c r="M336" s="10"/>
      <c r="N336" s="8"/>
      <c r="O336" s="107"/>
      <c r="P336" s="10"/>
      <c r="Q336" s="107"/>
      <c r="R336" s="7"/>
      <c r="S336" s="7"/>
      <c r="T336" s="10"/>
      <c r="U336" s="10"/>
      <c r="V336" s="10"/>
      <c r="W336" s="7"/>
      <c r="X336" s="7"/>
      <c r="Y336" s="7"/>
      <c r="Z336" s="107"/>
      <c r="AA336" s="107"/>
      <c r="AB336" s="10"/>
      <c r="AC336" s="107"/>
      <c r="AD336" s="107"/>
      <c r="AE336" s="10"/>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266"/>
    </row>
    <row r="337" spans="1:108" s="268" customFormat="1" x14ac:dyDescent="0.25">
      <c r="A337" s="107"/>
      <c r="B337" s="7"/>
      <c r="C337" s="7"/>
      <c r="D337" s="10"/>
      <c r="E337" s="7"/>
      <c r="F337" s="7"/>
      <c r="G337" s="7"/>
      <c r="H337" s="10"/>
      <c r="I337" s="7"/>
      <c r="J337" s="7"/>
      <c r="K337" s="7"/>
      <c r="L337" s="7"/>
      <c r="M337" s="10"/>
      <c r="N337" s="8"/>
      <c r="O337" s="107"/>
      <c r="P337" s="10"/>
      <c r="Q337" s="107"/>
      <c r="R337" s="7"/>
      <c r="S337" s="7"/>
      <c r="T337" s="10"/>
      <c r="U337" s="10"/>
      <c r="V337" s="10"/>
      <c r="W337" s="7"/>
      <c r="X337" s="7"/>
      <c r="Y337" s="7"/>
      <c r="Z337" s="107"/>
      <c r="AA337" s="107"/>
      <c r="AB337" s="10"/>
      <c r="AC337" s="107"/>
      <c r="AD337" s="107"/>
      <c r="AE337" s="10"/>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266"/>
    </row>
    <row r="338" spans="1:108" s="268" customFormat="1" x14ac:dyDescent="0.25">
      <c r="A338" s="107"/>
      <c r="B338" s="7"/>
      <c r="C338" s="7"/>
      <c r="D338" s="10"/>
      <c r="E338" s="7"/>
      <c r="F338" s="7"/>
      <c r="G338" s="7"/>
      <c r="H338" s="10"/>
      <c r="I338" s="7"/>
      <c r="J338" s="7"/>
      <c r="K338" s="7"/>
      <c r="L338" s="7"/>
      <c r="M338" s="10"/>
      <c r="N338" s="8"/>
      <c r="O338" s="107"/>
      <c r="P338" s="10"/>
      <c r="Q338" s="107"/>
      <c r="R338" s="7"/>
      <c r="S338" s="7"/>
      <c r="T338" s="10"/>
      <c r="U338" s="10"/>
      <c r="V338" s="10"/>
      <c r="W338" s="7"/>
      <c r="X338" s="7"/>
      <c r="Y338" s="7"/>
      <c r="Z338" s="107"/>
      <c r="AA338" s="107"/>
      <c r="AB338" s="10"/>
      <c r="AC338" s="107"/>
      <c r="AD338" s="107"/>
      <c r="AE338" s="10"/>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266"/>
    </row>
    <row r="339" spans="1:108" s="268" customFormat="1" x14ac:dyDescent="0.25">
      <c r="A339" s="107"/>
      <c r="B339" s="7"/>
      <c r="C339" s="7"/>
      <c r="D339" s="10"/>
      <c r="E339" s="7"/>
      <c r="F339" s="7"/>
      <c r="G339" s="7"/>
      <c r="H339" s="10"/>
      <c r="I339" s="7"/>
      <c r="J339" s="7"/>
      <c r="K339" s="7"/>
      <c r="L339" s="7"/>
      <c r="M339" s="10"/>
      <c r="N339" s="8"/>
      <c r="O339" s="107"/>
      <c r="P339" s="10"/>
      <c r="Q339" s="107"/>
      <c r="R339" s="7"/>
      <c r="S339" s="7"/>
      <c r="T339" s="10"/>
      <c r="U339" s="10"/>
      <c r="V339" s="10"/>
      <c r="W339" s="7"/>
      <c r="X339" s="7"/>
      <c r="Y339" s="7"/>
      <c r="Z339" s="107"/>
      <c r="AA339" s="107"/>
      <c r="AB339" s="10"/>
      <c r="AC339" s="107"/>
      <c r="AD339" s="107"/>
      <c r="AE339" s="10"/>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266"/>
    </row>
    <row r="340" spans="1:108" s="268" customFormat="1" x14ac:dyDescent="0.25">
      <c r="A340" s="107"/>
      <c r="B340" s="7"/>
      <c r="C340" s="7"/>
      <c r="D340" s="10"/>
      <c r="E340" s="7"/>
      <c r="F340" s="7"/>
      <c r="G340" s="7"/>
      <c r="H340" s="10"/>
      <c r="I340" s="7"/>
      <c r="J340" s="7"/>
      <c r="K340" s="7"/>
      <c r="L340" s="7"/>
      <c r="M340" s="10"/>
      <c r="N340" s="8"/>
      <c r="O340" s="107"/>
      <c r="P340" s="10"/>
      <c r="Q340" s="107"/>
      <c r="R340" s="7"/>
      <c r="S340" s="7"/>
      <c r="T340" s="10"/>
      <c r="U340" s="10"/>
      <c r="V340" s="10"/>
      <c r="W340" s="7"/>
      <c r="X340" s="7"/>
      <c r="Y340" s="7"/>
      <c r="Z340" s="107"/>
      <c r="AA340" s="107"/>
      <c r="AB340" s="10"/>
      <c r="AC340" s="107"/>
      <c r="AD340" s="107"/>
      <c r="AE340" s="10"/>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266"/>
    </row>
    <row r="341" spans="1:108" s="268" customFormat="1" x14ac:dyDescent="0.25">
      <c r="A341" s="107"/>
      <c r="B341" s="7"/>
      <c r="C341" s="7"/>
      <c r="D341" s="10"/>
      <c r="E341" s="7"/>
      <c r="F341" s="7"/>
      <c r="G341" s="7"/>
      <c r="H341" s="10"/>
      <c r="I341" s="7"/>
      <c r="J341" s="7"/>
      <c r="K341" s="7"/>
      <c r="L341" s="7"/>
      <c r="M341" s="10"/>
      <c r="N341" s="8"/>
      <c r="O341" s="107"/>
      <c r="P341" s="10"/>
      <c r="Q341" s="107"/>
      <c r="R341" s="7"/>
      <c r="S341" s="7"/>
      <c r="T341" s="10"/>
      <c r="U341" s="10"/>
      <c r="V341" s="10"/>
      <c r="W341" s="7"/>
      <c r="X341" s="7"/>
      <c r="Y341" s="7"/>
      <c r="Z341" s="107"/>
      <c r="AA341" s="107"/>
      <c r="AB341" s="10"/>
      <c r="AC341" s="107"/>
      <c r="AD341" s="107"/>
      <c r="AE341" s="10"/>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266"/>
    </row>
    <row r="342" spans="1:108" s="268" customFormat="1" x14ac:dyDescent="0.25">
      <c r="A342" s="107"/>
      <c r="B342" s="7"/>
      <c r="C342" s="7"/>
      <c r="D342" s="10"/>
      <c r="E342" s="7"/>
      <c r="F342" s="7"/>
      <c r="G342" s="7"/>
      <c r="H342" s="10"/>
      <c r="I342" s="7"/>
      <c r="J342" s="7"/>
      <c r="K342" s="7"/>
      <c r="L342" s="7"/>
      <c r="M342" s="10"/>
      <c r="N342" s="8"/>
      <c r="O342" s="107"/>
      <c r="P342" s="10"/>
      <c r="Q342" s="107"/>
      <c r="R342" s="7"/>
      <c r="S342" s="7"/>
      <c r="T342" s="10"/>
      <c r="U342" s="10"/>
      <c r="V342" s="10"/>
      <c r="W342" s="7"/>
      <c r="X342" s="7"/>
      <c r="Y342" s="7"/>
      <c r="Z342" s="107"/>
      <c r="AA342" s="107"/>
      <c r="AB342" s="10"/>
      <c r="AC342" s="107"/>
      <c r="AD342" s="107"/>
      <c r="AE342" s="10"/>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266"/>
    </row>
    <row r="343" spans="1:108" s="268" customFormat="1" x14ac:dyDescent="0.25">
      <c r="A343" s="107"/>
      <c r="B343" s="7"/>
      <c r="C343" s="7"/>
      <c r="D343" s="10"/>
      <c r="E343" s="7"/>
      <c r="F343" s="7"/>
      <c r="G343" s="7"/>
      <c r="H343" s="10"/>
      <c r="I343" s="7"/>
      <c r="J343" s="7"/>
      <c r="K343" s="7"/>
      <c r="L343" s="7"/>
      <c r="M343" s="10"/>
      <c r="N343" s="8"/>
      <c r="O343" s="107"/>
      <c r="P343" s="10"/>
      <c r="Q343" s="107"/>
      <c r="R343" s="7"/>
      <c r="S343" s="7"/>
      <c r="T343" s="10"/>
      <c r="U343" s="10"/>
      <c r="V343" s="10"/>
      <c r="W343" s="7"/>
      <c r="X343" s="7"/>
      <c r="Y343" s="7"/>
      <c r="Z343" s="107"/>
      <c r="AA343" s="107"/>
      <c r="AB343" s="10"/>
      <c r="AC343" s="107"/>
      <c r="AD343" s="107"/>
      <c r="AE343" s="10"/>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266"/>
    </row>
    <row r="344" spans="1:108" s="268" customFormat="1" x14ac:dyDescent="0.25">
      <c r="A344" s="107"/>
      <c r="B344" s="7"/>
      <c r="C344" s="7"/>
      <c r="D344" s="10"/>
      <c r="E344" s="7"/>
      <c r="F344" s="7"/>
      <c r="G344" s="7"/>
      <c r="H344" s="10"/>
      <c r="I344" s="7"/>
      <c r="J344" s="7"/>
      <c r="K344" s="7"/>
      <c r="L344" s="7"/>
      <c r="M344" s="10"/>
      <c r="N344" s="8"/>
      <c r="O344" s="107"/>
      <c r="P344" s="10"/>
      <c r="Q344" s="107"/>
      <c r="R344" s="7"/>
      <c r="S344" s="7"/>
      <c r="T344" s="10"/>
      <c r="U344" s="10"/>
      <c r="V344" s="10"/>
      <c r="W344" s="7"/>
      <c r="X344" s="7"/>
      <c r="Y344" s="7"/>
      <c r="Z344" s="107"/>
      <c r="AA344" s="107"/>
      <c r="AB344" s="10"/>
      <c r="AC344" s="107"/>
      <c r="AD344" s="107"/>
      <c r="AE344" s="10"/>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266"/>
    </row>
    <row r="345" spans="1:108" s="268" customFormat="1" x14ac:dyDescent="0.25">
      <c r="A345" s="107"/>
      <c r="B345" s="7"/>
      <c r="C345" s="7"/>
      <c r="D345" s="10"/>
      <c r="E345" s="7"/>
      <c r="F345" s="7"/>
      <c r="G345" s="7"/>
      <c r="H345" s="10"/>
      <c r="I345" s="7"/>
      <c r="J345" s="7"/>
      <c r="K345" s="7"/>
      <c r="L345" s="7"/>
      <c r="M345" s="10"/>
      <c r="N345" s="8"/>
      <c r="O345" s="107"/>
      <c r="P345" s="10"/>
      <c r="Q345" s="107"/>
      <c r="R345" s="7"/>
      <c r="S345" s="7"/>
      <c r="T345" s="10"/>
      <c r="U345" s="10"/>
      <c r="V345" s="10"/>
      <c r="W345" s="7"/>
      <c r="X345" s="7"/>
      <c r="Y345" s="7"/>
      <c r="Z345" s="107"/>
      <c r="AA345" s="107"/>
      <c r="AB345" s="10"/>
      <c r="AC345" s="107"/>
      <c r="AD345" s="107"/>
      <c r="AE345" s="10"/>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266"/>
    </row>
    <row r="346" spans="1:108" s="268" customFormat="1" x14ac:dyDescent="0.25">
      <c r="A346" s="107"/>
      <c r="B346" s="7"/>
      <c r="C346" s="7"/>
      <c r="D346" s="10"/>
      <c r="E346" s="7"/>
      <c r="F346" s="7"/>
      <c r="G346" s="7"/>
      <c r="H346" s="10"/>
      <c r="I346" s="7"/>
      <c r="J346" s="7"/>
      <c r="K346" s="7"/>
      <c r="L346" s="7"/>
      <c r="M346" s="10"/>
      <c r="N346" s="8"/>
      <c r="O346" s="107"/>
      <c r="P346" s="10"/>
      <c r="Q346" s="107"/>
      <c r="R346" s="7"/>
      <c r="S346" s="7"/>
      <c r="T346" s="10"/>
      <c r="U346" s="10"/>
      <c r="V346" s="10"/>
      <c r="W346" s="7"/>
      <c r="X346" s="7"/>
      <c r="Y346" s="7"/>
      <c r="Z346" s="107"/>
      <c r="AA346" s="107"/>
      <c r="AB346" s="10"/>
      <c r="AC346" s="107"/>
      <c r="AD346" s="107"/>
      <c r="AE346" s="10"/>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266"/>
    </row>
    <row r="347" spans="1:108" s="268" customFormat="1" x14ac:dyDescent="0.25">
      <c r="A347" s="107"/>
      <c r="B347" s="7"/>
      <c r="C347" s="7"/>
      <c r="D347" s="10"/>
      <c r="E347" s="7"/>
      <c r="F347" s="7"/>
      <c r="G347" s="7"/>
      <c r="H347" s="10"/>
      <c r="I347" s="7"/>
      <c r="J347" s="7"/>
      <c r="K347" s="7"/>
      <c r="L347" s="7"/>
      <c r="M347" s="10"/>
      <c r="N347" s="8"/>
      <c r="O347" s="107"/>
      <c r="P347" s="10"/>
      <c r="Q347" s="107"/>
      <c r="R347" s="7"/>
      <c r="S347" s="7"/>
      <c r="T347" s="10"/>
      <c r="U347" s="10"/>
      <c r="V347" s="10"/>
      <c r="W347" s="7"/>
      <c r="X347" s="7"/>
      <c r="Y347" s="7"/>
      <c r="Z347" s="107"/>
      <c r="AA347" s="107"/>
      <c r="AB347" s="10"/>
      <c r="AC347" s="107"/>
      <c r="AD347" s="107"/>
      <c r="AE347" s="10"/>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266"/>
    </row>
    <row r="348" spans="1:108" s="268" customFormat="1" x14ac:dyDescent="0.25">
      <c r="A348" s="107"/>
      <c r="B348" s="7"/>
      <c r="C348" s="7"/>
      <c r="D348" s="10"/>
      <c r="E348" s="7"/>
      <c r="F348" s="7"/>
      <c r="G348" s="7"/>
      <c r="H348" s="10"/>
      <c r="I348" s="7"/>
      <c r="J348" s="7"/>
      <c r="K348" s="7"/>
      <c r="L348" s="7"/>
      <c r="M348" s="10"/>
      <c r="N348" s="8"/>
      <c r="O348" s="107"/>
      <c r="P348" s="10"/>
      <c r="Q348" s="107"/>
      <c r="R348" s="7"/>
      <c r="S348" s="7"/>
      <c r="T348" s="10"/>
      <c r="U348" s="10"/>
      <c r="V348" s="10"/>
      <c r="W348" s="7"/>
      <c r="X348" s="7"/>
      <c r="Y348" s="7"/>
      <c r="Z348" s="107"/>
      <c r="AA348" s="107"/>
      <c r="AB348" s="10"/>
      <c r="AC348" s="107"/>
      <c r="AD348" s="107"/>
      <c r="AE348" s="10"/>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266"/>
    </row>
    <row r="349" spans="1:108" s="268" customFormat="1" x14ac:dyDescent="0.25">
      <c r="A349" s="107"/>
      <c r="B349" s="7"/>
      <c r="C349" s="7"/>
      <c r="D349" s="10"/>
      <c r="E349" s="7"/>
      <c r="F349" s="7"/>
      <c r="G349" s="7"/>
      <c r="H349" s="10"/>
      <c r="I349" s="7"/>
      <c r="J349" s="7"/>
      <c r="K349" s="7"/>
      <c r="L349" s="7"/>
      <c r="M349" s="10"/>
      <c r="N349" s="8"/>
      <c r="O349" s="107"/>
      <c r="P349" s="10"/>
      <c r="Q349" s="107"/>
      <c r="R349" s="7"/>
      <c r="S349" s="7"/>
      <c r="T349" s="10"/>
      <c r="U349" s="10"/>
      <c r="V349" s="10"/>
      <c r="W349" s="7"/>
      <c r="X349" s="7"/>
      <c r="Y349" s="7"/>
      <c r="Z349" s="107"/>
      <c r="AA349" s="107"/>
      <c r="AB349" s="10"/>
      <c r="AC349" s="107"/>
      <c r="AD349" s="107"/>
      <c r="AE349" s="10"/>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266"/>
    </row>
    <row r="350" spans="1:108" s="268" customFormat="1" x14ac:dyDescent="0.25">
      <c r="A350" s="107"/>
      <c r="B350" s="7"/>
      <c r="C350" s="7"/>
      <c r="D350" s="10"/>
      <c r="E350" s="7"/>
      <c r="F350" s="7"/>
      <c r="G350" s="7"/>
      <c r="H350" s="10"/>
      <c r="I350" s="7"/>
      <c r="J350" s="7"/>
      <c r="K350" s="7"/>
      <c r="L350" s="7"/>
      <c r="M350" s="10"/>
      <c r="N350" s="8"/>
      <c r="O350" s="107"/>
      <c r="P350" s="10"/>
      <c r="Q350" s="107"/>
      <c r="R350" s="7"/>
      <c r="S350" s="7"/>
      <c r="T350" s="10"/>
      <c r="U350" s="10"/>
      <c r="V350" s="10"/>
      <c r="W350" s="7"/>
      <c r="X350" s="7"/>
      <c r="Y350" s="7"/>
      <c r="Z350" s="107"/>
      <c r="AA350" s="107"/>
      <c r="AB350" s="10"/>
      <c r="AC350" s="107"/>
      <c r="AD350" s="107"/>
      <c r="AE350" s="10"/>
      <c r="AF350" s="107"/>
      <c r="AG350" s="107"/>
      <c r="AH350" s="107"/>
      <c r="AI350" s="107"/>
      <c r="AJ350" s="107"/>
      <c r="AK350" s="107"/>
      <c r="AL350" s="107"/>
      <c r="AM350" s="107"/>
      <c r="AN350" s="107"/>
      <c r="AO350" s="107"/>
      <c r="AP350" s="107"/>
      <c r="AQ350" s="107"/>
      <c r="AR350" s="107"/>
      <c r="AS350" s="107"/>
      <c r="AT350" s="107"/>
      <c r="AU350" s="107"/>
      <c r="AV350" s="107"/>
      <c r="AW350" s="107"/>
      <c r="AX350" s="107"/>
      <c r="AY350" s="107"/>
      <c r="AZ350" s="107"/>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266"/>
    </row>
    <row r="351" spans="1:108" s="268" customFormat="1" x14ac:dyDescent="0.25">
      <c r="A351" s="107"/>
      <c r="B351" s="7"/>
      <c r="C351" s="7"/>
      <c r="D351" s="10"/>
      <c r="E351" s="7"/>
      <c r="F351" s="7"/>
      <c r="G351" s="7"/>
      <c r="H351" s="10"/>
      <c r="I351" s="7"/>
      <c r="J351" s="7"/>
      <c r="K351" s="7"/>
      <c r="L351" s="7"/>
      <c r="M351" s="10"/>
      <c r="N351" s="8"/>
      <c r="O351" s="107"/>
      <c r="P351" s="10"/>
      <c r="Q351" s="107"/>
      <c r="R351" s="7"/>
      <c r="S351" s="7"/>
      <c r="T351" s="10"/>
      <c r="U351" s="10"/>
      <c r="V351" s="10"/>
      <c r="W351" s="7"/>
      <c r="X351" s="7"/>
      <c r="Y351" s="7"/>
      <c r="Z351" s="107"/>
      <c r="AA351" s="107"/>
      <c r="AB351" s="10"/>
      <c r="AC351" s="107"/>
      <c r="AD351" s="107"/>
      <c r="AE351" s="10"/>
      <c r="AF351" s="107"/>
      <c r="AG351" s="107"/>
      <c r="AH351" s="107"/>
      <c r="AI351" s="107"/>
      <c r="AJ351" s="107"/>
      <c r="AK351" s="107"/>
      <c r="AL351" s="107"/>
      <c r="AM351" s="107"/>
      <c r="AN351" s="107"/>
      <c r="AO351" s="107"/>
      <c r="AP351" s="107"/>
      <c r="AQ351" s="107"/>
      <c r="AR351" s="107"/>
      <c r="AS351" s="107"/>
      <c r="AT351" s="107"/>
      <c r="AU351" s="107"/>
      <c r="AV351" s="107"/>
      <c r="AW351" s="107"/>
      <c r="AX351" s="107"/>
      <c r="AY351" s="107"/>
      <c r="AZ351" s="107"/>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266"/>
    </row>
    <row r="352" spans="1:108" s="268" customFormat="1" x14ac:dyDescent="0.25">
      <c r="A352" s="107"/>
      <c r="B352" s="7"/>
      <c r="C352" s="7"/>
      <c r="D352" s="10"/>
      <c r="E352" s="7"/>
      <c r="F352" s="7"/>
      <c r="G352" s="7"/>
      <c r="H352" s="10"/>
      <c r="I352" s="7"/>
      <c r="J352" s="7"/>
      <c r="K352" s="7"/>
      <c r="L352" s="7"/>
      <c r="M352" s="10"/>
      <c r="N352" s="8"/>
      <c r="O352" s="107"/>
      <c r="P352" s="10"/>
      <c r="Q352" s="107"/>
      <c r="R352" s="7"/>
      <c r="S352" s="7"/>
      <c r="T352" s="10"/>
      <c r="U352" s="10"/>
      <c r="V352" s="10"/>
      <c r="W352" s="7"/>
      <c r="X352" s="7"/>
      <c r="Y352" s="7"/>
      <c r="Z352" s="107"/>
      <c r="AA352" s="107"/>
      <c r="AB352" s="10"/>
      <c r="AC352" s="107"/>
      <c r="AD352" s="107"/>
      <c r="AE352" s="10"/>
      <c r="AF352" s="107"/>
      <c r="AG352" s="107"/>
      <c r="AH352" s="107"/>
      <c r="AI352" s="107"/>
      <c r="AJ352" s="107"/>
      <c r="AK352" s="107"/>
      <c r="AL352" s="107"/>
      <c r="AM352" s="107"/>
      <c r="AN352" s="107"/>
      <c r="AO352" s="107"/>
      <c r="AP352" s="107"/>
      <c r="AQ352" s="107"/>
      <c r="AR352" s="107"/>
      <c r="AS352" s="107"/>
      <c r="AT352" s="107"/>
      <c r="AU352" s="107"/>
      <c r="AV352" s="107"/>
      <c r="AW352" s="107"/>
      <c r="AX352" s="107"/>
      <c r="AY352" s="107"/>
      <c r="AZ352" s="107"/>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266"/>
    </row>
    <row r="353" spans="1:108" s="268" customFormat="1" x14ac:dyDescent="0.25">
      <c r="A353" s="107"/>
      <c r="B353" s="7"/>
      <c r="C353" s="7"/>
      <c r="D353" s="10"/>
      <c r="E353" s="7"/>
      <c r="F353" s="7"/>
      <c r="G353" s="7"/>
      <c r="H353" s="10"/>
      <c r="I353" s="7"/>
      <c r="J353" s="7"/>
      <c r="K353" s="7"/>
      <c r="L353" s="7"/>
      <c r="M353" s="10"/>
      <c r="N353" s="8"/>
      <c r="O353" s="107"/>
      <c r="P353" s="10"/>
      <c r="Q353" s="107"/>
      <c r="R353" s="7"/>
      <c r="S353" s="7"/>
      <c r="T353" s="10"/>
      <c r="U353" s="10"/>
      <c r="V353" s="10"/>
      <c r="W353" s="7"/>
      <c r="X353" s="7"/>
      <c r="Y353" s="7"/>
      <c r="Z353" s="107"/>
      <c r="AA353" s="107"/>
      <c r="AB353" s="10"/>
      <c r="AC353" s="107"/>
      <c r="AD353" s="107"/>
      <c r="AE353" s="10"/>
      <c r="AF353" s="107"/>
      <c r="AG353" s="107"/>
      <c r="AH353" s="107"/>
      <c r="AI353" s="107"/>
      <c r="AJ353" s="107"/>
      <c r="AK353" s="107"/>
      <c r="AL353" s="107"/>
      <c r="AM353" s="107"/>
      <c r="AN353" s="107"/>
      <c r="AO353" s="107"/>
      <c r="AP353" s="107"/>
      <c r="AQ353" s="107"/>
      <c r="AR353" s="107"/>
      <c r="AS353" s="107"/>
      <c r="AT353" s="107"/>
      <c r="AU353" s="107"/>
      <c r="AV353" s="107"/>
      <c r="AW353" s="107"/>
      <c r="AX353" s="107"/>
      <c r="AY353" s="107"/>
      <c r="AZ353" s="107"/>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266"/>
    </row>
    <row r="354" spans="1:108" s="268" customFormat="1" x14ac:dyDescent="0.25">
      <c r="A354" s="107"/>
      <c r="B354" s="7"/>
      <c r="C354" s="7"/>
      <c r="D354" s="10"/>
      <c r="E354" s="7"/>
      <c r="F354" s="7"/>
      <c r="G354" s="7"/>
      <c r="H354" s="10"/>
      <c r="I354" s="7"/>
      <c r="J354" s="7"/>
      <c r="K354" s="7"/>
      <c r="L354" s="7"/>
      <c r="M354" s="10"/>
      <c r="N354" s="8"/>
      <c r="O354" s="107"/>
      <c r="P354" s="10"/>
      <c r="Q354" s="107"/>
      <c r="R354" s="7"/>
      <c r="S354" s="7"/>
      <c r="T354" s="10"/>
      <c r="U354" s="10"/>
      <c r="V354" s="10"/>
      <c r="W354" s="7"/>
      <c r="X354" s="7"/>
      <c r="Y354" s="7"/>
      <c r="Z354" s="107"/>
      <c r="AA354" s="107"/>
      <c r="AB354" s="10"/>
      <c r="AC354" s="107"/>
      <c r="AD354" s="107"/>
      <c r="AE354" s="10"/>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266"/>
    </row>
    <row r="355" spans="1:108" s="268" customFormat="1" x14ac:dyDescent="0.25">
      <c r="A355" s="107"/>
      <c r="B355" s="7"/>
      <c r="C355" s="7"/>
      <c r="D355" s="10"/>
      <c r="E355" s="7"/>
      <c r="F355" s="7"/>
      <c r="G355" s="7"/>
      <c r="H355" s="10"/>
      <c r="I355" s="7"/>
      <c r="J355" s="7"/>
      <c r="K355" s="7"/>
      <c r="L355" s="7"/>
      <c r="M355" s="10"/>
      <c r="N355" s="8"/>
      <c r="O355" s="107"/>
      <c r="P355" s="10"/>
      <c r="Q355" s="107"/>
      <c r="R355" s="7"/>
      <c r="S355" s="7"/>
      <c r="T355" s="10"/>
      <c r="U355" s="10"/>
      <c r="V355" s="10"/>
      <c r="W355" s="7"/>
      <c r="X355" s="7"/>
      <c r="Y355" s="7"/>
      <c r="Z355" s="107"/>
      <c r="AA355" s="107"/>
      <c r="AB355" s="10"/>
      <c r="AC355" s="107"/>
      <c r="AD355" s="107"/>
      <c r="AE355" s="10"/>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266"/>
    </row>
    <row r="356" spans="1:108" s="268" customFormat="1" x14ac:dyDescent="0.25">
      <c r="A356" s="107"/>
      <c r="B356" s="7"/>
      <c r="C356" s="7"/>
      <c r="D356" s="10"/>
      <c r="E356" s="7"/>
      <c r="F356" s="7"/>
      <c r="G356" s="7"/>
      <c r="H356" s="10"/>
      <c r="I356" s="7"/>
      <c r="J356" s="7"/>
      <c r="K356" s="7"/>
      <c r="L356" s="7"/>
      <c r="M356" s="10"/>
      <c r="N356" s="8"/>
      <c r="O356" s="107"/>
      <c r="P356" s="10"/>
      <c r="Q356" s="107"/>
      <c r="R356" s="7"/>
      <c r="S356" s="7"/>
      <c r="T356" s="10"/>
      <c r="U356" s="10"/>
      <c r="V356" s="10"/>
      <c r="W356" s="7"/>
      <c r="X356" s="7"/>
      <c r="Y356" s="7"/>
      <c r="Z356" s="107"/>
      <c r="AA356" s="107"/>
      <c r="AB356" s="10"/>
      <c r="AC356" s="107"/>
      <c r="AD356" s="107"/>
      <c r="AE356" s="10"/>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266"/>
    </row>
    <row r="357" spans="1:108" s="268" customFormat="1" x14ac:dyDescent="0.25">
      <c r="A357" s="107"/>
      <c r="B357" s="7"/>
      <c r="C357" s="7"/>
      <c r="D357" s="10"/>
      <c r="E357" s="7"/>
      <c r="F357" s="7"/>
      <c r="G357" s="7"/>
      <c r="H357" s="10"/>
      <c r="I357" s="7"/>
      <c r="J357" s="7"/>
      <c r="K357" s="7"/>
      <c r="L357" s="7"/>
      <c r="M357" s="10"/>
      <c r="N357" s="8"/>
      <c r="O357" s="107"/>
      <c r="P357" s="10"/>
      <c r="Q357" s="107"/>
      <c r="R357" s="7"/>
      <c r="S357" s="7"/>
      <c r="T357" s="10"/>
      <c r="U357" s="10"/>
      <c r="V357" s="10"/>
      <c r="W357" s="7"/>
      <c r="X357" s="7"/>
      <c r="Y357" s="7"/>
      <c r="Z357" s="107"/>
      <c r="AA357" s="107"/>
      <c r="AB357" s="10"/>
      <c r="AC357" s="107"/>
      <c r="AD357" s="107"/>
      <c r="AE357" s="10"/>
      <c r="AF357" s="107"/>
      <c r="AG357" s="10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266"/>
    </row>
    <row r="358" spans="1:108" s="268" customFormat="1" x14ac:dyDescent="0.25">
      <c r="A358" s="107"/>
      <c r="B358" s="7"/>
      <c r="C358" s="7"/>
      <c r="D358" s="10"/>
      <c r="E358" s="7"/>
      <c r="F358" s="7"/>
      <c r="G358" s="7"/>
      <c r="H358" s="10"/>
      <c r="I358" s="7"/>
      <c r="J358" s="7"/>
      <c r="K358" s="7"/>
      <c r="L358" s="7"/>
      <c r="M358" s="10"/>
      <c r="N358" s="8"/>
      <c r="O358" s="107"/>
      <c r="P358" s="10"/>
      <c r="Q358" s="107"/>
      <c r="R358" s="7"/>
      <c r="S358" s="7"/>
      <c r="T358" s="10"/>
      <c r="U358" s="10"/>
      <c r="V358" s="10"/>
      <c r="W358" s="7"/>
      <c r="X358" s="7"/>
      <c r="Y358" s="7"/>
      <c r="Z358" s="107"/>
      <c r="AA358" s="107"/>
      <c r="AB358" s="10"/>
      <c r="AC358" s="107"/>
      <c r="AD358" s="107"/>
      <c r="AE358" s="10"/>
      <c r="AF358" s="107"/>
      <c r="AG358" s="107"/>
      <c r="AH358" s="107"/>
      <c r="AI358" s="107"/>
      <c r="AJ358" s="107"/>
      <c r="AK358" s="107"/>
      <c r="AL358" s="107"/>
      <c r="AM358" s="107"/>
      <c r="AN358" s="107"/>
      <c r="AO358" s="107"/>
      <c r="AP358" s="107"/>
      <c r="AQ358" s="107"/>
      <c r="AR358" s="107"/>
      <c r="AS358" s="107"/>
      <c r="AT358" s="107"/>
      <c r="AU358" s="107"/>
      <c r="AV358" s="107"/>
      <c r="AW358" s="107"/>
      <c r="AX358" s="107"/>
      <c r="AY358" s="107"/>
      <c r="AZ358" s="107"/>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266"/>
    </row>
    <row r="359" spans="1:108" s="268" customFormat="1" x14ac:dyDescent="0.25">
      <c r="A359" s="107"/>
      <c r="B359" s="7"/>
      <c r="C359" s="7"/>
      <c r="D359" s="10"/>
      <c r="E359" s="7"/>
      <c r="F359" s="7"/>
      <c r="G359" s="7"/>
      <c r="H359" s="10"/>
      <c r="I359" s="7"/>
      <c r="J359" s="7"/>
      <c r="K359" s="7"/>
      <c r="L359" s="7"/>
      <c r="M359" s="10"/>
      <c r="N359" s="8"/>
      <c r="O359" s="107"/>
      <c r="P359" s="10"/>
      <c r="Q359" s="107"/>
      <c r="R359" s="7"/>
      <c r="S359" s="7"/>
      <c r="T359" s="10"/>
      <c r="U359" s="10"/>
      <c r="V359" s="10"/>
      <c r="W359" s="7"/>
      <c r="X359" s="7"/>
      <c r="Y359" s="7"/>
      <c r="Z359" s="107"/>
      <c r="AA359" s="107"/>
      <c r="AB359" s="10"/>
      <c r="AC359" s="107"/>
      <c r="AD359" s="107"/>
      <c r="AE359" s="10"/>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266"/>
    </row>
    <row r="360" spans="1:108" s="268" customFormat="1" x14ac:dyDescent="0.25">
      <c r="A360" s="107"/>
      <c r="B360" s="7"/>
      <c r="C360" s="7"/>
      <c r="D360" s="10"/>
      <c r="E360" s="7"/>
      <c r="F360" s="7"/>
      <c r="G360" s="7"/>
      <c r="H360" s="10"/>
      <c r="I360" s="7"/>
      <c r="J360" s="7"/>
      <c r="K360" s="7"/>
      <c r="L360" s="7"/>
      <c r="M360" s="10"/>
      <c r="N360" s="8"/>
      <c r="O360" s="107"/>
      <c r="P360" s="10"/>
      <c r="Q360" s="107"/>
      <c r="R360" s="7"/>
      <c r="S360" s="7"/>
      <c r="T360" s="10"/>
      <c r="U360" s="10"/>
      <c r="V360" s="10"/>
      <c r="W360" s="7"/>
      <c r="X360" s="7"/>
      <c r="Y360" s="7"/>
      <c r="Z360" s="107"/>
      <c r="AA360" s="107"/>
      <c r="AB360" s="10"/>
      <c r="AC360" s="107"/>
      <c r="AD360" s="107"/>
      <c r="AE360" s="10"/>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266"/>
    </row>
    <row r="361" spans="1:108" s="268" customFormat="1" x14ac:dyDescent="0.25">
      <c r="A361" s="107"/>
      <c r="B361" s="7"/>
      <c r="C361" s="7"/>
      <c r="D361" s="10"/>
      <c r="E361" s="7"/>
      <c r="F361" s="7"/>
      <c r="G361" s="7"/>
      <c r="H361" s="10"/>
      <c r="I361" s="7"/>
      <c r="J361" s="7"/>
      <c r="K361" s="7"/>
      <c r="L361" s="7"/>
      <c r="M361" s="10"/>
      <c r="N361" s="8"/>
      <c r="O361" s="107"/>
      <c r="P361" s="10"/>
      <c r="Q361" s="107"/>
      <c r="R361" s="7"/>
      <c r="S361" s="7"/>
      <c r="T361" s="10"/>
      <c r="U361" s="10"/>
      <c r="V361" s="10"/>
      <c r="W361" s="7"/>
      <c r="X361" s="7"/>
      <c r="Y361" s="7"/>
      <c r="Z361" s="107"/>
      <c r="AA361" s="107"/>
      <c r="AB361" s="10"/>
      <c r="AC361" s="107"/>
      <c r="AD361" s="107"/>
      <c r="AE361" s="10"/>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266"/>
    </row>
    <row r="362" spans="1:108" s="268" customFormat="1" x14ac:dyDescent="0.25">
      <c r="A362" s="107"/>
      <c r="B362" s="7"/>
      <c r="C362" s="7"/>
      <c r="D362" s="10"/>
      <c r="E362" s="7"/>
      <c r="F362" s="7"/>
      <c r="G362" s="7"/>
      <c r="H362" s="10"/>
      <c r="I362" s="7"/>
      <c r="J362" s="7"/>
      <c r="K362" s="7"/>
      <c r="L362" s="7"/>
      <c r="M362" s="10"/>
      <c r="N362" s="8"/>
      <c r="O362" s="107"/>
      <c r="P362" s="10"/>
      <c r="Q362" s="107"/>
      <c r="R362" s="7"/>
      <c r="S362" s="7"/>
      <c r="T362" s="10"/>
      <c r="U362" s="10"/>
      <c r="V362" s="10"/>
      <c r="W362" s="7"/>
      <c r="X362" s="7"/>
      <c r="Y362" s="7"/>
      <c r="Z362" s="107"/>
      <c r="AA362" s="107"/>
      <c r="AB362" s="10"/>
      <c r="AC362" s="107"/>
      <c r="AD362" s="107"/>
      <c r="AE362" s="10"/>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266"/>
    </row>
    <row r="363" spans="1:108" s="268" customFormat="1" x14ac:dyDescent="0.25">
      <c r="A363" s="107"/>
      <c r="B363" s="7"/>
      <c r="C363" s="7"/>
      <c r="D363" s="10"/>
      <c r="E363" s="7"/>
      <c r="F363" s="7"/>
      <c r="G363" s="7"/>
      <c r="H363" s="10"/>
      <c r="I363" s="7"/>
      <c r="J363" s="7"/>
      <c r="K363" s="7"/>
      <c r="L363" s="7"/>
      <c r="M363" s="10"/>
      <c r="N363" s="8"/>
      <c r="O363" s="107"/>
      <c r="P363" s="10"/>
      <c r="Q363" s="107"/>
      <c r="R363" s="7"/>
      <c r="S363" s="7"/>
      <c r="T363" s="10"/>
      <c r="U363" s="10"/>
      <c r="V363" s="10"/>
      <c r="W363" s="7"/>
      <c r="X363" s="7"/>
      <c r="Y363" s="7"/>
      <c r="Z363" s="107"/>
      <c r="AA363" s="107"/>
      <c r="AB363" s="10"/>
      <c r="AC363" s="107"/>
      <c r="AD363" s="107"/>
      <c r="AE363" s="10"/>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266"/>
    </row>
    <row r="364" spans="1:108" s="268" customFormat="1" x14ac:dyDescent="0.25">
      <c r="A364" s="107"/>
      <c r="B364" s="7"/>
      <c r="C364" s="7"/>
      <c r="D364" s="10"/>
      <c r="E364" s="7"/>
      <c r="F364" s="7"/>
      <c r="G364" s="7"/>
      <c r="H364" s="10"/>
      <c r="I364" s="7"/>
      <c r="J364" s="7"/>
      <c r="K364" s="7"/>
      <c r="L364" s="7"/>
      <c r="M364" s="10"/>
      <c r="N364" s="8"/>
      <c r="O364" s="107"/>
      <c r="P364" s="10"/>
      <c r="Q364" s="107"/>
      <c r="R364" s="7"/>
      <c r="S364" s="7"/>
      <c r="T364" s="10"/>
      <c r="U364" s="10"/>
      <c r="V364" s="10"/>
      <c r="W364" s="7"/>
      <c r="X364" s="7"/>
      <c r="Y364" s="7"/>
      <c r="Z364" s="107"/>
      <c r="AA364" s="107"/>
      <c r="AB364" s="10"/>
      <c r="AC364" s="107"/>
      <c r="AD364" s="107"/>
      <c r="AE364" s="10"/>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266"/>
    </row>
    <row r="365" spans="1:108" s="268" customFormat="1" x14ac:dyDescent="0.25">
      <c r="A365" s="107"/>
      <c r="B365" s="7"/>
      <c r="C365" s="7"/>
      <c r="D365" s="10"/>
      <c r="E365" s="7"/>
      <c r="F365" s="7"/>
      <c r="G365" s="7"/>
      <c r="H365" s="10"/>
      <c r="I365" s="7"/>
      <c r="J365" s="7"/>
      <c r="K365" s="7"/>
      <c r="L365" s="7"/>
      <c r="M365" s="10"/>
      <c r="N365" s="8"/>
      <c r="O365" s="107"/>
      <c r="P365" s="10"/>
      <c r="Q365" s="107"/>
      <c r="R365" s="7"/>
      <c r="S365" s="7"/>
      <c r="T365" s="10"/>
      <c r="U365" s="10"/>
      <c r="V365" s="10"/>
      <c r="W365" s="7"/>
      <c r="X365" s="7"/>
      <c r="Y365" s="7"/>
      <c r="Z365" s="107"/>
      <c r="AA365" s="107"/>
      <c r="AB365" s="10"/>
      <c r="AC365" s="107"/>
      <c r="AD365" s="107"/>
      <c r="AE365" s="10"/>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266"/>
    </row>
    <row r="366" spans="1:108" s="268" customFormat="1" x14ac:dyDescent="0.25">
      <c r="A366" s="107"/>
      <c r="B366" s="7"/>
      <c r="C366" s="7"/>
      <c r="D366" s="10"/>
      <c r="E366" s="7"/>
      <c r="F366" s="7"/>
      <c r="G366" s="7"/>
      <c r="H366" s="10"/>
      <c r="I366" s="7"/>
      <c r="J366" s="7"/>
      <c r="K366" s="7"/>
      <c r="L366" s="7"/>
      <c r="M366" s="10"/>
      <c r="N366" s="8"/>
      <c r="O366" s="107"/>
      <c r="P366" s="10"/>
      <c r="Q366" s="107"/>
      <c r="R366" s="7"/>
      <c r="S366" s="7"/>
      <c r="T366" s="10"/>
      <c r="U366" s="10"/>
      <c r="V366" s="10"/>
      <c r="W366" s="7"/>
      <c r="X366" s="7"/>
      <c r="Y366" s="7"/>
      <c r="Z366" s="107"/>
      <c r="AA366" s="107"/>
      <c r="AB366" s="10"/>
      <c r="AC366" s="107"/>
      <c r="AD366" s="107"/>
      <c r="AE366" s="10"/>
      <c r="AF366" s="107"/>
      <c r="AG366" s="107"/>
      <c r="AH366" s="107"/>
      <c r="AI366" s="107"/>
      <c r="AJ366" s="107"/>
      <c r="AK366" s="107"/>
      <c r="AL366" s="107"/>
      <c r="AM366" s="107"/>
      <c r="AN366" s="107"/>
      <c r="AO366" s="107"/>
      <c r="AP366" s="107"/>
      <c r="AQ366" s="107"/>
      <c r="AR366" s="107"/>
      <c r="AS366" s="107"/>
      <c r="AT366" s="107"/>
      <c r="AU366" s="107"/>
      <c r="AV366" s="107"/>
      <c r="AW366" s="107"/>
      <c r="AX366" s="107"/>
      <c r="AY366" s="107"/>
      <c r="AZ366" s="107"/>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266"/>
    </row>
    <row r="367" spans="1:108" s="268" customFormat="1" x14ac:dyDescent="0.25">
      <c r="A367" s="107"/>
      <c r="B367" s="7"/>
      <c r="C367" s="7"/>
      <c r="D367" s="10"/>
      <c r="E367" s="7"/>
      <c r="F367" s="7"/>
      <c r="G367" s="7"/>
      <c r="H367" s="10"/>
      <c r="I367" s="7"/>
      <c r="J367" s="7"/>
      <c r="K367" s="7"/>
      <c r="L367" s="7"/>
      <c r="M367" s="10"/>
      <c r="N367" s="8"/>
      <c r="O367" s="107"/>
      <c r="P367" s="10"/>
      <c r="Q367" s="107"/>
      <c r="R367" s="7"/>
      <c r="S367" s="7"/>
      <c r="T367" s="10"/>
      <c r="U367" s="10"/>
      <c r="V367" s="10"/>
      <c r="W367" s="7"/>
      <c r="X367" s="7"/>
      <c r="Y367" s="7"/>
      <c r="Z367" s="107"/>
      <c r="AA367" s="107"/>
      <c r="AB367" s="10"/>
      <c r="AC367" s="107"/>
      <c r="AD367" s="107"/>
      <c r="AE367" s="10"/>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266"/>
    </row>
    <row r="368" spans="1:108" s="268" customFormat="1" x14ac:dyDescent="0.25">
      <c r="A368" s="107"/>
      <c r="B368" s="7"/>
      <c r="C368" s="7"/>
      <c r="D368" s="10"/>
      <c r="E368" s="7"/>
      <c r="F368" s="7"/>
      <c r="G368" s="7"/>
      <c r="H368" s="10"/>
      <c r="I368" s="7"/>
      <c r="J368" s="7"/>
      <c r="K368" s="7"/>
      <c r="L368" s="7"/>
      <c r="M368" s="10"/>
      <c r="N368" s="8"/>
      <c r="O368" s="107"/>
      <c r="P368" s="10"/>
      <c r="Q368" s="107"/>
      <c r="R368" s="7"/>
      <c r="S368" s="7"/>
      <c r="T368" s="10"/>
      <c r="U368" s="10"/>
      <c r="V368" s="10"/>
      <c r="W368" s="7"/>
      <c r="X368" s="7"/>
      <c r="Y368" s="7"/>
      <c r="Z368" s="107"/>
      <c r="AA368" s="107"/>
      <c r="AB368" s="10"/>
      <c r="AC368" s="107"/>
      <c r="AD368" s="107"/>
      <c r="AE368" s="10"/>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266"/>
    </row>
    <row r="369" spans="1:108" s="268" customFormat="1" x14ac:dyDescent="0.25">
      <c r="A369" s="107"/>
      <c r="B369" s="7"/>
      <c r="C369" s="7"/>
      <c r="D369" s="10"/>
      <c r="E369" s="7"/>
      <c r="F369" s="7"/>
      <c r="G369" s="7"/>
      <c r="H369" s="10"/>
      <c r="I369" s="7"/>
      <c r="J369" s="7"/>
      <c r="K369" s="7"/>
      <c r="L369" s="7"/>
      <c r="M369" s="10"/>
      <c r="N369" s="8"/>
      <c r="O369" s="107"/>
      <c r="P369" s="10"/>
      <c r="Q369" s="107"/>
      <c r="R369" s="7"/>
      <c r="S369" s="7"/>
      <c r="T369" s="10"/>
      <c r="U369" s="10"/>
      <c r="V369" s="10"/>
      <c r="W369" s="7"/>
      <c r="X369" s="7"/>
      <c r="Y369" s="7"/>
      <c r="Z369" s="107"/>
      <c r="AA369" s="107"/>
      <c r="AB369" s="10"/>
      <c r="AC369" s="107"/>
      <c r="AD369" s="107"/>
      <c r="AE369" s="10"/>
      <c r="AF369" s="107"/>
      <c r="AG369" s="107"/>
      <c r="AH369" s="107"/>
      <c r="AI369" s="107"/>
      <c r="AJ369" s="107"/>
      <c r="AK369" s="107"/>
      <c r="AL369" s="107"/>
      <c r="AM369" s="107"/>
      <c r="AN369" s="107"/>
      <c r="AO369" s="107"/>
      <c r="AP369" s="107"/>
      <c r="AQ369" s="107"/>
      <c r="AR369" s="107"/>
      <c r="AS369" s="107"/>
      <c r="AT369" s="107"/>
      <c r="AU369" s="107"/>
      <c r="AV369" s="107"/>
      <c r="AW369" s="107"/>
      <c r="AX369" s="107"/>
      <c r="AY369" s="107"/>
      <c r="AZ369" s="107"/>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266"/>
    </row>
    <row r="370" spans="1:108" s="268" customFormat="1" x14ac:dyDescent="0.25">
      <c r="A370" s="107"/>
      <c r="B370" s="7"/>
      <c r="C370" s="7"/>
      <c r="D370" s="10"/>
      <c r="E370" s="7"/>
      <c r="F370" s="7"/>
      <c r="G370" s="7"/>
      <c r="H370" s="10"/>
      <c r="I370" s="7"/>
      <c r="J370" s="7"/>
      <c r="K370" s="7"/>
      <c r="L370" s="7"/>
      <c r="M370" s="10"/>
      <c r="N370" s="8"/>
      <c r="O370" s="107"/>
      <c r="P370" s="10"/>
      <c r="Q370" s="107"/>
      <c r="R370" s="7"/>
      <c r="S370" s="7"/>
      <c r="T370" s="10"/>
      <c r="U370" s="10"/>
      <c r="V370" s="10"/>
      <c r="W370" s="7"/>
      <c r="X370" s="7"/>
      <c r="Y370" s="7"/>
      <c r="Z370" s="107"/>
      <c r="AA370" s="107"/>
      <c r="AB370" s="10"/>
      <c r="AC370" s="107"/>
      <c r="AD370" s="107"/>
      <c r="AE370" s="10"/>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266"/>
    </row>
    <row r="371" spans="1:108" s="268" customFormat="1" x14ac:dyDescent="0.25">
      <c r="A371" s="107"/>
      <c r="B371" s="7"/>
      <c r="C371" s="7"/>
      <c r="D371" s="10"/>
      <c r="E371" s="7"/>
      <c r="F371" s="7"/>
      <c r="G371" s="7"/>
      <c r="H371" s="10"/>
      <c r="I371" s="7"/>
      <c r="J371" s="7"/>
      <c r="K371" s="7"/>
      <c r="L371" s="7"/>
      <c r="M371" s="10"/>
      <c r="N371" s="8"/>
      <c r="O371" s="107"/>
      <c r="P371" s="10"/>
      <c r="Q371" s="107"/>
      <c r="R371" s="7"/>
      <c r="S371" s="7"/>
      <c r="T371" s="10"/>
      <c r="U371" s="10"/>
      <c r="V371" s="10"/>
      <c r="W371" s="7"/>
      <c r="X371" s="7"/>
      <c r="Y371" s="7"/>
      <c r="Z371" s="107"/>
      <c r="AA371" s="107"/>
      <c r="AB371" s="10"/>
      <c r="AC371" s="107"/>
      <c r="AD371" s="107"/>
      <c r="AE371" s="10"/>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266"/>
    </row>
    <row r="372" spans="1:108" s="268" customFormat="1" x14ac:dyDescent="0.25">
      <c r="A372" s="107"/>
      <c r="B372" s="7"/>
      <c r="C372" s="7"/>
      <c r="D372" s="10"/>
      <c r="E372" s="7"/>
      <c r="F372" s="7"/>
      <c r="G372" s="7"/>
      <c r="H372" s="10"/>
      <c r="I372" s="7"/>
      <c r="J372" s="7"/>
      <c r="K372" s="7"/>
      <c r="L372" s="7"/>
      <c r="M372" s="10"/>
      <c r="N372" s="8"/>
      <c r="O372" s="107"/>
      <c r="P372" s="10"/>
      <c r="Q372" s="107"/>
      <c r="R372" s="7"/>
      <c r="S372" s="7"/>
      <c r="T372" s="10"/>
      <c r="U372" s="10"/>
      <c r="V372" s="10"/>
      <c r="W372" s="7"/>
      <c r="X372" s="7"/>
      <c r="Y372" s="7"/>
      <c r="Z372" s="107"/>
      <c r="AA372" s="107"/>
      <c r="AB372" s="10"/>
      <c r="AC372" s="107"/>
      <c r="AD372" s="107"/>
      <c r="AE372" s="10"/>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266"/>
    </row>
    <row r="373" spans="1:108" s="268" customFormat="1" x14ac:dyDescent="0.25">
      <c r="A373" s="107"/>
      <c r="B373" s="108"/>
      <c r="C373" s="108"/>
      <c r="D373" s="11"/>
      <c r="E373" s="108"/>
      <c r="F373" s="108"/>
      <c r="G373" s="108"/>
      <c r="H373" s="11"/>
      <c r="I373" s="108"/>
      <c r="J373" s="108"/>
      <c r="K373" s="108"/>
      <c r="L373" s="108"/>
      <c r="M373" s="11"/>
      <c r="N373" s="3"/>
      <c r="O373" s="107"/>
      <c r="P373" s="11"/>
      <c r="Q373" s="107"/>
      <c r="R373" s="108"/>
      <c r="S373" s="108"/>
      <c r="T373" s="11"/>
      <c r="U373" s="11"/>
      <c r="V373" s="11"/>
      <c r="W373" s="108"/>
      <c r="X373" s="108"/>
      <c r="Y373" s="108"/>
      <c r="Z373" s="107"/>
      <c r="AA373" s="107"/>
      <c r="AB373" s="11"/>
      <c r="AC373" s="107"/>
      <c r="AD373" s="107"/>
      <c r="AE373" s="11"/>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270"/>
    </row>
    <row r="374" spans="1:108" s="268" customFormat="1" x14ac:dyDescent="0.25">
      <c r="A374" s="107"/>
      <c r="B374" s="108"/>
      <c r="C374" s="108"/>
      <c r="D374" s="11"/>
      <c r="E374" s="108"/>
      <c r="F374" s="108"/>
      <c r="G374" s="108"/>
      <c r="H374" s="11"/>
      <c r="I374" s="108"/>
      <c r="J374" s="108"/>
      <c r="K374" s="108"/>
      <c r="L374" s="108"/>
      <c r="M374" s="11"/>
      <c r="N374" s="3"/>
      <c r="O374" s="107"/>
      <c r="P374" s="11"/>
      <c r="Q374" s="107"/>
      <c r="R374" s="108"/>
      <c r="S374" s="108"/>
      <c r="T374" s="11"/>
      <c r="U374" s="11"/>
      <c r="V374" s="11"/>
      <c r="W374" s="108"/>
      <c r="X374" s="108"/>
      <c r="Y374" s="108"/>
      <c r="Z374" s="107"/>
      <c r="AA374" s="107"/>
      <c r="AB374" s="11"/>
      <c r="AC374" s="107"/>
      <c r="AD374" s="107"/>
      <c r="AE374" s="11"/>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1"/>
      <c r="CR374" s="11"/>
      <c r="CS374" s="11"/>
      <c r="CT374" s="11"/>
      <c r="CU374" s="11"/>
      <c r="CV374" s="11"/>
      <c r="CW374" s="11"/>
      <c r="CX374" s="11"/>
      <c r="CY374" s="11"/>
      <c r="CZ374" s="11"/>
      <c r="DA374" s="11"/>
      <c r="DB374" s="11"/>
      <c r="DC374" s="11"/>
      <c r="DD374" s="270"/>
    </row>
    <row r="375" spans="1:108" s="268" customFormat="1" x14ac:dyDescent="0.25">
      <c r="A375" s="107"/>
      <c r="B375" s="108"/>
      <c r="C375" s="108"/>
      <c r="D375" s="11"/>
      <c r="E375" s="108"/>
      <c r="F375" s="108"/>
      <c r="G375" s="108"/>
      <c r="H375" s="11"/>
      <c r="I375" s="108"/>
      <c r="J375" s="108"/>
      <c r="K375" s="108"/>
      <c r="L375" s="108"/>
      <c r="M375" s="11"/>
      <c r="N375" s="3"/>
      <c r="O375" s="107"/>
      <c r="P375" s="11"/>
      <c r="Q375" s="107"/>
      <c r="R375" s="108"/>
      <c r="S375" s="108"/>
      <c r="T375" s="11"/>
      <c r="U375" s="11"/>
      <c r="V375" s="11"/>
      <c r="W375" s="108"/>
      <c r="X375" s="108"/>
      <c r="Y375" s="108"/>
      <c r="Z375" s="107"/>
      <c r="AA375" s="107"/>
      <c r="AB375" s="11"/>
      <c r="AC375" s="107"/>
      <c r="AD375" s="107"/>
      <c r="AE375" s="11"/>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270"/>
    </row>
    <row r="376" spans="1:108" s="268" customFormat="1" x14ac:dyDescent="0.25">
      <c r="A376" s="107"/>
      <c r="B376" s="108"/>
      <c r="C376" s="108"/>
      <c r="D376" s="11"/>
      <c r="E376" s="108"/>
      <c r="F376" s="108"/>
      <c r="G376" s="108"/>
      <c r="H376" s="11"/>
      <c r="I376" s="108"/>
      <c r="J376" s="108"/>
      <c r="K376" s="108"/>
      <c r="L376" s="108"/>
      <c r="M376" s="11"/>
      <c r="N376" s="3"/>
      <c r="O376" s="107"/>
      <c r="P376" s="11"/>
      <c r="Q376" s="107"/>
      <c r="R376" s="108"/>
      <c r="S376" s="108"/>
      <c r="T376" s="11"/>
      <c r="U376" s="11"/>
      <c r="V376" s="11"/>
      <c r="W376" s="108"/>
      <c r="X376" s="108"/>
      <c r="Y376" s="108"/>
      <c r="Z376" s="107"/>
      <c r="AA376" s="107"/>
      <c r="AB376" s="11"/>
      <c r="AC376" s="107"/>
      <c r="AD376" s="107"/>
      <c r="AE376" s="11"/>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270"/>
    </row>
    <row r="377" spans="1:108" s="268" customFormat="1" x14ac:dyDescent="0.25">
      <c r="A377" s="107"/>
      <c r="B377" s="108"/>
      <c r="C377" s="108"/>
      <c r="D377" s="11"/>
      <c r="E377" s="108"/>
      <c r="F377" s="108"/>
      <c r="G377" s="108"/>
      <c r="H377" s="11"/>
      <c r="I377" s="108"/>
      <c r="J377" s="108"/>
      <c r="K377" s="108"/>
      <c r="L377" s="108"/>
      <c r="M377" s="11"/>
      <c r="N377" s="3"/>
      <c r="O377" s="107"/>
      <c r="P377" s="11"/>
      <c r="Q377" s="107"/>
      <c r="R377" s="108"/>
      <c r="S377" s="108"/>
      <c r="T377" s="11"/>
      <c r="U377" s="11"/>
      <c r="V377" s="11"/>
      <c r="W377" s="108"/>
      <c r="X377" s="108"/>
      <c r="Y377" s="108"/>
      <c r="Z377" s="107"/>
      <c r="AA377" s="107"/>
      <c r="AB377" s="11"/>
      <c r="AC377" s="107"/>
      <c r="AD377" s="107"/>
      <c r="AE377" s="11"/>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270"/>
    </row>
    <row r="378" spans="1:108" s="268" customFormat="1" x14ac:dyDescent="0.25">
      <c r="A378" s="107"/>
      <c r="B378" s="108"/>
      <c r="C378" s="108"/>
      <c r="D378" s="11"/>
      <c r="E378" s="108"/>
      <c r="F378" s="108"/>
      <c r="G378" s="108"/>
      <c r="H378" s="11"/>
      <c r="I378" s="108"/>
      <c r="J378" s="108"/>
      <c r="K378" s="108"/>
      <c r="L378" s="108"/>
      <c r="M378" s="11"/>
      <c r="N378" s="3"/>
      <c r="O378" s="107"/>
      <c r="P378" s="11"/>
      <c r="Q378" s="107"/>
      <c r="R378" s="108"/>
      <c r="S378" s="108"/>
      <c r="T378" s="11"/>
      <c r="U378" s="11"/>
      <c r="V378" s="11"/>
      <c r="W378" s="108"/>
      <c r="X378" s="108"/>
      <c r="Y378" s="108"/>
      <c r="Z378" s="107"/>
      <c r="AA378" s="107"/>
      <c r="AB378" s="11"/>
      <c r="AC378" s="107"/>
      <c r="AD378" s="107"/>
      <c r="AE378" s="11"/>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270"/>
    </row>
    <row r="379" spans="1:108" s="268" customFormat="1" x14ac:dyDescent="0.25">
      <c r="A379" s="107"/>
      <c r="B379" s="108"/>
      <c r="C379" s="108"/>
      <c r="D379" s="11"/>
      <c r="E379" s="108"/>
      <c r="F379" s="108"/>
      <c r="G379" s="108"/>
      <c r="H379" s="11"/>
      <c r="I379" s="108"/>
      <c r="J379" s="108"/>
      <c r="K379" s="108"/>
      <c r="L379" s="108"/>
      <c r="M379" s="11"/>
      <c r="N379" s="3"/>
      <c r="O379" s="107"/>
      <c r="P379" s="11"/>
      <c r="Q379" s="107"/>
      <c r="R379" s="108"/>
      <c r="S379" s="108"/>
      <c r="T379" s="11"/>
      <c r="U379" s="11"/>
      <c r="V379" s="11"/>
      <c r="W379" s="108"/>
      <c r="X379" s="108"/>
      <c r="Y379" s="108"/>
      <c r="Z379" s="107"/>
      <c r="AA379" s="107"/>
      <c r="AB379" s="11"/>
      <c r="AC379" s="107"/>
      <c r="AD379" s="107"/>
      <c r="AE379" s="11"/>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270"/>
    </row>
    <row r="380" spans="1:108" s="268" customFormat="1" x14ac:dyDescent="0.25">
      <c r="A380" s="107"/>
      <c r="B380" s="108"/>
      <c r="C380" s="108"/>
      <c r="D380" s="11"/>
      <c r="E380" s="108"/>
      <c r="F380" s="108"/>
      <c r="G380" s="108"/>
      <c r="H380" s="11"/>
      <c r="I380" s="108"/>
      <c r="J380" s="108"/>
      <c r="K380" s="108"/>
      <c r="L380" s="108"/>
      <c r="M380" s="11"/>
      <c r="N380" s="3"/>
      <c r="O380" s="107"/>
      <c r="P380" s="11"/>
      <c r="Q380" s="107"/>
      <c r="R380" s="108"/>
      <c r="S380" s="108"/>
      <c r="T380" s="11"/>
      <c r="U380" s="11"/>
      <c r="V380" s="11"/>
      <c r="W380" s="108"/>
      <c r="X380" s="108"/>
      <c r="Y380" s="108"/>
      <c r="Z380" s="107"/>
      <c r="AA380" s="107"/>
      <c r="AB380" s="11"/>
      <c r="AC380" s="107"/>
      <c r="AD380" s="107"/>
      <c r="AE380" s="11"/>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270"/>
    </row>
    <row r="381" spans="1:108" s="268" customFormat="1" x14ac:dyDescent="0.25">
      <c r="A381" s="107"/>
      <c r="B381" s="108"/>
      <c r="C381" s="108"/>
      <c r="D381" s="11"/>
      <c r="E381" s="108"/>
      <c r="F381" s="108"/>
      <c r="G381" s="108"/>
      <c r="H381" s="11"/>
      <c r="I381" s="108"/>
      <c r="J381" s="108"/>
      <c r="K381" s="108"/>
      <c r="L381" s="108"/>
      <c r="M381" s="11"/>
      <c r="N381" s="3"/>
      <c r="O381" s="107"/>
      <c r="P381" s="11"/>
      <c r="Q381" s="107"/>
      <c r="R381" s="108"/>
      <c r="S381" s="108"/>
      <c r="T381" s="11"/>
      <c r="U381" s="11"/>
      <c r="V381" s="11"/>
      <c r="W381" s="108"/>
      <c r="X381" s="108"/>
      <c r="Y381" s="108"/>
      <c r="Z381" s="107"/>
      <c r="AA381" s="107"/>
      <c r="AB381" s="11"/>
      <c r="AC381" s="107"/>
      <c r="AD381" s="107"/>
      <c r="AE381" s="11"/>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270"/>
    </row>
    <row r="382" spans="1:108" s="268" customFormat="1" x14ac:dyDescent="0.25">
      <c r="A382" s="107"/>
      <c r="B382" s="108"/>
      <c r="C382" s="108"/>
      <c r="D382" s="11"/>
      <c r="E382" s="108"/>
      <c r="F382" s="108"/>
      <c r="G382" s="108"/>
      <c r="H382" s="11"/>
      <c r="I382" s="108"/>
      <c r="J382" s="108"/>
      <c r="K382" s="108"/>
      <c r="L382" s="108"/>
      <c r="M382" s="11"/>
      <c r="N382" s="3"/>
      <c r="O382" s="107"/>
      <c r="P382" s="11"/>
      <c r="Q382" s="107"/>
      <c r="R382" s="108"/>
      <c r="S382" s="108"/>
      <c r="T382" s="11"/>
      <c r="U382" s="11"/>
      <c r="V382" s="11"/>
      <c r="W382" s="108"/>
      <c r="X382" s="108"/>
      <c r="Y382" s="108"/>
      <c r="Z382" s="107"/>
      <c r="AA382" s="107"/>
      <c r="AB382" s="11"/>
      <c r="AC382" s="107"/>
      <c r="AD382" s="107"/>
      <c r="AE382" s="11"/>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270"/>
    </row>
    <row r="383" spans="1:108" s="268" customFormat="1" x14ac:dyDescent="0.25">
      <c r="A383" s="107"/>
      <c r="B383" s="108"/>
      <c r="C383" s="108"/>
      <c r="D383" s="11"/>
      <c r="E383" s="108"/>
      <c r="F383" s="108"/>
      <c r="G383" s="108"/>
      <c r="H383" s="11"/>
      <c r="I383" s="108"/>
      <c r="J383" s="108"/>
      <c r="K383" s="108"/>
      <c r="L383" s="108"/>
      <c r="M383" s="11"/>
      <c r="N383" s="3"/>
      <c r="O383" s="107"/>
      <c r="P383" s="11"/>
      <c r="Q383" s="107"/>
      <c r="R383" s="108"/>
      <c r="S383" s="108"/>
      <c r="T383" s="11"/>
      <c r="U383" s="11"/>
      <c r="V383" s="11"/>
      <c r="W383" s="108"/>
      <c r="X383" s="108"/>
      <c r="Y383" s="108"/>
      <c r="Z383" s="107"/>
      <c r="AA383" s="107"/>
      <c r="AB383" s="11"/>
      <c r="AC383" s="107"/>
      <c r="AD383" s="107"/>
      <c r="AE383" s="11"/>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270"/>
    </row>
    <row r="384" spans="1:108" s="268" customFormat="1" x14ac:dyDescent="0.25">
      <c r="A384" s="107"/>
      <c r="B384" s="108"/>
      <c r="C384" s="108"/>
      <c r="D384" s="11"/>
      <c r="E384" s="108"/>
      <c r="F384" s="108"/>
      <c r="G384" s="108"/>
      <c r="H384" s="11"/>
      <c r="I384" s="108"/>
      <c r="J384" s="108"/>
      <c r="K384" s="108"/>
      <c r="L384" s="108"/>
      <c r="M384" s="11"/>
      <c r="N384" s="3"/>
      <c r="O384" s="107"/>
      <c r="P384" s="11"/>
      <c r="Q384" s="107"/>
      <c r="R384" s="108"/>
      <c r="S384" s="108"/>
      <c r="T384" s="11"/>
      <c r="U384" s="11"/>
      <c r="V384" s="11"/>
      <c r="W384" s="108"/>
      <c r="X384" s="108"/>
      <c r="Y384" s="108"/>
      <c r="Z384" s="107"/>
      <c r="AA384" s="107"/>
      <c r="AB384" s="11"/>
      <c r="AC384" s="107"/>
      <c r="AD384" s="107"/>
      <c r="AE384" s="11"/>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1"/>
      <c r="CR384" s="11"/>
      <c r="CS384" s="11"/>
      <c r="CT384" s="11"/>
      <c r="CU384" s="11"/>
      <c r="CV384" s="11"/>
      <c r="CW384" s="11"/>
      <c r="CX384" s="11"/>
      <c r="CY384" s="11"/>
      <c r="CZ384" s="11"/>
      <c r="DA384" s="11"/>
      <c r="DB384" s="11"/>
      <c r="DC384" s="11"/>
      <c r="DD384" s="270"/>
    </row>
    <row r="385" spans="1:108" s="268" customFormat="1" x14ac:dyDescent="0.25">
      <c r="A385" s="107"/>
      <c r="B385" s="108"/>
      <c r="C385" s="108"/>
      <c r="D385" s="11"/>
      <c r="E385" s="108"/>
      <c r="F385" s="108"/>
      <c r="G385" s="108"/>
      <c r="H385" s="11"/>
      <c r="I385" s="108"/>
      <c r="J385" s="108"/>
      <c r="K385" s="108"/>
      <c r="L385" s="108"/>
      <c r="M385" s="11"/>
      <c r="N385" s="3"/>
      <c r="O385" s="107"/>
      <c r="P385" s="11"/>
      <c r="Q385" s="107"/>
      <c r="R385" s="108"/>
      <c r="S385" s="108"/>
      <c r="T385" s="11"/>
      <c r="U385" s="11"/>
      <c r="V385" s="11"/>
      <c r="W385" s="108"/>
      <c r="X385" s="108"/>
      <c r="Y385" s="108"/>
      <c r="Z385" s="107"/>
      <c r="AA385" s="107"/>
      <c r="AB385" s="11"/>
      <c r="AC385" s="107"/>
      <c r="AD385" s="107"/>
      <c r="AE385" s="11"/>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270"/>
    </row>
    <row r="386" spans="1:108" s="268" customFormat="1" x14ac:dyDescent="0.25">
      <c r="A386" s="107"/>
      <c r="B386" s="7"/>
      <c r="C386" s="7"/>
      <c r="D386" s="10"/>
      <c r="E386" s="7"/>
      <c r="F386" s="7"/>
      <c r="G386" s="7"/>
      <c r="H386" s="10"/>
      <c r="I386" s="7"/>
      <c r="J386" s="7"/>
      <c r="K386" s="7"/>
      <c r="L386" s="7"/>
      <c r="M386" s="10"/>
      <c r="N386" s="8"/>
      <c r="O386" s="107"/>
      <c r="P386" s="10"/>
      <c r="Q386" s="107"/>
      <c r="R386" s="7"/>
      <c r="S386" s="7"/>
      <c r="T386" s="10"/>
      <c r="U386" s="10"/>
      <c r="V386" s="10"/>
      <c r="W386" s="7"/>
      <c r="X386" s="7"/>
      <c r="Y386" s="7"/>
      <c r="Z386" s="107"/>
      <c r="AA386" s="107"/>
      <c r="AB386" s="10"/>
      <c r="AC386" s="107"/>
      <c r="AD386" s="107"/>
      <c r="AE386" s="10"/>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266"/>
    </row>
    <row r="387" spans="1:108" s="268" customFormat="1" x14ac:dyDescent="0.25">
      <c r="A387" s="107"/>
      <c r="B387" s="7"/>
      <c r="C387" s="7"/>
      <c r="D387" s="10"/>
      <c r="E387" s="7"/>
      <c r="F387" s="7"/>
      <c r="G387" s="7"/>
      <c r="H387" s="10"/>
      <c r="I387" s="7"/>
      <c r="J387" s="7"/>
      <c r="K387" s="7"/>
      <c r="L387" s="7"/>
      <c r="M387" s="10"/>
      <c r="N387" s="8"/>
      <c r="O387" s="107"/>
      <c r="P387" s="10"/>
      <c r="Q387" s="107"/>
      <c r="R387" s="7"/>
      <c r="S387" s="7"/>
      <c r="T387" s="10"/>
      <c r="U387" s="10"/>
      <c r="V387" s="10"/>
      <c r="W387" s="7"/>
      <c r="X387" s="7"/>
      <c r="Y387" s="7"/>
      <c r="Z387" s="107"/>
      <c r="AA387" s="107"/>
      <c r="AB387" s="10"/>
      <c r="AC387" s="107"/>
      <c r="AD387" s="107"/>
      <c r="AE387" s="10"/>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266"/>
    </row>
    <row r="388" spans="1:108" s="268" customFormat="1" x14ac:dyDescent="0.25">
      <c r="A388" s="107"/>
      <c r="B388" s="7"/>
      <c r="C388" s="7"/>
      <c r="D388" s="10"/>
      <c r="E388" s="7"/>
      <c r="F388" s="7"/>
      <c r="G388" s="7"/>
      <c r="H388" s="10"/>
      <c r="I388" s="7"/>
      <c r="J388" s="7"/>
      <c r="K388" s="7"/>
      <c r="L388" s="7"/>
      <c r="M388" s="10"/>
      <c r="N388" s="8"/>
      <c r="O388" s="107"/>
      <c r="P388" s="10"/>
      <c r="Q388" s="107"/>
      <c r="R388" s="7"/>
      <c r="S388" s="7"/>
      <c r="T388" s="10"/>
      <c r="U388" s="10"/>
      <c r="V388" s="10"/>
      <c r="W388" s="7"/>
      <c r="X388" s="7"/>
      <c r="Y388" s="7"/>
      <c r="Z388" s="107"/>
      <c r="AA388" s="107"/>
      <c r="AB388" s="10"/>
      <c r="AC388" s="107"/>
      <c r="AD388" s="107"/>
      <c r="AE388" s="10"/>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266"/>
    </row>
    <row r="389" spans="1:108" s="268" customFormat="1" x14ac:dyDescent="0.25">
      <c r="A389" s="107"/>
      <c r="B389" s="7"/>
      <c r="C389" s="7"/>
      <c r="D389" s="10"/>
      <c r="E389" s="7"/>
      <c r="F389" s="7"/>
      <c r="G389" s="7"/>
      <c r="H389" s="10"/>
      <c r="I389" s="7"/>
      <c r="J389" s="7"/>
      <c r="K389" s="7"/>
      <c r="L389" s="7"/>
      <c r="M389" s="10"/>
      <c r="N389" s="8"/>
      <c r="O389" s="107"/>
      <c r="P389" s="10"/>
      <c r="Q389" s="107"/>
      <c r="R389" s="7"/>
      <c r="S389" s="7"/>
      <c r="T389" s="10"/>
      <c r="U389" s="10"/>
      <c r="V389" s="10"/>
      <c r="W389" s="7"/>
      <c r="X389" s="7"/>
      <c r="Y389" s="7"/>
      <c r="Z389" s="107"/>
      <c r="AA389" s="107"/>
      <c r="AB389" s="10"/>
      <c r="AC389" s="107"/>
      <c r="AD389" s="107"/>
      <c r="AE389" s="10"/>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266"/>
    </row>
    <row r="390" spans="1:108" s="268" customFormat="1" x14ac:dyDescent="0.25">
      <c r="A390" s="107"/>
      <c r="B390" s="7"/>
      <c r="C390" s="7"/>
      <c r="D390" s="10"/>
      <c r="E390" s="7"/>
      <c r="F390" s="7"/>
      <c r="G390" s="7"/>
      <c r="H390" s="10"/>
      <c r="I390" s="7"/>
      <c r="J390" s="7"/>
      <c r="K390" s="7"/>
      <c r="L390" s="7"/>
      <c r="M390" s="10"/>
      <c r="N390" s="8"/>
      <c r="O390" s="107"/>
      <c r="P390" s="10"/>
      <c r="Q390" s="107"/>
      <c r="R390" s="7"/>
      <c r="S390" s="7"/>
      <c r="T390" s="10"/>
      <c r="U390" s="10"/>
      <c r="V390" s="10"/>
      <c r="W390" s="7"/>
      <c r="X390" s="7"/>
      <c r="Y390" s="7"/>
      <c r="Z390" s="107"/>
      <c r="AA390" s="107"/>
      <c r="AB390" s="10"/>
      <c r="AC390" s="107"/>
      <c r="AD390" s="107"/>
      <c r="AE390" s="10"/>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266"/>
    </row>
    <row r="391" spans="1:108" s="268" customFormat="1" x14ac:dyDescent="0.25">
      <c r="A391" s="107"/>
      <c r="B391" s="7"/>
      <c r="C391" s="7"/>
      <c r="D391" s="10"/>
      <c r="E391" s="7"/>
      <c r="F391" s="7"/>
      <c r="G391" s="7"/>
      <c r="H391" s="10"/>
      <c r="I391" s="7"/>
      <c r="J391" s="7"/>
      <c r="K391" s="7"/>
      <c r="L391" s="7"/>
      <c r="M391" s="10"/>
      <c r="N391" s="8"/>
      <c r="O391" s="107"/>
      <c r="P391" s="10"/>
      <c r="Q391" s="107"/>
      <c r="R391" s="7"/>
      <c r="S391" s="7"/>
      <c r="T391" s="10"/>
      <c r="U391" s="10"/>
      <c r="V391" s="10"/>
      <c r="W391" s="7"/>
      <c r="X391" s="7"/>
      <c r="Y391" s="7"/>
      <c r="Z391" s="107"/>
      <c r="AA391" s="107"/>
      <c r="AB391" s="10"/>
      <c r="AC391" s="107"/>
      <c r="AD391" s="107"/>
      <c r="AE391" s="10"/>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266"/>
    </row>
    <row r="392" spans="1:108" s="268" customFormat="1" x14ac:dyDescent="0.25">
      <c r="A392" s="107"/>
      <c r="B392" s="7"/>
      <c r="C392" s="7"/>
      <c r="D392" s="10"/>
      <c r="E392" s="7"/>
      <c r="F392" s="7"/>
      <c r="G392" s="7"/>
      <c r="H392" s="10"/>
      <c r="I392" s="7"/>
      <c r="J392" s="7"/>
      <c r="K392" s="7"/>
      <c r="L392" s="7"/>
      <c r="M392" s="10"/>
      <c r="N392" s="8"/>
      <c r="O392" s="107"/>
      <c r="P392" s="10"/>
      <c r="Q392" s="107"/>
      <c r="R392" s="7"/>
      <c r="S392" s="7"/>
      <c r="T392" s="10"/>
      <c r="U392" s="10"/>
      <c r="V392" s="10"/>
      <c r="W392" s="7"/>
      <c r="X392" s="7"/>
      <c r="Y392" s="7"/>
      <c r="Z392" s="107"/>
      <c r="AA392" s="107"/>
      <c r="AB392" s="10"/>
      <c r="AC392" s="107"/>
      <c r="AD392" s="107"/>
      <c r="AE392" s="10"/>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266"/>
    </row>
    <row r="393" spans="1:108" s="268" customFormat="1" x14ac:dyDescent="0.25">
      <c r="A393" s="107"/>
      <c r="B393" s="7"/>
      <c r="C393" s="7"/>
      <c r="D393" s="10"/>
      <c r="E393" s="7"/>
      <c r="F393" s="7"/>
      <c r="G393" s="7"/>
      <c r="H393" s="10"/>
      <c r="I393" s="7"/>
      <c r="J393" s="7"/>
      <c r="K393" s="7"/>
      <c r="L393" s="7"/>
      <c r="M393" s="10"/>
      <c r="N393" s="8"/>
      <c r="O393" s="107"/>
      <c r="P393" s="10"/>
      <c r="Q393" s="107"/>
      <c r="R393" s="7"/>
      <c r="S393" s="7"/>
      <c r="T393" s="10"/>
      <c r="U393" s="10"/>
      <c r="V393" s="10"/>
      <c r="W393" s="7"/>
      <c r="X393" s="7"/>
      <c r="Y393" s="7"/>
      <c r="Z393" s="107"/>
      <c r="AA393" s="107"/>
      <c r="AB393" s="10"/>
      <c r="AC393" s="107"/>
      <c r="AD393" s="107"/>
      <c r="AE393" s="10"/>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266"/>
    </row>
    <row r="394" spans="1:108" s="268" customFormat="1" x14ac:dyDescent="0.25">
      <c r="A394" s="107"/>
      <c r="B394" s="7"/>
      <c r="C394" s="7"/>
      <c r="D394" s="10"/>
      <c r="E394" s="7"/>
      <c r="F394" s="7"/>
      <c r="G394" s="7"/>
      <c r="H394" s="10"/>
      <c r="I394" s="7"/>
      <c r="J394" s="7"/>
      <c r="K394" s="7"/>
      <c r="L394" s="7"/>
      <c r="M394" s="10"/>
      <c r="N394" s="8"/>
      <c r="O394" s="107"/>
      <c r="P394" s="10"/>
      <c r="Q394" s="107"/>
      <c r="R394" s="7"/>
      <c r="S394" s="7"/>
      <c r="T394" s="10"/>
      <c r="U394" s="10"/>
      <c r="V394" s="10"/>
      <c r="W394" s="7"/>
      <c r="X394" s="7"/>
      <c r="Y394" s="7"/>
      <c r="Z394" s="107"/>
      <c r="AA394" s="107"/>
      <c r="AB394" s="10"/>
      <c r="AC394" s="107"/>
      <c r="AD394" s="107"/>
      <c r="AE394" s="10"/>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266"/>
    </row>
    <row r="395" spans="1:108" s="268" customFormat="1" x14ac:dyDescent="0.25">
      <c r="A395" s="107"/>
      <c r="B395" s="7"/>
      <c r="C395" s="7"/>
      <c r="D395" s="10"/>
      <c r="E395" s="7"/>
      <c r="F395" s="7"/>
      <c r="G395" s="7"/>
      <c r="H395" s="10"/>
      <c r="I395" s="7"/>
      <c r="J395" s="7"/>
      <c r="K395" s="7"/>
      <c r="L395" s="7"/>
      <c r="M395" s="10"/>
      <c r="N395" s="8"/>
      <c r="O395" s="107"/>
      <c r="P395" s="10"/>
      <c r="Q395" s="107"/>
      <c r="R395" s="7"/>
      <c r="S395" s="7"/>
      <c r="T395" s="10"/>
      <c r="U395" s="10"/>
      <c r="V395" s="10"/>
      <c r="W395" s="7"/>
      <c r="X395" s="7"/>
      <c r="Y395" s="7"/>
      <c r="Z395" s="107"/>
      <c r="AA395" s="107"/>
      <c r="AB395" s="10"/>
      <c r="AC395" s="107"/>
      <c r="AD395" s="107"/>
      <c r="AE395" s="10"/>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266"/>
    </row>
    <row r="396" spans="1:108" s="268" customFormat="1" x14ac:dyDescent="0.25">
      <c r="A396" s="107"/>
      <c r="B396" s="7"/>
      <c r="C396" s="7"/>
      <c r="D396" s="10"/>
      <c r="E396" s="7"/>
      <c r="F396" s="7"/>
      <c r="G396" s="7"/>
      <c r="H396" s="10"/>
      <c r="I396" s="7"/>
      <c r="J396" s="7"/>
      <c r="K396" s="7"/>
      <c r="L396" s="7"/>
      <c r="M396" s="10"/>
      <c r="N396" s="8"/>
      <c r="O396" s="107"/>
      <c r="P396" s="10"/>
      <c r="Q396" s="107"/>
      <c r="R396" s="7"/>
      <c r="S396" s="7"/>
      <c r="T396" s="10"/>
      <c r="U396" s="10"/>
      <c r="V396" s="10"/>
      <c r="W396" s="7"/>
      <c r="X396" s="7"/>
      <c r="Y396" s="7"/>
      <c r="Z396" s="107"/>
      <c r="AA396" s="107"/>
      <c r="AB396" s="10"/>
      <c r="AC396" s="107"/>
      <c r="AD396" s="107"/>
      <c r="AE396" s="10"/>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266"/>
    </row>
    <row r="397" spans="1:108" s="268" customFormat="1" x14ac:dyDescent="0.25">
      <c r="A397" s="107"/>
      <c r="B397" s="7"/>
      <c r="C397" s="7"/>
      <c r="D397" s="10"/>
      <c r="E397" s="7"/>
      <c r="F397" s="7"/>
      <c r="G397" s="7"/>
      <c r="H397" s="10"/>
      <c r="I397" s="7"/>
      <c r="J397" s="7"/>
      <c r="K397" s="7"/>
      <c r="L397" s="7"/>
      <c r="M397" s="10"/>
      <c r="N397" s="8"/>
      <c r="O397" s="107"/>
      <c r="P397" s="10"/>
      <c r="Q397" s="107"/>
      <c r="R397" s="7"/>
      <c r="S397" s="7"/>
      <c r="T397" s="10"/>
      <c r="U397" s="10"/>
      <c r="V397" s="10"/>
      <c r="W397" s="7"/>
      <c r="X397" s="7"/>
      <c r="Y397" s="7"/>
      <c r="Z397" s="107"/>
      <c r="AA397" s="107"/>
      <c r="AB397" s="10"/>
      <c r="AC397" s="107"/>
      <c r="AD397" s="107"/>
      <c r="AE397" s="10"/>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266"/>
    </row>
    <row r="398" spans="1:108" s="268" customFormat="1" x14ac:dyDescent="0.25">
      <c r="A398" s="107"/>
      <c r="B398" s="7"/>
      <c r="C398" s="7"/>
      <c r="D398" s="10"/>
      <c r="E398" s="7"/>
      <c r="F398" s="7"/>
      <c r="G398" s="7"/>
      <c r="H398" s="10"/>
      <c r="I398" s="7"/>
      <c r="J398" s="7"/>
      <c r="K398" s="7"/>
      <c r="L398" s="7"/>
      <c r="M398" s="10"/>
      <c r="N398" s="8"/>
      <c r="O398" s="107"/>
      <c r="P398" s="10"/>
      <c r="Q398" s="107"/>
      <c r="R398" s="7"/>
      <c r="S398" s="7"/>
      <c r="T398" s="10"/>
      <c r="U398" s="10"/>
      <c r="V398" s="10"/>
      <c r="W398" s="7"/>
      <c r="X398" s="7"/>
      <c r="Y398" s="7"/>
      <c r="Z398" s="107"/>
      <c r="AA398" s="107"/>
      <c r="AB398" s="10"/>
      <c r="AC398" s="107"/>
      <c r="AD398" s="107"/>
      <c r="AE398" s="10"/>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266"/>
    </row>
    <row r="399" spans="1:108" s="268" customFormat="1" x14ac:dyDescent="0.25">
      <c r="A399" s="107"/>
      <c r="B399" s="7"/>
      <c r="C399" s="7"/>
      <c r="D399" s="10"/>
      <c r="E399" s="7"/>
      <c r="F399" s="7"/>
      <c r="G399" s="7"/>
      <c r="H399" s="10"/>
      <c r="I399" s="7"/>
      <c r="J399" s="7"/>
      <c r="K399" s="7"/>
      <c r="L399" s="7"/>
      <c r="M399" s="10"/>
      <c r="N399" s="8"/>
      <c r="O399" s="107"/>
      <c r="P399" s="10"/>
      <c r="Q399" s="107"/>
      <c r="R399" s="7"/>
      <c r="S399" s="7"/>
      <c r="T399" s="10"/>
      <c r="U399" s="10"/>
      <c r="V399" s="10"/>
      <c r="W399" s="7"/>
      <c r="X399" s="7"/>
      <c r="Y399" s="7"/>
      <c r="Z399" s="107"/>
      <c r="AA399" s="107"/>
      <c r="AB399" s="10"/>
      <c r="AC399" s="107"/>
      <c r="AD399" s="107"/>
      <c r="AE399" s="10"/>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266"/>
    </row>
    <row r="400" spans="1:108" s="268" customFormat="1" x14ac:dyDescent="0.25">
      <c r="A400" s="107"/>
      <c r="B400" s="7"/>
      <c r="C400" s="7"/>
      <c r="D400" s="10"/>
      <c r="E400" s="7"/>
      <c r="F400" s="7"/>
      <c r="G400" s="7"/>
      <c r="H400" s="10"/>
      <c r="I400" s="7"/>
      <c r="J400" s="7"/>
      <c r="K400" s="7"/>
      <c r="L400" s="7"/>
      <c r="M400" s="10"/>
      <c r="N400" s="8"/>
      <c r="O400" s="107"/>
      <c r="P400" s="10"/>
      <c r="Q400" s="107"/>
      <c r="R400" s="7"/>
      <c r="S400" s="7"/>
      <c r="T400" s="10"/>
      <c r="U400" s="10"/>
      <c r="V400" s="10"/>
      <c r="W400" s="7"/>
      <c r="X400" s="7"/>
      <c r="Y400" s="7"/>
      <c r="Z400" s="107"/>
      <c r="AA400" s="107"/>
      <c r="AB400" s="10"/>
      <c r="AC400" s="107"/>
      <c r="AD400" s="107"/>
      <c r="AE400" s="10"/>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266"/>
    </row>
    <row r="401" spans="1:108" s="268" customFormat="1" x14ac:dyDescent="0.25">
      <c r="A401" s="107"/>
      <c r="B401" s="7"/>
      <c r="C401" s="7"/>
      <c r="D401" s="10"/>
      <c r="E401" s="7"/>
      <c r="F401" s="7"/>
      <c r="G401" s="7"/>
      <c r="H401" s="10"/>
      <c r="I401" s="7"/>
      <c r="J401" s="7"/>
      <c r="K401" s="7"/>
      <c r="L401" s="7"/>
      <c r="M401" s="10"/>
      <c r="N401" s="8"/>
      <c r="O401" s="107"/>
      <c r="P401" s="10"/>
      <c r="Q401" s="107"/>
      <c r="R401" s="7"/>
      <c r="S401" s="7"/>
      <c r="T401" s="10"/>
      <c r="U401" s="10"/>
      <c r="V401" s="10"/>
      <c r="W401" s="7"/>
      <c r="X401" s="7"/>
      <c r="Y401" s="7"/>
      <c r="Z401" s="107"/>
      <c r="AA401" s="107"/>
      <c r="AB401" s="10"/>
      <c r="AC401" s="107"/>
      <c r="AD401" s="107"/>
      <c r="AE401" s="10"/>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266"/>
    </row>
    <row r="402" spans="1:108" s="268" customFormat="1" x14ac:dyDescent="0.25">
      <c r="A402" s="107"/>
      <c r="B402" s="7"/>
      <c r="C402" s="7"/>
      <c r="D402" s="10"/>
      <c r="E402" s="7"/>
      <c r="F402" s="7"/>
      <c r="G402" s="7"/>
      <c r="H402" s="10"/>
      <c r="I402" s="7"/>
      <c r="J402" s="7"/>
      <c r="K402" s="7"/>
      <c r="L402" s="7"/>
      <c r="M402" s="10"/>
      <c r="N402" s="8"/>
      <c r="O402" s="107"/>
      <c r="P402" s="10"/>
      <c r="Q402" s="107"/>
      <c r="R402" s="7"/>
      <c r="S402" s="7"/>
      <c r="T402" s="10"/>
      <c r="U402" s="10"/>
      <c r="V402" s="10"/>
      <c r="W402" s="7"/>
      <c r="X402" s="7"/>
      <c r="Y402" s="7"/>
      <c r="Z402" s="107"/>
      <c r="AA402" s="107"/>
      <c r="AB402" s="10"/>
      <c r="AC402" s="107"/>
      <c r="AD402" s="107"/>
      <c r="AE402" s="10"/>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266"/>
    </row>
    <row r="403" spans="1:108" s="268" customFormat="1" x14ac:dyDescent="0.25">
      <c r="A403" s="107"/>
      <c r="B403" s="7"/>
      <c r="C403" s="7"/>
      <c r="D403" s="10"/>
      <c r="E403" s="7"/>
      <c r="F403" s="7"/>
      <c r="G403" s="7"/>
      <c r="H403" s="10"/>
      <c r="I403" s="7"/>
      <c r="J403" s="7"/>
      <c r="K403" s="7"/>
      <c r="L403" s="7"/>
      <c r="M403" s="10"/>
      <c r="N403" s="8"/>
      <c r="O403" s="107"/>
      <c r="P403" s="10"/>
      <c r="Q403" s="107"/>
      <c r="R403" s="7"/>
      <c r="S403" s="7"/>
      <c r="T403" s="10"/>
      <c r="U403" s="10"/>
      <c r="V403" s="10"/>
      <c r="W403" s="7"/>
      <c r="X403" s="7"/>
      <c r="Y403" s="7"/>
      <c r="Z403" s="107"/>
      <c r="AA403" s="107"/>
      <c r="AB403" s="10"/>
      <c r="AC403" s="107"/>
      <c r="AD403" s="107"/>
      <c r="AE403" s="10"/>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266"/>
    </row>
    <row r="404" spans="1:108" s="268" customFormat="1" x14ac:dyDescent="0.25">
      <c r="A404" s="107"/>
      <c r="B404" s="7"/>
      <c r="C404" s="7"/>
      <c r="D404" s="10"/>
      <c r="E404" s="7"/>
      <c r="F404" s="7"/>
      <c r="G404" s="7"/>
      <c r="H404" s="10"/>
      <c r="I404" s="7"/>
      <c r="J404" s="7"/>
      <c r="K404" s="7"/>
      <c r="L404" s="7"/>
      <c r="M404" s="10"/>
      <c r="N404" s="8"/>
      <c r="O404" s="107"/>
      <c r="P404" s="10"/>
      <c r="Q404" s="107"/>
      <c r="R404" s="7"/>
      <c r="S404" s="7"/>
      <c r="T404" s="10"/>
      <c r="U404" s="10"/>
      <c r="V404" s="10"/>
      <c r="W404" s="7"/>
      <c r="X404" s="7"/>
      <c r="Y404" s="7"/>
      <c r="Z404" s="107"/>
      <c r="AA404" s="107"/>
      <c r="AB404" s="10"/>
      <c r="AC404" s="107"/>
      <c r="AD404" s="107"/>
      <c r="AE404" s="10"/>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266"/>
    </row>
    <row r="405" spans="1:108" s="268" customFormat="1" x14ac:dyDescent="0.25">
      <c r="A405" s="107"/>
      <c r="B405" s="7"/>
      <c r="C405" s="7"/>
      <c r="D405" s="10"/>
      <c r="E405" s="7"/>
      <c r="F405" s="7"/>
      <c r="G405" s="7"/>
      <c r="H405" s="10"/>
      <c r="I405" s="7"/>
      <c r="J405" s="7"/>
      <c r="K405" s="7"/>
      <c r="L405" s="7"/>
      <c r="M405" s="10"/>
      <c r="N405" s="8"/>
      <c r="O405" s="107"/>
      <c r="P405" s="10"/>
      <c r="Q405" s="107"/>
      <c r="R405" s="7"/>
      <c r="S405" s="7"/>
      <c r="T405" s="10"/>
      <c r="U405" s="10"/>
      <c r="V405" s="10"/>
      <c r="W405" s="7"/>
      <c r="X405" s="7"/>
      <c r="Y405" s="7"/>
      <c r="Z405" s="107"/>
      <c r="AA405" s="107"/>
      <c r="AB405" s="10"/>
      <c r="AC405" s="107"/>
      <c r="AD405" s="107"/>
      <c r="AE405" s="10"/>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266"/>
    </row>
    <row r="406" spans="1:108" s="268" customFormat="1" x14ac:dyDescent="0.25">
      <c r="A406" s="107"/>
      <c r="B406" s="7"/>
      <c r="C406" s="7"/>
      <c r="D406" s="10"/>
      <c r="E406" s="7"/>
      <c r="F406" s="7"/>
      <c r="G406" s="7"/>
      <c r="H406" s="10"/>
      <c r="I406" s="7"/>
      <c r="J406" s="7"/>
      <c r="K406" s="7"/>
      <c r="L406" s="7"/>
      <c r="M406" s="10"/>
      <c r="N406" s="8"/>
      <c r="O406" s="107"/>
      <c r="P406" s="10"/>
      <c r="Q406" s="107"/>
      <c r="R406" s="7"/>
      <c r="S406" s="7"/>
      <c r="T406" s="10"/>
      <c r="U406" s="10"/>
      <c r="V406" s="10"/>
      <c r="W406" s="7"/>
      <c r="X406" s="7"/>
      <c r="Y406" s="7"/>
      <c r="Z406" s="107"/>
      <c r="AA406" s="107"/>
      <c r="AB406" s="10"/>
      <c r="AC406" s="107"/>
      <c r="AD406" s="107"/>
      <c r="AE406" s="10"/>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266"/>
    </row>
    <row r="407" spans="1:108" s="268" customFormat="1" x14ac:dyDescent="0.25">
      <c r="A407" s="107"/>
      <c r="B407" s="7"/>
      <c r="C407" s="7"/>
      <c r="D407" s="10"/>
      <c r="E407" s="7"/>
      <c r="F407" s="7"/>
      <c r="G407" s="7"/>
      <c r="H407" s="10"/>
      <c r="I407" s="7"/>
      <c r="J407" s="7"/>
      <c r="K407" s="7"/>
      <c r="L407" s="7"/>
      <c r="M407" s="10"/>
      <c r="N407" s="8"/>
      <c r="O407" s="107"/>
      <c r="P407" s="10"/>
      <c r="Q407" s="107"/>
      <c r="R407" s="7"/>
      <c r="S407" s="7"/>
      <c r="T407" s="10"/>
      <c r="U407" s="10"/>
      <c r="V407" s="10"/>
      <c r="W407" s="7"/>
      <c r="X407" s="7"/>
      <c r="Y407" s="7"/>
      <c r="Z407" s="107"/>
      <c r="AA407" s="107"/>
      <c r="AB407" s="10"/>
      <c r="AC407" s="107"/>
      <c r="AD407" s="107"/>
      <c r="AE407" s="10"/>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266"/>
    </row>
    <row r="408" spans="1:108" s="268" customFormat="1" x14ac:dyDescent="0.25">
      <c r="A408" s="107"/>
      <c r="B408" s="7"/>
      <c r="C408" s="7"/>
      <c r="D408" s="10"/>
      <c r="E408" s="7"/>
      <c r="F408" s="7"/>
      <c r="G408" s="7"/>
      <c r="H408" s="10"/>
      <c r="I408" s="7"/>
      <c r="J408" s="7"/>
      <c r="K408" s="7"/>
      <c r="L408" s="7"/>
      <c r="M408" s="10"/>
      <c r="N408" s="8"/>
      <c r="O408" s="107"/>
      <c r="P408" s="10"/>
      <c r="Q408" s="107"/>
      <c r="R408" s="7"/>
      <c r="S408" s="7"/>
      <c r="T408" s="10"/>
      <c r="U408" s="10"/>
      <c r="V408" s="10"/>
      <c r="W408" s="7"/>
      <c r="X408" s="7"/>
      <c r="Y408" s="7"/>
      <c r="Z408" s="107"/>
      <c r="AA408" s="107"/>
      <c r="AB408" s="10"/>
      <c r="AC408" s="107"/>
      <c r="AD408" s="107"/>
      <c r="AE408" s="10"/>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266"/>
    </row>
    <row r="409" spans="1:108" s="268" customFormat="1" x14ac:dyDescent="0.25">
      <c r="A409" s="107"/>
      <c r="B409" s="7"/>
      <c r="C409" s="7"/>
      <c r="D409" s="10"/>
      <c r="E409" s="7"/>
      <c r="F409" s="7"/>
      <c r="G409" s="7"/>
      <c r="H409" s="10"/>
      <c r="I409" s="7"/>
      <c r="J409" s="7"/>
      <c r="K409" s="7"/>
      <c r="L409" s="7"/>
      <c r="M409" s="10"/>
      <c r="N409" s="8"/>
      <c r="O409" s="107"/>
      <c r="P409" s="10"/>
      <c r="Q409" s="107"/>
      <c r="R409" s="7"/>
      <c r="S409" s="7"/>
      <c r="T409" s="10"/>
      <c r="U409" s="10"/>
      <c r="V409" s="10"/>
      <c r="W409" s="7"/>
      <c r="X409" s="7"/>
      <c r="Y409" s="7"/>
      <c r="Z409" s="107"/>
      <c r="AA409" s="107"/>
      <c r="AB409" s="10"/>
      <c r="AC409" s="107"/>
      <c r="AD409" s="107"/>
      <c r="AE409" s="10"/>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266"/>
    </row>
    <row r="410" spans="1:108" s="268" customFormat="1" x14ac:dyDescent="0.25">
      <c r="A410" s="107"/>
      <c r="B410" s="7"/>
      <c r="C410" s="7"/>
      <c r="D410" s="10"/>
      <c r="E410" s="7"/>
      <c r="F410" s="7"/>
      <c r="G410" s="7"/>
      <c r="H410" s="10"/>
      <c r="I410" s="7"/>
      <c r="J410" s="7"/>
      <c r="K410" s="7"/>
      <c r="L410" s="7"/>
      <c r="M410" s="10"/>
      <c r="N410" s="8"/>
      <c r="O410" s="107"/>
      <c r="P410" s="10"/>
      <c r="Q410" s="107"/>
      <c r="R410" s="7"/>
      <c r="S410" s="7"/>
      <c r="T410" s="10"/>
      <c r="U410" s="10"/>
      <c r="V410" s="10"/>
      <c r="W410" s="7"/>
      <c r="X410" s="7"/>
      <c r="Y410" s="7"/>
      <c r="Z410" s="107"/>
      <c r="AA410" s="107"/>
      <c r="AB410" s="10"/>
      <c r="AC410" s="107"/>
      <c r="AD410" s="107"/>
      <c r="AE410" s="10"/>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266"/>
    </row>
    <row r="411" spans="1:108" s="268" customFormat="1" x14ac:dyDescent="0.25">
      <c r="A411" s="107"/>
      <c r="B411" s="7"/>
      <c r="C411" s="7"/>
      <c r="D411" s="10"/>
      <c r="E411" s="7"/>
      <c r="F411" s="7"/>
      <c r="G411" s="7"/>
      <c r="H411" s="10"/>
      <c r="I411" s="7"/>
      <c r="J411" s="7"/>
      <c r="K411" s="7"/>
      <c r="L411" s="7"/>
      <c r="M411" s="10"/>
      <c r="N411" s="8"/>
      <c r="O411" s="107"/>
      <c r="P411" s="10"/>
      <c r="Q411" s="107"/>
      <c r="R411" s="7"/>
      <c r="S411" s="7"/>
      <c r="T411" s="10"/>
      <c r="U411" s="10"/>
      <c r="V411" s="10"/>
      <c r="W411" s="7"/>
      <c r="X411" s="7"/>
      <c r="Y411" s="7"/>
      <c r="Z411" s="107"/>
      <c r="AA411" s="107"/>
      <c r="AB411" s="10"/>
      <c r="AC411" s="107"/>
      <c r="AD411" s="107"/>
      <c r="AE411" s="10"/>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266"/>
    </row>
    <row r="412" spans="1:108" s="268" customFormat="1" x14ac:dyDescent="0.25">
      <c r="A412" s="107"/>
      <c r="B412" s="7"/>
      <c r="C412" s="7"/>
      <c r="D412" s="10"/>
      <c r="E412" s="7"/>
      <c r="F412" s="7"/>
      <c r="G412" s="7"/>
      <c r="H412" s="10"/>
      <c r="I412" s="7"/>
      <c r="J412" s="7"/>
      <c r="K412" s="7"/>
      <c r="L412" s="7"/>
      <c r="M412" s="10"/>
      <c r="N412" s="8"/>
      <c r="O412" s="107"/>
      <c r="P412" s="10"/>
      <c r="Q412" s="107"/>
      <c r="R412" s="7"/>
      <c r="S412" s="7"/>
      <c r="T412" s="10"/>
      <c r="U412" s="10"/>
      <c r="V412" s="10"/>
      <c r="W412" s="7"/>
      <c r="X412" s="7"/>
      <c r="Y412" s="7"/>
      <c r="Z412" s="107"/>
      <c r="AA412" s="107"/>
      <c r="AB412" s="10"/>
      <c r="AC412" s="107"/>
      <c r="AD412" s="107"/>
      <c r="AE412" s="10"/>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266"/>
    </row>
    <row r="413" spans="1:108" s="268" customFormat="1" x14ac:dyDescent="0.25">
      <c r="A413" s="107"/>
      <c r="B413" s="7"/>
      <c r="C413" s="7"/>
      <c r="D413" s="10"/>
      <c r="E413" s="7"/>
      <c r="F413" s="7"/>
      <c r="G413" s="7"/>
      <c r="H413" s="10"/>
      <c r="I413" s="7"/>
      <c r="J413" s="7"/>
      <c r="K413" s="7"/>
      <c r="L413" s="7"/>
      <c r="M413" s="10"/>
      <c r="N413" s="8"/>
      <c r="O413" s="107"/>
      <c r="P413" s="10"/>
      <c r="Q413" s="107"/>
      <c r="R413" s="7"/>
      <c r="S413" s="7"/>
      <c r="T413" s="10"/>
      <c r="U413" s="10"/>
      <c r="V413" s="10"/>
      <c r="W413" s="7"/>
      <c r="X413" s="7"/>
      <c r="Y413" s="7"/>
      <c r="Z413" s="107"/>
      <c r="AA413" s="107"/>
      <c r="AB413" s="10"/>
      <c r="AC413" s="107"/>
      <c r="AD413" s="107"/>
      <c r="AE413" s="10"/>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266"/>
    </row>
    <row r="414" spans="1:108" s="268" customFormat="1" x14ac:dyDescent="0.25">
      <c r="A414" s="107"/>
      <c r="B414" s="7"/>
      <c r="C414" s="7"/>
      <c r="D414" s="10"/>
      <c r="E414" s="7"/>
      <c r="F414" s="7"/>
      <c r="G414" s="7"/>
      <c r="H414" s="10"/>
      <c r="I414" s="7"/>
      <c r="J414" s="7"/>
      <c r="K414" s="7"/>
      <c r="L414" s="7"/>
      <c r="M414" s="10"/>
      <c r="N414" s="8"/>
      <c r="O414" s="107"/>
      <c r="P414" s="10"/>
      <c r="Q414" s="107"/>
      <c r="R414" s="7"/>
      <c r="S414" s="7"/>
      <c r="T414" s="10"/>
      <c r="U414" s="10"/>
      <c r="V414" s="10"/>
      <c r="W414" s="7"/>
      <c r="X414" s="7"/>
      <c r="Y414" s="7"/>
      <c r="Z414" s="107"/>
      <c r="AA414" s="107"/>
      <c r="AB414" s="10"/>
      <c r="AC414" s="107"/>
      <c r="AD414" s="107"/>
      <c r="AE414" s="10"/>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266"/>
    </row>
    <row r="415" spans="1:108" s="268" customFormat="1" x14ac:dyDescent="0.25">
      <c r="A415" s="107"/>
      <c r="B415" s="7"/>
      <c r="C415" s="7"/>
      <c r="D415" s="10"/>
      <c r="E415" s="7"/>
      <c r="F415" s="7"/>
      <c r="G415" s="7"/>
      <c r="H415" s="10"/>
      <c r="I415" s="7"/>
      <c r="J415" s="7"/>
      <c r="K415" s="7"/>
      <c r="L415" s="7"/>
      <c r="M415" s="10"/>
      <c r="N415" s="8"/>
      <c r="O415" s="107"/>
      <c r="P415" s="10"/>
      <c r="Q415" s="107"/>
      <c r="R415" s="7"/>
      <c r="S415" s="7"/>
      <c r="T415" s="10"/>
      <c r="U415" s="10"/>
      <c r="V415" s="10"/>
      <c r="W415" s="7"/>
      <c r="X415" s="7"/>
      <c r="Y415" s="7"/>
      <c r="Z415" s="107"/>
      <c r="AA415" s="107"/>
      <c r="AB415" s="10"/>
      <c r="AC415" s="107"/>
      <c r="AD415" s="107"/>
      <c r="AE415" s="10"/>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266"/>
    </row>
    <row r="416" spans="1:108" s="268" customFormat="1" x14ac:dyDescent="0.25">
      <c r="A416" s="107"/>
      <c r="B416" s="7"/>
      <c r="C416" s="7"/>
      <c r="D416" s="10"/>
      <c r="E416" s="7"/>
      <c r="F416" s="7"/>
      <c r="G416" s="7"/>
      <c r="H416" s="10"/>
      <c r="I416" s="7"/>
      <c r="J416" s="7"/>
      <c r="K416" s="7"/>
      <c r="L416" s="7"/>
      <c r="M416" s="10"/>
      <c r="N416" s="8"/>
      <c r="O416" s="107"/>
      <c r="P416" s="10"/>
      <c r="Q416" s="107"/>
      <c r="R416" s="7"/>
      <c r="S416" s="7"/>
      <c r="T416" s="10"/>
      <c r="U416" s="10"/>
      <c r="V416" s="10"/>
      <c r="W416" s="7"/>
      <c r="X416" s="7"/>
      <c r="Y416" s="7"/>
      <c r="Z416" s="107"/>
      <c r="AA416" s="107"/>
      <c r="AB416" s="10"/>
      <c r="AC416" s="107"/>
      <c r="AD416" s="107"/>
      <c r="AE416" s="10"/>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266"/>
    </row>
    <row r="417" spans="1:108" s="268" customFormat="1" x14ac:dyDescent="0.25">
      <c r="A417" s="107"/>
      <c r="B417" s="7"/>
      <c r="C417" s="7"/>
      <c r="D417" s="10"/>
      <c r="E417" s="7"/>
      <c r="F417" s="7"/>
      <c r="G417" s="7"/>
      <c r="H417" s="10"/>
      <c r="I417" s="7"/>
      <c r="J417" s="7"/>
      <c r="K417" s="7"/>
      <c r="L417" s="7"/>
      <c r="M417" s="10"/>
      <c r="N417" s="8"/>
      <c r="O417" s="107"/>
      <c r="P417" s="10"/>
      <c r="Q417" s="107"/>
      <c r="R417" s="7"/>
      <c r="S417" s="7"/>
      <c r="T417" s="10"/>
      <c r="U417" s="10"/>
      <c r="V417" s="10"/>
      <c r="W417" s="7"/>
      <c r="X417" s="7"/>
      <c r="Y417" s="7"/>
      <c r="Z417" s="107"/>
      <c r="AA417" s="107"/>
      <c r="AB417" s="10"/>
      <c r="AC417" s="107"/>
      <c r="AD417" s="107"/>
      <c r="AE417" s="10"/>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266"/>
    </row>
    <row r="418" spans="1:108" s="268" customFormat="1" x14ac:dyDescent="0.25">
      <c r="A418" s="107"/>
      <c r="B418" s="7"/>
      <c r="C418" s="7"/>
      <c r="D418" s="10"/>
      <c r="E418" s="7"/>
      <c r="F418" s="7"/>
      <c r="G418" s="7"/>
      <c r="H418" s="10"/>
      <c r="I418" s="7"/>
      <c r="J418" s="7"/>
      <c r="K418" s="7"/>
      <c r="L418" s="7"/>
      <c r="M418" s="10"/>
      <c r="N418" s="8"/>
      <c r="O418" s="107"/>
      <c r="P418" s="10"/>
      <c r="Q418" s="107"/>
      <c r="R418" s="7"/>
      <c r="S418" s="7"/>
      <c r="T418" s="10"/>
      <c r="U418" s="10"/>
      <c r="V418" s="10"/>
      <c r="W418" s="7"/>
      <c r="X418" s="7"/>
      <c r="Y418" s="7"/>
      <c r="Z418" s="107"/>
      <c r="AA418" s="107"/>
      <c r="AB418" s="10"/>
      <c r="AC418" s="107"/>
      <c r="AD418" s="107"/>
      <c r="AE418" s="10"/>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266"/>
    </row>
    <row r="419" spans="1:108" s="268" customFormat="1" x14ac:dyDescent="0.25">
      <c r="A419" s="107"/>
      <c r="B419" s="7"/>
      <c r="C419" s="7"/>
      <c r="D419" s="10"/>
      <c r="E419" s="7"/>
      <c r="F419" s="7"/>
      <c r="G419" s="7"/>
      <c r="H419" s="10"/>
      <c r="I419" s="7"/>
      <c r="J419" s="7"/>
      <c r="K419" s="7"/>
      <c r="L419" s="7"/>
      <c r="M419" s="10"/>
      <c r="N419" s="8"/>
      <c r="O419" s="107"/>
      <c r="P419" s="10"/>
      <c r="Q419" s="107"/>
      <c r="R419" s="7"/>
      <c r="S419" s="7"/>
      <c r="T419" s="10"/>
      <c r="U419" s="10"/>
      <c r="V419" s="10"/>
      <c r="W419" s="7"/>
      <c r="X419" s="7"/>
      <c r="Y419" s="7"/>
      <c r="Z419" s="107"/>
      <c r="AA419" s="107"/>
      <c r="AB419" s="10"/>
      <c r="AC419" s="107"/>
      <c r="AD419" s="107"/>
      <c r="AE419" s="10"/>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266"/>
    </row>
    <row r="420" spans="1:108" s="268" customFormat="1" x14ac:dyDescent="0.25">
      <c r="A420" s="107"/>
      <c r="B420" s="7"/>
      <c r="C420" s="7"/>
      <c r="D420" s="10"/>
      <c r="E420" s="7"/>
      <c r="F420" s="7"/>
      <c r="G420" s="7"/>
      <c r="H420" s="10"/>
      <c r="I420" s="7"/>
      <c r="J420" s="7"/>
      <c r="K420" s="7"/>
      <c r="L420" s="7"/>
      <c r="M420" s="10"/>
      <c r="N420" s="8"/>
      <c r="O420" s="107"/>
      <c r="P420" s="10"/>
      <c r="Q420" s="107"/>
      <c r="R420" s="7"/>
      <c r="S420" s="7"/>
      <c r="T420" s="10"/>
      <c r="U420" s="10"/>
      <c r="V420" s="10"/>
      <c r="W420" s="7"/>
      <c r="X420" s="7"/>
      <c r="Y420" s="7"/>
      <c r="Z420" s="107"/>
      <c r="AA420" s="107"/>
      <c r="AB420" s="10"/>
      <c r="AC420" s="107"/>
      <c r="AD420" s="107"/>
      <c r="AE420" s="10"/>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266"/>
    </row>
    <row r="421" spans="1:108" s="268" customFormat="1" x14ac:dyDescent="0.25">
      <c r="A421" s="107"/>
      <c r="B421" s="7"/>
      <c r="C421" s="7"/>
      <c r="D421" s="10"/>
      <c r="E421" s="7"/>
      <c r="F421" s="7"/>
      <c r="G421" s="7"/>
      <c r="H421" s="10"/>
      <c r="I421" s="7"/>
      <c r="J421" s="7"/>
      <c r="K421" s="7"/>
      <c r="L421" s="7"/>
      <c r="M421" s="10"/>
      <c r="N421" s="8"/>
      <c r="O421" s="107"/>
      <c r="P421" s="10"/>
      <c r="Q421" s="107"/>
      <c r="R421" s="7"/>
      <c r="S421" s="7"/>
      <c r="T421" s="10"/>
      <c r="U421" s="10"/>
      <c r="V421" s="10"/>
      <c r="W421" s="7"/>
      <c r="X421" s="7"/>
      <c r="Y421" s="7"/>
      <c r="Z421" s="107"/>
      <c r="AA421" s="107"/>
      <c r="AB421" s="10"/>
      <c r="AC421" s="107"/>
      <c r="AD421" s="107"/>
      <c r="AE421" s="10"/>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266"/>
    </row>
    <row r="422" spans="1:108" s="268" customFormat="1" x14ac:dyDescent="0.25">
      <c r="A422" s="107"/>
      <c r="B422" s="7"/>
      <c r="C422" s="7"/>
      <c r="D422" s="10"/>
      <c r="E422" s="7"/>
      <c r="F422" s="7"/>
      <c r="G422" s="7"/>
      <c r="H422" s="10"/>
      <c r="I422" s="7"/>
      <c r="J422" s="7"/>
      <c r="K422" s="7"/>
      <c r="L422" s="7"/>
      <c r="M422" s="10"/>
      <c r="N422" s="8"/>
      <c r="O422" s="107"/>
      <c r="P422" s="10"/>
      <c r="Q422" s="107"/>
      <c r="R422" s="7"/>
      <c r="S422" s="7"/>
      <c r="T422" s="10"/>
      <c r="U422" s="10"/>
      <c r="V422" s="10"/>
      <c r="W422" s="7"/>
      <c r="X422" s="7"/>
      <c r="Y422" s="7"/>
      <c r="Z422" s="107"/>
      <c r="AA422" s="107"/>
      <c r="AB422" s="10"/>
      <c r="AC422" s="107"/>
      <c r="AD422" s="107"/>
      <c r="AE422" s="10"/>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266"/>
    </row>
    <row r="423" spans="1:108" s="268" customFormat="1" x14ac:dyDescent="0.25">
      <c r="A423" s="107"/>
      <c r="B423" s="7"/>
      <c r="C423" s="7"/>
      <c r="D423" s="10"/>
      <c r="E423" s="7"/>
      <c r="F423" s="7"/>
      <c r="G423" s="7"/>
      <c r="H423" s="10"/>
      <c r="I423" s="7"/>
      <c r="J423" s="7"/>
      <c r="K423" s="7"/>
      <c r="L423" s="7"/>
      <c r="M423" s="10"/>
      <c r="N423" s="8"/>
      <c r="O423" s="107"/>
      <c r="P423" s="10"/>
      <c r="Q423" s="107"/>
      <c r="R423" s="7"/>
      <c r="S423" s="7"/>
      <c r="T423" s="10"/>
      <c r="U423" s="10"/>
      <c r="V423" s="10"/>
      <c r="W423" s="7"/>
      <c r="X423" s="7"/>
      <c r="Y423" s="7"/>
      <c r="Z423" s="107"/>
      <c r="AA423" s="107"/>
      <c r="AB423" s="10"/>
      <c r="AC423" s="107"/>
      <c r="AD423" s="107"/>
      <c r="AE423" s="10"/>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266"/>
    </row>
    <row r="424" spans="1:108" s="268" customFormat="1" x14ac:dyDescent="0.25">
      <c r="A424" s="107"/>
      <c r="B424" s="7"/>
      <c r="C424" s="7"/>
      <c r="D424" s="10"/>
      <c r="E424" s="7"/>
      <c r="F424" s="7"/>
      <c r="G424" s="7"/>
      <c r="H424" s="10"/>
      <c r="I424" s="7"/>
      <c r="J424" s="7"/>
      <c r="K424" s="7"/>
      <c r="L424" s="7"/>
      <c r="M424" s="10"/>
      <c r="N424" s="8"/>
      <c r="O424" s="107"/>
      <c r="P424" s="10"/>
      <c r="Q424" s="107"/>
      <c r="R424" s="7"/>
      <c r="S424" s="7"/>
      <c r="T424" s="10"/>
      <c r="U424" s="10"/>
      <c r="V424" s="10"/>
      <c r="W424" s="7"/>
      <c r="X424" s="7"/>
      <c r="Y424" s="7"/>
      <c r="Z424" s="107"/>
      <c r="AA424" s="107"/>
      <c r="AB424" s="10"/>
      <c r="AC424" s="107"/>
      <c r="AD424" s="107"/>
      <c r="AE424" s="10"/>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266"/>
    </row>
    <row r="425" spans="1:108" s="268" customFormat="1" x14ac:dyDescent="0.25">
      <c r="A425" s="107"/>
      <c r="B425" s="7"/>
      <c r="C425" s="7"/>
      <c r="D425" s="10"/>
      <c r="E425" s="7"/>
      <c r="F425" s="7"/>
      <c r="G425" s="7"/>
      <c r="H425" s="10"/>
      <c r="I425" s="7"/>
      <c r="J425" s="7"/>
      <c r="K425" s="7"/>
      <c r="L425" s="7"/>
      <c r="M425" s="10"/>
      <c r="N425" s="8"/>
      <c r="O425" s="107"/>
      <c r="P425" s="10"/>
      <c r="Q425" s="107"/>
      <c r="R425" s="7"/>
      <c r="S425" s="7"/>
      <c r="T425" s="10"/>
      <c r="U425" s="10"/>
      <c r="V425" s="10"/>
      <c r="W425" s="7"/>
      <c r="X425" s="7"/>
      <c r="Y425" s="7"/>
      <c r="Z425" s="107"/>
      <c r="AA425" s="107"/>
      <c r="AB425" s="10"/>
      <c r="AC425" s="107"/>
      <c r="AD425" s="107"/>
      <c r="AE425" s="10"/>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266"/>
    </row>
    <row r="426" spans="1:108" s="268" customFormat="1" x14ac:dyDescent="0.25">
      <c r="A426" s="107"/>
      <c r="B426" s="7"/>
      <c r="C426" s="7"/>
      <c r="D426" s="10"/>
      <c r="E426" s="7"/>
      <c r="F426" s="7"/>
      <c r="G426" s="7"/>
      <c r="H426" s="10"/>
      <c r="I426" s="7"/>
      <c r="J426" s="7"/>
      <c r="K426" s="7"/>
      <c r="L426" s="7"/>
      <c r="M426" s="10"/>
      <c r="N426" s="8"/>
      <c r="O426" s="107"/>
      <c r="P426" s="10"/>
      <c r="Q426" s="107"/>
      <c r="R426" s="7"/>
      <c r="S426" s="7"/>
      <c r="T426" s="10"/>
      <c r="U426" s="10"/>
      <c r="V426" s="10"/>
      <c r="W426" s="7"/>
      <c r="X426" s="7"/>
      <c r="Y426" s="7"/>
      <c r="Z426" s="107"/>
      <c r="AA426" s="107"/>
      <c r="AB426" s="10"/>
      <c r="AC426" s="107"/>
      <c r="AD426" s="107"/>
      <c r="AE426" s="10"/>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266"/>
    </row>
    <row r="427" spans="1:108" s="268" customFormat="1" x14ac:dyDescent="0.25">
      <c r="A427" s="107"/>
      <c r="B427" s="7"/>
      <c r="C427" s="7"/>
      <c r="D427" s="10"/>
      <c r="E427" s="7"/>
      <c r="F427" s="7"/>
      <c r="G427" s="7"/>
      <c r="H427" s="10"/>
      <c r="I427" s="7"/>
      <c r="J427" s="7"/>
      <c r="K427" s="7"/>
      <c r="L427" s="7"/>
      <c r="M427" s="10"/>
      <c r="N427" s="8"/>
      <c r="O427" s="107"/>
      <c r="P427" s="10"/>
      <c r="Q427" s="107"/>
      <c r="R427" s="7"/>
      <c r="S427" s="7"/>
      <c r="T427" s="10"/>
      <c r="U427" s="10"/>
      <c r="V427" s="10"/>
      <c r="W427" s="7"/>
      <c r="X427" s="7"/>
      <c r="Y427" s="7"/>
      <c r="Z427" s="107"/>
      <c r="AA427" s="107"/>
      <c r="AB427" s="10"/>
      <c r="AC427" s="107"/>
      <c r="AD427" s="107"/>
      <c r="AE427" s="10"/>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266"/>
    </row>
    <row r="428" spans="1:108" s="268" customFormat="1" x14ac:dyDescent="0.25">
      <c r="A428" s="107"/>
      <c r="B428" s="7"/>
      <c r="C428" s="7"/>
      <c r="D428" s="10"/>
      <c r="E428" s="7"/>
      <c r="F428" s="7"/>
      <c r="G428" s="7"/>
      <c r="H428" s="10"/>
      <c r="I428" s="7"/>
      <c r="J428" s="7"/>
      <c r="K428" s="7"/>
      <c r="L428" s="7"/>
      <c r="M428" s="10"/>
      <c r="N428" s="8"/>
      <c r="O428" s="107"/>
      <c r="P428" s="10"/>
      <c r="Q428" s="107"/>
      <c r="R428" s="7"/>
      <c r="S428" s="7"/>
      <c r="T428" s="10"/>
      <c r="U428" s="10"/>
      <c r="V428" s="10"/>
      <c r="W428" s="7"/>
      <c r="X428" s="7"/>
      <c r="Y428" s="7"/>
      <c r="Z428" s="107"/>
      <c r="AA428" s="107"/>
      <c r="AB428" s="10"/>
      <c r="AC428" s="107"/>
      <c r="AD428" s="107"/>
      <c r="AE428" s="10"/>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266"/>
    </row>
    <row r="429" spans="1:108" s="268" customFormat="1" x14ac:dyDescent="0.25">
      <c r="A429" s="107"/>
      <c r="B429" s="7"/>
      <c r="C429" s="7"/>
      <c r="D429" s="10"/>
      <c r="E429" s="7"/>
      <c r="F429" s="7"/>
      <c r="G429" s="7"/>
      <c r="H429" s="10"/>
      <c r="I429" s="7"/>
      <c r="J429" s="7"/>
      <c r="K429" s="7"/>
      <c r="L429" s="7"/>
      <c r="M429" s="10"/>
      <c r="N429" s="8"/>
      <c r="O429" s="107"/>
      <c r="P429" s="10"/>
      <c r="Q429" s="107"/>
      <c r="R429" s="7"/>
      <c r="S429" s="7"/>
      <c r="T429" s="10"/>
      <c r="U429" s="10"/>
      <c r="V429" s="10"/>
      <c r="W429" s="7"/>
      <c r="X429" s="7"/>
      <c r="Y429" s="7"/>
      <c r="Z429" s="107"/>
      <c r="AA429" s="107"/>
      <c r="AB429" s="10"/>
      <c r="AC429" s="107"/>
      <c r="AD429" s="107"/>
      <c r="AE429" s="10"/>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266"/>
    </row>
    <row r="430" spans="1:108" s="268" customFormat="1" x14ac:dyDescent="0.25">
      <c r="A430" s="107"/>
      <c r="B430" s="7"/>
      <c r="C430" s="7"/>
      <c r="D430" s="10"/>
      <c r="E430" s="7"/>
      <c r="F430" s="7"/>
      <c r="G430" s="7"/>
      <c r="H430" s="10"/>
      <c r="I430" s="7"/>
      <c r="J430" s="7"/>
      <c r="K430" s="7"/>
      <c r="L430" s="7"/>
      <c r="M430" s="10"/>
      <c r="N430" s="8"/>
      <c r="O430" s="107"/>
      <c r="P430" s="10"/>
      <c r="Q430" s="107"/>
      <c r="R430" s="7"/>
      <c r="S430" s="7"/>
      <c r="T430" s="10"/>
      <c r="U430" s="10"/>
      <c r="V430" s="10"/>
      <c r="W430" s="7"/>
      <c r="X430" s="7"/>
      <c r="Y430" s="7"/>
      <c r="Z430" s="107"/>
      <c r="AA430" s="107"/>
      <c r="AB430" s="10"/>
      <c r="AC430" s="107"/>
      <c r="AD430" s="107"/>
      <c r="AE430" s="10"/>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266"/>
    </row>
    <row r="431" spans="1:108" s="268" customFormat="1" x14ac:dyDescent="0.25">
      <c r="A431" s="107"/>
      <c r="B431" s="7"/>
      <c r="C431" s="7"/>
      <c r="D431" s="10"/>
      <c r="E431" s="7"/>
      <c r="F431" s="7"/>
      <c r="G431" s="7"/>
      <c r="H431" s="10"/>
      <c r="I431" s="7"/>
      <c r="J431" s="7"/>
      <c r="K431" s="7"/>
      <c r="L431" s="7"/>
      <c r="M431" s="10"/>
      <c r="N431" s="8"/>
      <c r="O431" s="107"/>
      <c r="P431" s="10"/>
      <c r="Q431" s="107"/>
      <c r="R431" s="7"/>
      <c r="S431" s="7"/>
      <c r="T431" s="10"/>
      <c r="U431" s="10"/>
      <c r="V431" s="10"/>
      <c r="W431" s="7"/>
      <c r="X431" s="7"/>
      <c r="Y431" s="7"/>
      <c r="Z431" s="107"/>
      <c r="AA431" s="107"/>
      <c r="AB431" s="10"/>
      <c r="AC431" s="107"/>
      <c r="AD431" s="107"/>
      <c r="AE431" s="10"/>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266"/>
    </row>
    <row r="432" spans="1:108" s="268" customFormat="1" x14ac:dyDescent="0.25">
      <c r="A432" s="107"/>
      <c r="B432" s="7"/>
      <c r="C432" s="7"/>
      <c r="D432" s="10"/>
      <c r="E432" s="7"/>
      <c r="F432" s="7"/>
      <c r="G432" s="7"/>
      <c r="H432" s="10"/>
      <c r="I432" s="7"/>
      <c r="J432" s="7"/>
      <c r="K432" s="7"/>
      <c r="L432" s="7"/>
      <c r="M432" s="10"/>
      <c r="N432" s="8"/>
      <c r="O432" s="107"/>
      <c r="P432" s="10"/>
      <c r="Q432" s="107"/>
      <c r="R432" s="7"/>
      <c r="S432" s="7"/>
      <c r="T432" s="10"/>
      <c r="U432" s="10"/>
      <c r="V432" s="10"/>
      <c r="W432" s="7"/>
      <c r="X432" s="7"/>
      <c r="Y432" s="7"/>
      <c r="Z432" s="107"/>
      <c r="AA432" s="107"/>
      <c r="AB432" s="10"/>
      <c r="AC432" s="107"/>
      <c r="AD432" s="107"/>
      <c r="AE432" s="10"/>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266"/>
    </row>
    <row r="433" spans="1:108" s="268" customFormat="1" x14ac:dyDescent="0.25">
      <c r="A433" s="107"/>
      <c r="B433" s="7"/>
      <c r="C433" s="7"/>
      <c r="D433" s="10"/>
      <c r="E433" s="7"/>
      <c r="F433" s="7"/>
      <c r="G433" s="7"/>
      <c r="H433" s="10"/>
      <c r="I433" s="7"/>
      <c r="J433" s="7"/>
      <c r="K433" s="7"/>
      <c r="L433" s="7"/>
      <c r="M433" s="10"/>
      <c r="N433" s="8"/>
      <c r="O433" s="107"/>
      <c r="P433" s="10"/>
      <c r="Q433" s="107"/>
      <c r="R433" s="7"/>
      <c r="S433" s="7"/>
      <c r="T433" s="10"/>
      <c r="U433" s="10"/>
      <c r="V433" s="10"/>
      <c r="W433" s="7"/>
      <c r="X433" s="7"/>
      <c r="Y433" s="7"/>
      <c r="Z433" s="107"/>
      <c r="AA433" s="107"/>
      <c r="AB433" s="10"/>
      <c r="AC433" s="107"/>
      <c r="AD433" s="107"/>
      <c r="AE433" s="10"/>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266"/>
    </row>
    <row r="434" spans="1:108" s="268" customFormat="1" x14ac:dyDescent="0.25">
      <c r="A434" s="107"/>
      <c r="B434" s="7"/>
      <c r="C434" s="7"/>
      <c r="D434" s="10"/>
      <c r="E434" s="7"/>
      <c r="F434" s="7"/>
      <c r="G434" s="7"/>
      <c r="H434" s="10"/>
      <c r="I434" s="7"/>
      <c r="J434" s="7"/>
      <c r="K434" s="7"/>
      <c r="L434" s="7"/>
      <c r="M434" s="10"/>
      <c r="N434" s="8"/>
      <c r="O434" s="107"/>
      <c r="P434" s="10"/>
      <c r="Q434" s="107"/>
      <c r="R434" s="7"/>
      <c r="S434" s="7"/>
      <c r="T434" s="10"/>
      <c r="U434" s="10"/>
      <c r="V434" s="10"/>
      <c r="W434" s="7"/>
      <c r="X434" s="7"/>
      <c r="Y434" s="7"/>
      <c r="Z434" s="107"/>
      <c r="AA434" s="107"/>
      <c r="AB434" s="10"/>
      <c r="AC434" s="107"/>
      <c r="AD434" s="107"/>
      <c r="AE434" s="10"/>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266"/>
    </row>
    <row r="435" spans="1:108" s="268" customFormat="1" x14ac:dyDescent="0.25">
      <c r="A435" s="107"/>
      <c r="B435" s="7"/>
      <c r="C435" s="7"/>
      <c r="D435" s="10"/>
      <c r="E435" s="7"/>
      <c r="F435" s="7"/>
      <c r="G435" s="7"/>
      <c r="H435" s="10"/>
      <c r="I435" s="7"/>
      <c r="J435" s="7"/>
      <c r="K435" s="7"/>
      <c r="L435" s="7"/>
      <c r="M435" s="10"/>
      <c r="N435" s="8"/>
      <c r="O435" s="107"/>
      <c r="P435" s="10"/>
      <c r="Q435" s="107"/>
      <c r="R435" s="7"/>
      <c r="S435" s="7"/>
      <c r="T435" s="10"/>
      <c r="U435" s="10"/>
      <c r="V435" s="10"/>
      <c r="W435" s="7"/>
      <c r="X435" s="7"/>
      <c r="Y435" s="7"/>
      <c r="Z435" s="107"/>
      <c r="AA435" s="107"/>
      <c r="AB435" s="10"/>
      <c r="AC435" s="107"/>
      <c r="AD435" s="107"/>
      <c r="AE435" s="10"/>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266"/>
    </row>
    <row r="436" spans="1:108" s="268" customFormat="1" x14ac:dyDescent="0.25">
      <c r="A436" s="107"/>
      <c r="B436" s="7"/>
      <c r="C436" s="7"/>
      <c r="D436" s="10"/>
      <c r="E436" s="7"/>
      <c r="F436" s="7"/>
      <c r="G436" s="7"/>
      <c r="H436" s="10"/>
      <c r="I436" s="7"/>
      <c r="J436" s="7"/>
      <c r="K436" s="7"/>
      <c r="L436" s="7"/>
      <c r="M436" s="10"/>
      <c r="N436" s="8"/>
      <c r="O436" s="107"/>
      <c r="P436" s="10"/>
      <c r="Q436" s="107"/>
      <c r="R436" s="7"/>
      <c r="S436" s="7"/>
      <c r="T436" s="10"/>
      <c r="U436" s="10"/>
      <c r="V436" s="10"/>
      <c r="W436" s="7"/>
      <c r="X436" s="7"/>
      <c r="Y436" s="7"/>
      <c r="Z436" s="107"/>
      <c r="AA436" s="107"/>
      <c r="AB436" s="10"/>
      <c r="AC436" s="107"/>
      <c r="AD436" s="107"/>
      <c r="AE436" s="10"/>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266"/>
    </row>
    <row r="437" spans="1:108" s="268" customFormat="1" x14ac:dyDescent="0.25">
      <c r="A437" s="107"/>
      <c r="B437" s="7"/>
      <c r="C437" s="7"/>
      <c r="D437" s="10"/>
      <c r="E437" s="7"/>
      <c r="F437" s="7"/>
      <c r="G437" s="7"/>
      <c r="H437" s="10"/>
      <c r="I437" s="7"/>
      <c r="J437" s="7"/>
      <c r="K437" s="7"/>
      <c r="L437" s="7"/>
      <c r="M437" s="10"/>
      <c r="N437" s="8"/>
      <c r="O437" s="107"/>
      <c r="P437" s="10"/>
      <c r="Q437" s="107"/>
      <c r="R437" s="7"/>
      <c r="S437" s="7"/>
      <c r="T437" s="10"/>
      <c r="U437" s="10"/>
      <c r="V437" s="10"/>
      <c r="W437" s="7"/>
      <c r="X437" s="7"/>
      <c r="Y437" s="7"/>
      <c r="Z437" s="107"/>
      <c r="AA437" s="107"/>
      <c r="AB437" s="10"/>
      <c r="AC437" s="107"/>
      <c r="AD437" s="107"/>
      <c r="AE437" s="10"/>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266"/>
    </row>
    <row r="438" spans="1:108" s="268" customFormat="1" x14ac:dyDescent="0.25">
      <c r="A438" s="107"/>
      <c r="B438" s="7"/>
      <c r="C438" s="7"/>
      <c r="D438" s="10"/>
      <c r="E438" s="7"/>
      <c r="F438" s="7"/>
      <c r="G438" s="7"/>
      <c r="H438" s="10"/>
      <c r="I438" s="7"/>
      <c r="J438" s="7"/>
      <c r="K438" s="7"/>
      <c r="L438" s="7"/>
      <c r="M438" s="10"/>
      <c r="N438" s="8"/>
      <c r="O438" s="107"/>
      <c r="P438" s="10"/>
      <c r="Q438" s="107"/>
      <c r="R438" s="7"/>
      <c r="S438" s="7"/>
      <c r="T438" s="10"/>
      <c r="U438" s="10"/>
      <c r="V438" s="10"/>
      <c r="W438" s="7"/>
      <c r="X438" s="7"/>
      <c r="Y438" s="7"/>
      <c r="Z438" s="107"/>
      <c r="AA438" s="107"/>
      <c r="AB438" s="10"/>
      <c r="AC438" s="107"/>
      <c r="AD438" s="107"/>
      <c r="AE438" s="10"/>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266"/>
    </row>
    <row r="439" spans="1:108" s="268" customFormat="1" x14ac:dyDescent="0.25">
      <c r="A439" s="107"/>
      <c r="B439" s="7"/>
      <c r="C439" s="7"/>
      <c r="D439" s="10"/>
      <c r="E439" s="7"/>
      <c r="F439" s="7"/>
      <c r="G439" s="7"/>
      <c r="H439" s="10"/>
      <c r="I439" s="7"/>
      <c r="J439" s="7"/>
      <c r="K439" s="7"/>
      <c r="L439" s="7"/>
      <c r="M439" s="10"/>
      <c r="N439" s="8"/>
      <c r="O439" s="107"/>
      <c r="P439" s="10"/>
      <c r="Q439" s="107"/>
      <c r="R439" s="7"/>
      <c r="S439" s="7"/>
      <c r="T439" s="10"/>
      <c r="U439" s="10"/>
      <c r="V439" s="10"/>
      <c r="W439" s="7"/>
      <c r="X439" s="7"/>
      <c r="Y439" s="7"/>
      <c r="Z439" s="107"/>
      <c r="AA439" s="107"/>
      <c r="AB439" s="10"/>
      <c r="AC439" s="107"/>
      <c r="AD439" s="107"/>
      <c r="AE439" s="10"/>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266"/>
    </row>
    <row r="440" spans="1:108" s="268" customFormat="1" x14ac:dyDescent="0.25">
      <c r="A440" s="107"/>
      <c r="B440" s="7"/>
      <c r="C440" s="7"/>
      <c r="D440" s="10"/>
      <c r="E440" s="7"/>
      <c r="F440" s="7"/>
      <c r="G440" s="7"/>
      <c r="H440" s="10"/>
      <c r="I440" s="7"/>
      <c r="J440" s="7"/>
      <c r="K440" s="7"/>
      <c r="L440" s="7"/>
      <c r="M440" s="10"/>
      <c r="N440" s="8"/>
      <c r="O440" s="107"/>
      <c r="P440" s="10"/>
      <c r="Q440" s="107"/>
      <c r="R440" s="7"/>
      <c r="S440" s="7"/>
      <c r="T440" s="10"/>
      <c r="U440" s="10"/>
      <c r="V440" s="10"/>
      <c r="W440" s="7"/>
      <c r="X440" s="7"/>
      <c r="Y440" s="7"/>
      <c r="Z440" s="107"/>
      <c r="AA440" s="107"/>
      <c r="AB440" s="10"/>
      <c r="AC440" s="107"/>
      <c r="AD440" s="107"/>
      <c r="AE440" s="10"/>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266"/>
    </row>
    <row r="441" spans="1:108" s="268" customFormat="1" x14ac:dyDescent="0.25">
      <c r="A441" s="107"/>
      <c r="B441" s="7"/>
      <c r="C441" s="7"/>
      <c r="D441" s="10"/>
      <c r="E441" s="7"/>
      <c r="F441" s="7"/>
      <c r="G441" s="7"/>
      <c r="H441" s="10"/>
      <c r="I441" s="7"/>
      <c r="J441" s="7"/>
      <c r="K441" s="7"/>
      <c r="L441" s="7"/>
      <c r="M441" s="10"/>
      <c r="N441" s="8"/>
      <c r="O441" s="107"/>
      <c r="P441" s="10"/>
      <c r="Q441" s="107"/>
      <c r="R441" s="7"/>
      <c r="S441" s="7"/>
      <c r="T441" s="10"/>
      <c r="U441" s="10"/>
      <c r="V441" s="10"/>
      <c r="W441" s="7"/>
      <c r="X441" s="7"/>
      <c r="Y441" s="7"/>
      <c r="Z441" s="107"/>
      <c r="AA441" s="107"/>
      <c r="AB441" s="10"/>
      <c r="AC441" s="107"/>
      <c r="AD441" s="107"/>
      <c r="AE441" s="10"/>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266"/>
    </row>
    <row r="442" spans="1:108" s="268" customFormat="1" x14ac:dyDescent="0.25">
      <c r="A442" s="107"/>
      <c r="B442" s="7"/>
      <c r="C442" s="7"/>
      <c r="D442" s="10"/>
      <c r="E442" s="7"/>
      <c r="F442" s="7"/>
      <c r="G442" s="7"/>
      <c r="H442" s="10"/>
      <c r="I442" s="7"/>
      <c r="J442" s="7"/>
      <c r="K442" s="7"/>
      <c r="L442" s="7"/>
      <c r="M442" s="10"/>
      <c r="N442" s="8"/>
      <c r="O442" s="107"/>
      <c r="P442" s="10"/>
      <c r="Q442" s="107"/>
      <c r="R442" s="7"/>
      <c r="S442" s="7"/>
      <c r="T442" s="10"/>
      <c r="U442" s="10"/>
      <c r="V442" s="10"/>
      <c r="W442" s="7"/>
      <c r="X442" s="7"/>
      <c r="Y442" s="7"/>
      <c r="Z442" s="107"/>
      <c r="AA442" s="107"/>
      <c r="AB442" s="10"/>
      <c r="AC442" s="107"/>
      <c r="AD442" s="107"/>
      <c r="AE442" s="10"/>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266"/>
    </row>
    <row r="443" spans="1:108" s="268" customFormat="1" x14ac:dyDescent="0.25">
      <c r="A443" s="107"/>
      <c r="B443" s="7"/>
      <c r="C443" s="7"/>
      <c r="D443" s="10"/>
      <c r="E443" s="7"/>
      <c r="F443" s="7"/>
      <c r="G443" s="7"/>
      <c r="H443" s="10"/>
      <c r="I443" s="7"/>
      <c r="J443" s="7"/>
      <c r="K443" s="7"/>
      <c r="L443" s="7"/>
      <c r="M443" s="10"/>
      <c r="N443" s="8"/>
      <c r="O443" s="107"/>
      <c r="P443" s="10"/>
      <c r="Q443" s="107"/>
      <c r="R443" s="7"/>
      <c r="S443" s="7"/>
      <c r="T443" s="10"/>
      <c r="U443" s="10"/>
      <c r="V443" s="10"/>
      <c r="W443" s="7"/>
      <c r="X443" s="7"/>
      <c r="Y443" s="7"/>
      <c r="Z443" s="107"/>
      <c r="AA443" s="107"/>
      <c r="AB443" s="10"/>
      <c r="AC443" s="107"/>
      <c r="AD443" s="107"/>
      <c r="AE443" s="10"/>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266"/>
    </row>
    <row r="444" spans="1:108" s="268" customFormat="1" x14ac:dyDescent="0.25">
      <c r="A444" s="107"/>
      <c r="B444" s="7"/>
      <c r="C444" s="7"/>
      <c r="D444" s="10"/>
      <c r="E444" s="7"/>
      <c r="F444" s="7"/>
      <c r="G444" s="7"/>
      <c r="H444" s="10"/>
      <c r="I444" s="7"/>
      <c r="J444" s="7"/>
      <c r="K444" s="7"/>
      <c r="L444" s="7"/>
      <c r="M444" s="10"/>
      <c r="N444" s="8"/>
      <c r="O444" s="107"/>
      <c r="P444" s="10"/>
      <c r="Q444" s="107"/>
      <c r="R444" s="7"/>
      <c r="S444" s="7"/>
      <c r="T444" s="10"/>
      <c r="U444" s="10"/>
      <c r="V444" s="10"/>
      <c r="W444" s="7"/>
      <c r="X444" s="7"/>
      <c r="Y444" s="7"/>
      <c r="Z444" s="107"/>
      <c r="AA444" s="107"/>
      <c r="AB444" s="10"/>
      <c r="AC444" s="107"/>
      <c r="AD444" s="107"/>
      <c r="AE444" s="10"/>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266"/>
    </row>
    <row r="445" spans="1:108" s="268" customFormat="1" x14ac:dyDescent="0.25">
      <c r="A445" s="107"/>
      <c r="B445" s="7"/>
      <c r="C445" s="7"/>
      <c r="D445" s="10"/>
      <c r="E445" s="7"/>
      <c r="F445" s="7"/>
      <c r="G445" s="7"/>
      <c r="H445" s="10"/>
      <c r="I445" s="7"/>
      <c r="J445" s="7"/>
      <c r="K445" s="7"/>
      <c r="L445" s="7"/>
      <c r="M445" s="10"/>
      <c r="N445" s="8"/>
      <c r="O445" s="107"/>
      <c r="P445" s="10"/>
      <c r="Q445" s="107"/>
      <c r="R445" s="7"/>
      <c r="S445" s="7"/>
      <c r="T445" s="10"/>
      <c r="U445" s="10"/>
      <c r="V445" s="10"/>
      <c r="W445" s="7"/>
      <c r="X445" s="7"/>
      <c r="Y445" s="7"/>
      <c r="Z445" s="107"/>
      <c r="AA445" s="107"/>
      <c r="AB445" s="10"/>
      <c r="AC445" s="107"/>
      <c r="AD445" s="107"/>
      <c r="AE445" s="10"/>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266"/>
    </row>
    <row r="446" spans="1:108" s="268" customFormat="1" x14ac:dyDescent="0.25">
      <c r="A446" s="107"/>
      <c r="B446" s="7"/>
      <c r="C446" s="7"/>
      <c r="D446" s="10"/>
      <c r="E446" s="7"/>
      <c r="F446" s="7"/>
      <c r="G446" s="7"/>
      <c r="H446" s="10"/>
      <c r="I446" s="7"/>
      <c r="J446" s="7"/>
      <c r="K446" s="7"/>
      <c r="L446" s="7"/>
      <c r="M446" s="10"/>
      <c r="N446" s="8"/>
      <c r="O446" s="107"/>
      <c r="P446" s="10"/>
      <c r="Q446" s="107"/>
      <c r="R446" s="7"/>
      <c r="S446" s="7"/>
      <c r="T446" s="10"/>
      <c r="U446" s="10"/>
      <c r="V446" s="10"/>
      <c r="W446" s="7"/>
      <c r="X446" s="7"/>
      <c r="Y446" s="7"/>
      <c r="Z446" s="107"/>
      <c r="AA446" s="107"/>
      <c r="AB446" s="10"/>
      <c r="AC446" s="107"/>
      <c r="AD446" s="107"/>
      <c r="AE446" s="10"/>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266"/>
    </row>
    <row r="447" spans="1:108" s="268" customFormat="1" x14ac:dyDescent="0.25">
      <c r="A447" s="107"/>
      <c r="B447" s="7"/>
      <c r="C447" s="7"/>
      <c r="D447" s="10"/>
      <c r="E447" s="7"/>
      <c r="F447" s="7"/>
      <c r="G447" s="7"/>
      <c r="H447" s="10"/>
      <c r="I447" s="7"/>
      <c r="J447" s="7"/>
      <c r="K447" s="7"/>
      <c r="L447" s="7"/>
      <c r="M447" s="10"/>
      <c r="N447" s="8"/>
      <c r="O447" s="107"/>
      <c r="P447" s="10"/>
      <c r="Q447" s="107"/>
      <c r="R447" s="7"/>
      <c r="S447" s="7"/>
      <c r="T447" s="10"/>
      <c r="U447" s="10"/>
      <c r="V447" s="10"/>
      <c r="W447" s="7"/>
      <c r="X447" s="7"/>
      <c r="Y447" s="7"/>
      <c r="Z447" s="107"/>
      <c r="AA447" s="107"/>
      <c r="AB447" s="10"/>
      <c r="AC447" s="107"/>
      <c r="AD447" s="107"/>
      <c r="AE447" s="10"/>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266"/>
    </row>
    <row r="448" spans="1:108" s="268" customFormat="1" x14ac:dyDescent="0.25">
      <c r="A448" s="107"/>
      <c r="B448" s="7"/>
      <c r="C448" s="7"/>
      <c r="D448" s="10"/>
      <c r="E448" s="7"/>
      <c r="F448" s="7"/>
      <c r="G448" s="7"/>
      <c r="H448" s="10"/>
      <c r="I448" s="7"/>
      <c r="J448" s="7"/>
      <c r="K448" s="7"/>
      <c r="L448" s="7"/>
      <c r="M448" s="10"/>
      <c r="N448" s="8"/>
      <c r="O448" s="107"/>
      <c r="P448" s="10"/>
      <c r="Q448" s="107"/>
      <c r="R448" s="7"/>
      <c r="S448" s="7"/>
      <c r="T448" s="10"/>
      <c r="U448" s="10"/>
      <c r="V448" s="10"/>
      <c r="W448" s="7"/>
      <c r="X448" s="7"/>
      <c r="Y448" s="7"/>
      <c r="Z448" s="107"/>
      <c r="AA448" s="107"/>
      <c r="AB448" s="10"/>
      <c r="AC448" s="107"/>
      <c r="AD448" s="107"/>
      <c r="AE448" s="10"/>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266"/>
    </row>
    <row r="449" spans="1:108" s="268" customFormat="1" x14ac:dyDescent="0.25">
      <c r="A449" s="107"/>
      <c r="B449" s="7"/>
      <c r="C449" s="7"/>
      <c r="D449" s="10"/>
      <c r="E449" s="7"/>
      <c r="F449" s="7"/>
      <c r="G449" s="7"/>
      <c r="H449" s="10"/>
      <c r="I449" s="7"/>
      <c r="J449" s="7"/>
      <c r="K449" s="7"/>
      <c r="L449" s="7"/>
      <c r="M449" s="10"/>
      <c r="N449" s="8"/>
      <c r="O449" s="107"/>
      <c r="P449" s="10"/>
      <c r="Q449" s="107"/>
      <c r="R449" s="7"/>
      <c r="S449" s="7"/>
      <c r="T449" s="10"/>
      <c r="U449" s="10"/>
      <c r="V449" s="10"/>
      <c r="W449" s="7"/>
      <c r="X449" s="7"/>
      <c r="Y449" s="7"/>
      <c r="Z449" s="107"/>
      <c r="AA449" s="107"/>
      <c r="AB449" s="10"/>
      <c r="AC449" s="107"/>
      <c r="AD449" s="107"/>
      <c r="AE449" s="10"/>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266"/>
    </row>
    <row r="450" spans="1:108" s="268" customFormat="1" x14ac:dyDescent="0.25">
      <c r="A450" s="107"/>
      <c r="B450" s="7"/>
      <c r="C450" s="7"/>
      <c r="D450" s="10"/>
      <c r="E450" s="7"/>
      <c r="F450" s="7"/>
      <c r="G450" s="7"/>
      <c r="H450" s="10"/>
      <c r="I450" s="7"/>
      <c r="J450" s="7"/>
      <c r="K450" s="7"/>
      <c r="L450" s="7"/>
      <c r="M450" s="10"/>
      <c r="N450" s="8"/>
      <c r="O450" s="107"/>
      <c r="P450" s="10"/>
      <c r="Q450" s="107"/>
      <c r="R450" s="7"/>
      <c r="S450" s="7"/>
      <c r="T450" s="10"/>
      <c r="U450" s="10"/>
      <c r="V450" s="10"/>
      <c r="W450" s="7"/>
      <c r="X450" s="7"/>
      <c r="Y450" s="7"/>
      <c r="Z450" s="107"/>
      <c r="AA450" s="107"/>
      <c r="AB450" s="10"/>
      <c r="AC450" s="107"/>
      <c r="AD450" s="107"/>
      <c r="AE450" s="10"/>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266"/>
    </row>
    <row r="451" spans="1:108" s="268" customFormat="1" x14ac:dyDescent="0.25">
      <c r="A451" s="107"/>
      <c r="B451" s="7"/>
      <c r="C451" s="7"/>
      <c r="D451" s="10"/>
      <c r="E451" s="7"/>
      <c r="F451" s="7"/>
      <c r="G451" s="7"/>
      <c r="H451" s="10"/>
      <c r="I451" s="7"/>
      <c r="J451" s="7"/>
      <c r="K451" s="7"/>
      <c r="L451" s="7"/>
      <c r="M451" s="10"/>
      <c r="N451" s="8"/>
      <c r="O451" s="107"/>
      <c r="P451" s="10"/>
      <c r="Q451" s="107"/>
      <c r="R451" s="7"/>
      <c r="S451" s="7"/>
      <c r="T451" s="10"/>
      <c r="U451" s="10"/>
      <c r="V451" s="10"/>
      <c r="W451" s="7"/>
      <c r="X451" s="7"/>
      <c r="Y451" s="7"/>
      <c r="Z451" s="107"/>
      <c r="AA451" s="107"/>
      <c r="AB451" s="10"/>
      <c r="AC451" s="107"/>
      <c r="AD451" s="107"/>
      <c r="AE451" s="10"/>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266"/>
    </row>
    <row r="452" spans="1:108" s="268" customFormat="1" x14ac:dyDescent="0.25">
      <c r="A452" s="107"/>
      <c r="B452" s="108"/>
      <c r="C452" s="108"/>
      <c r="D452" s="11"/>
      <c r="E452" s="108"/>
      <c r="F452" s="108"/>
      <c r="G452" s="108"/>
      <c r="H452" s="11"/>
      <c r="I452" s="108"/>
      <c r="J452" s="108"/>
      <c r="K452" s="108"/>
      <c r="L452" s="108"/>
      <c r="M452" s="11"/>
      <c r="N452" s="3"/>
      <c r="O452" s="107"/>
      <c r="P452" s="11"/>
      <c r="Q452" s="107"/>
      <c r="R452" s="108"/>
      <c r="S452" s="108"/>
      <c r="T452" s="11"/>
      <c r="U452" s="11"/>
      <c r="V452" s="11"/>
      <c r="W452" s="108"/>
      <c r="X452" s="108"/>
      <c r="Y452" s="108"/>
      <c r="Z452" s="107"/>
      <c r="AA452" s="107"/>
      <c r="AB452" s="11"/>
      <c r="AC452" s="107"/>
      <c r="AD452" s="107"/>
      <c r="AE452" s="11"/>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270"/>
    </row>
    <row r="453" spans="1:108" s="268" customFormat="1" x14ac:dyDescent="0.25">
      <c r="A453" s="107"/>
      <c r="B453" s="108"/>
      <c r="C453" s="108"/>
      <c r="D453" s="11"/>
      <c r="E453" s="108"/>
      <c r="F453" s="108"/>
      <c r="G453" s="108"/>
      <c r="H453" s="11"/>
      <c r="I453" s="108"/>
      <c r="J453" s="108"/>
      <c r="K453" s="108"/>
      <c r="L453" s="108"/>
      <c r="M453" s="11"/>
      <c r="N453" s="3"/>
      <c r="O453" s="107"/>
      <c r="P453" s="11"/>
      <c r="Q453" s="107"/>
      <c r="R453" s="108"/>
      <c r="S453" s="108"/>
      <c r="T453" s="11"/>
      <c r="U453" s="11"/>
      <c r="V453" s="11"/>
      <c r="W453" s="108"/>
      <c r="X453" s="108"/>
      <c r="Y453" s="108"/>
      <c r="Z453" s="107"/>
      <c r="AA453" s="107"/>
      <c r="AB453" s="11"/>
      <c r="AC453" s="107"/>
      <c r="AD453" s="107"/>
      <c r="AE453" s="11"/>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270"/>
    </row>
    <row r="454" spans="1:108" s="268" customFormat="1" x14ac:dyDescent="0.25">
      <c r="A454" s="107"/>
      <c r="B454" s="108"/>
      <c r="C454" s="108"/>
      <c r="D454" s="11"/>
      <c r="E454" s="108"/>
      <c r="F454" s="108"/>
      <c r="G454" s="108"/>
      <c r="H454" s="11"/>
      <c r="I454" s="108"/>
      <c r="J454" s="108"/>
      <c r="K454" s="108"/>
      <c r="L454" s="108"/>
      <c r="M454" s="11"/>
      <c r="N454" s="3"/>
      <c r="O454" s="107"/>
      <c r="P454" s="11"/>
      <c r="Q454" s="107"/>
      <c r="R454" s="108"/>
      <c r="S454" s="108"/>
      <c r="T454" s="11"/>
      <c r="U454" s="11"/>
      <c r="V454" s="11"/>
      <c r="W454" s="108"/>
      <c r="X454" s="108"/>
      <c r="Y454" s="108"/>
      <c r="Z454" s="107"/>
      <c r="AA454" s="107"/>
      <c r="AB454" s="11"/>
      <c r="AC454" s="107"/>
      <c r="AD454" s="107"/>
      <c r="AE454" s="11"/>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270"/>
    </row>
    <row r="455" spans="1:108" s="268" customFormat="1" x14ac:dyDescent="0.25">
      <c r="A455" s="107"/>
      <c r="B455" s="108"/>
      <c r="C455" s="108"/>
      <c r="D455" s="11"/>
      <c r="E455" s="108"/>
      <c r="F455" s="108"/>
      <c r="G455" s="108"/>
      <c r="H455" s="11"/>
      <c r="I455" s="108"/>
      <c r="J455" s="108"/>
      <c r="K455" s="108"/>
      <c r="L455" s="108"/>
      <c r="M455" s="11"/>
      <c r="N455" s="3"/>
      <c r="O455" s="107"/>
      <c r="P455" s="11"/>
      <c r="Q455" s="107"/>
      <c r="R455" s="108"/>
      <c r="S455" s="108"/>
      <c r="T455" s="11"/>
      <c r="U455" s="11"/>
      <c r="V455" s="11"/>
      <c r="W455" s="108"/>
      <c r="X455" s="108"/>
      <c r="Y455" s="108"/>
      <c r="Z455" s="107"/>
      <c r="AA455" s="107"/>
      <c r="AB455" s="11"/>
      <c r="AC455" s="107"/>
      <c r="AD455" s="107"/>
      <c r="AE455" s="11"/>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1"/>
      <c r="CR455" s="11"/>
      <c r="CS455" s="11"/>
      <c r="CT455" s="11"/>
      <c r="CU455" s="11"/>
      <c r="CV455" s="11"/>
      <c r="CW455" s="11"/>
      <c r="CX455" s="11"/>
      <c r="CY455" s="11"/>
      <c r="CZ455" s="11"/>
      <c r="DA455" s="11"/>
      <c r="DB455" s="11"/>
      <c r="DC455" s="11"/>
      <c r="DD455" s="270"/>
    </row>
    <row r="456" spans="1:108" s="268" customFormat="1" x14ac:dyDescent="0.25">
      <c r="A456" s="107"/>
      <c r="B456" s="108"/>
      <c r="C456" s="108"/>
      <c r="D456" s="11"/>
      <c r="E456" s="108"/>
      <c r="F456" s="108"/>
      <c r="G456" s="108"/>
      <c r="H456" s="11"/>
      <c r="I456" s="108"/>
      <c r="J456" s="108"/>
      <c r="K456" s="108"/>
      <c r="L456" s="108"/>
      <c r="M456" s="11"/>
      <c r="N456" s="3"/>
      <c r="O456" s="107"/>
      <c r="P456" s="11"/>
      <c r="Q456" s="107"/>
      <c r="R456" s="108"/>
      <c r="S456" s="108"/>
      <c r="T456" s="11"/>
      <c r="U456" s="11"/>
      <c r="V456" s="11"/>
      <c r="W456" s="108"/>
      <c r="X456" s="108"/>
      <c r="Y456" s="108"/>
      <c r="Z456" s="107"/>
      <c r="AA456" s="107"/>
      <c r="AB456" s="11"/>
      <c r="AC456" s="107"/>
      <c r="AD456" s="107"/>
      <c r="AE456" s="11"/>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270"/>
    </row>
    <row r="457" spans="1:108" s="268" customFormat="1" x14ac:dyDescent="0.25">
      <c r="A457" s="107"/>
      <c r="B457" s="108"/>
      <c r="C457" s="108"/>
      <c r="D457" s="11"/>
      <c r="E457" s="108"/>
      <c r="F457" s="108"/>
      <c r="G457" s="108"/>
      <c r="H457" s="11"/>
      <c r="I457" s="108"/>
      <c r="J457" s="108"/>
      <c r="K457" s="108"/>
      <c r="L457" s="108"/>
      <c r="M457" s="11"/>
      <c r="N457" s="3"/>
      <c r="O457" s="107"/>
      <c r="P457" s="11"/>
      <c r="Q457" s="107"/>
      <c r="R457" s="108"/>
      <c r="S457" s="108"/>
      <c r="T457" s="11"/>
      <c r="U457" s="11"/>
      <c r="V457" s="11"/>
      <c r="W457" s="108"/>
      <c r="X457" s="108"/>
      <c r="Y457" s="108"/>
      <c r="Z457" s="107"/>
      <c r="AA457" s="107"/>
      <c r="AB457" s="11"/>
      <c r="AC457" s="107"/>
      <c r="AD457" s="107"/>
      <c r="AE457" s="11"/>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270"/>
    </row>
    <row r="458" spans="1:108" s="268" customFormat="1" x14ac:dyDescent="0.25">
      <c r="A458" s="107"/>
      <c r="B458" s="108"/>
      <c r="C458" s="108"/>
      <c r="D458" s="11"/>
      <c r="E458" s="108"/>
      <c r="F458" s="108"/>
      <c r="G458" s="108"/>
      <c r="H458" s="11"/>
      <c r="I458" s="108"/>
      <c r="J458" s="108"/>
      <c r="K458" s="108"/>
      <c r="L458" s="108"/>
      <c r="M458" s="11"/>
      <c r="N458" s="3"/>
      <c r="O458" s="107"/>
      <c r="P458" s="11"/>
      <c r="Q458" s="107"/>
      <c r="R458" s="108"/>
      <c r="S458" s="108"/>
      <c r="T458" s="11"/>
      <c r="U458" s="11"/>
      <c r="V458" s="11"/>
      <c r="W458" s="108"/>
      <c r="X458" s="108"/>
      <c r="Y458" s="108"/>
      <c r="Z458" s="107"/>
      <c r="AA458" s="107"/>
      <c r="AB458" s="11"/>
      <c r="AC458" s="107"/>
      <c r="AD458" s="107"/>
      <c r="AE458" s="11"/>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c r="CQ458" s="11"/>
      <c r="CR458" s="11"/>
      <c r="CS458" s="11"/>
      <c r="CT458" s="11"/>
      <c r="CU458" s="11"/>
      <c r="CV458" s="11"/>
      <c r="CW458" s="11"/>
      <c r="CX458" s="11"/>
      <c r="CY458" s="11"/>
      <c r="CZ458" s="11"/>
      <c r="DA458" s="11"/>
      <c r="DB458" s="11"/>
      <c r="DC458" s="11"/>
      <c r="DD458" s="270"/>
    </row>
    <row r="459" spans="1:108" s="268" customFormat="1" x14ac:dyDescent="0.25">
      <c r="A459" s="107"/>
      <c r="B459" s="108"/>
      <c r="C459" s="108"/>
      <c r="D459" s="11"/>
      <c r="E459" s="108"/>
      <c r="F459" s="108"/>
      <c r="G459" s="108"/>
      <c r="H459" s="11"/>
      <c r="I459" s="108"/>
      <c r="J459" s="108"/>
      <c r="K459" s="108"/>
      <c r="L459" s="108"/>
      <c r="M459" s="11"/>
      <c r="N459" s="3"/>
      <c r="O459" s="107"/>
      <c r="P459" s="11"/>
      <c r="Q459" s="107"/>
      <c r="R459" s="108"/>
      <c r="S459" s="108"/>
      <c r="T459" s="11"/>
      <c r="U459" s="11"/>
      <c r="V459" s="11"/>
      <c r="W459" s="108"/>
      <c r="X459" s="108"/>
      <c r="Y459" s="108"/>
      <c r="Z459" s="107"/>
      <c r="AA459" s="107"/>
      <c r="AB459" s="11"/>
      <c r="AC459" s="107"/>
      <c r="AD459" s="107"/>
      <c r="AE459" s="11"/>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270"/>
    </row>
    <row r="460" spans="1:108" s="268" customFormat="1" x14ac:dyDescent="0.25">
      <c r="A460" s="107"/>
      <c r="B460" s="108"/>
      <c r="C460" s="108"/>
      <c r="D460" s="11"/>
      <c r="E460" s="108"/>
      <c r="F460" s="108"/>
      <c r="G460" s="108"/>
      <c r="H460" s="11"/>
      <c r="I460" s="108"/>
      <c r="J460" s="108"/>
      <c r="K460" s="108"/>
      <c r="L460" s="108"/>
      <c r="M460" s="11"/>
      <c r="N460" s="3"/>
      <c r="O460" s="107"/>
      <c r="P460" s="11"/>
      <c r="Q460" s="107"/>
      <c r="R460" s="108"/>
      <c r="S460" s="108"/>
      <c r="T460" s="11"/>
      <c r="U460" s="11"/>
      <c r="V460" s="11"/>
      <c r="W460" s="108"/>
      <c r="X460" s="108"/>
      <c r="Y460" s="108"/>
      <c r="Z460" s="107"/>
      <c r="AA460" s="107"/>
      <c r="AB460" s="11"/>
      <c r="AC460" s="107"/>
      <c r="AD460" s="107"/>
      <c r="AE460" s="11"/>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c r="CQ460" s="11"/>
      <c r="CR460" s="11"/>
      <c r="CS460" s="11"/>
      <c r="CT460" s="11"/>
      <c r="CU460" s="11"/>
      <c r="CV460" s="11"/>
      <c r="CW460" s="11"/>
      <c r="CX460" s="11"/>
      <c r="CY460" s="11"/>
      <c r="CZ460" s="11"/>
      <c r="DA460" s="11"/>
      <c r="DB460" s="11"/>
      <c r="DC460" s="11"/>
      <c r="DD460" s="270"/>
    </row>
    <row r="461" spans="1:108" s="268" customFormat="1" x14ac:dyDescent="0.25">
      <c r="A461" s="107"/>
      <c r="B461" s="108"/>
      <c r="C461" s="108"/>
      <c r="D461" s="11"/>
      <c r="E461" s="108"/>
      <c r="F461" s="108"/>
      <c r="G461" s="108"/>
      <c r="H461" s="11"/>
      <c r="I461" s="108"/>
      <c r="J461" s="108"/>
      <c r="K461" s="108"/>
      <c r="L461" s="108"/>
      <c r="M461" s="11"/>
      <c r="N461" s="3"/>
      <c r="O461" s="107"/>
      <c r="P461" s="11"/>
      <c r="Q461" s="107"/>
      <c r="R461" s="108"/>
      <c r="S461" s="108"/>
      <c r="T461" s="11"/>
      <c r="U461" s="11"/>
      <c r="V461" s="11"/>
      <c r="W461" s="108"/>
      <c r="X461" s="108"/>
      <c r="Y461" s="108"/>
      <c r="Z461" s="107"/>
      <c r="AA461" s="107"/>
      <c r="AB461" s="11"/>
      <c r="AC461" s="107"/>
      <c r="AD461" s="107"/>
      <c r="AE461" s="11"/>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270"/>
    </row>
    <row r="462" spans="1:108" s="268" customFormat="1" x14ac:dyDescent="0.25">
      <c r="A462" s="107"/>
      <c r="B462" s="108"/>
      <c r="C462" s="108"/>
      <c r="D462" s="11"/>
      <c r="E462" s="108"/>
      <c r="F462" s="108"/>
      <c r="G462" s="108"/>
      <c r="H462" s="11"/>
      <c r="I462" s="108"/>
      <c r="J462" s="108"/>
      <c r="K462" s="108"/>
      <c r="L462" s="108"/>
      <c r="M462" s="11"/>
      <c r="N462" s="3"/>
      <c r="O462" s="107"/>
      <c r="P462" s="11"/>
      <c r="Q462" s="107"/>
      <c r="R462" s="108"/>
      <c r="S462" s="108"/>
      <c r="T462" s="11"/>
      <c r="U462" s="11"/>
      <c r="V462" s="11"/>
      <c r="W462" s="108"/>
      <c r="X462" s="108"/>
      <c r="Y462" s="108"/>
      <c r="Z462" s="107"/>
      <c r="AA462" s="107"/>
      <c r="AB462" s="11"/>
      <c r="AC462" s="107"/>
      <c r="AD462" s="107"/>
      <c r="AE462" s="11"/>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270"/>
    </row>
    <row r="463" spans="1:108" s="268" customFormat="1" x14ac:dyDescent="0.25">
      <c r="A463" s="107"/>
      <c r="B463" s="108"/>
      <c r="C463" s="108"/>
      <c r="D463" s="11"/>
      <c r="E463" s="108"/>
      <c r="F463" s="108"/>
      <c r="G463" s="108"/>
      <c r="H463" s="11"/>
      <c r="I463" s="108"/>
      <c r="J463" s="108"/>
      <c r="K463" s="108"/>
      <c r="L463" s="108"/>
      <c r="M463" s="11"/>
      <c r="N463" s="3"/>
      <c r="O463" s="107"/>
      <c r="P463" s="11"/>
      <c r="Q463" s="107"/>
      <c r="R463" s="108"/>
      <c r="S463" s="108"/>
      <c r="T463" s="11"/>
      <c r="U463" s="11"/>
      <c r="V463" s="11"/>
      <c r="W463" s="108"/>
      <c r="X463" s="108"/>
      <c r="Y463" s="108"/>
      <c r="Z463" s="107"/>
      <c r="AA463" s="107"/>
      <c r="AB463" s="11"/>
      <c r="AC463" s="107"/>
      <c r="AD463" s="107"/>
      <c r="AE463" s="11"/>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270"/>
    </row>
    <row r="464" spans="1:108" s="268" customFormat="1" x14ac:dyDescent="0.25">
      <c r="A464" s="107"/>
      <c r="B464" s="108"/>
      <c r="C464" s="108"/>
      <c r="D464" s="11"/>
      <c r="E464" s="108"/>
      <c r="F464" s="108"/>
      <c r="G464" s="108"/>
      <c r="H464" s="11"/>
      <c r="I464" s="108"/>
      <c r="J464" s="108"/>
      <c r="K464" s="108"/>
      <c r="L464" s="108"/>
      <c r="M464" s="11"/>
      <c r="N464" s="3"/>
      <c r="O464" s="107"/>
      <c r="P464" s="11"/>
      <c r="Q464" s="107"/>
      <c r="R464" s="108"/>
      <c r="S464" s="108"/>
      <c r="T464" s="11"/>
      <c r="U464" s="11"/>
      <c r="V464" s="11"/>
      <c r="W464" s="108"/>
      <c r="X464" s="108"/>
      <c r="Y464" s="108"/>
      <c r="Z464" s="107"/>
      <c r="AA464" s="107"/>
      <c r="AB464" s="11"/>
      <c r="AC464" s="107"/>
      <c r="AD464" s="107"/>
      <c r="AE464" s="11"/>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270"/>
    </row>
    <row r="465" spans="1:108" s="268" customFormat="1" x14ac:dyDescent="0.25">
      <c r="A465" s="107"/>
      <c r="B465" s="108"/>
      <c r="C465" s="108"/>
      <c r="D465" s="11"/>
      <c r="E465" s="108"/>
      <c r="F465" s="108"/>
      <c r="G465" s="108"/>
      <c r="H465" s="11"/>
      <c r="I465" s="108"/>
      <c r="J465" s="108"/>
      <c r="K465" s="108"/>
      <c r="L465" s="108"/>
      <c r="M465" s="11"/>
      <c r="N465" s="3"/>
      <c r="O465" s="107"/>
      <c r="P465" s="11"/>
      <c r="Q465" s="107"/>
      <c r="R465" s="108"/>
      <c r="S465" s="108"/>
      <c r="T465" s="11"/>
      <c r="U465" s="11"/>
      <c r="V465" s="11"/>
      <c r="W465" s="108"/>
      <c r="X465" s="108"/>
      <c r="Y465" s="108"/>
      <c r="Z465" s="107"/>
      <c r="AA465" s="107"/>
      <c r="AB465" s="11"/>
      <c r="AC465" s="107"/>
      <c r="AD465" s="107"/>
      <c r="AE465" s="11"/>
      <c r="AF465" s="107"/>
      <c r="AG465" s="107"/>
      <c r="AH465" s="107"/>
      <c r="AI465" s="107"/>
      <c r="AJ465" s="107"/>
      <c r="AK465" s="107"/>
      <c r="AL465" s="107"/>
      <c r="AM465" s="107"/>
      <c r="AN465" s="107"/>
      <c r="AO465" s="107"/>
      <c r="AP465" s="107"/>
      <c r="AQ465" s="107"/>
      <c r="AR465" s="107"/>
      <c r="AS465" s="107"/>
      <c r="AT465" s="107"/>
      <c r="AU465" s="107"/>
      <c r="AV465" s="107"/>
      <c r="AW465" s="107"/>
      <c r="AX465" s="107"/>
      <c r="AY465" s="107"/>
      <c r="AZ465" s="107"/>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1"/>
      <c r="CR465" s="11"/>
      <c r="CS465" s="11"/>
      <c r="CT465" s="11"/>
      <c r="CU465" s="11"/>
      <c r="CV465" s="11"/>
      <c r="CW465" s="11"/>
      <c r="CX465" s="11"/>
      <c r="CY465" s="11"/>
      <c r="CZ465" s="11"/>
      <c r="DA465" s="11"/>
      <c r="DB465" s="11"/>
      <c r="DC465" s="11"/>
      <c r="DD465" s="270"/>
    </row>
    <row r="466" spans="1:108" s="268" customFormat="1" x14ac:dyDescent="0.25">
      <c r="A466" s="107"/>
      <c r="B466" s="108"/>
      <c r="C466" s="108"/>
      <c r="D466" s="11"/>
      <c r="E466" s="108"/>
      <c r="F466" s="108"/>
      <c r="G466" s="108"/>
      <c r="H466" s="11"/>
      <c r="I466" s="108"/>
      <c r="J466" s="108"/>
      <c r="K466" s="108"/>
      <c r="L466" s="108"/>
      <c r="M466" s="11"/>
      <c r="N466" s="3"/>
      <c r="O466" s="107"/>
      <c r="P466" s="11"/>
      <c r="Q466" s="107"/>
      <c r="R466" s="108"/>
      <c r="S466" s="108"/>
      <c r="T466" s="11"/>
      <c r="U466" s="11"/>
      <c r="V466" s="11"/>
      <c r="W466" s="108"/>
      <c r="X466" s="108"/>
      <c r="Y466" s="108"/>
      <c r="Z466" s="107"/>
      <c r="AA466" s="107"/>
      <c r="AB466" s="11"/>
      <c r="AC466" s="107"/>
      <c r="AD466" s="107"/>
      <c r="AE466" s="11"/>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270"/>
    </row>
  </sheetData>
  <mergeCells count="195">
    <mergeCell ref="DB13:DB17"/>
    <mergeCell ref="CT3:CZ3"/>
    <mergeCell ref="CI2:CZ2"/>
    <mergeCell ref="CK4:CK5"/>
    <mergeCell ref="CL4:CL5"/>
    <mergeCell ref="CO4:CO5"/>
    <mergeCell ref="CI3:CO3"/>
    <mergeCell ref="CP3:CS3"/>
    <mergeCell ref="CP4:CP5"/>
    <mergeCell ref="CQ4:CQ5"/>
    <mergeCell ref="CR4:CR5"/>
    <mergeCell ref="CS4:CS5"/>
    <mergeCell ref="DB4:DB5"/>
    <mergeCell ref="DA8:DA9"/>
    <mergeCell ref="DB8:DB9"/>
    <mergeCell ref="DB11:DB12"/>
    <mergeCell ref="CJ8:CJ9"/>
    <mergeCell ref="CI8:CI9"/>
    <mergeCell ref="CC2:CG2"/>
    <mergeCell ref="CC3:CG3"/>
    <mergeCell ref="BB2:BL2"/>
    <mergeCell ref="BB3:BL3"/>
    <mergeCell ref="CT4:CY4"/>
    <mergeCell ref="BM2:CB2"/>
    <mergeCell ref="BM3:CB3"/>
    <mergeCell ref="BM4:BN4"/>
    <mergeCell ref="BP4:BQ4"/>
    <mergeCell ref="BS4:BT4"/>
    <mergeCell ref="BV4:BW4"/>
    <mergeCell ref="BX4:BX5"/>
    <mergeCell ref="CA4:CA5"/>
    <mergeCell ref="BH4:BI4"/>
    <mergeCell ref="AU2:AZ2"/>
    <mergeCell ref="AU4:AY4"/>
    <mergeCell ref="BB4:BC4"/>
    <mergeCell ref="BF4:BG4"/>
    <mergeCell ref="BD4:BE4"/>
    <mergeCell ref="BA3:BA5"/>
    <mergeCell ref="AS3:AZ3"/>
    <mergeCell ref="AS4:AT4"/>
    <mergeCell ref="AZ4:AZ5"/>
    <mergeCell ref="T4:T5"/>
    <mergeCell ref="Z4:AB4"/>
    <mergeCell ref="DC4:DC5"/>
    <mergeCell ref="AH4:AH5"/>
    <mergeCell ref="J4:M4"/>
    <mergeCell ref="S4:S5"/>
    <mergeCell ref="U4:U5"/>
    <mergeCell ref="V4:V5"/>
    <mergeCell ref="W4:Y4"/>
    <mergeCell ref="BL4:BL5"/>
    <mergeCell ref="DA4:DA5"/>
    <mergeCell ref="CZ4:CZ5"/>
    <mergeCell ref="BJ4:BK4"/>
    <mergeCell ref="CH4:CH5"/>
    <mergeCell ref="CI4:CJ4"/>
    <mergeCell ref="CM4:CN4"/>
    <mergeCell ref="AC4:AC5"/>
    <mergeCell ref="AF4:AF5"/>
    <mergeCell ref="AO4:AR4"/>
    <mergeCell ref="BY4:BZ4"/>
    <mergeCell ref="CB4:CB5"/>
    <mergeCell ref="BO4:BO5"/>
    <mergeCell ref="BR4:BR5"/>
    <mergeCell ref="BU4:BU5"/>
    <mergeCell ref="AC8:AC9"/>
    <mergeCell ref="AD8:AD9"/>
    <mergeCell ref="AE8:AE9"/>
    <mergeCell ref="AF8:AF9"/>
    <mergeCell ref="A1:I1"/>
    <mergeCell ref="O1:DA1"/>
    <mergeCell ref="DB1:DC1"/>
    <mergeCell ref="B4:D4"/>
    <mergeCell ref="I4:I5"/>
    <mergeCell ref="A3:I3"/>
    <mergeCell ref="O3:AG3"/>
    <mergeCell ref="A2:I2"/>
    <mergeCell ref="O2:AG2"/>
    <mergeCell ref="AH2:AR2"/>
    <mergeCell ref="N4:N5"/>
    <mergeCell ref="O4:O5"/>
    <mergeCell ref="AD4:AE4"/>
    <mergeCell ref="AG4:AG5"/>
    <mergeCell ref="DB3:DC3"/>
    <mergeCell ref="A4:A5"/>
    <mergeCell ref="E4:H4"/>
    <mergeCell ref="P4:P5"/>
    <mergeCell ref="Q4:Q5"/>
    <mergeCell ref="R4:R5"/>
    <mergeCell ref="CH8:CH9"/>
    <mergeCell ref="CO8:CO9"/>
    <mergeCell ref="CN8:CN9"/>
    <mergeCell ref="CM8:CM9"/>
    <mergeCell ref="CL8:CL9"/>
    <mergeCell ref="CK8:CK9"/>
    <mergeCell ref="CG8:CG9"/>
    <mergeCell ref="K11:K12"/>
    <mergeCell ref="J8:J9"/>
    <mergeCell ref="CF8:CF9"/>
    <mergeCell ref="CE8:CE9"/>
    <mergeCell ref="CD8:CD9"/>
    <mergeCell ref="CC8:CC9"/>
    <mergeCell ref="R8:R9"/>
    <mergeCell ref="S8:S9"/>
    <mergeCell ref="T8:T9"/>
    <mergeCell ref="U8:U9"/>
    <mergeCell ref="O8:O9"/>
    <mergeCell ref="P8:P9"/>
    <mergeCell ref="Q8:Q9"/>
    <mergeCell ref="Z8:Z9"/>
    <mergeCell ref="AA8:AA9"/>
    <mergeCell ref="V8:V9"/>
    <mergeCell ref="W8:W9"/>
    <mergeCell ref="H11:H12"/>
    <mergeCell ref="CJ11:CJ12"/>
    <mergeCell ref="CK11:CK12"/>
    <mergeCell ref="CL11:CL12"/>
    <mergeCell ref="CM11:CM12"/>
    <mergeCell ref="CN11:CN12"/>
    <mergeCell ref="CE11:CE12"/>
    <mergeCell ref="CF11:CF12"/>
    <mergeCell ref="CG11:CG12"/>
    <mergeCell ref="CH11:CH12"/>
    <mergeCell ref="CI11:CI12"/>
    <mergeCell ref="AD11:AD12"/>
    <mergeCell ref="AE11:AE12"/>
    <mergeCell ref="AF11:AF12"/>
    <mergeCell ref="CC11:CC12"/>
    <mergeCell ref="CD11:CD12"/>
    <mergeCell ref="Z11:Z12"/>
    <mergeCell ref="AA11:AA12"/>
    <mergeCell ref="AB11:AB12"/>
    <mergeCell ref="AC11:AC12"/>
    <mergeCell ref="X11:X12"/>
    <mergeCell ref="Y11:Y12"/>
    <mergeCell ref="K13:K17"/>
    <mergeCell ref="H13:H17"/>
    <mergeCell ref="D13:D17"/>
    <mergeCell ref="B13:B17"/>
    <mergeCell ref="A13:A17"/>
    <mergeCell ref="D11:D12"/>
    <mergeCell ref="B11:B12"/>
    <mergeCell ref="A11:A12"/>
    <mergeCell ref="DA11:DA12"/>
    <mergeCell ref="CH13:CH17"/>
    <mergeCell ref="CJ13:CJ17"/>
    <mergeCell ref="CK13:CK17"/>
    <mergeCell ref="CL13:CL17"/>
    <mergeCell ref="CM13:CM17"/>
    <mergeCell ref="CN13:CN17"/>
    <mergeCell ref="DA13:DA17"/>
    <mergeCell ref="V13:V14"/>
    <mergeCell ref="W13:W14"/>
    <mergeCell ref="S13:S17"/>
    <mergeCell ref="T13:T17"/>
    <mergeCell ref="U13:U17"/>
    <mergeCell ref="P13:P17"/>
    <mergeCell ref="Q13:Q17"/>
    <mergeCell ref="R13:R17"/>
    <mergeCell ref="O13:O17"/>
    <mergeCell ref="AF13:AF14"/>
    <mergeCell ref="AJ4:AN4"/>
    <mergeCell ref="AE13:AE17"/>
    <mergeCell ref="AC13:AC17"/>
    <mergeCell ref="Z13:Z14"/>
    <mergeCell ref="AD13:AD14"/>
    <mergeCell ref="AB13:AB17"/>
    <mergeCell ref="AA13:AA17"/>
    <mergeCell ref="X13:X14"/>
    <mergeCell ref="Y13:Y17"/>
    <mergeCell ref="AB8:AB9"/>
    <mergeCell ref="O11:O12"/>
    <mergeCell ref="P11:P12"/>
    <mergeCell ref="Q11:Q12"/>
    <mergeCell ref="R11:R12"/>
    <mergeCell ref="S11:S12"/>
    <mergeCell ref="T11:T12"/>
    <mergeCell ref="U11:U12"/>
    <mergeCell ref="V11:V12"/>
    <mergeCell ref="W11:W12"/>
    <mergeCell ref="AI4:AI5"/>
    <mergeCell ref="X8:X9"/>
    <mergeCell ref="Y8:Y9"/>
    <mergeCell ref="DD8:DD9"/>
    <mergeCell ref="DE8:DE9"/>
    <mergeCell ref="DF8:DF9"/>
    <mergeCell ref="DG8:DG9"/>
    <mergeCell ref="DD11:DD12"/>
    <mergeCell ref="DE11:DE12"/>
    <mergeCell ref="DF11:DF12"/>
    <mergeCell ref="DD13:DD17"/>
    <mergeCell ref="DE13:DE17"/>
    <mergeCell ref="DF13:DF17"/>
    <mergeCell ref="DG11:DG12"/>
    <mergeCell ref="DG13:DG1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D081A-5951-4D46-A839-C74F261BE0D3}">
  <dimension ref="A1:CP495"/>
  <sheetViews>
    <sheetView topLeftCell="CN1" zoomScale="70" zoomScaleNormal="70" workbookViewId="0">
      <selection activeCell="CN5" sqref="CN5"/>
    </sheetView>
  </sheetViews>
  <sheetFormatPr baseColWidth="10" defaultRowHeight="15" x14ac:dyDescent="0.25"/>
  <cols>
    <col min="1" max="1" width="6.140625" style="107" customWidth="1"/>
    <col min="2" max="4" width="5.28515625" style="107" customWidth="1"/>
    <col min="5" max="5" width="9.28515625" style="107" customWidth="1"/>
    <col min="6" max="6" width="8.85546875" style="107" customWidth="1"/>
    <col min="7" max="10" width="5.28515625" style="107" customWidth="1"/>
    <col min="11" max="11" width="8.85546875" style="107" customWidth="1"/>
    <col min="12" max="12" width="9.42578125" style="107" customWidth="1"/>
    <col min="13" max="16" width="5.28515625" style="107" customWidth="1"/>
    <col min="17" max="17" width="9.42578125" style="107" customWidth="1"/>
    <col min="18" max="18" width="9.7109375" style="107" customWidth="1"/>
    <col min="19" max="22" width="5.28515625" style="107" customWidth="1"/>
    <col min="23" max="23" width="8.7109375" style="107" customWidth="1"/>
    <col min="24" max="24" width="9.7109375" style="107" customWidth="1"/>
    <col min="25" max="25" width="11" style="107" customWidth="1"/>
    <col min="26" max="29" width="5.28515625" style="107" customWidth="1"/>
    <col min="30" max="30" width="9.42578125" style="107" customWidth="1"/>
    <col min="31" max="31" width="9.7109375" style="107" customWidth="1"/>
    <col min="32" max="35" width="5.28515625" style="107" customWidth="1"/>
    <col min="36" max="36" width="9.42578125" style="107" customWidth="1"/>
    <col min="37" max="37" width="9.7109375" style="107" customWidth="1"/>
    <col min="38" max="41" width="5.28515625" style="107" customWidth="1"/>
    <col min="42" max="42" width="9.42578125" style="107" customWidth="1"/>
    <col min="43" max="43" width="9.7109375" style="107" customWidth="1"/>
    <col min="44" max="44" width="8.42578125" style="107" customWidth="1"/>
    <col min="45" max="48" width="5.28515625" style="107" customWidth="1"/>
    <col min="49" max="49" width="9.42578125" style="107" customWidth="1"/>
    <col min="50" max="51" width="9.7109375" style="107" customWidth="1"/>
    <col min="52" max="55" width="5.28515625" style="107" customWidth="1"/>
    <col min="56" max="56" width="9.42578125" style="107" customWidth="1"/>
    <col min="57" max="59" width="9.7109375" style="107" customWidth="1"/>
    <col min="60" max="64" width="5.28515625" style="107" customWidth="1"/>
    <col min="65" max="65" width="9.42578125" style="107" customWidth="1"/>
    <col min="66" max="67" width="9.7109375" style="107" customWidth="1"/>
    <col min="68" max="72" width="5.28515625" style="107" customWidth="1"/>
    <col min="73" max="73" width="9.42578125" style="107" customWidth="1"/>
    <col min="74" max="74" width="9.7109375" style="107" customWidth="1"/>
    <col min="75" max="78" width="5.28515625" style="107" customWidth="1"/>
    <col min="79" max="79" width="9.42578125" style="107" customWidth="1"/>
    <col min="80" max="80" width="9.7109375" style="107" customWidth="1"/>
    <col min="81" max="85" width="5.28515625" style="107" customWidth="1"/>
    <col min="86" max="86" width="9.42578125" style="107" customWidth="1"/>
    <col min="87" max="88" width="9.7109375" style="107" customWidth="1"/>
    <col min="89" max="89" width="9" style="107" customWidth="1"/>
    <col min="90" max="90" width="5.28515625" style="107" customWidth="1"/>
    <col min="91" max="91" width="65.85546875" style="268" bestFit="1" customWidth="1"/>
    <col min="92" max="92" width="255.28515625" style="268" bestFit="1" customWidth="1"/>
    <col min="93" max="93" width="115.28515625" style="268" bestFit="1" customWidth="1"/>
    <col min="94" max="94" width="87" style="268" customWidth="1"/>
    <col min="95" max="16384" width="11.42578125" style="107"/>
  </cols>
  <sheetData>
    <row r="1" spans="1:94" s="12" customFormat="1" ht="15.75" thickTop="1" x14ac:dyDescent="0.25">
      <c r="B1" s="610" t="s">
        <v>909</v>
      </c>
      <c r="C1" s="611"/>
      <c r="D1" s="611"/>
      <c r="E1" s="611"/>
      <c r="F1" s="611"/>
      <c r="G1" s="622"/>
      <c r="H1" s="610" t="s">
        <v>454</v>
      </c>
      <c r="I1" s="611"/>
      <c r="J1" s="611"/>
      <c r="K1" s="611"/>
      <c r="L1" s="611"/>
      <c r="M1" s="611"/>
      <c r="N1" s="610" t="s">
        <v>660</v>
      </c>
      <c r="O1" s="611"/>
      <c r="P1" s="611"/>
      <c r="Q1" s="611"/>
      <c r="R1" s="611"/>
      <c r="S1" s="611"/>
      <c r="T1" s="610" t="s">
        <v>910</v>
      </c>
      <c r="U1" s="611"/>
      <c r="V1" s="611"/>
      <c r="W1" s="611"/>
      <c r="X1" s="611"/>
      <c r="Y1" s="611"/>
      <c r="Z1" s="612"/>
      <c r="AA1" s="610" t="s">
        <v>911</v>
      </c>
      <c r="AB1" s="611"/>
      <c r="AC1" s="611"/>
      <c r="AD1" s="611"/>
      <c r="AE1" s="611"/>
      <c r="AF1" s="612"/>
      <c r="AG1" s="610" t="s">
        <v>913</v>
      </c>
      <c r="AH1" s="611"/>
      <c r="AI1" s="611"/>
      <c r="AJ1" s="611"/>
      <c r="AK1" s="611"/>
      <c r="AL1" s="612"/>
      <c r="AM1" s="610" t="s">
        <v>914</v>
      </c>
      <c r="AN1" s="611"/>
      <c r="AO1" s="611"/>
      <c r="AP1" s="611"/>
      <c r="AQ1" s="611"/>
      <c r="AR1" s="611"/>
      <c r="AS1" s="612"/>
      <c r="AT1" s="610" t="s">
        <v>915</v>
      </c>
      <c r="AU1" s="611"/>
      <c r="AV1" s="611"/>
      <c r="AW1" s="611"/>
      <c r="AX1" s="611"/>
      <c r="AY1" s="611"/>
      <c r="AZ1" s="612"/>
      <c r="BA1" s="610" t="s">
        <v>383</v>
      </c>
      <c r="BB1" s="611"/>
      <c r="BC1" s="611"/>
      <c r="BD1" s="611"/>
      <c r="BE1" s="611"/>
      <c r="BF1" s="611"/>
      <c r="BG1" s="611"/>
      <c r="BH1" s="612"/>
      <c r="BI1" s="610" t="s">
        <v>391</v>
      </c>
      <c r="BJ1" s="611"/>
      <c r="BK1" s="611"/>
      <c r="BL1" s="611"/>
      <c r="BM1" s="611"/>
      <c r="BN1" s="611"/>
      <c r="BO1" s="611"/>
      <c r="BP1" s="612"/>
      <c r="BQ1" s="610" t="s">
        <v>916</v>
      </c>
      <c r="BR1" s="611"/>
      <c r="BS1" s="611"/>
      <c r="BT1" s="611"/>
      <c r="BU1" s="611"/>
      <c r="BV1" s="611"/>
      <c r="BW1" s="612"/>
      <c r="BX1" s="610" t="s">
        <v>917</v>
      </c>
      <c r="BY1" s="611"/>
      <c r="BZ1" s="611"/>
      <c r="CA1" s="611"/>
      <c r="CB1" s="611"/>
      <c r="CC1" s="611"/>
      <c r="CD1" s="612"/>
      <c r="CE1" s="610" t="s">
        <v>912</v>
      </c>
      <c r="CF1" s="611"/>
      <c r="CG1" s="611"/>
      <c r="CH1" s="611"/>
      <c r="CI1" s="611"/>
      <c r="CJ1" s="611"/>
      <c r="CK1" s="611"/>
      <c r="CL1" s="612"/>
      <c r="CM1" s="263"/>
      <c r="CN1" s="263"/>
      <c r="CO1" s="263"/>
      <c r="CP1" s="264"/>
    </row>
    <row r="2" spans="1:94" s="12" customFormat="1" ht="30" customHeight="1" x14ac:dyDescent="0.25">
      <c r="B2" s="531" t="s">
        <v>554</v>
      </c>
      <c r="C2" s="524"/>
      <c r="D2" s="516"/>
      <c r="E2" s="515" t="s">
        <v>555</v>
      </c>
      <c r="F2" s="516"/>
      <c r="G2" s="605" t="s">
        <v>558</v>
      </c>
      <c r="H2" s="531" t="s">
        <v>554</v>
      </c>
      <c r="I2" s="524"/>
      <c r="J2" s="516"/>
      <c r="K2" s="515" t="s">
        <v>555</v>
      </c>
      <c r="L2" s="516"/>
      <c r="M2" s="618" t="s">
        <v>558</v>
      </c>
      <c r="N2" s="531" t="s">
        <v>554</v>
      </c>
      <c r="O2" s="524"/>
      <c r="P2" s="516"/>
      <c r="Q2" s="515" t="s">
        <v>557</v>
      </c>
      <c r="R2" s="516"/>
      <c r="S2" s="618" t="s">
        <v>558</v>
      </c>
      <c r="T2" s="531" t="s">
        <v>554</v>
      </c>
      <c r="U2" s="524"/>
      <c r="V2" s="516"/>
      <c r="W2" s="515" t="s">
        <v>555</v>
      </c>
      <c r="X2" s="516"/>
      <c r="Y2" s="623" t="s">
        <v>559</v>
      </c>
      <c r="Z2" s="613" t="s">
        <v>558</v>
      </c>
      <c r="AA2" s="531" t="s">
        <v>554</v>
      </c>
      <c r="AB2" s="524"/>
      <c r="AC2" s="516"/>
      <c r="AD2" s="515" t="s">
        <v>557</v>
      </c>
      <c r="AE2" s="516"/>
      <c r="AF2" s="613" t="s">
        <v>558</v>
      </c>
      <c r="AG2" s="531" t="s">
        <v>554</v>
      </c>
      <c r="AH2" s="524"/>
      <c r="AI2" s="516"/>
      <c r="AJ2" s="515" t="s">
        <v>557</v>
      </c>
      <c r="AK2" s="516"/>
      <c r="AL2" s="613" t="s">
        <v>558</v>
      </c>
      <c r="AM2" s="531" t="s">
        <v>554</v>
      </c>
      <c r="AN2" s="524"/>
      <c r="AO2" s="516"/>
      <c r="AP2" s="515" t="s">
        <v>557</v>
      </c>
      <c r="AQ2" s="516"/>
      <c r="AR2" s="605" t="s">
        <v>1017</v>
      </c>
      <c r="AS2" s="613" t="s">
        <v>558</v>
      </c>
      <c r="AT2" s="531" t="s">
        <v>554</v>
      </c>
      <c r="AU2" s="524"/>
      <c r="AV2" s="516"/>
      <c r="AW2" s="515" t="s">
        <v>557</v>
      </c>
      <c r="AX2" s="516"/>
      <c r="AY2" s="605" t="s">
        <v>1017</v>
      </c>
      <c r="AZ2" s="613" t="s">
        <v>558</v>
      </c>
      <c r="BA2" s="531" t="s">
        <v>554</v>
      </c>
      <c r="BB2" s="524"/>
      <c r="BC2" s="516"/>
      <c r="BD2" s="515" t="s">
        <v>557</v>
      </c>
      <c r="BE2" s="516"/>
      <c r="BF2" s="513" t="s">
        <v>628</v>
      </c>
      <c r="BG2" s="605" t="s">
        <v>1017</v>
      </c>
      <c r="BH2" s="613" t="s">
        <v>558</v>
      </c>
      <c r="BI2" s="531" t="s">
        <v>554</v>
      </c>
      <c r="BJ2" s="524"/>
      <c r="BK2" s="516"/>
      <c r="BL2" s="515" t="s">
        <v>557</v>
      </c>
      <c r="BM2" s="524"/>
      <c r="BN2" s="516"/>
      <c r="BO2" s="605" t="s">
        <v>1017</v>
      </c>
      <c r="BP2" s="613" t="s">
        <v>558</v>
      </c>
      <c r="BQ2" s="531" t="s">
        <v>554</v>
      </c>
      <c r="BR2" s="524"/>
      <c r="BS2" s="516"/>
      <c r="BT2" s="515" t="s">
        <v>557</v>
      </c>
      <c r="BU2" s="524"/>
      <c r="BV2" s="516"/>
      <c r="BW2" s="613" t="s">
        <v>558</v>
      </c>
      <c r="BX2" s="531" t="s">
        <v>554</v>
      </c>
      <c r="BY2" s="524"/>
      <c r="BZ2" s="516"/>
      <c r="CA2" s="515" t="s">
        <v>557</v>
      </c>
      <c r="CB2" s="516"/>
      <c r="CC2" s="520" t="s">
        <v>643</v>
      </c>
      <c r="CD2" s="613" t="s">
        <v>558</v>
      </c>
      <c r="CE2" s="531" t="s">
        <v>554</v>
      </c>
      <c r="CF2" s="524"/>
      <c r="CG2" s="516"/>
      <c r="CH2" s="515" t="s">
        <v>557</v>
      </c>
      <c r="CI2" s="516"/>
      <c r="CJ2" s="527" t="s">
        <v>255</v>
      </c>
      <c r="CK2" s="527"/>
      <c r="CL2" s="613" t="s">
        <v>558</v>
      </c>
      <c r="CM2" s="263"/>
      <c r="CN2" s="263"/>
      <c r="CO2" s="263"/>
      <c r="CP2" s="264"/>
    </row>
    <row r="3" spans="1:94" s="12" customFormat="1" ht="26.25" customHeight="1" x14ac:dyDescent="0.25">
      <c r="B3" s="614" t="s">
        <v>456</v>
      </c>
      <c r="C3" s="616" t="s">
        <v>448</v>
      </c>
      <c r="D3" s="520" t="s">
        <v>335</v>
      </c>
      <c r="E3" s="525" t="s">
        <v>556</v>
      </c>
      <c r="F3" s="539"/>
      <c r="G3" s="621"/>
      <c r="H3" s="614" t="s">
        <v>456</v>
      </c>
      <c r="I3" s="616" t="s">
        <v>448</v>
      </c>
      <c r="J3" s="520" t="s">
        <v>335</v>
      </c>
      <c r="K3" s="525" t="s">
        <v>556</v>
      </c>
      <c r="L3" s="539"/>
      <c r="M3" s="619"/>
      <c r="N3" s="614" t="s">
        <v>456</v>
      </c>
      <c r="O3" s="616" t="s">
        <v>448</v>
      </c>
      <c r="P3" s="520" t="s">
        <v>335</v>
      </c>
      <c r="Q3" s="525" t="s">
        <v>560</v>
      </c>
      <c r="R3" s="539"/>
      <c r="S3" s="619"/>
      <c r="T3" s="614" t="s">
        <v>456</v>
      </c>
      <c r="U3" s="616" t="s">
        <v>448</v>
      </c>
      <c r="V3" s="520" t="s">
        <v>335</v>
      </c>
      <c r="W3" s="525" t="s">
        <v>150</v>
      </c>
      <c r="X3" s="539"/>
      <c r="Y3" s="624"/>
      <c r="Z3" s="537"/>
      <c r="AA3" s="614" t="s">
        <v>456</v>
      </c>
      <c r="AB3" s="616" t="s">
        <v>448</v>
      </c>
      <c r="AC3" s="520" t="s">
        <v>335</v>
      </c>
      <c r="AD3" s="525" t="s">
        <v>564</v>
      </c>
      <c r="AE3" s="539"/>
      <c r="AF3" s="537"/>
      <c r="AG3" s="614" t="s">
        <v>456</v>
      </c>
      <c r="AH3" s="616" t="s">
        <v>448</v>
      </c>
      <c r="AI3" s="520" t="s">
        <v>335</v>
      </c>
      <c r="AJ3" s="525" t="s">
        <v>565</v>
      </c>
      <c r="AK3" s="539"/>
      <c r="AL3" s="537"/>
      <c r="AM3" s="614" t="s">
        <v>456</v>
      </c>
      <c r="AN3" s="616" t="s">
        <v>448</v>
      </c>
      <c r="AO3" s="520" t="s">
        <v>335</v>
      </c>
      <c r="AP3" s="525" t="s">
        <v>180</v>
      </c>
      <c r="AQ3" s="539"/>
      <c r="AR3" s="621"/>
      <c r="AS3" s="537"/>
      <c r="AT3" s="614" t="s">
        <v>456</v>
      </c>
      <c r="AU3" s="616" t="s">
        <v>448</v>
      </c>
      <c r="AV3" s="520" t="s">
        <v>335</v>
      </c>
      <c r="AW3" s="525" t="s">
        <v>566</v>
      </c>
      <c r="AX3" s="539"/>
      <c r="AY3" s="621"/>
      <c r="AZ3" s="537"/>
      <c r="BA3" s="614" t="s">
        <v>456</v>
      </c>
      <c r="BB3" s="616" t="s">
        <v>448</v>
      </c>
      <c r="BC3" s="520" t="s">
        <v>335</v>
      </c>
      <c r="BD3" s="525" t="s">
        <v>180</v>
      </c>
      <c r="BE3" s="539"/>
      <c r="BF3" s="626"/>
      <c r="BG3" s="621"/>
      <c r="BH3" s="537"/>
      <c r="BI3" s="614" t="s">
        <v>456</v>
      </c>
      <c r="BJ3" s="616" t="s">
        <v>448</v>
      </c>
      <c r="BK3" s="520" t="s">
        <v>335</v>
      </c>
      <c r="BL3" s="520" t="s">
        <v>464</v>
      </c>
      <c r="BM3" s="525" t="s">
        <v>180</v>
      </c>
      <c r="BN3" s="539"/>
      <c r="BO3" s="621"/>
      <c r="BP3" s="537"/>
      <c r="BQ3" s="614" t="s">
        <v>456</v>
      </c>
      <c r="BR3" s="616" t="s">
        <v>448</v>
      </c>
      <c r="BS3" s="520" t="s">
        <v>335</v>
      </c>
      <c r="BT3" s="520" t="s">
        <v>567</v>
      </c>
      <c r="BU3" s="525" t="s">
        <v>180</v>
      </c>
      <c r="BV3" s="539"/>
      <c r="BW3" s="537"/>
      <c r="BX3" s="614" t="s">
        <v>456</v>
      </c>
      <c r="BY3" s="616" t="s">
        <v>448</v>
      </c>
      <c r="BZ3" s="520" t="s">
        <v>335</v>
      </c>
      <c r="CA3" s="525" t="s">
        <v>180</v>
      </c>
      <c r="CB3" s="539"/>
      <c r="CC3" s="627"/>
      <c r="CD3" s="537"/>
      <c r="CE3" s="614" t="s">
        <v>456</v>
      </c>
      <c r="CF3" s="616" t="s">
        <v>448</v>
      </c>
      <c r="CG3" s="520" t="s">
        <v>335</v>
      </c>
      <c r="CH3" s="525" t="s">
        <v>696</v>
      </c>
      <c r="CI3" s="539"/>
      <c r="CJ3" s="527" t="s">
        <v>562</v>
      </c>
      <c r="CK3" s="527" t="s">
        <v>563</v>
      </c>
      <c r="CL3" s="537"/>
      <c r="CM3" s="263"/>
      <c r="CN3" s="263"/>
      <c r="CO3" s="263"/>
      <c r="CP3" s="264"/>
    </row>
    <row r="4" spans="1:94" s="12" customFormat="1" ht="42" customHeight="1" x14ac:dyDescent="0.25">
      <c r="B4" s="615"/>
      <c r="C4" s="617"/>
      <c r="D4" s="521"/>
      <c r="E4" s="314" t="s">
        <v>562</v>
      </c>
      <c r="F4" s="315" t="s">
        <v>563</v>
      </c>
      <c r="G4" s="606"/>
      <c r="H4" s="615"/>
      <c r="I4" s="617"/>
      <c r="J4" s="521"/>
      <c r="K4" s="314" t="s">
        <v>562</v>
      </c>
      <c r="L4" s="315" t="s">
        <v>563</v>
      </c>
      <c r="M4" s="620"/>
      <c r="N4" s="615"/>
      <c r="O4" s="617"/>
      <c r="P4" s="521"/>
      <c r="Q4" s="314" t="s">
        <v>562</v>
      </c>
      <c r="R4" s="315" t="s">
        <v>563</v>
      </c>
      <c r="S4" s="620"/>
      <c r="T4" s="615"/>
      <c r="U4" s="617"/>
      <c r="V4" s="521"/>
      <c r="W4" s="314" t="s">
        <v>562</v>
      </c>
      <c r="X4" s="315" t="s">
        <v>563</v>
      </c>
      <c r="Y4" s="625"/>
      <c r="Z4" s="538"/>
      <c r="AA4" s="615"/>
      <c r="AB4" s="617"/>
      <c r="AC4" s="521"/>
      <c r="AD4" s="314" t="s">
        <v>562</v>
      </c>
      <c r="AE4" s="315" t="s">
        <v>563</v>
      </c>
      <c r="AF4" s="538"/>
      <c r="AG4" s="615"/>
      <c r="AH4" s="617"/>
      <c r="AI4" s="521"/>
      <c r="AJ4" s="314" t="s">
        <v>562</v>
      </c>
      <c r="AK4" s="315" t="s">
        <v>563</v>
      </c>
      <c r="AL4" s="538"/>
      <c r="AM4" s="615"/>
      <c r="AN4" s="617"/>
      <c r="AO4" s="521"/>
      <c r="AP4" s="314" t="s">
        <v>562</v>
      </c>
      <c r="AQ4" s="315" t="s">
        <v>563</v>
      </c>
      <c r="AR4" s="606"/>
      <c r="AS4" s="538"/>
      <c r="AT4" s="615"/>
      <c r="AU4" s="617"/>
      <c r="AV4" s="521"/>
      <c r="AW4" s="314" t="s">
        <v>562</v>
      </c>
      <c r="AX4" s="315" t="s">
        <v>563</v>
      </c>
      <c r="AY4" s="606"/>
      <c r="AZ4" s="538"/>
      <c r="BA4" s="615"/>
      <c r="BB4" s="617"/>
      <c r="BC4" s="521"/>
      <c r="BD4" s="314" t="s">
        <v>562</v>
      </c>
      <c r="BE4" s="315" t="s">
        <v>563</v>
      </c>
      <c r="BF4" s="514"/>
      <c r="BG4" s="606"/>
      <c r="BH4" s="538"/>
      <c r="BI4" s="615"/>
      <c r="BJ4" s="617"/>
      <c r="BK4" s="521"/>
      <c r="BL4" s="521"/>
      <c r="BM4" s="314" t="s">
        <v>562</v>
      </c>
      <c r="BN4" s="315" t="s">
        <v>563</v>
      </c>
      <c r="BO4" s="606"/>
      <c r="BP4" s="538"/>
      <c r="BQ4" s="615"/>
      <c r="BR4" s="617"/>
      <c r="BS4" s="521"/>
      <c r="BT4" s="521"/>
      <c r="BU4" s="314" t="s">
        <v>562</v>
      </c>
      <c r="BV4" s="315" t="s">
        <v>563</v>
      </c>
      <c r="BW4" s="538"/>
      <c r="BX4" s="615"/>
      <c r="BY4" s="617"/>
      <c r="BZ4" s="521"/>
      <c r="CA4" s="314" t="s">
        <v>562</v>
      </c>
      <c r="CB4" s="315" t="s">
        <v>563</v>
      </c>
      <c r="CC4" s="521"/>
      <c r="CD4" s="538"/>
      <c r="CE4" s="615"/>
      <c r="CF4" s="617"/>
      <c r="CG4" s="521"/>
      <c r="CH4" s="314" t="s">
        <v>562</v>
      </c>
      <c r="CI4" s="315" t="s">
        <v>563</v>
      </c>
      <c r="CJ4" s="527"/>
      <c r="CK4" s="527"/>
      <c r="CL4" s="538"/>
      <c r="CM4" s="263" t="s">
        <v>549</v>
      </c>
      <c r="CN4" s="263" t="s">
        <v>548</v>
      </c>
      <c r="CO4" s="263"/>
      <c r="CP4" s="265" t="s">
        <v>8</v>
      </c>
    </row>
    <row r="5" spans="1:94" s="109" customFormat="1" ht="15" customHeight="1" x14ac:dyDescent="0.25">
      <c r="A5" s="23"/>
      <c r="B5" s="20">
        <v>1</v>
      </c>
      <c r="C5" s="13"/>
      <c r="D5" s="103"/>
      <c r="E5" s="13">
        <v>1</v>
      </c>
      <c r="F5" s="111"/>
      <c r="G5" s="111">
        <v>1</v>
      </c>
      <c r="H5" s="20"/>
      <c r="I5" s="13"/>
      <c r="J5" s="103"/>
      <c r="K5" s="103"/>
      <c r="L5" s="111"/>
      <c r="M5" s="101"/>
      <c r="N5" s="20"/>
      <c r="O5" s="13"/>
      <c r="P5" s="103"/>
      <c r="Q5" s="103"/>
      <c r="R5" s="111"/>
      <c r="S5" s="101"/>
      <c r="T5" s="20"/>
      <c r="U5" s="13"/>
      <c r="V5" s="103"/>
      <c r="W5" s="103"/>
      <c r="X5" s="111"/>
      <c r="Y5" s="111"/>
      <c r="Z5" s="280"/>
      <c r="AA5" s="20"/>
      <c r="AB5" s="13"/>
      <c r="AC5" s="103"/>
      <c r="AD5" s="103"/>
      <c r="AE5" s="111"/>
      <c r="AF5" s="280"/>
      <c r="AG5" s="20"/>
      <c r="AH5" s="13"/>
      <c r="AI5" s="103"/>
      <c r="AJ5" s="103"/>
      <c r="AK5" s="111"/>
      <c r="AL5" s="280"/>
      <c r="AM5" s="20"/>
      <c r="AN5" s="13"/>
      <c r="AO5" s="103"/>
      <c r="AP5" s="103"/>
      <c r="AQ5" s="111"/>
      <c r="AR5" s="101"/>
      <c r="AS5" s="280"/>
      <c r="AT5" s="20"/>
      <c r="AU5" s="13"/>
      <c r="AV5" s="103"/>
      <c r="AW5" s="103"/>
      <c r="AX5" s="111"/>
      <c r="AY5" s="101"/>
      <c r="AZ5" s="280"/>
      <c r="BA5" s="20"/>
      <c r="BB5" s="13"/>
      <c r="BC5" s="103"/>
      <c r="BD5" s="103"/>
      <c r="BE5" s="111"/>
      <c r="BF5" s="101"/>
      <c r="BG5" s="101"/>
      <c r="BH5" s="280"/>
      <c r="BI5" s="20"/>
      <c r="BJ5" s="13"/>
      <c r="BK5" s="103"/>
      <c r="BL5" s="103"/>
      <c r="BM5" s="103"/>
      <c r="BN5" s="111"/>
      <c r="BO5" s="101"/>
      <c r="BP5" s="280"/>
      <c r="BQ5" s="20"/>
      <c r="BR5" s="13"/>
      <c r="BS5" s="103"/>
      <c r="BT5" s="103"/>
      <c r="BU5" s="103"/>
      <c r="BV5" s="111"/>
      <c r="BW5" s="280"/>
      <c r="BX5" s="20"/>
      <c r="BY5" s="13"/>
      <c r="BZ5" s="103"/>
      <c r="CA5" s="103"/>
      <c r="CB5" s="111"/>
      <c r="CC5" s="101"/>
      <c r="CD5" s="280"/>
      <c r="CE5" s="20"/>
      <c r="CF5" s="13"/>
      <c r="CG5" s="353"/>
      <c r="CH5" s="111"/>
      <c r="CI5" s="111"/>
      <c r="CJ5" s="101"/>
      <c r="CK5" s="101"/>
      <c r="CL5" s="280"/>
      <c r="CM5" s="266" t="s">
        <v>569</v>
      </c>
      <c r="CN5" s="266" t="str">
        <f>CONCATENATE("Acceder al sistema Gemma con usuario y perfil activo para la funcionalidad modulo Maestro - Categoria Distribuidor, hacer clic en el boton ","",IF(B5=1,"Agregar","")," colocando la descripcion, ",IF(C5=1,"Modificar un registro","")," presionar el boton Confirmar y ",IF(D5=1,"Eliminar un registro",""),"luego presionar ",IF(G5=1,"Exportar Documento Excel",""), ,IF(A5=1,"Link Nombre Distribuidor","")," ",IF(FZ19=1,$FZ$4,"")," ")</f>
        <v xml:space="preserve">Acceder al sistema Gemma con usuario y perfil activo para la funcionalidad modulo Maestro - Categoria Distribuidor, hacer clic en el boton Agregar colocando la descripcion,  presionar el boton Confirmar y luego presionar Exportar Documento Excel  </v>
      </c>
      <c r="CO5" s="310" t="str">
        <f>CONCATENATE(" Validar funcionalidad  Categoría Distribuidores ",IF(B5=1,$B$3,"")," ",IF(C5=1,$C$3,""),"",IF(D5=1,$D$3,"")," ",IF(E5=1,$E$4,"")," en el filtro ",IF(F5=1,$F$4,""), " una vez confirmado ", IF(G5=1,$G$2,""),)</f>
        <v xml:space="preserve"> Validar funcionalidad  Categoría Distribuidores Agregar  Con Valores en el filtro  una vez confirmado Exportar Excel </v>
      </c>
      <c r="CP5" s="267" t="s">
        <v>1321</v>
      </c>
    </row>
    <row r="6" spans="1:94" s="109" customFormat="1" ht="15" customHeight="1" x14ac:dyDescent="0.25">
      <c r="A6" s="23"/>
      <c r="B6" s="20">
        <v>1</v>
      </c>
      <c r="C6" s="13"/>
      <c r="D6" s="103"/>
      <c r="E6" s="13">
        <v>1</v>
      </c>
      <c r="F6" s="111"/>
      <c r="G6" s="111"/>
      <c r="H6" s="20"/>
      <c r="I6" s="13"/>
      <c r="J6" s="103"/>
      <c r="K6" s="103"/>
      <c r="L6" s="111"/>
      <c r="M6" s="101"/>
      <c r="N6" s="20"/>
      <c r="O6" s="13"/>
      <c r="P6" s="103"/>
      <c r="Q6" s="103"/>
      <c r="R6" s="111"/>
      <c r="S6" s="101"/>
      <c r="T6" s="20"/>
      <c r="U6" s="13"/>
      <c r="V6" s="103"/>
      <c r="W6" s="103"/>
      <c r="X6" s="111"/>
      <c r="Y6" s="111"/>
      <c r="Z6" s="280"/>
      <c r="AA6" s="20"/>
      <c r="AB6" s="13"/>
      <c r="AC6" s="103"/>
      <c r="AD6" s="103"/>
      <c r="AE6" s="111"/>
      <c r="AF6" s="280"/>
      <c r="AG6" s="20"/>
      <c r="AH6" s="13"/>
      <c r="AI6" s="103"/>
      <c r="AJ6" s="103"/>
      <c r="AK6" s="111"/>
      <c r="AL6" s="280"/>
      <c r="AM6" s="20"/>
      <c r="AN6" s="13"/>
      <c r="AO6" s="103"/>
      <c r="AP6" s="103"/>
      <c r="AQ6" s="111"/>
      <c r="AR6" s="101"/>
      <c r="AS6" s="280"/>
      <c r="AT6" s="20"/>
      <c r="AU6" s="13"/>
      <c r="AV6" s="103"/>
      <c r="AW6" s="103"/>
      <c r="AX6" s="111"/>
      <c r="AY6" s="101"/>
      <c r="AZ6" s="280"/>
      <c r="BA6" s="20"/>
      <c r="BB6" s="13"/>
      <c r="BC6" s="103"/>
      <c r="BD6" s="103"/>
      <c r="BE6" s="111"/>
      <c r="BF6" s="101"/>
      <c r="BG6" s="101"/>
      <c r="BH6" s="280"/>
      <c r="BI6" s="20"/>
      <c r="BJ6" s="13"/>
      <c r="BK6" s="103"/>
      <c r="BL6" s="103"/>
      <c r="BM6" s="103"/>
      <c r="BN6" s="111"/>
      <c r="BO6" s="101"/>
      <c r="BP6" s="280"/>
      <c r="BQ6" s="20"/>
      <c r="BR6" s="13"/>
      <c r="BS6" s="103"/>
      <c r="BT6" s="103"/>
      <c r="BU6" s="103"/>
      <c r="BV6" s="111"/>
      <c r="BW6" s="280"/>
      <c r="BX6" s="20"/>
      <c r="BY6" s="13"/>
      <c r="BZ6" s="103"/>
      <c r="CA6" s="103"/>
      <c r="CB6" s="111"/>
      <c r="CC6" s="101"/>
      <c r="CD6" s="280"/>
      <c r="CE6" s="20"/>
      <c r="CF6" s="13"/>
      <c r="CG6" s="103"/>
      <c r="CH6" s="111"/>
      <c r="CI6" s="111"/>
      <c r="CJ6" s="101"/>
      <c r="CK6" s="101"/>
      <c r="CL6" s="280"/>
      <c r="CM6" s="266" t="s">
        <v>570</v>
      </c>
      <c r="CN6" s="266" t="str">
        <f>CONCATENATE("Acceder al sistema Gemma con usuario y perfil activo para la funcionalidad modulo Maestro - Categoria Distribuidor, hacer clic en el boton ","",IF(B6=1,"Agregar","")," colocando la descripcion, ",IF(C6=1,"Modificar un registro","")," ",IF(D6=1,"Eliminar un registro","")," ",IF(G6=1,"Exportar Documento Excel",""), ,IF(A6=1,"Link Nombre Distribuidor",""),"presionar el boton Confirmar.",IF(FZ20=1,$FZ$4,"")," ")</f>
        <v xml:space="preserve">Acceder al sistema Gemma con usuario y perfil activo para la funcionalidad modulo Maestro - Categoria Distribuidor, hacer clic en el boton Agregar colocando la descripcion,   presionar el boton Confirmar. </v>
      </c>
      <c r="CO6" s="310" t="str">
        <f>CONCATENATE(" Validar funcionalidad  Categoría Distribuidores ",IF(B6=1,$B$3,"")," ",IF(C6=1,$C$3,""),"",IF(D6=1,$D$3,"")," ",IF(E6=1,$E$4,"")," en el filtro ",IF(F6=1,$F$4,""), "  sin Exportar Excel", IF(G6=1,$G$2,""),)</f>
        <v xml:space="preserve"> Validar funcionalidad  Categoría Distribuidores Agregar  Con Valores en el filtro   sin Exportar Excel</v>
      </c>
      <c r="CP6" s="267" t="s">
        <v>1321</v>
      </c>
    </row>
    <row r="7" spans="1:94" s="109" customFormat="1" ht="15" customHeight="1" x14ac:dyDescent="0.25">
      <c r="A7" s="23"/>
      <c r="B7" s="20"/>
      <c r="C7" s="13">
        <v>1</v>
      </c>
      <c r="D7" s="103"/>
      <c r="E7" s="13">
        <v>1</v>
      </c>
      <c r="F7" s="111"/>
      <c r="G7" s="111">
        <v>1</v>
      </c>
      <c r="H7" s="20"/>
      <c r="I7" s="13"/>
      <c r="J7" s="103"/>
      <c r="K7" s="103"/>
      <c r="L7" s="111"/>
      <c r="M7" s="101"/>
      <c r="N7" s="20"/>
      <c r="O7" s="13"/>
      <c r="P7" s="103"/>
      <c r="Q7" s="103"/>
      <c r="R7" s="111"/>
      <c r="S7" s="101"/>
      <c r="T7" s="20"/>
      <c r="U7" s="13"/>
      <c r="V7" s="103"/>
      <c r="W7" s="103"/>
      <c r="X7" s="111"/>
      <c r="Y7" s="111"/>
      <c r="Z7" s="280"/>
      <c r="AA7" s="20"/>
      <c r="AB7" s="13"/>
      <c r="AC7" s="103"/>
      <c r="AD7" s="103"/>
      <c r="AE7" s="111"/>
      <c r="AF7" s="280"/>
      <c r="AG7" s="20"/>
      <c r="AH7" s="13"/>
      <c r="AI7" s="103"/>
      <c r="AJ7" s="103"/>
      <c r="AK7" s="111"/>
      <c r="AL7" s="280"/>
      <c r="AM7" s="20"/>
      <c r="AN7" s="13"/>
      <c r="AO7" s="103"/>
      <c r="AP7" s="103"/>
      <c r="AQ7" s="111"/>
      <c r="AR7" s="101"/>
      <c r="AS7" s="280"/>
      <c r="AT7" s="20"/>
      <c r="AU7" s="13"/>
      <c r="AV7" s="103"/>
      <c r="AW7" s="103"/>
      <c r="AX7" s="111"/>
      <c r="AY7" s="101"/>
      <c r="AZ7" s="280"/>
      <c r="BA7" s="20"/>
      <c r="BB7" s="13"/>
      <c r="BC7" s="103"/>
      <c r="BD7" s="103"/>
      <c r="BE7" s="111"/>
      <c r="BF7" s="101"/>
      <c r="BG7" s="101"/>
      <c r="BH7" s="280"/>
      <c r="BI7" s="20"/>
      <c r="BJ7" s="13"/>
      <c r="BK7" s="103"/>
      <c r="BL7" s="103"/>
      <c r="BM7" s="103"/>
      <c r="BN7" s="111"/>
      <c r="BO7" s="101"/>
      <c r="BP7" s="280"/>
      <c r="BQ7" s="20"/>
      <c r="BR7" s="13"/>
      <c r="BS7" s="103"/>
      <c r="BT7" s="103"/>
      <c r="BU7" s="103"/>
      <c r="BV7" s="111"/>
      <c r="BW7" s="280"/>
      <c r="BX7" s="20"/>
      <c r="BY7" s="13"/>
      <c r="BZ7" s="103"/>
      <c r="CA7" s="103"/>
      <c r="CB7" s="111"/>
      <c r="CC7" s="101"/>
      <c r="CD7" s="280"/>
      <c r="CE7" s="20"/>
      <c r="CF7" s="13"/>
      <c r="CG7" s="103"/>
      <c r="CH7" s="103"/>
      <c r="CI7" s="111"/>
      <c r="CJ7" s="101"/>
      <c r="CK7" s="101"/>
      <c r="CL7" s="280"/>
      <c r="CM7" s="266" t="s">
        <v>1334</v>
      </c>
      <c r="CN7" s="266" t="str">
        <f>CONCATENATE("Acceder al sistema Gemma con usuario y perfil activo para la funcionalidad modulo Maestro - Categoria Distribuidor, colocando la descripcion en el filtro, ","",IF(B7=1,"Agregar un registro","")," hacer clic en el boton ",IF(C7=1,"Modificar, ","")," ",IF(D7=1,"Eliminar un registro",""),"confirmar cambios, luego presionar ",IF(G7=1,"Exportar Documento Excel",""), ,IF(A7=1,"Link Nombre Distribuidor",""),"",IF(FZ21=1,$FZ$4,"")," ")</f>
        <v xml:space="preserve">Acceder al sistema Gemma con usuario y perfil activo para la funcionalidad modulo Maestro - Categoria Distribuidor, colocando la descripcion en el filtro,  hacer clic en el boton Modificar,  confirmar cambios, luego presionar Exportar Documento Excel </v>
      </c>
      <c r="CO7" s="310" t="str">
        <f>CONCATENATE(" Validar funcionalidad  Categoría Distribuidores ",IF(B7=1,$B$3,"")," ",IF(C7=1,$C$3,""),"",IF(D7=1,$D$3,"")," ",IF(E7=1,$E$4,"")," en el filtro ",IF(F7=1,$F$4,""), " una vez confirmado ", IF(G7=1,$G$2,""),)</f>
        <v xml:space="preserve"> Validar funcionalidad  Categoría Distribuidores  Modificar Con Valores en el filtro  una vez confirmado Exportar Excel </v>
      </c>
      <c r="CP7" s="267" t="s">
        <v>1341</v>
      </c>
    </row>
    <row r="8" spans="1:94" s="109" customFormat="1" ht="15" customHeight="1" x14ac:dyDescent="0.25">
      <c r="A8" s="23"/>
      <c r="B8" s="20"/>
      <c r="C8" s="13">
        <v>1</v>
      </c>
      <c r="D8" s="103"/>
      <c r="E8" s="13">
        <v>1</v>
      </c>
      <c r="F8" s="111"/>
      <c r="G8" s="111"/>
      <c r="H8" s="20"/>
      <c r="I8" s="13"/>
      <c r="J8" s="103"/>
      <c r="K8" s="103"/>
      <c r="L8" s="111"/>
      <c r="M8" s="101"/>
      <c r="N8" s="20"/>
      <c r="O8" s="13"/>
      <c r="P8" s="103"/>
      <c r="Q8" s="103"/>
      <c r="R8" s="111"/>
      <c r="S8" s="101"/>
      <c r="T8" s="20"/>
      <c r="U8" s="13"/>
      <c r="V8" s="103"/>
      <c r="W8" s="103"/>
      <c r="X8" s="111"/>
      <c r="Y8" s="111"/>
      <c r="Z8" s="280"/>
      <c r="AA8" s="20"/>
      <c r="AB8" s="13"/>
      <c r="AC8" s="103"/>
      <c r="AD8" s="103"/>
      <c r="AE8" s="111"/>
      <c r="AF8" s="280"/>
      <c r="AG8" s="20"/>
      <c r="AH8" s="13"/>
      <c r="AI8" s="103"/>
      <c r="AJ8" s="103"/>
      <c r="AK8" s="111"/>
      <c r="AL8" s="280"/>
      <c r="AM8" s="20"/>
      <c r="AN8" s="13"/>
      <c r="AO8" s="103"/>
      <c r="AP8" s="103"/>
      <c r="AQ8" s="111"/>
      <c r="AR8" s="101"/>
      <c r="AS8" s="280"/>
      <c r="AT8" s="20"/>
      <c r="AU8" s="13"/>
      <c r="AV8" s="103"/>
      <c r="AW8" s="103"/>
      <c r="AX8" s="111"/>
      <c r="AY8" s="101"/>
      <c r="AZ8" s="280"/>
      <c r="BA8" s="20"/>
      <c r="BB8" s="13"/>
      <c r="BC8" s="103"/>
      <c r="BD8" s="103"/>
      <c r="BE8" s="111"/>
      <c r="BF8" s="101"/>
      <c r="BG8" s="101"/>
      <c r="BH8" s="280"/>
      <c r="BI8" s="20"/>
      <c r="BJ8" s="13"/>
      <c r="BK8" s="103"/>
      <c r="BL8" s="103"/>
      <c r="BM8" s="103"/>
      <c r="BN8" s="111"/>
      <c r="BO8" s="101"/>
      <c r="BP8" s="280"/>
      <c r="BQ8" s="20"/>
      <c r="BR8" s="13"/>
      <c r="BS8" s="103"/>
      <c r="BT8" s="103"/>
      <c r="BU8" s="103"/>
      <c r="BV8" s="111"/>
      <c r="BW8" s="280"/>
      <c r="BX8" s="20"/>
      <c r="BY8" s="13"/>
      <c r="BZ8" s="103"/>
      <c r="CA8" s="103"/>
      <c r="CB8" s="111"/>
      <c r="CC8" s="101"/>
      <c r="CD8" s="280"/>
      <c r="CE8" s="20"/>
      <c r="CF8" s="13"/>
      <c r="CG8" s="103"/>
      <c r="CH8" s="103"/>
      <c r="CI8" s="111"/>
      <c r="CJ8" s="101"/>
      <c r="CK8" s="101"/>
      <c r="CL8" s="280"/>
      <c r="CM8" s="266" t="s">
        <v>1335</v>
      </c>
      <c r="CN8" s="266" t="str">
        <f>CONCATENATE("Acceder al sistema Gemma con usuario y perfil activo para la funcionalidad modulo Maestro - Categoria Distribuidor, ","",IF(B8=1,"Agregar un registro","")," colocando la descripcion en el filtro, hacer clic en el boton ",IF(C8=1,"Modificar, ","")," ",IF(D8=1,"Eliminar un registro","")," ",IF(G8=1,"Exportar Documento Excel",""), ,IF(A8=1,"Link Nombre Distribuidor",""),"y luego Confirmar el cambio.",IF(FZ22=1,$FZ$4,"")," ")</f>
        <v xml:space="preserve">Acceder al sistema Gemma con usuario y perfil activo para la funcionalidad modulo Maestro - Categoria Distribuidor,  colocando la descripcion en el filtro, hacer clic en el boton Modificar,   y luego Confirmar el cambio. </v>
      </c>
      <c r="CO8" s="310" t="str">
        <f>CONCATENATE(" Validar funcionalidad  Categoría Distribuidores ",IF(B8=1,$B$3,"")," ",IF(C8=1,$C$3,""),"",IF(D8=1,$D$3,"")," ",IF(E8=1,$E$4,"")," en el filtro ",IF(F8=1,$F$4,""), "  sin Exportar Excel", IF(G8=1,$G$2,""),)</f>
        <v xml:space="preserve"> Validar funcionalidad  Categoría Distribuidores  Modificar Con Valores en el filtro   sin Exportar Excel</v>
      </c>
      <c r="CP8" s="267" t="s">
        <v>1341</v>
      </c>
    </row>
    <row r="9" spans="1:94" s="109" customFormat="1" ht="15" customHeight="1" x14ac:dyDescent="0.25">
      <c r="A9" s="23"/>
      <c r="B9" s="20"/>
      <c r="C9" s="13">
        <v>1</v>
      </c>
      <c r="D9" s="103"/>
      <c r="E9" s="13"/>
      <c r="F9" s="111">
        <v>1</v>
      </c>
      <c r="G9" s="111"/>
      <c r="H9" s="20"/>
      <c r="I9" s="13"/>
      <c r="J9" s="103"/>
      <c r="K9" s="103"/>
      <c r="L9" s="111"/>
      <c r="M9" s="101"/>
      <c r="N9" s="20"/>
      <c r="O9" s="13"/>
      <c r="P9" s="103"/>
      <c r="Q9" s="103"/>
      <c r="R9" s="111"/>
      <c r="S9" s="101"/>
      <c r="T9" s="20"/>
      <c r="U9" s="13"/>
      <c r="V9" s="103"/>
      <c r="W9" s="103"/>
      <c r="X9" s="111"/>
      <c r="Y9" s="111"/>
      <c r="Z9" s="280"/>
      <c r="AA9" s="20"/>
      <c r="AB9" s="13"/>
      <c r="AC9" s="103"/>
      <c r="AD9" s="103"/>
      <c r="AE9" s="111"/>
      <c r="AF9" s="280"/>
      <c r="AG9" s="20"/>
      <c r="AH9" s="13"/>
      <c r="AI9" s="103"/>
      <c r="AJ9" s="103"/>
      <c r="AK9" s="111"/>
      <c r="AL9" s="280"/>
      <c r="AM9" s="20"/>
      <c r="AN9" s="13"/>
      <c r="AO9" s="103"/>
      <c r="AP9" s="103"/>
      <c r="AQ9" s="111"/>
      <c r="AR9" s="101"/>
      <c r="AS9" s="280"/>
      <c r="AT9" s="20"/>
      <c r="AU9" s="13"/>
      <c r="AV9" s="103"/>
      <c r="AW9" s="103"/>
      <c r="AX9" s="111"/>
      <c r="AY9" s="101"/>
      <c r="AZ9" s="280"/>
      <c r="BA9" s="20"/>
      <c r="BB9" s="13"/>
      <c r="BC9" s="103"/>
      <c r="BD9" s="103"/>
      <c r="BE9" s="111"/>
      <c r="BF9" s="101"/>
      <c r="BG9" s="101"/>
      <c r="BH9" s="280"/>
      <c r="BI9" s="20"/>
      <c r="BJ9" s="13"/>
      <c r="BK9" s="103"/>
      <c r="BL9" s="103"/>
      <c r="BM9" s="103"/>
      <c r="BN9" s="111"/>
      <c r="BO9" s="101"/>
      <c r="BP9" s="280"/>
      <c r="BQ9" s="20"/>
      <c r="BR9" s="13"/>
      <c r="BS9" s="103"/>
      <c r="BT9" s="103"/>
      <c r="BU9" s="103"/>
      <c r="BV9" s="111"/>
      <c r="BW9" s="280"/>
      <c r="BX9" s="20"/>
      <c r="BY9" s="13"/>
      <c r="BZ9" s="103"/>
      <c r="CA9" s="103"/>
      <c r="CB9" s="111"/>
      <c r="CC9" s="101"/>
      <c r="CD9" s="280"/>
      <c r="CE9" s="20"/>
      <c r="CF9" s="13"/>
      <c r="CG9" s="103"/>
      <c r="CH9" s="103"/>
      <c r="CI9" s="111"/>
      <c r="CJ9" s="101"/>
      <c r="CK9" s="101"/>
      <c r="CL9" s="280"/>
      <c r="CM9" s="266" t="s">
        <v>571</v>
      </c>
      <c r="CN9" s="266" t="str">
        <f>CONCATENATE("Acceder al sistema Gemma con usuario y perfil activo para la funcionalidad modulo Maestro - Categoria Distribuidor, ","",IF(B9=1,"Agregar un registro","")," seleccionando el registro de la tabla consulta, hacer clic en el boton ",IF(C9=1,"Modificar","")," ",IF(D9=1,"Eliminar","")," ",IF(G9=1,"Exportar Documento Excel",""), ,IF(A9=1,"Link Nombre Distribuidor",""),"presionar el boton Confirmar.",IF(FZ23=1,$FZ$4,"")," ")</f>
        <v xml:space="preserve">Acceder al sistema Gemma con usuario y perfil activo para la funcionalidad modulo Maestro - Categoria Distribuidor,  seleccionando el registro de la tabla consulta, hacer clic en el boton Modificar  presionar el boton Confirmar. </v>
      </c>
      <c r="CO9" s="310" t="str">
        <f>CONCATENATE(" Validar funcionalidad  Categoría Distribuidores ",IF(B9=1,$B$3,"")," ",IF(C9=1,$C$3,""),"",IF(D9=1,$D$3,"")," ",IF(E9=1,$E$4,""),"",IF(F9=1,$F$4,""), "en el filtro ", IF(G9=1,$G$2," sin Exportar Excel"),)</f>
        <v xml:space="preserve"> Validar funcionalidad  Categoría Distribuidores  Modificar Sin Valoresen el filtro  sin Exportar Excel</v>
      </c>
      <c r="CP9" s="267" t="s">
        <v>1341</v>
      </c>
    </row>
    <row r="10" spans="1:94" s="109" customFormat="1" ht="15" customHeight="1" x14ac:dyDescent="0.25">
      <c r="A10" s="23"/>
      <c r="B10" s="20"/>
      <c r="C10" s="13"/>
      <c r="D10" s="13">
        <v>1</v>
      </c>
      <c r="E10" s="13">
        <v>1</v>
      </c>
      <c r="F10" s="111"/>
      <c r="G10" s="111">
        <v>1</v>
      </c>
      <c r="H10" s="20"/>
      <c r="I10" s="13"/>
      <c r="J10" s="103"/>
      <c r="K10" s="103"/>
      <c r="L10" s="111"/>
      <c r="M10" s="101"/>
      <c r="N10" s="20"/>
      <c r="O10" s="13"/>
      <c r="P10" s="103"/>
      <c r="Q10" s="103"/>
      <c r="R10" s="111"/>
      <c r="S10" s="101"/>
      <c r="T10" s="20"/>
      <c r="U10" s="13"/>
      <c r="V10" s="103"/>
      <c r="W10" s="103"/>
      <c r="X10" s="111"/>
      <c r="Y10" s="111"/>
      <c r="Z10" s="280"/>
      <c r="AA10" s="20"/>
      <c r="AB10" s="13"/>
      <c r="AC10" s="103"/>
      <c r="AD10" s="103"/>
      <c r="AE10" s="111"/>
      <c r="AF10" s="280"/>
      <c r="AG10" s="20"/>
      <c r="AH10" s="13"/>
      <c r="AI10" s="103"/>
      <c r="AJ10" s="103"/>
      <c r="AK10" s="111"/>
      <c r="AL10" s="280"/>
      <c r="AM10" s="20"/>
      <c r="AN10" s="13"/>
      <c r="AO10" s="103"/>
      <c r="AP10" s="103"/>
      <c r="AQ10" s="111"/>
      <c r="AR10" s="101"/>
      <c r="AS10" s="280"/>
      <c r="AT10" s="20"/>
      <c r="AU10" s="13"/>
      <c r="AV10" s="103"/>
      <c r="AW10" s="103"/>
      <c r="AX10" s="111"/>
      <c r="AY10" s="101"/>
      <c r="AZ10" s="280"/>
      <c r="BA10" s="20"/>
      <c r="BB10" s="13"/>
      <c r="BC10" s="103"/>
      <c r="BD10" s="103"/>
      <c r="BE10" s="111"/>
      <c r="BF10" s="101"/>
      <c r="BG10" s="101"/>
      <c r="BH10" s="280"/>
      <c r="BI10" s="20"/>
      <c r="BJ10" s="13"/>
      <c r="BK10" s="103"/>
      <c r="BL10" s="103"/>
      <c r="BM10" s="103"/>
      <c r="BN10" s="111"/>
      <c r="BO10" s="101"/>
      <c r="BP10" s="280"/>
      <c r="BQ10" s="20"/>
      <c r="BR10" s="13"/>
      <c r="BS10" s="103"/>
      <c r="BT10" s="103"/>
      <c r="BU10" s="103"/>
      <c r="BV10" s="111"/>
      <c r="BW10" s="280"/>
      <c r="BX10" s="20"/>
      <c r="BY10" s="13"/>
      <c r="BZ10" s="103"/>
      <c r="CA10" s="103"/>
      <c r="CB10" s="111"/>
      <c r="CC10" s="101"/>
      <c r="CD10" s="280"/>
      <c r="CE10" s="20"/>
      <c r="CF10" s="13"/>
      <c r="CG10" s="103"/>
      <c r="CH10" s="103"/>
      <c r="CI10" s="111"/>
      <c r="CJ10" s="101"/>
      <c r="CK10" s="101"/>
      <c r="CL10" s="280"/>
      <c r="CM10" s="266" t="s">
        <v>1347</v>
      </c>
      <c r="CN10" s="266" t="str">
        <f>CONCATENATE("Acceder al sistema Gemma con usuario y perfil activo para la funcionalidad modulo Maestro - Categoria Distribuidor, colocando la descripcion en el filtro, ","",IF(B10=1,"Agregar un registro","")," hacer clic en el boton ",IF(C10=1,"Modificar, ","")," ",IF(D10=1,"Eliminar un registro ",""),"confirmar cambios, luego presionar ",IF(G10=1,"Exportar Documento Excel",""), ,IF(A10=1,"Link Nombre Distribuidor",""),"",IF(FZ24=1,$FZ$4,"")," ")</f>
        <v xml:space="preserve">Acceder al sistema Gemma con usuario y perfil activo para la funcionalidad modulo Maestro - Categoria Distribuidor, colocando la descripcion en el filtro,  hacer clic en el boton  Eliminar un registro confirmar cambios, luego presionar Exportar Documento Excel </v>
      </c>
      <c r="CO10" s="310" t="str">
        <f>CONCATENATE(" Validar funcionalidad  Categoría Distribuidores ",IF(B10=1,$B$3,"")," ",IF(C10=1,$C$3,""),"",IF(D10=1,$D$3,"")," ",IF(E10=1,$E$4,"")," en el filtro ",IF(F10=1,$F$4,""), " una vez confirmado ", IF(G10=1,$G$2,""),)</f>
        <v xml:space="preserve"> Validar funcionalidad  Categoría Distribuidores  Eliminar Con Valores en el filtro  una vez confirmado Exportar Excel </v>
      </c>
      <c r="CP10" s="267" t="s">
        <v>1333</v>
      </c>
    </row>
    <row r="11" spans="1:94" s="109" customFormat="1" ht="15" customHeight="1" x14ac:dyDescent="0.25">
      <c r="A11" s="23"/>
      <c r="B11" s="20"/>
      <c r="C11" s="13"/>
      <c r="D11" s="13">
        <v>1</v>
      </c>
      <c r="E11" s="13">
        <v>1</v>
      </c>
      <c r="F11" s="111"/>
      <c r="G11" s="111"/>
      <c r="H11" s="20"/>
      <c r="I11" s="13"/>
      <c r="J11" s="103"/>
      <c r="K11" s="103"/>
      <c r="L11" s="111"/>
      <c r="M11" s="101"/>
      <c r="N11" s="20"/>
      <c r="O11" s="13"/>
      <c r="P11" s="103"/>
      <c r="Q11" s="103"/>
      <c r="R11" s="111"/>
      <c r="S11" s="101"/>
      <c r="T11" s="20"/>
      <c r="U11" s="13"/>
      <c r="V11" s="103"/>
      <c r="W11" s="103"/>
      <c r="X11" s="111"/>
      <c r="Y11" s="111"/>
      <c r="Z11" s="280"/>
      <c r="AA11" s="20"/>
      <c r="AB11" s="13"/>
      <c r="AC11" s="103"/>
      <c r="AD11" s="103"/>
      <c r="AE11" s="111"/>
      <c r="AF11" s="280"/>
      <c r="AG11" s="20"/>
      <c r="AH11" s="13"/>
      <c r="AI11" s="103"/>
      <c r="AJ11" s="103"/>
      <c r="AK11" s="111"/>
      <c r="AL11" s="280"/>
      <c r="AM11" s="20"/>
      <c r="AN11" s="13"/>
      <c r="AO11" s="103"/>
      <c r="AP11" s="103"/>
      <c r="AQ11" s="111"/>
      <c r="AR11" s="101"/>
      <c r="AS11" s="280"/>
      <c r="AT11" s="20"/>
      <c r="AU11" s="13"/>
      <c r="AV11" s="103"/>
      <c r="AW11" s="103"/>
      <c r="AX11" s="111"/>
      <c r="AY11" s="101"/>
      <c r="AZ11" s="280"/>
      <c r="BA11" s="20"/>
      <c r="BB11" s="13"/>
      <c r="BC11" s="103"/>
      <c r="BD11" s="103"/>
      <c r="BE11" s="111"/>
      <c r="BF11" s="101"/>
      <c r="BG11" s="101"/>
      <c r="BH11" s="280"/>
      <c r="BI11" s="20"/>
      <c r="BJ11" s="13"/>
      <c r="BK11" s="103"/>
      <c r="BL11" s="103"/>
      <c r="BM11" s="103"/>
      <c r="BN11" s="111"/>
      <c r="BO11" s="101"/>
      <c r="BP11" s="280"/>
      <c r="BQ11" s="20"/>
      <c r="BR11" s="13"/>
      <c r="BS11" s="103"/>
      <c r="BT11" s="103"/>
      <c r="BU11" s="103"/>
      <c r="BV11" s="111"/>
      <c r="BW11" s="280"/>
      <c r="BX11" s="20"/>
      <c r="BY11" s="13"/>
      <c r="BZ11" s="103"/>
      <c r="CA11" s="103"/>
      <c r="CB11" s="111"/>
      <c r="CC11" s="101"/>
      <c r="CD11" s="280"/>
      <c r="CE11" s="20"/>
      <c r="CF11" s="13"/>
      <c r="CG11" s="103"/>
      <c r="CH11" s="103"/>
      <c r="CI11" s="111"/>
      <c r="CJ11" s="101"/>
      <c r="CK11" s="101"/>
      <c r="CL11" s="280"/>
      <c r="CM11" s="266" t="s">
        <v>572</v>
      </c>
      <c r="CN11" s="266" t="str">
        <f>CONCATENATE("Acceder al sistema Gemma con usuario y perfil activo para la funcionalidad modulo Maestro - Categoria Distribuidor, ","",IF(B11=1,"Agregar un registro","")," colocando la descripcion en el filtro, hacer clic en el boton ",IF(C11=1,"Modificar, ","")," ",IF(D11=1,"Eliminar un registro","")," ",IF(G11=1,"Exportar Documento Excel",""), ,IF(A11=1,"Link Nombre Distribuidor",""),"y luego Confirmar el cambio.",IF(FZ25=1,$FZ$4,"")," ")</f>
        <v xml:space="preserve">Acceder al sistema Gemma con usuario y perfil activo para la funcionalidad modulo Maestro - Categoria Distribuidor,  colocando la descripcion en el filtro, hacer clic en el boton  Eliminar un registro y luego Confirmar el cambio. </v>
      </c>
      <c r="CO11" s="310" t="str">
        <f>CONCATENATE(" Validar funcionalidad  Categoría Distribuidores ",IF(B11=1,$B$3,"")," ",IF(C11=1,$C$3,""),"",IF(D11=1,$D$3,"")," ",IF(E11=1,$E$4,"")," en el filtro ",IF(F11=1,$F$4,""), " ", IF(G11=1,$G$2,"sin Exportar Excel"),)</f>
        <v xml:space="preserve"> Validar funcionalidad  Categoría Distribuidores  Eliminar Con Valores en el filtro  sin Exportar Excel</v>
      </c>
      <c r="CP11" s="267" t="s">
        <v>1333</v>
      </c>
    </row>
    <row r="12" spans="1:94" s="109" customFormat="1" x14ac:dyDescent="0.25">
      <c r="A12" s="23"/>
      <c r="B12" s="291"/>
      <c r="C12" s="272"/>
      <c r="D12" s="272">
        <v>1</v>
      </c>
      <c r="E12" s="272"/>
      <c r="F12" s="273">
        <v>1</v>
      </c>
      <c r="G12" s="273"/>
      <c r="H12" s="291"/>
      <c r="I12" s="272"/>
      <c r="J12" s="318"/>
      <c r="K12" s="318"/>
      <c r="L12" s="273"/>
      <c r="M12" s="297"/>
      <c r="N12" s="291"/>
      <c r="O12" s="272"/>
      <c r="P12" s="318"/>
      <c r="Q12" s="318"/>
      <c r="R12" s="273"/>
      <c r="S12" s="297"/>
      <c r="T12" s="291"/>
      <c r="U12" s="272"/>
      <c r="V12" s="318"/>
      <c r="W12" s="318"/>
      <c r="X12" s="273"/>
      <c r="Y12" s="273"/>
      <c r="Z12" s="316"/>
      <c r="AA12" s="291"/>
      <c r="AB12" s="272"/>
      <c r="AC12" s="318"/>
      <c r="AD12" s="318"/>
      <c r="AE12" s="273"/>
      <c r="AF12" s="316"/>
      <c r="AG12" s="291"/>
      <c r="AH12" s="272"/>
      <c r="AI12" s="318"/>
      <c r="AJ12" s="318"/>
      <c r="AK12" s="273"/>
      <c r="AL12" s="316"/>
      <c r="AM12" s="291"/>
      <c r="AN12" s="272"/>
      <c r="AO12" s="318"/>
      <c r="AP12" s="318"/>
      <c r="AQ12" s="273"/>
      <c r="AR12" s="297"/>
      <c r="AS12" s="316"/>
      <c r="AT12" s="291"/>
      <c r="AU12" s="272"/>
      <c r="AV12" s="318"/>
      <c r="AW12" s="318"/>
      <c r="AX12" s="273"/>
      <c r="AY12" s="297"/>
      <c r="AZ12" s="316"/>
      <c r="BA12" s="291"/>
      <c r="BB12" s="272"/>
      <c r="BC12" s="318"/>
      <c r="BD12" s="318"/>
      <c r="BE12" s="273"/>
      <c r="BF12" s="297"/>
      <c r="BG12" s="297"/>
      <c r="BH12" s="316"/>
      <c r="BI12" s="291"/>
      <c r="BJ12" s="272"/>
      <c r="BK12" s="318"/>
      <c r="BL12" s="318"/>
      <c r="BM12" s="318"/>
      <c r="BN12" s="273"/>
      <c r="BO12" s="297"/>
      <c r="BP12" s="316"/>
      <c r="BQ12" s="291"/>
      <c r="BR12" s="272"/>
      <c r="BS12" s="318"/>
      <c r="BT12" s="318"/>
      <c r="BU12" s="318"/>
      <c r="BV12" s="273"/>
      <c r="BW12" s="316"/>
      <c r="BX12" s="291"/>
      <c r="BY12" s="272"/>
      <c r="BZ12" s="318"/>
      <c r="CA12" s="318"/>
      <c r="CB12" s="273"/>
      <c r="CC12" s="297"/>
      <c r="CD12" s="316"/>
      <c r="CE12" s="291"/>
      <c r="CF12" s="272"/>
      <c r="CG12" s="318"/>
      <c r="CH12" s="318"/>
      <c r="CI12" s="273"/>
      <c r="CJ12" s="297"/>
      <c r="CK12" s="297"/>
      <c r="CL12" s="316"/>
      <c r="CM12" s="266" t="s">
        <v>573</v>
      </c>
      <c r="CN12" s="266" t="str">
        <f>CONCATENATE("Acceder al sistema Gemma con usuario y perfil activo para la funcionalidad modulo Maestro - Categoria Distribuidor, ","",IF(B12=1,"Agregar un registro","")," seleccionando el registro de la tabla consulta, hacer clic en el boton ",IF(C12=1,"Modificar","")," ",IF(D12=1,"Eliminar","")," ",IF(G12=1,"Exportar Documento Excel",""), ,IF(A12=1,"Link Nombre Distribuidor",""),"presionar el boton Confirmar.",IF(FZ26=1,$FZ$4,"")," ")</f>
        <v xml:space="preserve">Acceder al sistema Gemma con usuario y perfil activo para la funcionalidad modulo Maestro - Categoria Distribuidor,  seleccionando el registro de la tabla consulta, hacer clic en el boton  Eliminar presionar el boton Confirmar. </v>
      </c>
      <c r="CO12" s="310" t="str">
        <f>CONCATENATE(" Validar funcionalidad  Categoría Distribuidores ",IF(B12=1,$B$3,"")," ",IF(C12=1,$C$3,""),"",IF(D12=1,$D$3,"")," ",IF(E12=1,$E$4,""),"",IF(F12=1,$F$4,""), " ", IF(G12=1,$G$2,"sin Exportar Excel"),)</f>
        <v xml:space="preserve"> Validar funcionalidad  Categoría Distribuidores  Eliminar Sin Valores sin Exportar Excel</v>
      </c>
      <c r="CP12" s="267" t="s">
        <v>1333</v>
      </c>
    </row>
    <row r="13" spans="1:94" s="109" customFormat="1" ht="15.75" thickBot="1" x14ac:dyDescent="0.3">
      <c r="A13" s="23"/>
      <c r="B13" s="346"/>
      <c r="C13" s="27"/>
      <c r="D13" s="27"/>
      <c r="E13" s="27"/>
      <c r="F13" s="26"/>
      <c r="G13" s="347">
        <v>1</v>
      </c>
      <c r="H13" s="346"/>
      <c r="I13" s="27"/>
      <c r="J13" s="348"/>
      <c r="K13" s="348"/>
      <c r="L13" s="26"/>
      <c r="M13" s="349"/>
      <c r="N13" s="346"/>
      <c r="O13" s="27"/>
      <c r="P13" s="348"/>
      <c r="Q13" s="348"/>
      <c r="R13" s="26"/>
      <c r="S13" s="349"/>
      <c r="T13" s="346"/>
      <c r="U13" s="27"/>
      <c r="V13" s="348"/>
      <c r="W13" s="348"/>
      <c r="X13" s="26"/>
      <c r="Y13" s="26"/>
      <c r="Z13" s="347"/>
      <c r="AA13" s="346"/>
      <c r="AB13" s="27"/>
      <c r="AC13" s="348"/>
      <c r="AD13" s="348"/>
      <c r="AE13" s="26"/>
      <c r="AF13" s="347"/>
      <c r="AG13" s="346"/>
      <c r="AH13" s="27"/>
      <c r="AI13" s="348"/>
      <c r="AJ13" s="348"/>
      <c r="AK13" s="26"/>
      <c r="AL13" s="347"/>
      <c r="AM13" s="346"/>
      <c r="AN13" s="27"/>
      <c r="AO13" s="348"/>
      <c r="AP13" s="348"/>
      <c r="AQ13" s="26"/>
      <c r="AR13" s="349"/>
      <c r="AS13" s="347"/>
      <c r="AT13" s="346"/>
      <c r="AU13" s="27"/>
      <c r="AV13" s="348"/>
      <c r="AW13" s="348"/>
      <c r="AX13" s="26"/>
      <c r="AY13" s="349"/>
      <c r="AZ13" s="347"/>
      <c r="BA13" s="346"/>
      <c r="BB13" s="27"/>
      <c r="BC13" s="348"/>
      <c r="BD13" s="348"/>
      <c r="BE13" s="26"/>
      <c r="BF13" s="349"/>
      <c r="BG13" s="349"/>
      <c r="BH13" s="347"/>
      <c r="BI13" s="346"/>
      <c r="BJ13" s="27"/>
      <c r="BK13" s="348"/>
      <c r="BL13" s="348"/>
      <c r="BM13" s="348"/>
      <c r="BN13" s="26"/>
      <c r="BO13" s="349"/>
      <c r="BP13" s="347"/>
      <c r="BQ13" s="346"/>
      <c r="BR13" s="27"/>
      <c r="BS13" s="348"/>
      <c r="BT13" s="348"/>
      <c r="BU13" s="348"/>
      <c r="BV13" s="26"/>
      <c r="BW13" s="347"/>
      <c r="BX13" s="346"/>
      <c r="BY13" s="27"/>
      <c r="BZ13" s="348"/>
      <c r="CA13" s="348"/>
      <c r="CB13" s="26"/>
      <c r="CC13" s="349"/>
      <c r="CD13" s="347"/>
      <c r="CE13" s="346"/>
      <c r="CF13" s="27"/>
      <c r="CG13" s="348"/>
      <c r="CH13" s="348"/>
      <c r="CI13" s="26"/>
      <c r="CJ13" s="349"/>
      <c r="CK13" s="349"/>
      <c r="CL13" s="347"/>
      <c r="CM13" s="266" t="s">
        <v>574</v>
      </c>
      <c r="CN13" s="266" t="str">
        <f>CONCATENATE("Acceder al sistema Gemma con usuario y perfil activo para la funcionalidad modulo Maestro - Categoria Distribuidor, ","",IF(B13=1,"Agregar un registro","")," sin datos en el filtro, presionar ",IF(C13=1,"Modificar","")," ",IF(D13=1,"Eliminar","")," ",IF(G13=1,"Exportar Documento Excel",""), ,IF(A13=1,"Link Nombre Distribuidor",""),"",IF(FZ27=1,$FZ$4,"")," ")</f>
        <v xml:space="preserve">Acceder al sistema Gemma con usuario y perfil activo para la funcionalidad modulo Maestro - Categoria Distribuidor,  sin datos en el filtro, presionar   Exportar Documento Excel </v>
      </c>
      <c r="CO13" s="310" t="str">
        <f>CONCATENATE(" Validar funcionalidad  Categoría Distribuidores ",IF(B13=1,$B$3,"")," ",IF(C13=1,$C$3,""),"",IF(D13=1,$D$3,"")," ",IF(E13=1,$E$4,"")," en el filtro ",IF(F13=1,$F$4,""), " ", IF(G13=1,$G$2,"sin Exportar Excel"),)</f>
        <v xml:space="preserve"> Validar funcionalidad  Categoría Distribuidores    en el filtro  Exportar Excel </v>
      </c>
      <c r="CP13" s="267" t="s">
        <v>1342</v>
      </c>
    </row>
    <row r="14" spans="1:94" s="109" customFormat="1" ht="15.75" thickTop="1" x14ac:dyDescent="0.25">
      <c r="A14" s="23"/>
      <c r="B14" s="105">
        <v>1</v>
      </c>
      <c r="C14" s="25"/>
      <c r="D14" s="25"/>
      <c r="E14" s="25"/>
      <c r="F14" s="24">
        <v>1</v>
      </c>
      <c r="G14" s="279"/>
      <c r="H14" s="105"/>
      <c r="I14" s="25"/>
      <c r="J14" s="345"/>
      <c r="K14" s="345"/>
      <c r="L14" s="24"/>
      <c r="M14" s="100"/>
      <c r="N14" s="105"/>
      <c r="O14" s="25"/>
      <c r="P14" s="345"/>
      <c r="Q14" s="345"/>
      <c r="R14" s="24"/>
      <c r="S14" s="100"/>
      <c r="T14" s="105"/>
      <c r="U14" s="25"/>
      <c r="V14" s="345"/>
      <c r="W14" s="345"/>
      <c r="X14" s="24"/>
      <c r="Y14" s="24"/>
      <c r="Z14" s="279"/>
      <c r="AA14" s="105"/>
      <c r="AB14" s="25"/>
      <c r="AC14" s="345"/>
      <c r="AD14" s="345"/>
      <c r="AE14" s="24"/>
      <c r="AF14" s="279"/>
      <c r="AG14" s="105"/>
      <c r="AH14" s="25"/>
      <c r="AI14" s="345"/>
      <c r="AJ14" s="345"/>
      <c r="AK14" s="24"/>
      <c r="AL14" s="279"/>
      <c r="AM14" s="105"/>
      <c r="AN14" s="25"/>
      <c r="AO14" s="345"/>
      <c r="AP14" s="345"/>
      <c r="AQ14" s="24"/>
      <c r="AR14" s="100"/>
      <c r="AS14" s="279"/>
      <c r="AT14" s="105"/>
      <c r="AU14" s="25"/>
      <c r="AV14" s="345"/>
      <c r="AW14" s="345"/>
      <c r="AX14" s="24"/>
      <c r="AY14" s="100"/>
      <c r="AZ14" s="279"/>
      <c r="BA14" s="105"/>
      <c r="BB14" s="25"/>
      <c r="BC14" s="345"/>
      <c r="BD14" s="345"/>
      <c r="BE14" s="24"/>
      <c r="BF14" s="100"/>
      <c r="BG14" s="100"/>
      <c r="BH14" s="279"/>
      <c r="BI14" s="105"/>
      <c r="BJ14" s="25"/>
      <c r="BK14" s="345"/>
      <c r="BL14" s="345"/>
      <c r="BM14" s="345"/>
      <c r="BN14" s="24"/>
      <c r="BO14" s="100"/>
      <c r="BP14" s="279"/>
      <c r="BQ14" s="105"/>
      <c r="BR14" s="25"/>
      <c r="BS14" s="345"/>
      <c r="BT14" s="345"/>
      <c r="BU14" s="345"/>
      <c r="BV14" s="24"/>
      <c r="BW14" s="279"/>
      <c r="BX14" s="105"/>
      <c r="BY14" s="25"/>
      <c r="BZ14" s="345"/>
      <c r="CA14" s="345"/>
      <c r="CB14" s="24"/>
      <c r="CC14" s="100"/>
      <c r="CD14" s="279"/>
      <c r="CE14" s="105"/>
      <c r="CF14" s="25"/>
      <c r="CG14" s="345"/>
      <c r="CH14" s="345"/>
      <c r="CI14" s="24"/>
      <c r="CJ14" s="100"/>
      <c r="CK14" s="100"/>
      <c r="CL14" s="279"/>
      <c r="CM14" s="266" t="s">
        <v>1338</v>
      </c>
      <c r="CN14" s="266" t="str">
        <f>CONCATENATE("Acceder al sistema Gemma con usuario y perfil activo para la funcionalidad modulo Maestro - Categoria Distribuidor, ","",IF(B14=1,"Agregar un registro","")," sin datos en la descripcion y presionar Confirmar.",IF(C14=1,"Modificar","")," ",IF(D14=1,"Eliminar","")," ",IF(G14=1,"Exportar Documento Excel",""), ,IF(A14=1,"Link Nombre Distribuidor",""),"",IF(FZ28=1,$FZ$4,"")," ")</f>
        <v xml:space="preserve">Acceder al sistema Gemma con usuario y perfil activo para la funcionalidad modulo Maestro - Categoria Distribuidor, Agregar un registro sin datos en la descripcion y presionar Confirmar.   </v>
      </c>
      <c r="CO14" s="310" t="str">
        <f>CONCATENATE(" Validar funcionalidad  Categoría Distribuidores ",IF(B14=1,$B$3,"")," ",IF(C14=1,$C$3,""),"",IF(D14=1,$D$3,"")," ",IF(E14=1,$E$4,"")," en el filtro ",IF(F14=1,$F$4,""), " dejando la descripcion en vacio.", IF(G14=1,$G$2,""),)</f>
        <v xml:space="preserve"> Validar funcionalidad  Categoría Distribuidores Agregar   en el filtro Sin Valores dejando la descripcion en vacio.</v>
      </c>
      <c r="CP14" s="267" t="s">
        <v>1343</v>
      </c>
    </row>
    <row r="15" spans="1:94" s="109" customFormat="1" x14ac:dyDescent="0.25">
      <c r="A15" s="23"/>
      <c r="B15" s="105"/>
      <c r="C15" s="25"/>
      <c r="D15" s="25"/>
      <c r="E15" s="25"/>
      <c r="F15" s="24">
        <v>1</v>
      </c>
      <c r="G15" s="279"/>
      <c r="H15" s="105"/>
      <c r="I15" s="25"/>
      <c r="J15" s="345"/>
      <c r="K15" s="345"/>
      <c r="L15" s="24"/>
      <c r="M15" s="100"/>
      <c r="N15" s="105"/>
      <c r="O15" s="25"/>
      <c r="P15" s="345"/>
      <c r="Q15" s="345"/>
      <c r="R15" s="24"/>
      <c r="S15" s="100"/>
      <c r="T15" s="105"/>
      <c r="U15" s="25"/>
      <c r="V15" s="345"/>
      <c r="W15" s="345"/>
      <c r="X15" s="24"/>
      <c r="Y15" s="24"/>
      <c r="Z15" s="307"/>
      <c r="AA15" s="105"/>
      <c r="AB15" s="25"/>
      <c r="AC15" s="345"/>
      <c r="AD15" s="345"/>
      <c r="AE15" s="24"/>
      <c r="AF15" s="279"/>
      <c r="AG15" s="105"/>
      <c r="AH15" s="25"/>
      <c r="AI15" s="345"/>
      <c r="AJ15" s="345"/>
      <c r="AK15" s="24"/>
      <c r="AL15" s="279"/>
      <c r="AM15" s="105"/>
      <c r="AN15" s="25"/>
      <c r="AO15" s="345"/>
      <c r="AP15" s="345"/>
      <c r="AQ15" s="24"/>
      <c r="AR15" s="100"/>
      <c r="AS15" s="279"/>
      <c r="AT15" s="105"/>
      <c r="AU15" s="25"/>
      <c r="AV15" s="345"/>
      <c r="AW15" s="345"/>
      <c r="AX15" s="24"/>
      <c r="AY15" s="100"/>
      <c r="AZ15" s="279"/>
      <c r="BA15" s="105"/>
      <c r="BB15" s="25"/>
      <c r="BC15" s="345"/>
      <c r="BD15" s="345"/>
      <c r="BE15" s="24"/>
      <c r="BF15" s="100"/>
      <c r="BG15" s="100"/>
      <c r="BH15" s="279"/>
      <c r="BI15" s="105"/>
      <c r="BJ15" s="25"/>
      <c r="BK15" s="345"/>
      <c r="BL15" s="345"/>
      <c r="BM15" s="345"/>
      <c r="BN15" s="24"/>
      <c r="BO15" s="100"/>
      <c r="BP15" s="279"/>
      <c r="BQ15" s="105"/>
      <c r="BR15" s="25"/>
      <c r="BS15" s="345"/>
      <c r="BT15" s="345"/>
      <c r="BU15" s="345"/>
      <c r="BV15" s="24"/>
      <c r="BW15" s="279"/>
      <c r="BX15" s="105"/>
      <c r="BY15" s="25"/>
      <c r="BZ15" s="345"/>
      <c r="CA15" s="345"/>
      <c r="CB15" s="24"/>
      <c r="CC15" s="100"/>
      <c r="CD15" s="279"/>
      <c r="CE15" s="105"/>
      <c r="CF15" s="25"/>
      <c r="CG15" s="345"/>
      <c r="CH15" s="345"/>
      <c r="CI15" s="24"/>
      <c r="CJ15" s="100"/>
      <c r="CK15" s="100"/>
      <c r="CL15" s="279"/>
      <c r="CM15" s="266" t="s">
        <v>1336</v>
      </c>
      <c r="CN15" s="266" t="s">
        <v>1353</v>
      </c>
      <c r="CO15" s="310" t="str">
        <f>CONCATENATE(" Validar funcionalidad  Categoría Distribuidores ",IF(B15=1,$B$3,"")," ",IF(C15=1,$C$3,""),"",IF(D15=1,$D$3,"")," ",IF(E15=1,$E$4,"")," en el filtro ",IF(F15=1,$F$4,""), " colocando una descripcion invalida..", IF(G15=1,$G$2,""),)</f>
        <v xml:space="preserve"> Validar funcionalidad  Categoría Distribuidores    en el filtro Sin Valores colocando una descripcion invalida..</v>
      </c>
      <c r="CP15" s="267" t="s">
        <v>1344</v>
      </c>
    </row>
    <row r="16" spans="1:94" s="109" customFormat="1" x14ac:dyDescent="0.25">
      <c r="A16" s="23"/>
      <c r="B16" s="20"/>
      <c r="C16" s="13">
        <v>1</v>
      </c>
      <c r="D16" s="13"/>
      <c r="E16" s="13"/>
      <c r="F16" s="111">
        <v>1</v>
      </c>
      <c r="G16" s="280"/>
      <c r="H16" s="20"/>
      <c r="I16" s="13"/>
      <c r="J16" s="103"/>
      <c r="K16" s="103"/>
      <c r="L16" s="111"/>
      <c r="M16" s="101"/>
      <c r="N16" s="20"/>
      <c r="O16" s="13"/>
      <c r="P16" s="103"/>
      <c r="Q16" s="103"/>
      <c r="R16" s="111"/>
      <c r="S16" s="101"/>
      <c r="T16" s="20"/>
      <c r="U16" s="13"/>
      <c r="V16" s="103"/>
      <c r="W16" s="103"/>
      <c r="X16" s="111"/>
      <c r="Y16" s="111"/>
      <c r="Z16" s="316"/>
      <c r="AA16" s="20"/>
      <c r="AB16" s="13"/>
      <c r="AC16" s="103"/>
      <c r="AD16" s="103"/>
      <c r="AE16" s="111"/>
      <c r="AF16" s="280"/>
      <c r="AG16" s="20"/>
      <c r="AH16" s="13"/>
      <c r="AI16" s="103"/>
      <c r="AJ16" s="103"/>
      <c r="AK16" s="111"/>
      <c r="AL16" s="280"/>
      <c r="AM16" s="20"/>
      <c r="AN16" s="13"/>
      <c r="AO16" s="103"/>
      <c r="AP16" s="103"/>
      <c r="AQ16" s="111"/>
      <c r="AR16" s="101"/>
      <c r="AS16" s="280"/>
      <c r="AT16" s="20"/>
      <c r="AU16" s="13"/>
      <c r="AV16" s="103"/>
      <c r="AW16" s="103"/>
      <c r="AX16" s="111"/>
      <c r="AY16" s="101"/>
      <c r="AZ16" s="280"/>
      <c r="BA16" s="20"/>
      <c r="BB16" s="13"/>
      <c r="BC16" s="103"/>
      <c r="BD16" s="103"/>
      <c r="BE16" s="111"/>
      <c r="BF16" s="101"/>
      <c r="BG16" s="101"/>
      <c r="BH16" s="280"/>
      <c r="BI16" s="20"/>
      <c r="BJ16" s="13"/>
      <c r="BK16" s="103"/>
      <c r="BL16" s="103"/>
      <c r="BM16" s="103"/>
      <c r="BN16" s="111"/>
      <c r="BO16" s="101"/>
      <c r="BP16" s="280"/>
      <c r="BQ16" s="20"/>
      <c r="BR16" s="13"/>
      <c r="BS16" s="103"/>
      <c r="BT16" s="103"/>
      <c r="BU16" s="103"/>
      <c r="BV16" s="111"/>
      <c r="BW16" s="280"/>
      <c r="BX16" s="20"/>
      <c r="BY16" s="13"/>
      <c r="BZ16" s="103"/>
      <c r="CA16" s="103"/>
      <c r="CB16" s="111"/>
      <c r="CC16" s="101"/>
      <c r="CD16" s="280"/>
      <c r="CE16" s="20"/>
      <c r="CF16" s="13"/>
      <c r="CG16" s="103"/>
      <c r="CH16" s="103"/>
      <c r="CI16" s="111"/>
      <c r="CJ16" s="101"/>
      <c r="CK16" s="101"/>
      <c r="CL16" s="280"/>
      <c r="CM16" s="266" t="s">
        <v>1337</v>
      </c>
      <c r="CN16" s="266" t="s">
        <v>1435</v>
      </c>
      <c r="CO16" s="310" t="str">
        <f t="shared" ref="CO16" si="0">CONCATENATE(" Validar funcionalidad  Categoría Distribuidores ",IF(B16=1,$B$3,"")," ",IF(C16=1,$C$3,""),"",IF(D16=1,$D$3,"")," ",IF(E16=1,$E$4,"")," en el filtro ",IF(F16=1,$F$4,""), " dejando la descripcion en vacio.", IF(G16=1,$G$2,""),)</f>
        <v xml:space="preserve"> Validar funcionalidad  Categoría Distribuidores  Modificar  en el filtro Sin Valores dejando la descripcion en vacio.</v>
      </c>
      <c r="CP16" s="267" t="s">
        <v>1343</v>
      </c>
    </row>
    <row r="17" spans="1:94" s="109" customFormat="1" ht="15" customHeight="1" thickBot="1" x14ac:dyDescent="0.3">
      <c r="A17" s="23"/>
      <c r="B17" s="301"/>
      <c r="C17" s="281"/>
      <c r="D17" s="317">
        <v>1</v>
      </c>
      <c r="E17" s="317"/>
      <c r="F17" s="282"/>
      <c r="G17" s="302"/>
      <c r="H17" s="301"/>
      <c r="I17" s="281"/>
      <c r="J17" s="350"/>
      <c r="K17" s="350"/>
      <c r="L17" s="282"/>
      <c r="M17" s="351"/>
      <c r="N17" s="301"/>
      <c r="O17" s="281"/>
      <c r="P17" s="350"/>
      <c r="Q17" s="350"/>
      <c r="R17" s="282"/>
      <c r="S17" s="351"/>
      <c r="T17" s="301"/>
      <c r="U17" s="281"/>
      <c r="V17" s="350"/>
      <c r="W17" s="350"/>
      <c r="X17" s="282"/>
      <c r="Y17" s="282"/>
      <c r="Z17" s="309"/>
      <c r="AA17" s="301"/>
      <c r="AB17" s="281"/>
      <c r="AC17" s="350"/>
      <c r="AD17" s="350"/>
      <c r="AE17" s="282"/>
      <c r="AF17" s="302"/>
      <c r="AG17" s="301"/>
      <c r="AH17" s="281"/>
      <c r="AI17" s="350"/>
      <c r="AJ17" s="350"/>
      <c r="AK17" s="282"/>
      <c r="AL17" s="302"/>
      <c r="AM17" s="301"/>
      <c r="AN17" s="281"/>
      <c r="AO17" s="350"/>
      <c r="AP17" s="350"/>
      <c r="AQ17" s="282"/>
      <c r="AR17" s="351"/>
      <c r="AS17" s="302"/>
      <c r="AT17" s="301"/>
      <c r="AU17" s="281"/>
      <c r="AV17" s="350"/>
      <c r="AW17" s="350"/>
      <c r="AX17" s="282"/>
      <c r="AY17" s="351"/>
      <c r="AZ17" s="302"/>
      <c r="BA17" s="301"/>
      <c r="BB17" s="281"/>
      <c r="BC17" s="350"/>
      <c r="BD17" s="350"/>
      <c r="BE17" s="282"/>
      <c r="BF17" s="351"/>
      <c r="BG17" s="351"/>
      <c r="BH17" s="302"/>
      <c r="BI17" s="301"/>
      <c r="BJ17" s="281"/>
      <c r="BK17" s="350"/>
      <c r="BL17" s="350"/>
      <c r="BM17" s="350"/>
      <c r="BN17" s="282"/>
      <c r="BO17" s="351"/>
      <c r="BP17" s="302"/>
      <c r="BQ17" s="301"/>
      <c r="BR17" s="281"/>
      <c r="BS17" s="350"/>
      <c r="BT17" s="350"/>
      <c r="BU17" s="350"/>
      <c r="BV17" s="282"/>
      <c r="BW17" s="302"/>
      <c r="BX17" s="301"/>
      <c r="BY17" s="281"/>
      <c r="BZ17" s="350"/>
      <c r="CA17" s="350"/>
      <c r="CB17" s="282"/>
      <c r="CC17" s="351"/>
      <c r="CD17" s="302"/>
      <c r="CE17" s="301"/>
      <c r="CF17" s="281"/>
      <c r="CG17" s="350"/>
      <c r="CH17" s="350"/>
      <c r="CI17" s="282"/>
      <c r="CJ17" s="351"/>
      <c r="CK17" s="351"/>
      <c r="CL17" s="302"/>
      <c r="CM17" s="266" t="s">
        <v>1340</v>
      </c>
      <c r="CN17" s="266" t="s">
        <v>1339</v>
      </c>
      <c r="CO17" s="310" t="str">
        <f>CONCATENATE(" Validar funcionalidad  Categoría Distribuidores ",IF(B17=1,$B$3,"")," ",IF(C17=1,$C$3,""),"",IF(D17=1,$D$3,"")," ",IF(E17=1,$E$4,"")," un registro en Uso. ",IF(F17=1,$F$4,""), " ", IF(G17=1,$G$2,""),)</f>
        <v xml:space="preserve"> Validar funcionalidad  Categoría Distribuidores  Eliminar  un registro en Uso.  </v>
      </c>
      <c r="CP17" s="267" t="s">
        <v>1345</v>
      </c>
    </row>
    <row r="18" spans="1:94" s="109" customFormat="1" ht="15" customHeight="1" thickTop="1" x14ac:dyDescent="0.25">
      <c r="A18" s="23"/>
      <c r="B18" s="105"/>
      <c r="C18" s="25"/>
      <c r="D18" s="345"/>
      <c r="E18" s="25"/>
      <c r="F18" s="24"/>
      <c r="G18" s="24"/>
      <c r="H18" s="105">
        <v>1</v>
      </c>
      <c r="I18" s="25"/>
      <c r="J18" s="345"/>
      <c r="K18" s="25">
        <v>1</v>
      </c>
      <c r="L18" s="24"/>
      <c r="M18" s="24">
        <v>1</v>
      </c>
      <c r="N18" s="105"/>
      <c r="O18" s="25"/>
      <c r="P18" s="345"/>
      <c r="Q18" s="345"/>
      <c r="R18" s="24"/>
      <c r="S18" s="100"/>
      <c r="T18" s="105"/>
      <c r="U18" s="25"/>
      <c r="V18" s="345"/>
      <c r="W18" s="345"/>
      <c r="X18" s="24"/>
      <c r="Y18" s="24"/>
      <c r="Z18" s="279"/>
      <c r="AA18" s="105"/>
      <c r="AB18" s="25"/>
      <c r="AC18" s="345"/>
      <c r="AD18" s="345"/>
      <c r="AE18" s="24"/>
      <c r="AF18" s="279"/>
      <c r="AG18" s="105"/>
      <c r="AH18" s="25"/>
      <c r="AI18" s="345"/>
      <c r="AJ18" s="345"/>
      <c r="AK18" s="24"/>
      <c r="AL18" s="279"/>
      <c r="AM18" s="105"/>
      <c r="AN18" s="25"/>
      <c r="AO18" s="345"/>
      <c r="AP18" s="345"/>
      <c r="AQ18" s="24"/>
      <c r="AR18" s="100"/>
      <c r="AS18" s="279"/>
      <c r="AT18" s="105"/>
      <c r="AU18" s="25"/>
      <c r="AV18" s="345"/>
      <c r="AW18" s="345"/>
      <c r="AX18" s="24"/>
      <c r="AY18" s="100"/>
      <c r="AZ18" s="279"/>
      <c r="BA18" s="105"/>
      <c r="BB18" s="25"/>
      <c r="BC18" s="345"/>
      <c r="BD18" s="345"/>
      <c r="BE18" s="24"/>
      <c r="BF18" s="100"/>
      <c r="BG18" s="100"/>
      <c r="BH18" s="279"/>
      <c r="BI18" s="105"/>
      <c r="BJ18" s="25"/>
      <c r="BK18" s="345"/>
      <c r="BL18" s="345"/>
      <c r="BM18" s="345"/>
      <c r="BN18" s="24"/>
      <c r="BO18" s="100"/>
      <c r="BP18" s="279"/>
      <c r="BQ18" s="105"/>
      <c r="BR18" s="25"/>
      <c r="BS18" s="345"/>
      <c r="BT18" s="345"/>
      <c r="BU18" s="345"/>
      <c r="BV18" s="24"/>
      <c r="BW18" s="279"/>
      <c r="BX18" s="105"/>
      <c r="BY18" s="25"/>
      <c r="BZ18" s="345"/>
      <c r="CA18" s="345"/>
      <c r="CB18" s="24"/>
      <c r="CC18" s="100"/>
      <c r="CD18" s="279"/>
      <c r="CE18" s="105"/>
      <c r="CF18" s="25"/>
      <c r="CG18" s="345"/>
      <c r="CH18" s="345"/>
      <c r="CI18" s="24"/>
      <c r="CJ18" s="100"/>
      <c r="CK18" s="100"/>
      <c r="CL18" s="279"/>
      <c r="CM18" s="266" t="s">
        <v>575</v>
      </c>
      <c r="CN18" s="266" t="str">
        <f>CONCATENATE("Acceder al sistema Gemma con usuario y perfil activo para la funcionalidad modulo Maestro - Canales, hacer clic en el boton ","",IF(H18=1,"Agregar","")," colocando la descripcion, ",IF(I18=1,"Modificar un registro","")," presionar el boton Confirmar y ",IF(J18=1,"Eliminar un registro",""),"luego presionar ",IF(M18=1,"Exportar Documento Excel",""), ,IF(A18=1,"Link Nombre Distribuidor","")," ",IF(FZ32=1,$FZ$4,"")," ")</f>
        <v xml:space="preserve">Acceder al sistema Gemma con usuario y perfil activo para la funcionalidad modulo Maestro - Canales, hacer clic en el boton Agregar colocando la descripcion,  presionar el boton Confirmar y luego presionar Exportar Documento Excel  </v>
      </c>
      <c r="CO18" s="310" t="str">
        <f>CONCATENATE(" Validar funcionalidad  Canales ",IF(H18=1,$H$3,"")," ",IF(I18=1,$I$3,""),"",IF(J18=1,$J$3,""),"",IF(K18=1,$K$4,"")," en el filtro ",IF(L18=1,$L$4,""), " una vez confirmado ", IF(M18=1,$M$2,""),)</f>
        <v xml:space="preserve"> Validar funcionalidad  Canales Agregar Con Valores en el filtro  una vez confirmado Exportar Excel </v>
      </c>
      <c r="CP18" s="267" t="s">
        <v>1321</v>
      </c>
    </row>
    <row r="19" spans="1:94" s="109" customFormat="1" ht="15" customHeight="1" x14ac:dyDescent="0.25">
      <c r="A19" s="23"/>
      <c r="B19" s="20"/>
      <c r="C19" s="13"/>
      <c r="D19" s="103"/>
      <c r="E19" s="13"/>
      <c r="F19" s="111"/>
      <c r="G19" s="111"/>
      <c r="H19" s="20">
        <v>1</v>
      </c>
      <c r="I19" s="13"/>
      <c r="J19" s="103"/>
      <c r="K19" s="13">
        <v>1</v>
      </c>
      <c r="L19" s="111"/>
      <c r="M19" s="111"/>
      <c r="N19" s="20"/>
      <c r="O19" s="13"/>
      <c r="P19" s="103"/>
      <c r="Q19" s="103"/>
      <c r="R19" s="111"/>
      <c r="S19" s="101"/>
      <c r="T19" s="20"/>
      <c r="U19" s="13"/>
      <c r="V19" s="103"/>
      <c r="W19" s="103"/>
      <c r="X19" s="111"/>
      <c r="Y19" s="111"/>
      <c r="Z19" s="280"/>
      <c r="AA19" s="20"/>
      <c r="AB19" s="13"/>
      <c r="AC19" s="103"/>
      <c r="AD19" s="103"/>
      <c r="AE19" s="111"/>
      <c r="AF19" s="280"/>
      <c r="AG19" s="20"/>
      <c r="AH19" s="13"/>
      <c r="AI19" s="103"/>
      <c r="AJ19" s="103"/>
      <c r="AK19" s="111"/>
      <c r="AL19" s="280"/>
      <c r="AM19" s="20"/>
      <c r="AN19" s="13"/>
      <c r="AO19" s="103"/>
      <c r="AP19" s="103"/>
      <c r="AQ19" s="111"/>
      <c r="AR19" s="101"/>
      <c r="AS19" s="280"/>
      <c r="AT19" s="20"/>
      <c r="AU19" s="13"/>
      <c r="AV19" s="103"/>
      <c r="AW19" s="103"/>
      <c r="AX19" s="111"/>
      <c r="AY19" s="101"/>
      <c r="AZ19" s="280"/>
      <c r="BA19" s="20"/>
      <c r="BB19" s="13"/>
      <c r="BC19" s="103"/>
      <c r="BD19" s="103"/>
      <c r="BE19" s="111"/>
      <c r="BF19" s="101"/>
      <c r="BG19" s="101"/>
      <c r="BH19" s="280"/>
      <c r="BI19" s="20"/>
      <c r="BJ19" s="13"/>
      <c r="BK19" s="103"/>
      <c r="BL19" s="103"/>
      <c r="BM19" s="103"/>
      <c r="BN19" s="111"/>
      <c r="BO19" s="101"/>
      <c r="BP19" s="280"/>
      <c r="BQ19" s="20"/>
      <c r="BR19" s="13"/>
      <c r="BS19" s="103"/>
      <c r="BT19" s="103"/>
      <c r="BU19" s="103"/>
      <c r="BV19" s="111"/>
      <c r="BW19" s="280"/>
      <c r="BX19" s="20"/>
      <c r="BY19" s="13"/>
      <c r="BZ19" s="103"/>
      <c r="CA19" s="103"/>
      <c r="CB19" s="111"/>
      <c r="CC19" s="101"/>
      <c r="CD19" s="280"/>
      <c r="CE19" s="20"/>
      <c r="CF19" s="13"/>
      <c r="CG19" s="103"/>
      <c r="CH19" s="103"/>
      <c r="CI19" s="111"/>
      <c r="CJ19" s="101"/>
      <c r="CK19" s="101"/>
      <c r="CL19" s="280"/>
      <c r="CM19" s="266" t="s">
        <v>576</v>
      </c>
      <c r="CN19" s="266" t="str">
        <f>CONCATENATE("Acceder al sistema Gemma con usuario y perfil activo para la funcionalidad modulo Maestro - Canales, hacer clic en el boton ","",IF(H19=1,"Agregar","")," colocando la descripcion, ",IF(I19=1,"Modificar un registro","")," ",IF(J19=1,"Eliminar un registro","")," ",IF(M19=1,"Exportar Documento Excel",""), ,IF(A19=1,"Link Nombre Distribuidor",""),"presionar el boton Confirmar.",IF(FZ33=1,$FZ$4,"")," ")</f>
        <v xml:space="preserve">Acceder al sistema Gemma con usuario y perfil activo para la funcionalidad modulo Maestro - Canales, hacer clic en el boton Agregar colocando la descripcion,   presionar el boton Confirmar. </v>
      </c>
      <c r="CO19" s="310" t="str">
        <f>CONCATENATE(" Validar funcionalidad  Canales ",IF(H19=1,$H$3,"")," ",IF(I19=1,$I$3,""),"",IF(J19=1,$J$3,"")," ",IF(K19=1,$K$4,"")," en el filtro ",IF(L19=1,$L$4,""), " ", IF(M19=1,$M$2,"Sin Exportar Excel"),)</f>
        <v xml:space="preserve"> Validar funcionalidad  Canales Agregar  Con Valores en el filtro  Sin Exportar Excel</v>
      </c>
      <c r="CP19" s="267" t="s">
        <v>1321</v>
      </c>
    </row>
    <row r="20" spans="1:94" s="109" customFormat="1" ht="15" customHeight="1" x14ac:dyDescent="0.25">
      <c r="A20" s="23"/>
      <c r="B20" s="20"/>
      <c r="C20" s="13"/>
      <c r="D20" s="103"/>
      <c r="E20" s="13"/>
      <c r="F20" s="111"/>
      <c r="G20" s="111"/>
      <c r="H20" s="20"/>
      <c r="I20" s="13">
        <v>1</v>
      </c>
      <c r="J20" s="103"/>
      <c r="K20" s="13">
        <v>1</v>
      </c>
      <c r="L20" s="111"/>
      <c r="M20" s="111">
        <v>1</v>
      </c>
      <c r="N20" s="20"/>
      <c r="O20" s="13"/>
      <c r="P20" s="103"/>
      <c r="Q20" s="103"/>
      <c r="R20" s="111"/>
      <c r="S20" s="101"/>
      <c r="T20" s="20"/>
      <c r="U20" s="13"/>
      <c r="V20" s="103"/>
      <c r="W20" s="103"/>
      <c r="X20" s="111"/>
      <c r="Y20" s="111"/>
      <c r="Z20" s="280"/>
      <c r="AA20" s="20"/>
      <c r="AB20" s="13"/>
      <c r="AC20" s="103"/>
      <c r="AD20" s="103"/>
      <c r="AE20" s="111"/>
      <c r="AF20" s="280"/>
      <c r="AG20" s="20"/>
      <c r="AH20" s="13"/>
      <c r="AI20" s="103"/>
      <c r="AJ20" s="103"/>
      <c r="AK20" s="111"/>
      <c r="AL20" s="280"/>
      <c r="AM20" s="20"/>
      <c r="AN20" s="13"/>
      <c r="AO20" s="103"/>
      <c r="AP20" s="103"/>
      <c r="AQ20" s="111"/>
      <c r="AR20" s="101"/>
      <c r="AS20" s="280"/>
      <c r="AT20" s="20"/>
      <c r="AU20" s="13"/>
      <c r="AV20" s="103"/>
      <c r="AW20" s="103"/>
      <c r="AX20" s="111"/>
      <c r="AY20" s="101"/>
      <c r="AZ20" s="280"/>
      <c r="BA20" s="20"/>
      <c r="BB20" s="13"/>
      <c r="BC20" s="103"/>
      <c r="BD20" s="103"/>
      <c r="BE20" s="111"/>
      <c r="BF20" s="101"/>
      <c r="BG20" s="101"/>
      <c r="BH20" s="280"/>
      <c r="BI20" s="20"/>
      <c r="BJ20" s="13"/>
      <c r="BK20" s="103"/>
      <c r="BL20" s="103"/>
      <c r="BM20" s="103"/>
      <c r="BN20" s="111"/>
      <c r="BO20" s="101"/>
      <c r="BP20" s="280"/>
      <c r="BQ20" s="20"/>
      <c r="BR20" s="13"/>
      <c r="BS20" s="103"/>
      <c r="BT20" s="103"/>
      <c r="BU20" s="103"/>
      <c r="BV20" s="111"/>
      <c r="BW20" s="280"/>
      <c r="BX20" s="20"/>
      <c r="BY20" s="13"/>
      <c r="BZ20" s="103"/>
      <c r="CA20" s="103"/>
      <c r="CB20" s="111"/>
      <c r="CC20" s="101"/>
      <c r="CD20" s="280"/>
      <c r="CE20" s="20"/>
      <c r="CF20" s="13"/>
      <c r="CG20" s="103"/>
      <c r="CH20" s="103"/>
      <c r="CI20" s="111"/>
      <c r="CJ20" s="101"/>
      <c r="CK20" s="101"/>
      <c r="CL20" s="280"/>
      <c r="CM20" s="266" t="s">
        <v>1346</v>
      </c>
      <c r="CN20" s="266" t="str">
        <f>CONCATENATE("Acceder al sistema Gemma con usuario y perfil activo para la funcionalidad modulo Maestro - Canales, colocando la descripcion en el filtro, ","",IF(H20=1,"Agregar un registro","")," hacer clic en el boton ",IF(I20=1,"Modificar, ","")," ",IF(J20=1,"Eliminar un registro",""),"confirmar cambios, luego presionar ",IF(M20=1,"Exportar Documento Excel",""), ,IF(A20=1,"Link Nombre Distribuidor",""),"",IF(FZ34=1,$FZ$4,"")," ")</f>
        <v xml:space="preserve">Acceder al sistema Gemma con usuario y perfil activo para la funcionalidad modulo Maestro - Canales, colocando la descripcion en el filtro,  hacer clic en el boton Modificar,  confirmar cambios, luego presionar Exportar Documento Excel </v>
      </c>
      <c r="CO20" s="310" t="str">
        <f>CONCATENATE(" Validar funcionalidad  Canales ",IF(H20=1,$H$3,"")," ",IF(I20=1,$I$3,""),"",IF(J20=1,$J$3,"")," ",IF(K20=1,$K$4,""),"  en el filtro ",IF(L20=1,$L$4,""), " una vez confirmado ", IF(M20=1,$M$2,"Sin Exportar Excel"),)</f>
        <v xml:space="preserve"> Validar funcionalidad  Canales  Modificar Con Valores  en el filtro  una vez confirmado Exportar Excel </v>
      </c>
      <c r="CP20" s="267" t="s">
        <v>1341</v>
      </c>
    </row>
    <row r="21" spans="1:94" s="109" customFormat="1" ht="15" customHeight="1" x14ac:dyDescent="0.25">
      <c r="A21" s="23"/>
      <c r="B21" s="20"/>
      <c r="C21" s="13"/>
      <c r="D21" s="103"/>
      <c r="E21" s="13"/>
      <c r="F21" s="111"/>
      <c r="G21" s="111"/>
      <c r="H21" s="20"/>
      <c r="I21" s="13">
        <v>1</v>
      </c>
      <c r="J21" s="103"/>
      <c r="K21" s="13">
        <v>1</v>
      </c>
      <c r="L21" s="111"/>
      <c r="M21" s="111"/>
      <c r="N21" s="20"/>
      <c r="O21" s="13"/>
      <c r="P21" s="103"/>
      <c r="Q21" s="103"/>
      <c r="R21" s="111"/>
      <c r="S21" s="101"/>
      <c r="T21" s="20"/>
      <c r="U21" s="13"/>
      <c r="V21" s="103"/>
      <c r="W21" s="103"/>
      <c r="X21" s="111"/>
      <c r="Y21" s="111"/>
      <c r="Z21" s="280"/>
      <c r="AA21" s="20"/>
      <c r="AB21" s="13"/>
      <c r="AC21" s="103"/>
      <c r="AD21" s="103"/>
      <c r="AE21" s="111"/>
      <c r="AF21" s="280"/>
      <c r="AG21" s="20"/>
      <c r="AH21" s="13"/>
      <c r="AI21" s="103"/>
      <c r="AJ21" s="103"/>
      <c r="AK21" s="111"/>
      <c r="AL21" s="280"/>
      <c r="AM21" s="20"/>
      <c r="AN21" s="13"/>
      <c r="AO21" s="103"/>
      <c r="AP21" s="103"/>
      <c r="AQ21" s="111"/>
      <c r="AR21" s="101"/>
      <c r="AS21" s="280"/>
      <c r="AT21" s="20"/>
      <c r="AU21" s="13"/>
      <c r="AV21" s="103"/>
      <c r="AW21" s="103"/>
      <c r="AX21" s="111"/>
      <c r="AY21" s="101"/>
      <c r="AZ21" s="280"/>
      <c r="BA21" s="20"/>
      <c r="BB21" s="13"/>
      <c r="BC21" s="103"/>
      <c r="BD21" s="103"/>
      <c r="BE21" s="111"/>
      <c r="BF21" s="101"/>
      <c r="BG21" s="101"/>
      <c r="BH21" s="280"/>
      <c r="BI21" s="20"/>
      <c r="BJ21" s="13"/>
      <c r="BK21" s="103"/>
      <c r="BL21" s="103"/>
      <c r="BM21" s="103"/>
      <c r="BN21" s="111"/>
      <c r="BO21" s="101"/>
      <c r="BP21" s="280"/>
      <c r="BQ21" s="20"/>
      <c r="BR21" s="13"/>
      <c r="BS21" s="103"/>
      <c r="BT21" s="103"/>
      <c r="BU21" s="103"/>
      <c r="BV21" s="111"/>
      <c r="BW21" s="280"/>
      <c r="BX21" s="20"/>
      <c r="BY21" s="13"/>
      <c r="BZ21" s="103"/>
      <c r="CA21" s="103"/>
      <c r="CB21" s="111"/>
      <c r="CC21" s="101"/>
      <c r="CD21" s="280"/>
      <c r="CE21" s="20"/>
      <c r="CF21" s="13"/>
      <c r="CG21" s="103"/>
      <c r="CH21" s="103"/>
      <c r="CI21" s="111"/>
      <c r="CJ21" s="101"/>
      <c r="CK21" s="101"/>
      <c r="CL21" s="280"/>
      <c r="CM21" s="266" t="s">
        <v>577</v>
      </c>
      <c r="CN21" s="266" t="str">
        <f>CONCATENATE("Acceder al sistema Gemma con usuario y perfil activo para la funcionalidad modulo Maestro - Canales, ","",IF(H21=1,"Agregar un registro","")," colocando la descripcion en el filtro, hacer clic en el boton ",IF(I21=1,"Modificar, ","")," ",IF(J21=1,"Eliminar un registro","")," ",IF(M21=1,"Exportar Documento Excel",""), ,IF(A21=1,"Link Nombre Distribuidor",""),"y luego Confirmar el cambio.",IF(FZ35=1,$FZ$4,"")," ")</f>
        <v xml:space="preserve">Acceder al sistema Gemma con usuario y perfil activo para la funcionalidad modulo Maestro - Canales,  colocando la descripcion en el filtro, hacer clic en el boton Modificar,   y luego Confirmar el cambio. </v>
      </c>
      <c r="CO21" s="310" t="str">
        <f>CONCATENATE(" Validar funcionalidad  Canales ",IF(H21=1,$H$3,"")," ",IF(I21=1,$I$3,""),"",IF(J21=1,$J$3,"")," ",IF(K21=1,$K$4,""),"",IF(L21=1,$L$4,""), " en el filtro  ", IF(M21=1,$M$2,"Sin Exportar Excel"),)</f>
        <v xml:space="preserve"> Validar funcionalidad  Canales  Modificar Con Valores en el filtro  Sin Exportar Excel</v>
      </c>
      <c r="CP21" s="267" t="s">
        <v>1341</v>
      </c>
    </row>
    <row r="22" spans="1:94" s="109" customFormat="1" ht="15" customHeight="1" x14ac:dyDescent="0.25">
      <c r="A22" s="23"/>
      <c r="B22" s="20"/>
      <c r="C22" s="13"/>
      <c r="D22" s="103"/>
      <c r="E22" s="13"/>
      <c r="F22" s="111"/>
      <c r="G22" s="111"/>
      <c r="H22" s="20"/>
      <c r="I22" s="13">
        <v>1</v>
      </c>
      <c r="J22" s="103"/>
      <c r="K22" s="13"/>
      <c r="L22" s="111">
        <v>1</v>
      </c>
      <c r="M22" s="111"/>
      <c r="N22" s="20"/>
      <c r="O22" s="13"/>
      <c r="P22" s="103"/>
      <c r="Q22" s="103"/>
      <c r="R22" s="111"/>
      <c r="S22" s="101"/>
      <c r="T22" s="20"/>
      <c r="U22" s="13"/>
      <c r="V22" s="103"/>
      <c r="W22" s="103"/>
      <c r="X22" s="111"/>
      <c r="Y22" s="111"/>
      <c r="Z22" s="280"/>
      <c r="AA22" s="20"/>
      <c r="AB22" s="13"/>
      <c r="AC22" s="103"/>
      <c r="AD22" s="103"/>
      <c r="AE22" s="111"/>
      <c r="AF22" s="280"/>
      <c r="AG22" s="20"/>
      <c r="AH22" s="13"/>
      <c r="AI22" s="103"/>
      <c r="AJ22" s="103"/>
      <c r="AK22" s="111"/>
      <c r="AL22" s="280"/>
      <c r="AM22" s="20"/>
      <c r="AN22" s="13"/>
      <c r="AO22" s="103"/>
      <c r="AP22" s="103"/>
      <c r="AQ22" s="111"/>
      <c r="AR22" s="101"/>
      <c r="AS22" s="280"/>
      <c r="AT22" s="20"/>
      <c r="AU22" s="13"/>
      <c r="AV22" s="103"/>
      <c r="AW22" s="103"/>
      <c r="AX22" s="111"/>
      <c r="AY22" s="101"/>
      <c r="AZ22" s="280"/>
      <c r="BA22" s="20"/>
      <c r="BB22" s="13"/>
      <c r="BC22" s="103"/>
      <c r="BD22" s="103"/>
      <c r="BE22" s="111"/>
      <c r="BF22" s="101"/>
      <c r="BG22" s="101"/>
      <c r="BH22" s="280"/>
      <c r="BI22" s="20"/>
      <c r="BJ22" s="13"/>
      <c r="BK22" s="103"/>
      <c r="BL22" s="103"/>
      <c r="BM22" s="103"/>
      <c r="BN22" s="111"/>
      <c r="BO22" s="101"/>
      <c r="BP22" s="280"/>
      <c r="BQ22" s="20"/>
      <c r="BR22" s="13"/>
      <c r="BS22" s="103"/>
      <c r="BT22" s="103"/>
      <c r="BU22" s="103"/>
      <c r="BV22" s="111"/>
      <c r="BW22" s="280"/>
      <c r="BX22" s="20"/>
      <c r="BY22" s="13"/>
      <c r="BZ22" s="103"/>
      <c r="CA22" s="103"/>
      <c r="CB22" s="111"/>
      <c r="CC22" s="101"/>
      <c r="CD22" s="280"/>
      <c r="CE22" s="20"/>
      <c r="CF22" s="13"/>
      <c r="CG22" s="103"/>
      <c r="CH22" s="103"/>
      <c r="CI22" s="111"/>
      <c r="CJ22" s="101"/>
      <c r="CK22" s="101"/>
      <c r="CL22" s="280"/>
      <c r="CM22" s="266" t="s">
        <v>578</v>
      </c>
      <c r="CN22" s="266" t="str">
        <f>CONCATENATE("Acceder al sistema Gemma con usuario y perfil activo para la funcionalidad modulo Maestro - Canales, ","",IF(H22=1,"Agregar un registro","")," seleccionando el registro de la tabla consulta, hacer clic en el boton ",IF(I22=1,"Modificar","")," ",IF(J22=1,"Eliminar","")," ",IF(M22=1,"Exportar Documento Excel",""), ,IF(A22=1,"Link Nombre Distribuidor",""),"presionar el boton Confirmar.",IF(FZ36=1,$FZ$4,"")," ")</f>
        <v xml:space="preserve">Acceder al sistema Gemma con usuario y perfil activo para la funcionalidad modulo Maestro - Canales,  seleccionando el registro de la tabla consulta, hacer clic en el boton Modificar  presionar el boton Confirmar. </v>
      </c>
      <c r="CO22" s="310" t="str">
        <f>CONCATENATE(" Validar funcionalidad  Canales ",IF(H22=1,$H$3,"")," ",IF(I22=1,$I$3,""),"",IF(J22=1,$J$3,"")," ",IF(K22=1,$K$4,""),"",IF(L22=1,$L$4,""), " en el filtro  ", IF(M22=1,$M$2,"Sin Exportar Excel"),)</f>
        <v xml:space="preserve"> Validar funcionalidad  Canales  Modificar Sin Valores en el filtro  Sin Exportar Excel</v>
      </c>
      <c r="CP22" s="267" t="s">
        <v>1341</v>
      </c>
    </row>
    <row r="23" spans="1:94" s="109" customFormat="1" ht="15" customHeight="1" x14ac:dyDescent="0.25">
      <c r="A23" s="23"/>
      <c r="B23" s="20"/>
      <c r="C23" s="13"/>
      <c r="D23" s="13"/>
      <c r="E23" s="13"/>
      <c r="F23" s="111"/>
      <c r="G23" s="111"/>
      <c r="H23" s="20"/>
      <c r="I23" s="13"/>
      <c r="J23" s="13">
        <v>1</v>
      </c>
      <c r="K23" s="13">
        <v>1</v>
      </c>
      <c r="L23" s="111"/>
      <c r="M23" s="111">
        <v>1</v>
      </c>
      <c r="N23" s="20"/>
      <c r="O23" s="13"/>
      <c r="P23" s="103"/>
      <c r="Q23" s="103"/>
      <c r="R23" s="111"/>
      <c r="S23" s="101"/>
      <c r="T23" s="20"/>
      <c r="U23" s="13"/>
      <c r="V23" s="103"/>
      <c r="W23" s="103"/>
      <c r="X23" s="111"/>
      <c r="Y23" s="111"/>
      <c r="Z23" s="280"/>
      <c r="AA23" s="20"/>
      <c r="AB23" s="13"/>
      <c r="AC23" s="103"/>
      <c r="AD23" s="103"/>
      <c r="AE23" s="111"/>
      <c r="AF23" s="280"/>
      <c r="AG23" s="20"/>
      <c r="AH23" s="13"/>
      <c r="AI23" s="103"/>
      <c r="AJ23" s="103"/>
      <c r="AK23" s="111"/>
      <c r="AL23" s="280"/>
      <c r="AM23" s="20"/>
      <c r="AN23" s="13"/>
      <c r="AO23" s="103"/>
      <c r="AP23" s="103"/>
      <c r="AQ23" s="111"/>
      <c r="AR23" s="101"/>
      <c r="AS23" s="280"/>
      <c r="AT23" s="20"/>
      <c r="AU23" s="13"/>
      <c r="AV23" s="103"/>
      <c r="AW23" s="103"/>
      <c r="AX23" s="111"/>
      <c r="AY23" s="101"/>
      <c r="AZ23" s="280"/>
      <c r="BA23" s="20"/>
      <c r="BB23" s="13"/>
      <c r="BC23" s="103"/>
      <c r="BD23" s="103"/>
      <c r="BE23" s="111"/>
      <c r="BF23" s="101"/>
      <c r="BG23" s="101"/>
      <c r="BH23" s="280"/>
      <c r="BI23" s="20"/>
      <c r="BJ23" s="13"/>
      <c r="BK23" s="103"/>
      <c r="BL23" s="103"/>
      <c r="BM23" s="103"/>
      <c r="BN23" s="111"/>
      <c r="BO23" s="101"/>
      <c r="BP23" s="280"/>
      <c r="BQ23" s="20"/>
      <c r="BR23" s="13"/>
      <c r="BS23" s="103"/>
      <c r="BT23" s="103"/>
      <c r="BU23" s="103"/>
      <c r="BV23" s="111"/>
      <c r="BW23" s="280"/>
      <c r="BX23" s="20"/>
      <c r="BY23" s="13"/>
      <c r="BZ23" s="103"/>
      <c r="CA23" s="103"/>
      <c r="CB23" s="111"/>
      <c r="CC23" s="101"/>
      <c r="CD23" s="280"/>
      <c r="CE23" s="20"/>
      <c r="CF23" s="13"/>
      <c r="CG23" s="103"/>
      <c r="CH23" s="103"/>
      <c r="CI23" s="111"/>
      <c r="CJ23" s="101"/>
      <c r="CK23" s="101"/>
      <c r="CL23" s="280"/>
      <c r="CM23" s="266" t="s">
        <v>1348</v>
      </c>
      <c r="CN23" s="266" t="str">
        <f>CONCATENATE("Acceder al sistema Gemma con usuario y perfil activo para la funcionalidad modulo Maestro - Canales, colocando la descripcion en el filtro, ","",IF(B23=1,"Agregar un registro","")," hacer clic en el boton ",IF(C23=1,"Modificar, ","")," ",IF(D23=1,"Eliminar un registro ",""),"confirmar cambios, luego presionar ",IF(G23=1,"Exportar Documento Excel",""), ,IF(A23=1,"Link Nombre Distribuidor",""),"",IF(FZ37=1,$FZ$4,"")," ")</f>
        <v xml:space="preserve">Acceder al sistema Gemma con usuario y perfil activo para la funcionalidad modulo Maestro - Canales, colocando la descripcion en el filtro,  hacer clic en el boton  confirmar cambios, luego presionar  </v>
      </c>
      <c r="CO23" s="310" t="str">
        <f>CONCATENATE(" Validar funcionalidad  Canales ",IF(H23=1,$H$3,"")," ",IF(I23=1,$I$3,""),"",IF(J23=1,$J$3,"")," ",IF(K23=1,$K$4,"")," en el filtro ",IF(L23=1,$L$4,""), " una vez confirmado  ", IF(M23=1,$M$2,"Sin Exportar Excel"),)</f>
        <v xml:space="preserve"> Validar funcionalidad  Canales  Eliminar Con Valores en el filtro  una vez confirmado  Exportar Excel </v>
      </c>
      <c r="CP23" s="267" t="s">
        <v>1333</v>
      </c>
    </row>
    <row r="24" spans="1:94" s="109" customFormat="1" ht="15" customHeight="1" x14ac:dyDescent="0.25">
      <c r="A24" s="23"/>
      <c r="B24" s="20"/>
      <c r="C24" s="13"/>
      <c r="D24" s="13"/>
      <c r="E24" s="13"/>
      <c r="F24" s="111"/>
      <c r="G24" s="111"/>
      <c r="H24" s="20"/>
      <c r="I24" s="13"/>
      <c r="J24" s="13">
        <v>1</v>
      </c>
      <c r="K24" s="13">
        <v>1</v>
      </c>
      <c r="L24" s="111"/>
      <c r="M24" s="111"/>
      <c r="N24" s="20"/>
      <c r="O24" s="13"/>
      <c r="P24" s="103"/>
      <c r="Q24" s="103"/>
      <c r="R24" s="111"/>
      <c r="S24" s="101"/>
      <c r="T24" s="20"/>
      <c r="U24" s="13"/>
      <c r="V24" s="103"/>
      <c r="W24" s="103"/>
      <c r="X24" s="111"/>
      <c r="Y24" s="111"/>
      <c r="Z24" s="280"/>
      <c r="AA24" s="20"/>
      <c r="AB24" s="13"/>
      <c r="AC24" s="103"/>
      <c r="AD24" s="103"/>
      <c r="AE24" s="111"/>
      <c r="AF24" s="280"/>
      <c r="AG24" s="20"/>
      <c r="AH24" s="13"/>
      <c r="AI24" s="103"/>
      <c r="AJ24" s="103"/>
      <c r="AK24" s="111"/>
      <c r="AL24" s="280"/>
      <c r="AM24" s="20"/>
      <c r="AN24" s="13"/>
      <c r="AO24" s="103"/>
      <c r="AP24" s="103"/>
      <c r="AQ24" s="111"/>
      <c r="AR24" s="101"/>
      <c r="AS24" s="280"/>
      <c r="AT24" s="20"/>
      <c r="AU24" s="13"/>
      <c r="AV24" s="103"/>
      <c r="AW24" s="103"/>
      <c r="AX24" s="111"/>
      <c r="AY24" s="101"/>
      <c r="AZ24" s="280"/>
      <c r="BA24" s="20"/>
      <c r="BB24" s="13"/>
      <c r="BC24" s="103"/>
      <c r="BD24" s="103"/>
      <c r="BE24" s="111"/>
      <c r="BF24" s="101"/>
      <c r="BG24" s="101"/>
      <c r="BH24" s="280"/>
      <c r="BI24" s="20"/>
      <c r="BJ24" s="13"/>
      <c r="BK24" s="103"/>
      <c r="BL24" s="103"/>
      <c r="BM24" s="103"/>
      <c r="BN24" s="111"/>
      <c r="BO24" s="101"/>
      <c r="BP24" s="280"/>
      <c r="BQ24" s="20"/>
      <c r="BR24" s="13"/>
      <c r="BS24" s="103"/>
      <c r="BT24" s="103"/>
      <c r="BU24" s="103"/>
      <c r="BV24" s="111"/>
      <c r="BW24" s="280"/>
      <c r="BX24" s="20"/>
      <c r="BY24" s="13"/>
      <c r="BZ24" s="103"/>
      <c r="CA24" s="103"/>
      <c r="CB24" s="111"/>
      <c r="CC24" s="101"/>
      <c r="CD24" s="280"/>
      <c r="CE24" s="20"/>
      <c r="CF24" s="13"/>
      <c r="CG24" s="103"/>
      <c r="CH24" s="103"/>
      <c r="CI24" s="111"/>
      <c r="CJ24" s="101"/>
      <c r="CK24" s="101"/>
      <c r="CL24" s="280"/>
      <c r="CM24" s="266" t="s">
        <v>579</v>
      </c>
      <c r="CN24" s="266" t="str">
        <f>CONCATENATE("Acceder al sistema Gemma con usuario y perfil activo para la funcionalidad modulo Maestro - Canales, ","",IF(B24=1,"Agregar un registro","")," colocando la descripcion en el filtro, hacer clic en el boton ",IF(C24=1,"Modificar, ","")," ",IF(D24=1,"Eliminar un registro","")," ",IF(G24=1,"Exportar Documento Excel",""), ,IF(A24=1,"Link Nombre Distribuidor",""),"y luego Confirmar el cambio.",IF(FZ38=1,$FZ$4,"")," ")</f>
        <v xml:space="preserve">Acceder al sistema Gemma con usuario y perfil activo para la funcionalidad modulo Maestro - Canales,  colocando la descripcion en el filtro, hacer clic en el boton   y luego Confirmar el cambio. </v>
      </c>
      <c r="CO24" s="310" t="str">
        <f>CONCATENATE(" Validar funcionalidad  Canales ",IF(H24=1,$H$3,"")," ",IF(I24=1,$I$3,""),"",IF(J24=1,$J$3,"")," ",IF(K24=1,$K$4,"")," en el filtro ",IF(L24=1,$L$4,""), " ", IF(M24=1,$M$2,"Sin Exportar Excel"),)</f>
        <v xml:space="preserve"> Validar funcionalidad  Canales  Eliminar Con Valores en el filtro  Sin Exportar Excel</v>
      </c>
      <c r="CP24" s="267" t="s">
        <v>1333</v>
      </c>
    </row>
    <row r="25" spans="1:94" s="109" customFormat="1" x14ac:dyDescent="0.25">
      <c r="A25" s="23"/>
      <c r="B25" s="291"/>
      <c r="C25" s="272"/>
      <c r="D25" s="272"/>
      <c r="E25" s="272"/>
      <c r="F25" s="273"/>
      <c r="G25" s="273"/>
      <c r="H25" s="291"/>
      <c r="I25" s="272"/>
      <c r="J25" s="272">
        <v>1</v>
      </c>
      <c r="K25" s="272"/>
      <c r="L25" s="273">
        <v>1</v>
      </c>
      <c r="M25" s="273"/>
      <c r="N25" s="291"/>
      <c r="O25" s="272"/>
      <c r="P25" s="318"/>
      <c r="Q25" s="318"/>
      <c r="R25" s="273"/>
      <c r="S25" s="297"/>
      <c r="T25" s="291"/>
      <c r="U25" s="272"/>
      <c r="V25" s="318"/>
      <c r="W25" s="318"/>
      <c r="X25" s="273"/>
      <c r="Y25" s="273"/>
      <c r="Z25" s="316"/>
      <c r="AA25" s="291"/>
      <c r="AB25" s="272"/>
      <c r="AC25" s="318"/>
      <c r="AD25" s="318"/>
      <c r="AE25" s="273"/>
      <c r="AF25" s="316"/>
      <c r="AG25" s="291"/>
      <c r="AH25" s="272"/>
      <c r="AI25" s="318"/>
      <c r="AJ25" s="318"/>
      <c r="AK25" s="273"/>
      <c r="AL25" s="316"/>
      <c r="AM25" s="291"/>
      <c r="AN25" s="272"/>
      <c r="AO25" s="318"/>
      <c r="AP25" s="318"/>
      <c r="AQ25" s="273"/>
      <c r="AR25" s="297"/>
      <c r="AS25" s="316"/>
      <c r="AT25" s="291"/>
      <c r="AU25" s="272"/>
      <c r="AV25" s="318"/>
      <c r="AW25" s="318"/>
      <c r="AX25" s="273"/>
      <c r="AY25" s="297"/>
      <c r="AZ25" s="316"/>
      <c r="BA25" s="291"/>
      <c r="BB25" s="272"/>
      <c r="BC25" s="318"/>
      <c r="BD25" s="318"/>
      <c r="BE25" s="273"/>
      <c r="BF25" s="297"/>
      <c r="BG25" s="297"/>
      <c r="BH25" s="316"/>
      <c r="BI25" s="291"/>
      <c r="BJ25" s="272"/>
      <c r="BK25" s="318"/>
      <c r="BL25" s="318"/>
      <c r="BM25" s="318"/>
      <c r="BN25" s="273"/>
      <c r="BO25" s="297"/>
      <c r="BP25" s="316"/>
      <c r="BQ25" s="291"/>
      <c r="BR25" s="272"/>
      <c r="BS25" s="318"/>
      <c r="BT25" s="318"/>
      <c r="BU25" s="318"/>
      <c r="BV25" s="273"/>
      <c r="BW25" s="316"/>
      <c r="BX25" s="291"/>
      <c r="BY25" s="272"/>
      <c r="BZ25" s="318"/>
      <c r="CA25" s="318"/>
      <c r="CB25" s="273"/>
      <c r="CC25" s="297"/>
      <c r="CD25" s="316"/>
      <c r="CE25" s="291"/>
      <c r="CF25" s="272"/>
      <c r="CG25" s="318"/>
      <c r="CH25" s="318"/>
      <c r="CI25" s="273"/>
      <c r="CJ25" s="297"/>
      <c r="CK25" s="297"/>
      <c r="CL25" s="316"/>
      <c r="CM25" s="266" t="s">
        <v>580</v>
      </c>
      <c r="CN25" s="266" t="str">
        <f>CONCATENATE("Acceder al sistema Gemma con usuario y perfil activo para la funcionalidad modulo Maestro - Canales, ","",IF(H25=1,"Agregar un registro","")," seleccionando el registro de la tabla consulta, hacer clic en el boton ",IF(I25=1,"Modificar","")," ",IF(J25=1,"Eliminar","")," ",IF(M25=1,"Exportar Documento Excel",""), ,IF(A25=1,"Link Nombre Distribuidor",""),"presionar el boton Confirmar.",IF(FZ39=1,$FZ$4,"")," ")</f>
        <v xml:space="preserve">Acceder al sistema Gemma con usuario y perfil activo para la funcionalidad modulo Maestro - Canales,  seleccionando el registro de la tabla consulta, hacer clic en el boton  Eliminar presionar el boton Confirmar. </v>
      </c>
      <c r="CO25" s="310" t="str">
        <f>CONCATENATE(" Validar funcionalidad  Canales ",IF(H25=1,$H$3,"")," ",IF(I25=1,$I$3,""),"",IF(J25=1,$J$3,"")," ",IF(K25=1,$K$4,""),"",IF(L25=1,$L$4,""), " ", IF(M25=1,$M$2,"Sin Exportar Excel"),)</f>
        <v xml:space="preserve"> Validar funcionalidad  Canales  Eliminar Sin Valores Sin Exportar Excel</v>
      </c>
      <c r="CP25" s="267" t="s">
        <v>1333</v>
      </c>
    </row>
    <row r="26" spans="1:94" s="109" customFormat="1" ht="15.75" thickBot="1" x14ac:dyDescent="0.3">
      <c r="A26" s="23"/>
      <c r="B26" s="346"/>
      <c r="C26" s="27"/>
      <c r="D26" s="27"/>
      <c r="E26" s="27"/>
      <c r="F26" s="26"/>
      <c r="G26" s="347"/>
      <c r="H26" s="346"/>
      <c r="I26" s="27"/>
      <c r="J26" s="27"/>
      <c r="K26" s="27"/>
      <c r="L26" s="26"/>
      <c r="M26" s="347">
        <v>1</v>
      </c>
      <c r="N26" s="346"/>
      <c r="O26" s="27"/>
      <c r="P26" s="348"/>
      <c r="Q26" s="348"/>
      <c r="R26" s="26"/>
      <c r="S26" s="349"/>
      <c r="T26" s="346"/>
      <c r="U26" s="27"/>
      <c r="V26" s="348"/>
      <c r="W26" s="348"/>
      <c r="X26" s="26"/>
      <c r="Y26" s="26"/>
      <c r="Z26" s="347"/>
      <c r="AA26" s="346"/>
      <c r="AB26" s="27"/>
      <c r="AC26" s="348"/>
      <c r="AD26" s="348"/>
      <c r="AE26" s="26"/>
      <c r="AF26" s="347"/>
      <c r="AG26" s="346"/>
      <c r="AH26" s="27"/>
      <c r="AI26" s="348"/>
      <c r="AJ26" s="348"/>
      <c r="AK26" s="26"/>
      <c r="AL26" s="347"/>
      <c r="AM26" s="346"/>
      <c r="AN26" s="27"/>
      <c r="AO26" s="348"/>
      <c r="AP26" s="348"/>
      <c r="AQ26" s="26"/>
      <c r="AR26" s="349"/>
      <c r="AS26" s="347"/>
      <c r="AT26" s="346"/>
      <c r="AU26" s="27"/>
      <c r="AV26" s="348"/>
      <c r="AW26" s="348"/>
      <c r="AX26" s="26"/>
      <c r="AY26" s="349"/>
      <c r="AZ26" s="347"/>
      <c r="BA26" s="346"/>
      <c r="BB26" s="27"/>
      <c r="BC26" s="348"/>
      <c r="BD26" s="348"/>
      <c r="BE26" s="26"/>
      <c r="BF26" s="349"/>
      <c r="BG26" s="349"/>
      <c r="BH26" s="347"/>
      <c r="BI26" s="346"/>
      <c r="BJ26" s="27"/>
      <c r="BK26" s="348"/>
      <c r="BL26" s="348"/>
      <c r="BM26" s="348"/>
      <c r="BN26" s="26"/>
      <c r="BO26" s="349"/>
      <c r="BP26" s="347"/>
      <c r="BQ26" s="346"/>
      <c r="BR26" s="27"/>
      <c r="BS26" s="348"/>
      <c r="BT26" s="348"/>
      <c r="BU26" s="348"/>
      <c r="BV26" s="26"/>
      <c r="BW26" s="347"/>
      <c r="BX26" s="346"/>
      <c r="BY26" s="27"/>
      <c r="BZ26" s="348"/>
      <c r="CA26" s="348"/>
      <c r="CB26" s="26"/>
      <c r="CC26" s="349"/>
      <c r="CD26" s="347"/>
      <c r="CE26" s="346"/>
      <c r="CF26" s="27"/>
      <c r="CG26" s="348"/>
      <c r="CH26" s="348"/>
      <c r="CI26" s="26"/>
      <c r="CJ26" s="349"/>
      <c r="CK26" s="349"/>
      <c r="CL26" s="347"/>
      <c r="CM26" s="266" t="s">
        <v>581</v>
      </c>
      <c r="CN26" s="266" t="str">
        <f>CONCATENATE("Acceder al sistema Gemma con usuario y perfil activo para la funcionalidad modulo Maestro - Canales, ","",IF(H26=1,"Agregar un registro","")," sin datos en el filtro, presionar ",IF(I26=1,"Modificar","")," ",IF(J26=1,"Eliminar","")," ",IF(M26=1,"Exportar Documento Excel",""), ,IF(A26=1,"Link Nombre Distribuidor",""),"",IF(FZ40=1,$FZ$4,"")," ")</f>
        <v xml:space="preserve">Acceder al sistema Gemma con usuario y perfil activo para la funcionalidad modulo Maestro - Canales,  sin datos en el filtro, presionar   Exportar Documento Excel </v>
      </c>
      <c r="CO26" s="310" t="str">
        <f t="shared" ref="CO26" si="1">CONCATENATE(" Validar funcionalidad  Canales ",IF(H26=1,$H$3,"")," ",IF(I26=1,$I$3,""),"",IF(J26=1,$J$3,"")," ",IF(K26=1,$K$4,""),"",IF(L26=1,$L$4,""), " ", IF(M26=1,$M$2,"Sin Exportar Excel"),)</f>
        <v xml:space="preserve"> Validar funcionalidad  Canales    Exportar Excel </v>
      </c>
      <c r="CP26" s="267" t="s">
        <v>1342</v>
      </c>
    </row>
    <row r="27" spans="1:94" s="109" customFormat="1" ht="15.75" thickTop="1" x14ac:dyDescent="0.25">
      <c r="A27" s="23"/>
      <c r="B27" s="105"/>
      <c r="C27" s="25"/>
      <c r="D27" s="25"/>
      <c r="E27" s="25"/>
      <c r="F27" s="24"/>
      <c r="G27" s="279"/>
      <c r="H27" s="105">
        <v>1</v>
      </c>
      <c r="I27" s="25"/>
      <c r="J27" s="25"/>
      <c r="K27" s="25"/>
      <c r="L27" s="24">
        <v>1</v>
      </c>
      <c r="M27" s="279"/>
      <c r="N27" s="105"/>
      <c r="O27" s="25"/>
      <c r="P27" s="345"/>
      <c r="Q27" s="345"/>
      <c r="R27" s="24"/>
      <c r="S27" s="100"/>
      <c r="T27" s="105"/>
      <c r="U27" s="25"/>
      <c r="V27" s="345"/>
      <c r="W27" s="345"/>
      <c r="X27" s="24"/>
      <c r="Y27" s="24"/>
      <c r="Z27" s="279"/>
      <c r="AA27" s="105"/>
      <c r="AB27" s="25"/>
      <c r="AC27" s="345"/>
      <c r="AD27" s="345"/>
      <c r="AE27" s="24"/>
      <c r="AF27" s="279"/>
      <c r="AG27" s="105"/>
      <c r="AH27" s="25"/>
      <c r="AI27" s="345"/>
      <c r="AJ27" s="345"/>
      <c r="AK27" s="24"/>
      <c r="AL27" s="279"/>
      <c r="AM27" s="105"/>
      <c r="AN27" s="25"/>
      <c r="AO27" s="345"/>
      <c r="AP27" s="345"/>
      <c r="AQ27" s="24"/>
      <c r="AR27" s="100"/>
      <c r="AS27" s="279"/>
      <c r="AT27" s="105"/>
      <c r="AU27" s="25"/>
      <c r="AV27" s="345"/>
      <c r="AW27" s="345"/>
      <c r="AX27" s="24"/>
      <c r="AY27" s="100"/>
      <c r="AZ27" s="279"/>
      <c r="BA27" s="105"/>
      <c r="BB27" s="25"/>
      <c r="BC27" s="345"/>
      <c r="BD27" s="345"/>
      <c r="BE27" s="24"/>
      <c r="BF27" s="100"/>
      <c r="BG27" s="100"/>
      <c r="BH27" s="279"/>
      <c r="BI27" s="105"/>
      <c r="BJ27" s="25"/>
      <c r="BK27" s="345"/>
      <c r="BL27" s="345"/>
      <c r="BM27" s="345"/>
      <c r="BN27" s="24"/>
      <c r="BO27" s="100"/>
      <c r="BP27" s="279"/>
      <c r="BQ27" s="105"/>
      <c r="BR27" s="25"/>
      <c r="BS27" s="345"/>
      <c r="BT27" s="345"/>
      <c r="BU27" s="345"/>
      <c r="BV27" s="24"/>
      <c r="BW27" s="279"/>
      <c r="BX27" s="105"/>
      <c r="BY27" s="25"/>
      <c r="BZ27" s="345"/>
      <c r="CA27" s="345"/>
      <c r="CB27" s="24"/>
      <c r="CC27" s="100"/>
      <c r="CD27" s="279"/>
      <c r="CE27" s="105"/>
      <c r="CF27" s="25"/>
      <c r="CG27" s="345"/>
      <c r="CH27" s="345"/>
      <c r="CI27" s="24"/>
      <c r="CJ27" s="100"/>
      <c r="CK27" s="100"/>
      <c r="CL27" s="279"/>
      <c r="CM27" s="266" t="s">
        <v>1349</v>
      </c>
      <c r="CN27" s="266" t="str">
        <f>CONCATENATE("Acceder al sistema Gemma con usuario y perfil activo para la funcionalidad modulo Maestro - Canales, ","",IF(H27=1,"Agregar un registro","")," sin datos en la descripcion y presionar Confirmar.",IF(I27=1,"Modificar","")," ",IF(J27=1,"Eliminar","")," ",IF(M27=1,"Exportar Documento Excel",""), ,IF(A27=1,"Link Nombre Distribuidor",""),"",IF(FZ41=1,$FZ$4,"")," ")</f>
        <v xml:space="preserve">Acceder al sistema Gemma con usuario y perfil activo para la funcionalidad modulo Maestro - Canales, Agregar un registro sin datos en la descripcion y presionar Confirmar.   </v>
      </c>
      <c r="CO27" s="310" t="str">
        <f>CONCATENATE(" Validar funcionalidad  Canales ",IF(H27=1,$H$3,"")," ",IF(I27=1,$I$3,""),"",IF(J27=1,$J$3,"")," ",IF(K27=1,$K$4,""),"",IF(L27=1,$L$4,""), " ", IF(M27=1,$M$2,""),"en el Nombre.")</f>
        <v xml:space="preserve"> Validar funcionalidad  Canales Agregar  Sin Valores en el Nombre.</v>
      </c>
      <c r="CP27" s="267" t="s">
        <v>1354</v>
      </c>
    </row>
    <row r="28" spans="1:94" s="109" customFormat="1" x14ac:dyDescent="0.25">
      <c r="A28" s="23"/>
      <c r="B28" s="105"/>
      <c r="C28" s="25"/>
      <c r="D28" s="25"/>
      <c r="E28" s="25"/>
      <c r="F28" s="24"/>
      <c r="G28" s="279"/>
      <c r="H28" s="105"/>
      <c r="I28" s="25"/>
      <c r="J28" s="25"/>
      <c r="K28" s="25"/>
      <c r="L28" s="24"/>
      <c r="M28" s="279"/>
      <c r="N28" s="105"/>
      <c r="O28" s="25"/>
      <c r="P28" s="345"/>
      <c r="Q28" s="345"/>
      <c r="R28" s="24"/>
      <c r="S28" s="100"/>
      <c r="T28" s="105"/>
      <c r="U28" s="25"/>
      <c r="V28" s="345"/>
      <c r="W28" s="345"/>
      <c r="X28" s="24"/>
      <c r="Y28" s="24"/>
      <c r="Z28" s="307"/>
      <c r="AA28" s="105"/>
      <c r="AB28" s="25"/>
      <c r="AC28" s="345"/>
      <c r="AD28" s="345"/>
      <c r="AE28" s="24"/>
      <c r="AF28" s="279"/>
      <c r="AG28" s="105"/>
      <c r="AH28" s="25"/>
      <c r="AI28" s="345"/>
      <c r="AJ28" s="345"/>
      <c r="AK28" s="24"/>
      <c r="AL28" s="279"/>
      <c r="AM28" s="105"/>
      <c r="AN28" s="25"/>
      <c r="AO28" s="345"/>
      <c r="AP28" s="345"/>
      <c r="AQ28" s="24"/>
      <c r="AR28" s="100"/>
      <c r="AS28" s="279"/>
      <c r="AT28" s="105"/>
      <c r="AU28" s="25"/>
      <c r="AV28" s="345"/>
      <c r="AW28" s="345"/>
      <c r="AX28" s="24"/>
      <c r="AY28" s="100"/>
      <c r="AZ28" s="279"/>
      <c r="BA28" s="105"/>
      <c r="BB28" s="25"/>
      <c r="BC28" s="345"/>
      <c r="BD28" s="345"/>
      <c r="BE28" s="24"/>
      <c r="BF28" s="100"/>
      <c r="BG28" s="100"/>
      <c r="BH28" s="279"/>
      <c r="BI28" s="105"/>
      <c r="BJ28" s="25"/>
      <c r="BK28" s="345"/>
      <c r="BL28" s="345"/>
      <c r="BM28" s="345"/>
      <c r="BN28" s="24"/>
      <c r="BO28" s="100"/>
      <c r="BP28" s="279"/>
      <c r="BQ28" s="105"/>
      <c r="BR28" s="25"/>
      <c r="BS28" s="345"/>
      <c r="BT28" s="345"/>
      <c r="BU28" s="345"/>
      <c r="BV28" s="24"/>
      <c r="BW28" s="279"/>
      <c r="BX28" s="105"/>
      <c r="BY28" s="25"/>
      <c r="BZ28" s="345"/>
      <c r="CA28" s="345"/>
      <c r="CB28" s="24"/>
      <c r="CC28" s="100"/>
      <c r="CD28" s="279"/>
      <c r="CE28" s="105"/>
      <c r="CF28" s="25"/>
      <c r="CG28" s="345"/>
      <c r="CH28" s="345"/>
      <c r="CI28" s="24"/>
      <c r="CJ28" s="100"/>
      <c r="CK28" s="100"/>
      <c r="CL28" s="279"/>
      <c r="CM28" s="266" t="s">
        <v>1350</v>
      </c>
      <c r="CN28" s="266" t="s">
        <v>1362</v>
      </c>
      <c r="CO28" s="310" t="str">
        <f>CONCATENATE(" Validar funcionalidad  Canales ",IF(H28=1,$H$3,"")," ",IF(I28=1,$I$3,""),"",IF(J28=1,$J$3,"")," ",IF(K28=1,$K$4,""),"",IF(L28=1,$L$4,""), " ", IF(M28=1,$M$2,""), "Nombre en el filtro invalido.")</f>
        <v xml:space="preserve"> Validar funcionalidad  Canales    Nombre en el filtro invalido.</v>
      </c>
      <c r="CP28" s="267" t="s">
        <v>1344</v>
      </c>
    </row>
    <row r="29" spans="1:94" s="109" customFormat="1" x14ac:dyDescent="0.25">
      <c r="A29" s="23"/>
      <c r="B29" s="20"/>
      <c r="C29" s="13"/>
      <c r="D29" s="13"/>
      <c r="E29" s="13"/>
      <c r="F29" s="111"/>
      <c r="G29" s="280"/>
      <c r="H29" s="20"/>
      <c r="I29" s="13">
        <v>1</v>
      </c>
      <c r="J29" s="13"/>
      <c r="K29" s="13"/>
      <c r="L29" s="111">
        <v>1</v>
      </c>
      <c r="M29" s="280"/>
      <c r="N29" s="20"/>
      <c r="O29" s="13"/>
      <c r="P29" s="103"/>
      <c r="Q29" s="103"/>
      <c r="R29" s="111"/>
      <c r="S29" s="101"/>
      <c r="T29" s="20"/>
      <c r="U29" s="13"/>
      <c r="V29" s="103"/>
      <c r="W29" s="103"/>
      <c r="X29" s="111"/>
      <c r="Y29" s="111"/>
      <c r="Z29" s="316"/>
      <c r="AA29" s="20"/>
      <c r="AB29" s="13"/>
      <c r="AC29" s="103"/>
      <c r="AD29" s="103"/>
      <c r="AE29" s="111"/>
      <c r="AF29" s="280"/>
      <c r="AG29" s="20"/>
      <c r="AH29" s="13"/>
      <c r="AI29" s="103"/>
      <c r="AJ29" s="103"/>
      <c r="AK29" s="111"/>
      <c r="AL29" s="280"/>
      <c r="AM29" s="20"/>
      <c r="AN29" s="13"/>
      <c r="AO29" s="103"/>
      <c r="AP29" s="103"/>
      <c r="AQ29" s="111"/>
      <c r="AR29" s="101"/>
      <c r="AS29" s="280"/>
      <c r="AT29" s="20"/>
      <c r="AU29" s="13"/>
      <c r="AV29" s="103"/>
      <c r="AW29" s="103"/>
      <c r="AX29" s="111"/>
      <c r="AY29" s="101"/>
      <c r="AZ29" s="280"/>
      <c r="BA29" s="20"/>
      <c r="BB29" s="13"/>
      <c r="BC29" s="103"/>
      <c r="BD29" s="103"/>
      <c r="BE29" s="111"/>
      <c r="BF29" s="101"/>
      <c r="BG29" s="101"/>
      <c r="BH29" s="280"/>
      <c r="BI29" s="20"/>
      <c r="BJ29" s="13"/>
      <c r="BK29" s="103"/>
      <c r="BL29" s="103"/>
      <c r="BM29" s="103"/>
      <c r="BN29" s="111"/>
      <c r="BO29" s="101"/>
      <c r="BP29" s="280"/>
      <c r="BQ29" s="20"/>
      <c r="BR29" s="13"/>
      <c r="BS29" s="103"/>
      <c r="BT29" s="103"/>
      <c r="BU29" s="103"/>
      <c r="BV29" s="111"/>
      <c r="BW29" s="280"/>
      <c r="BX29" s="20"/>
      <c r="BY29" s="13"/>
      <c r="BZ29" s="103"/>
      <c r="CA29" s="103"/>
      <c r="CB29" s="111"/>
      <c r="CC29" s="101"/>
      <c r="CD29" s="280"/>
      <c r="CE29" s="20"/>
      <c r="CF29" s="13"/>
      <c r="CG29" s="103"/>
      <c r="CH29" s="103"/>
      <c r="CI29" s="111"/>
      <c r="CJ29" s="101"/>
      <c r="CK29" s="101"/>
      <c r="CL29" s="280"/>
      <c r="CM29" s="266" t="s">
        <v>1351</v>
      </c>
      <c r="CN29" s="266" t="s">
        <v>1434</v>
      </c>
      <c r="CO29" s="310" t="str">
        <f>CONCATENATE(" Validar funcionalidad  Canales ",IF(H29=1,$H$3,"")," ",IF(I29=1,$I$3,""),"",IF(J29=1,$J$3,"")," ",IF(K29=1,$K$4,""),"",IF(L29=1,$L$4,""), " ", IF(M29=1,$M$2,""), "dejar la Nombre vacia.")</f>
        <v xml:space="preserve"> Validar funcionalidad  Canales  Modificar Sin Valores dejar la Nombre vacia.</v>
      </c>
      <c r="CP29" s="267" t="s">
        <v>1355</v>
      </c>
    </row>
    <row r="30" spans="1:94" s="109" customFormat="1" ht="15" customHeight="1" thickBot="1" x14ac:dyDescent="0.3">
      <c r="A30" s="23"/>
      <c r="B30" s="301"/>
      <c r="C30" s="281"/>
      <c r="D30" s="317"/>
      <c r="E30" s="317"/>
      <c r="F30" s="282"/>
      <c r="G30" s="302"/>
      <c r="H30" s="301"/>
      <c r="I30" s="281"/>
      <c r="J30" s="317">
        <v>1</v>
      </c>
      <c r="K30" s="317">
        <v>1</v>
      </c>
      <c r="L30" s="282"/>
      <c r="M30" s="302"/>
      <c r="N30" s="301"/>
      <c r="O30" s="281"/>
      <c r="P30" s="350"/>
      <c r="Q30" s="350"/>
      <c r="R30" s="282"/>
      <c r="S30" s="351"/>
      <c r="T30" s="301"/>
      <c r="U30" s="281"/>
      <c r="V30" s="350"/>
      <c r="W30" s="350"/>
      <c r="X30" s="282"/>
      <c r="Y30" s="282"/>
      <c r="Z30" s="309"/>
      <c r="AA30" s="301"/>
      <c r="AB30" s="281"/>
      <c r="AC30" s="350"/>
      <c r="AD30" s="350"/>
      <c r="AE30" s="282"/>
      <c r="AF30" s="302"/>
      <c r="AG30" s="301"/>
      <c r="AH30" s="281"/>
      <c r="AI30" s="350"/>
      <c r="AJ30" s="350"/>
      <c r="AK30" s="282"/>
      <c r="AL30" s="302"/>
      <c r="AM30" s="301"/>
      <c r="AN30" s="281"/>
      <c r="AO30" s="350"/>
      <c r="AP30" s="350"/>
      <c r="AQ30" s="282"/>
      <c r="AR30" s="351"/>
      <c r="AS30" s="302"/>
      <c r="AT30" s="301"/>
      <c r="AU30" s="281"/>
      <c r="AV30" s="350"/>
      <c r="AW30" s="350"/>
      <c r="AX30" s="282"/>
      <c r="AY30" s="351"/>
      <c r="AZ30" s="302"/>
      <c r="BA30" s="301"/>
      <c r="BB30" s="281"/>
      <c r="BC30" s="350"/>
      <c r="BD30" s="350"/>
      <c r="BE30" s="282"/>
      <c r="BF30" s="351"/>
      <c r="BG30" s="351"/>
      <c r="BH30" s="302"/>
      <c r="BI30" s="301"/>
      <c r="BJ30" s="281"/>
      <c r="BK30" s="350"/>
      <c r="BL30" s="350"/>
      <c r="BM30" s="350"/>
      <c r="BN30" s="282"/>
      <c r="BO30" s="351"/>
      <c r="BP30" s="302"/>
      <c r="BQ30" s="301"/>
      <c r="BR30" s="281"/>
      <c r="BS30" s="350"/>
      <c r="BT30" s="350"/>
      <c r="BU30" s="350"/>
      <c r="BV30" s="282"/>
      <c r="BW30" s="302"/>
      <c r="BX30" s="301"/>
      <c r="BY30" s="281"/>
      <c r="BZ30" s="350"/>
      <c r="CA30" s="350"/>
      <c r="CB30" s="282"/>
      <c r="CC30" s="351"/>
      <c r="CD30" s="302"/>
      <c r="CE30" s="301"/>
      <c r="CF30" s="281"/>
      <c r="CG30" s="350"/>
      <c r="CH30" s="350"/>
      <c r="CI30" s="282"/>
      <c r="CJ30" s="351"/>
      <c r="CK30" s="351"/>
      <c r="CL30" s="302"/>
      <c r="CM30" s="266" t="s">
        <v>1352</v>
      </c>
      <c r="CN30" s="266" t="s">
        <v>1363</v>
      </c>
      <c r="CO30" s="310" t="str">
        <f>CONCATENATE(" Validar funcionalidad  Canales ",IF(H30=1,$H$3,"")," ",IF(I30=1,$I$3,""),"",IF(J30=1,$J$3,"")," ",IF(K30=1,$K$4,""),"",IF(L30=1,$L$4,""), " ", IF(M30=1,$M$2,""),"de canales en uso")</f>
        <v xml:space="preserve"> Validar funcionalidad  Canales  Eliminar Con Valores de canales en uso</v>
      </c>
      <c r="CP30" s="267" t="s">
        <v>1345</v>
      </c>
    </row>
    <row r="31" spans="1:94" s="109" customFormat="1" ht="15" customHeight="1" thickTop="1" x14ac:dyDescent="0.25">
      <c r="A31" s="23"/>
      <c r="B31" s="105"/>
      <c r="C31" s="25"/>
      <c r="D31" s="345"/>
      <c r="E31" s="25"/>
      <c r="F31" s="24"/>
      <c r="G31" s="24"/>
      <c r="H31" s="105"/>
      <c r="I31" s="25"/>
      <c r="J31" s="345"/>
      <c r="K31" s="345"/>
      <c r="L31" s="24"/>
      <c r="M31" s="100"/>
      <c r="N31" s="105">
        <v>1</v>
      </c>
      <c r="O31" s="25"/>
      <c r="P31" s="345"/>
      <c r="Q31" s="25">
        <v>1</v>
      </c>
      <c r="R31" s="24"/>
      <c r="S31" s="24">
        <v>1</v>
      </c>
      <c r="T31" s="105"/>
      <c r="U31" s="25"/>
      <c r="V31" s="345"/>
      <c r="W31" s="345"/>
      <c r="X31" s="24"/>
      <c r="Y31" s="24"/>
      <c r="Z31" s="279"/>
      <c r="AA31" s="105"/>
      <c r="AB31" s="25"/>
      <c r="AC31" s="345"/>
      <c r="AD31" s="345"/>
      <c r="AE31" s="24"/>
      <c r="AF31" s="279"/>
      <c r="AG31" s="105"/>
      <c r="AH31" s="25"/>
      <c r="AI31" s="345"/>
      <c r="AJ31" s="345"/>
      <c r="AK31" s="24"/>
      <c r="AL31" s="279"/>
      <c r="AM31" s="105"/>
      <c r="AN31" s="25"/>
      <c r="AO31" s="345"/>
      <c r="AP31" s="345"/>
      <c r="AQ31" s="24"/>
      <c r="AR31" s="100"/>
      <c r="AS31" s="279"/>
      <c r="AT31" s="105"/>
      <c r="AU31" s="25"/>
      <c r="AV31" s="345"/>
      <c r="AW31" s="345"/>
      <c r="AX31" s="24"/>
      <c r="AY31" s="100"/>
      <c r="AZ31" s="279"/>
      <c r="BA31" s="105"/>
      <c r="BB31" s="25"/>
      <c r="BC31" s="345"/>
      <c r="BD31" s="345"/>
      <c r="BE31" s="24"/>
      <c r="BF31" s="100"/>
      <c r="BG31" s="100"/>
      <c r="BH31" s="279"/>
      <c r="BI31" s="105"/>
      <c r="BJ31" s="25"/>
      <c r="BK31" s="345"/>
      <c r="BL31" s="345"/>
      <c r="BM31" s="345"/>
      <c r="BN31" s="24"/>
      <c r="BO31" s="100"/>
      <c r="BP31" s="279"/>
      <c r="BQ31" s="105"/>
      <c r="BR31" s="25"/>
      <c r="BS31" s="345"/>
      <c r="BT31" s="345"/>
      <c r="BU31" s="345"/>
      <c r="BV31" s="24"/>
      <c r="BW31" s="279"/>
      <c r="BX31" s="105"/>
      <c r="BY31" s="25"/>
      <c r="BZ31" s="345"/>
      <c r="CA31" s="345"/>
      <c r="CB31" s="24"/>
      <c r="CC31" s="100"/>
      <c r="CD31" s="279"/>
      <c r="CE31" s="105"/>
      <c r="CF31" s="25"/>
      <c r="CG31" s="345"/>
      <c r="CH31" s="345"/>
      <c r="CI31" s="24"/>
      <c r="CJ31" s="100"/>
      <c r="CK31" s="100"/>
      <c r="CL31" s="279"/>
      <c r="CM31" s="266" t="s">
        <v>582</v>
      </c>
      <c r="CN31" s="266" t="str">
        <f>CONCATENATE("Acceder al sistema Gemma con usuario y perfil activo para la funcionalidad modulo Maestro - Actividad Económica, hacer clic en el boton ","",IF(N31=1,"Agregar","")," colocando la descripcion, ",IF(O31=1,"Modificar un registro","")," presionar el boton Confirmar y ",IF(P31=1,"Eliminar un registro",""),"luego presionar ",IF(S31=1,"Exportar Documento Excel",""), ,IF(A31=1,"Link Nombre Distribuidor","")," ",IF(FZ45=1,$FZ$4,"")," ")</f>
        <v xml:space="preserve">Acceder al sistema Gemma con usuario y perfil activo para la funcionalidad modulo Maestro - Actividad Económica, hacer clic en el boton Agregar colocando la descripcion,  presionar el boton Confirmar y luego presionar Exportar Documento Excel  </v>
      </c>
      <c r="CO31" s="310" t="str">
        <f>CONCATENATE(" Validar funcionalidad  Actividad Económica ",IF(N31=1,$N$3,"")," ",IF(O31=1,$O$3,""),"",IF(P31=1,$P$3,"")," ",IF(Q31=1,$Q$4,"")," en el filtro ",IF(R31=1,$R$4,""), " en el filtro una vez confirmado ", IF(S31=1,$S$2,"Sin Exportar Excel"),)</f>
        <v xml:space="preserve"> Validar funcionalidad  Actividad Económica Agregar  Con Valores en el filtro  en el filtro una vez confirmado Exportar Excel </v>
      </c>
      <c r="CP31" s="267" t="s">
        <v>1321</v>
      </c>
    </row>
    <row r="32" spans="1:94" s="109" customFormat="1" ht="15" customHeight="1" x14ac:dyDescent="0.25">
      <c r="A32" s="23"/>
      <c r="B32" s="20"/>
      <c r="C32" s="13"/>
      <c r="D32" s="103"/>
      <c r="E32" s="13"/>
      <c r="F32" s="111"/>
      <c r="G32" s="111"/>
      <c r="H32" s="20"/>
      <c r="I32" s="13"/>
      <c r="J32" s="103"/>
      <c r="K32" s="103"/>
      <c r="L32" s="111"/>
      <c r="M32" s="101"/>
      <c r="N32" s="20">
        <v>1</v>
      </c>
      <c r="O32" s="13"/>
      <c r="P32" s="103"/>
      <c r="Q32" s="13">
        <v>1</v>
      </c>
      <c r="R32" s="111"/>
      <c r="S32" s="111"/>
      <c r="T32" s="20"/>
      <c r="U32" s="13"/>
      <c r="V32" s="103"/>
      <c r="W32" s="103"/>
      <c r="X32" s="111"/>
      <c r="Y32" s="111"/>
      <c r="Z32" s="280"/>
      <c r="AA32" s="20"/>
      <c r="AB32" s="13"/>
      <c r="AC32" s="103"/>
      <c r="AD32" s="103"/>
      <c r="AE32" s="111"/>
      <c r="AF32" s="280"/>
      <c r="AG32" s="20"/>
      <c r="AH32" s="13"/>
      <c r="AI32" s="103"/>
      <c r="AJ32" s="103"/>
      <c r="AK32" s="111"/>
      <c r="AL32" s="280"/>
      <c r="AM32" s="20"/>
      <c r="AN32" s="13"/>
      <c r="AO32" s="103"/>
      <c r="AP32" s="103"/>
      <c r="AQ32" s="111"/>
      <c r="AR32" s="101"/>
      <c r="AS32" s="280"/>
      <c r="AT32" s="20"/>
      <c r="AU32" s="13"/>
      <c r="AV32" s="103"/>
      <c r="AW32" s="103"/>
      <c r="AX32" s="111"/>
      <c r="AY32" s="101"/>
      <c r="AZ32" s="280"/>
      <c r="BA32" s="20"/>
      <c r="BB32" s="13"/>
      <c r="BC32" s="103"/>
      <c r="BD32" s="103"/>
      <c r="BE32" s="111"/>
      <c r="BF32" s="101"/>
      <c r="BG32" s="101"/>
      <c r="BH32" s="280"/>
      <c r="BI32" s="20"/>
      <c r="BJ32" s="13"/>
      <c r="BK32" s="103"/>
      <c r="BL32" s="103"/>
      <c r="BM32" s="103"/>
      <c r="BN32" s="111"/>
      <c r="BO32" s="101"/>
      <c r="BP32" s="280"/>
      <c r="BQ32" s="20"/>
      <c r="BR32" s="13"/>
      <c r="BS32" s="103"/>
      <c r="BT32" s="103"/>
      <c r="BU32" s="103"/>
      <c r="BV32" s="111"/>
      <c r="BW32" s="280"/>
      <c r="BX32" s="20"/>
      <c r="BY32" s="13"/>
      <c r="BZ32" s="103"/>
      <c r="CA32" s="103"/>
      <c r="CB32" s="111"/>
      <c r="CC32" s="101"/>
      <c r="CD32" s="280"/>
      <c r="CE32" s="20"/>
      <c r="CF32" s="13"/>
      <c r="CG32" s="103"/>
      <c r="CH32" s="103"/>
      <c r="CI32" s="111"/>
      <c r="CJ32" s="101"/>
      <c r="CK32" s="101"/>
      <c r="CL32" s="280"/>
      <c r="CM32" s="266" t="s">
        <v>583</v>
      </c>
      <c r="CN32" s="266" t="str">
        <f>CONCATENATE("Acceder al sistema Gemma con usuario y perfil activo para la funcionalidad modulo Maestro - Actividad Económica, hacer clic en el boton ","",IF(N32=1,"Agregar","")," colocando la descripcion, ",IF(O32=1,"Modificar un registro","")," ",IF(P32=1,"Eliminar un registro","")," ",IF(S32=1,"Exportar Documento Excel",""), ,IF(A32=1,"Link Nombre Distribuidor",""),"presionar el boton Confirmar.",)</f>
        <v>Acceder al sistema Gemma con usuario y perfil activo para la funcionalidad modulo Maestro - Actividad Económica, hacer clic en el boton Agregar colocando la descripcion,   presionar el boton Confirmar.</v>
      </c>
      <c r="CO32" s="310" t="str">
        <f>CONCATENATE(" Validar funcionalidad  Actividad Económica ",IF(N32=1,$N$3,"")," ",IF(O32=1,$O$3,""),"",IF(P32=1,$P$3,"")," ",IF(Q32=1,$Q$4,""),"",IF(R32=1,$R$4,""), " en el filtro ", IF(S32=1,$S$2,"Sin Exportar Excel"),)</f>
        <v xml:space="preserve"> Validar funcionalidad  Actividad Económica Agregar  Con Valores en el filtro Sin Exportar Excel</v>
      </c>
      <c r="CP32" s="267" t="s">
        <v>1321</v>
      </c>
    </row>
    <row r="33" spans="1:94" s="109" customFormat="1" ht="15" customHeight="1" x14ac:dyDescent="0.25">
      <c r="A33" s="23"/>
      <c r="B33" s="20"/>
      <c r="C33" s="13"/>
      <c r="D33" s="103"/>
      <c r="E33" s="13"/>
      <c r="F33" s="111"/>
      <c r="G33" s="111"/>
      <c r="H33" s="20"/>
      <c r="I33" s="13"/>
      <c r="J33" s="103"/>
      <c r="K33" s="103"/>
      <c r="L33" s="111"/>
      <c r="M33" s="101"/>
      <c r="N33" s="20"/>
      <c r="O33" s="13">
        <v>1</v>
      </c>
      <c r="P33" s="103"/>
      <c r="Q33" s="13">
        <v>1</v>
      </c>
      <c r="R33" s="111"/>
      <c r="S33" s="111">
        <v>1</v>
      </c>
      <c r="T33" s="20"/>
      <c r="U33" s="13"/>
      <c r="V33" s="103"/>
      <c r="W33" s="103"/>
      <c r="X33" s="111"/>
      <c r="Y33" s="111"/>
      <c r="Z33" s="280"/>
      <c r="AA33" s="20"/>
      <c r="AB33" s="13"/>
      <c r="AC33" s="103"/>
      <c r="AD33" s="103"/>
      <c r="AE33" s="111"/>
      <c r="AF33" s="280"/>
      <c r="AG33" s="20"/>
      <c r="AH33" s="13"/>
      <c r="AI33" s="103"/>
      <c r="AJ33" s="103"/>
      <c r="AK33" s="111"/>
      <c r="AL33" s="280"/>
      <c r="AM33" s="20"/>
      <c r="AN33" s="13"/>
      <c r="AO33" s="103"/>
      <c r="AP33" s="103"/>
      <c r="AQ33" s="111"/>
      <c r="AR33" s="101"/>
      <c r="AS33" s="280"/>
      <c r="AT33" s="20"/>
      <c r="AU33" s="13"/>
      <c r="AV33" s="103"/>
      <c r="AW33" s="103"/>
      <c r="AX33" s="111"/>
      <c r="AY33" s="101"/>
      <c r="AZ33" s="280"/>
      <c r="BA33" s="20"/>
      <c r="BB33" s="13"/>
      <c r="BC33" s="103"/>
      <c r="BD33" s="103"/>
      <c r="BE33" s="111"/>
      <c r="BF33" s="101"/>
      <c r="BG33" s="101"/>
      <c r="BH33" s="280"/>
      <c r="BI33" s="20"/>
      <c r="BJ33" s="13"/>
      <c r="BK33" s="103"/>
      <c r="BL33" s="103"/>
      <c r="BM33" s="103"/>
      <c r="BN33" s="111"/>
      <c r="BO33" s="101"/>
      <c r="BP33" s="280"/>
      <c r="BQ33" s="20"/>
      <c r="BR33" s="13"/>
      <c r="BS33" s="103"/>
      <c r="BT33" s="103"/>
      <c r="BU33" s="103"/>
      <c r="BV33" s="111"/>
      <c r="BW33" s="280"/>
      <c r="BX33" s="20"/>
      <c r="BY33" s="13"/>
      <c r="BZ33" s="103"/>
      <c r="CA33" s="103"/>
      <c r="CB33" s="111"/>
      <c r="CC33" s="101"/>
      <c r="CD33" s="280"/>
      <c r="CE33" s="20"/>
      <c r="CF33" s="13"/>
      <c r="CG33" s="103"/>
      <c r="CH33" s="103"/>
      <c r="CI33" s="111"/>
      <c r="CJ33" s="101"/>
      <c r="CK33" s="101"/>
      <c r="CL33" s="280"/>
      <c r="CM33" s="266" t="s">
        <v>1356</v>
      </c>
      <c r="CN33" s="266" t="str">
        <f>CONCATENATE("Acceder al sistema Gemma con usuario y perfil activo para la funcionalidad modulo Maestro - Actividad Económica, colocando la descripcion en el filtro, ","",IF(N33=1,"Agregar un registro","")," hacer clic en el boton ",IF(O33=1,"Modificar, ","")," ",IF(P33=1,"Eliminar un registro",""),"confirmar cambios, luego presionar ",IF(S33=1,"Exportar Documento Excel",""), ,IF(A33=1,"Link Nombre Distribuidor",""),"",IF(FZ47=1,$FZ$4,"")," ")</f>
        <v xml:space="preserve">Acceder al sistema Gemma con usuario y perfil activo para la funcionalidad modulo Maestro - Actividad Económica, colocando la descripcion en el filtro,  hacer clic en el boton Modificar,  confirmar cambios, luego presionar Exportar Documento Excel </v>
      </c>
      <c r="CO33" s="310" t="str">
        <f>CONCATENATE(" Validar funcionalidad  Actividad Económica ",IF(N33=1,$N$3,"")," ",IF(O33=1,$O$3,""),"",IF(P33=1,$P$3,"")," ",IF(Q33=1,$Q$4,""),"",IF(R33=1,$R$4,""), " en el filtro una vez confirmado ", IF(S33=1,$S$2,"Sin Exportar Excel"),)</f>
        <v xml:space="preserve"> Validar funcionalidad  Actividad Económica  Modificar Con Valores en el filtro una vez confirmado Exportar Excel </v>
      </c>
      <c r="CP33" s="267" t="s">
        <v>1341</v>
      </c>
    </row>
    <row r="34" spans="1:94" s="109" customFormat="1" ht="15" customHeight="1" x14ac:dyDescent="0.25">
      <c r="A34" s="23"/>
      <c r="B34" s="20"/>
      <c r="C34" s="13"/>
      <c r="D34" s="103"/>
      <c r="E34" s="13"/>
      <c r="F34" s="111"/>
      <c r="G34" s="111"/>
      <c r="H34" s="20"/>
      <c r="I34" s="13"/>
      <c r="J34" s="103"/>
      <c r="K34" s="103"/>
      <c r="L34" s="111"/>
      <c r="M34" s="101"/>
      <c r="N34" s="20"/>
      <c r="O34" s="13">
        <v>1</v>
      </c>
      <c r="P34" s="103"/>
      <c r="Q34" s="13">
        <v>1</v>
      </c>
      <c r="R34" s="111"/>
      <c r="S34" s="111"/>
      <c r="T34" s="20"/>
      <c r="U34" s="13"/>
      <c r="V34" s="103"/>
      <c r="W34" s="103"/>
      <c r="X34" s="111"/>
      <c r="Y34" s="111"/>
      <c r="Z34" s="280"/>
      <c r="AA34" s="20"/>
      <c r="AB34" s="13"/>
      <c r="AC34" s="103"/>
      <c r="AD34" s="103"/>
      <c r="AE34" s="111"/>
      <c r="AF34" s="280"/>
      <c r="AG34" s="20"/>
      <c r="AH34" s="13"/>
      <c r="AI34" s="103"/>
      <c r="AJ34" s="103"/>
      <c r="AK34" s="111"/>
      <c r="AL34" s="280"/>
      <c r="AM34" s="20"/>
      <c r="AN34" s="13"/>
      <c r="AO34" s="103"/>
      <c r="AP34" s="103"/>
      <c r="AQ34" s="111"/>
      <c r="AR34" s="101"/>
      <c r="AS34" s="280"/>
      <c r="AT34" s="20"/>
      <c r="AU34" s="13"/>
      <c r="AV34" s="103"/>
      <c r="AW34" s="103"/>
      <c r="AX34" s="111"/>
      <c r="AY34" s="101"/>
      <c r="AZ34" s="280"/>
      <c r="BA34" s="20"/>
      <c r="BB34" s="13"/>
      <c r="BC34" s="103"/>
      <c r="BD34" s="103"/>
      <c r="BE34" s="111"/>
      <c r="BF34" s="101"/>
      <c r="BG34" s="101"/>
      <c r="BH34" s="280"/>
      <c r="BI34" s="20"/>
      <c r="BJ34" s="13"/>
      <c r="BK34" s="103"/>
      <c r="BL34" s="103"/>
      <c r="BM34" s="103"/>
      <c r="BN34" s="111"/>
      <c r="BO34" s="101"/>
      <c r="BP34" s="280"/>
      <c r="BQ34" s="20"/>
      <c r="BR34" s="13"/>
      <c r="BS34" s="103"/>
      <c r="BT34" s="103"/>
      <c r="BU34" s="103"/>
      <c r="BV34" s="111"/>
      <c r="BW34" s="280"/>
      <c r="BX34" s="20"/>
      <c r="BY34" s="13"/>
      <c r="BZ34" s="103"/>
      <c r="CA34" s="103"/>
      <c r="CB34" s="111"/>
      <c r="CC34" s="101"/>
      <c r="CD34" s="280"/>
      <c r="CE34" s="20"/>
      <c r="CF34" s="13"/>
      <c r="CG34" s="103"/>
      <c r="CH34" s="103"/>
      <c r="CI34" s="111"/>
      <c r="CJ34" s="101"/>
      <c r="CK34" s="101"/>
      <c r="CL34" s="280"/>
      <c r="CM34" s="266" t="s">
        <v>584</v>
      </c>
      <c r="CN34" s="266" t="str">
        <f>CONCATENATE("Acceder al sistema Gemma con usuario y perfil activo para la funcionalidad modulo Maestro - Actividad Económica, ","",IF(N34=1,"Agregar un registro","")," colocando la descripcion en el filtro, hacer clic en el boton ",IF(O34=1,"Modificar, ","")," ",IF(P34=1,"Eliminar","")," ",IF(S34=1,"Exportar Documento Excel",""), ,IF(A34=1,"Link Nombre Distribuidor",""),"y luego Confirmar el cambio.",IF(FZ48=1,$FZ$4,"")," ")</f>
        <v xml:space="preserve">Acceder al sistema Gemma con usuario y perfil activo para la funcionalidad modulo Maestro - Actividad Económica,  colocando la descripcion en el filtro, hacer clic en el boton Modificar,   y luego Confirmar el cambio. </v>
      </c>
      <c r="CO34" s="310" t="str">
        <f>CONCATENATE(" Validar funcionalidad  Actividad Económica ",IF(N34=1,$N$3,"")," ",IF(O34=1,$O$3,""),"",IF(P34=1,$P$3,"")," ",IF(Q34=1,$Q$4,""),"",IF(R34=1,$R$4,""), " en el filtro ", IF(S34=1,$S$2,"Sin Exportar Excel"),)</f>
        <v xml:space="preserve"> Validar funcionalidad  Actividad Económica  Modificar Con Valores en el filtro Sin Exportar Excel</v>
      </c>
      <c r="CP34" s="267" t="s">
        <v>1341</v>
      </c>
    </row>
    <row r="35" spans="1:94" s="109" customFormat="1" ht="15" customHeight="1" x14ac:dyDescent="0.25">
      <c r="A35" s="23"/>
      <c r="B35" s="20"/>
      <c r="C35" s="13"/>
      <c r="D35" s="103"/>
      <c r="E35" s="13"/>
      <c r="F35" s="111"/>
      <c r="G35" s="111"/>
      <c r="H35" s="20"/>
      <c r="I35" s="13"/>
      <c r="J35" s="103"/>
      <c r="K35" s="103"/>
      <c r="L35" s="111"/>
      <c r="M35" s="101"/>
      <c r="N35" s="20"/>
      <c r="O35" s="13">
        <v>1</v>
      </c>
      <c r="P35" s="103"/>
      <c r="Q35" s="13"/>
      <c r="R35" s="111">
        <v>1</v>
      </c>
      <c r="S35" s="111"/>
      <c r="T35" s="20"/>
      <c r="U35" s="13"/>
      <c r="V35" s="103"/>
      <c r="W35" s="103"/>
      <c r="X35" s="111"/>
      <c r="Y35" s="111"/>
      <c r="Z35" s="280"/>
      <c r="AA35" s="20"/>
      <c r="AB35" s="13"/>
      <c r="AC35" s="103"/>
      <c r="AD35" s="103"/>
      <c r="AE35" s="111"/>
      <c r="AF35" s="280"/>
      <c r="AG35" s="20"/>
      <c r="AH35" s="13"/>
      <c r="AI35" s="103"/>
      <c r="AJ35" s="103"/>
      <c r="AK35" s="111"/>
      <c r="AL35" s="280"/>
      <c r="AM35" s="20"/>
      <c r="AN35" s="13"/>
      <c r="AO35" s="103"/>
      <c r="AP35" s="103"/>
      <c r="AQ35" s="111"/>
      <c r="AR35" s="101"/>
      <c r="AS35" s="280"/>
      <c r="AT35" s="20"/>
      <c r="AU35" s="13"/>
      <c r="AV35" s="103"/>
      <c r="AW35" s="103"/>
      <c r="AX35" s="111"/>
      <c r="AY35" s="101"/>
      <c r="AZ35" s="280"/>
      <c r="BA35" s="20"/>
      <c r="BB35" s="13"/>
      <c r="BC35" s="103"/>
      <c r="BD35" s="103"/>
      <c r="BE35" s="111"/>
      <c r="BF35" s="101"/>
      <c r="BG35" s="101"/>
      <c r="BH35" s="280"/>
      <c r="BI35" s="20"/>
      <c r="BJ35" s="13"/>
      <c r="BK35" s="103"/>
      <c r="BL35" s="103"/>
      <c r="BM35" s="103"/>
      <c r="BN35" s="111"/>
      <c r="BO35" s="101"/>
      <c r="BP35" s="280"/>
      <c r="BQ35" s="20"/>
      <c r="BR35" s="13"/>
      <c r="BS35" s="103"/>
      <c r="BT35" s="103"/>
      <c r="BU35" s="103"/>
      <c r="BV35" s="111"/>
      <c r="BW35" s="280"/>
      <c r="BX35" s="20"/>
      <c r="BY35" s="13"/>
      <c r="BZ35" s="103"/>
      <c r="CA35" s="103"/>
      <c r="CB35" s="111"/>
      <c r="CC35" s="101"/>
      <c r="CD35" s="280"/>
      <c r="CE35" s="20"/>
      <c r="CF35" s="13"/>
      <c r="CG35" s="103"/>
      <c r="CH35" s="103"/>
      <c r="CI35" s="111"/>
      <c r="CJ35" s="101"/>
      <c r="CK35" s="101"/>
      <c r="CL35" s="280"/>
      <c r="CM35" s="266" t="s">
        <v>585</v>
      </c>
      <c r="CN35" s="266" t="str">
        <f>CONCATENATE("Acceder al sistema Gemma con usuario y perfil activo para la funcionalidad modulo Maestro - Actividad Económica, ","",IF(N35=1,"Agregar un registro","")," seleccionando el registro de la tabla consulta, hacer clic en el boton ",IF(O35=1,"Modificar","")," ",IF(P35=1,"Eliminar","")," ",IF(S35=1,"Exportar Documento Excel",""), ,IF(A35=1,"Link Nombre Distribuidor",""),"presionar el boton Confirmar.",IF(FZ49=1,$FZ$4,"")," ")</f>
        <v xml:space="preserve">Acceder al sistema Gemma con usuario y perfil activo para la funcionalidad modulo Maestro - Actividad Económica,  seleccionando el registro de la tabla consulta, hacer clic en el boton Modificar  presionar el boton Confirmar. </v>
      </c>
      <c r="CO35" s="310" t="str">
        <f>CONCATENATE(" Validar funcionalidad  Actividad Económica ",IF(N35=1,$N$3,"")," ",IF(O35=1,$O$3,""),"",IF(P35=1,$P$3,"")," ",IF(Q35=1,$Q$4,""),"",IF(R35=1,$R$4,""), " en el filtro ", IF(S35=1,$S$2,"Sin Exportar Excel"),)</f>
        <v xml:space="preserve"> Validar funcionalidad  Actividad Económica  Modificar Sin Valores en el filtro Sin Exportar Excel</v>
      </c>
      <c r="CP35" s="267" t="s">
        <v>1341</v>
      </c>
    </row>
    <row r="36" spans="1:94" s="109" customFormat="1" ht="15" customHeight="1" x14ac:dyDescent="0.25">
      <c r="A36" s="23"/>
      <c r="B36" s="20"/>
      <c r="C36" s="13"/>
      <c r="D36" s="13"/>
      <c r="E36" s="13"/>
      <c r="F36" s="111"/>
      <c r="G36" s="111"/>
      <c r="H36" s="20"/>
      <c r="I36" s="13"/>
      <c r="J36" s="103"/>
      <c r="K36" s="103"/>
      <c r="L36" s="111"/>
      <c r="M36" s="101"/>
      <c r="N36" s="20"/>
      <c r="O36" s="13"/>
      <c r="P36" s="13">
        <v>1</v>
      </c>
      <c r="Q36" s="13">
        <v>1</v>
      </c>
      <c r="R36" s="111"/>
      <c r="S36" s="111">
        <v>1</v>
      </c>
      <c r="T36" s="20"/>
      <c r="U36" s="13"/>
      <c r="V36" s="103"/>
      <c r="W36" s="103"/>
      <c r="X36" s="111"/>
      <c r="Y36" s="111"/>
      <c r="Z36" s="280"/>
      <c r="AA36" s="20"/>
      <c r="AB36" s="13"/>
      <c r="AC36" s="103"/>
      <c r="AD36" s="103"/>
      <c r="AE36" s="111"/>
      <c r="AF36" s="280"/>
      <c r="AG36" s="20"/>
      <c r="AH36" s="13"/>
      <c r="AI36" s="103"/>
      <c r="AJ36" s="103"/>
      <c r="AK36" s="111"/>
      <c r="AL36" s="280"/>
      <c r="AM36" s="20"/>
      <c r="AN36" s="13"/>
      <c r="AO36" s="103"/>
      <c r="AP36" s="103"/>
      <c r="AQ36" s="111"/>
      <c r="AR36" s="101"/>
      <c r="AS36" s="280"/>
      <c r="AT36" s="20"/>
      <c r="AU36" s="13"/>
      <c r="AV36" s="103"/>
      <c r="AW36" s="103"/>
      <c r="AX36" s="111"/>
      <c r="AY36" s="101"/>
      <c r="AZ36" s="280"/>
      <c r="BA36" s="20"/>
      <c r="BB36" s="13"/>
      <c r="BC36" s="103"/>
      <c r="BD36" s="103"/>
      <c r="BE36" s="111"/>
      <c r="BF36" s="101"/>
      <c r="BG36" s="101"/>
      <c r="BH36" s="280"/>
      <c r="BI36" s="20"/>
      <c r="BJ36" s="13"/>
      <c r="BK36" s="103"/>
      <c r="BL36" s="103"/>
      <c r="BM36" s="103"/>
      <c r="BN36" s="111"/>
      <c r="BO36" s="101"/>
      <c r="BP36" s="280"/>
      <c r="BQ36" s="20"/>
      <c r="BR36" s="13"/>
      <c r="BS36" s="103"/>
      <c r="BT36" s="103"/>
      <c r="BU36" s="103"/>
      <c r="BV36" s="111"/>
      <c r="BW36" s="280"/>
      <c r="BX36" s="20"/>
      <c r="BY36" s="13"/>
      <c r="BZ36" s="103"/>
      <c r="CA36" s="103"/>
      <c r="CB36" s="111"/>
      <c r="CC36" s="101"/>
      <c r="CD36" s="280"/>
      <c r="CE36" s="20"/>
      <c r="CF36" s="13"/>
      <c r="CG36" s="103"/>
      <c r="CH36" s="103"/>
      <c r="CI36" s="111"/>
      <c r="CJ36" s="101"/>
      <c r="CK36" s="101"/>
      <c r="CL36" s="280"/>
      <c r="CM36" s="266" t="s">
        <v>1357</v>
      </c>
      <c r="CN36" s="266" t="str">
        <f>CONCATENATE("Acceder al sistema Gemma con usuario y perfil activo para la funcionalidad modulo Maestro - Actividad Económica, colocando la descripcion en el filtro, ","",IF(N36=1,"Agregar un registro","")," hacer clic en el boton ",IF(O36=1,"Modificar, ","")," ",IF(P36=1,"Eliminar ",""),"confirmar cambios, luego presionar ",IF(S36=1,"Exportar Documento Excel",""), ,IF(A36=1,"Link Nombre Distribuidor",""),"",IF(FZ50=1,$FZ$4,"")," ")</f>
        <v xml:space="preserve">Acceder al sistema Gemma con usuario y perfil activo para la funcionalidad modulo Maestro - Actividad Económica, colocando la descripcion en el filtro,  hacer clic en el boton  Eliminar confirmar cambios, luego presionar Exportar Documento Excel </v>
      </c>
      <c r="CO36" s="310" t="str">
        <f>CONCATENATE(" Validar funcionalidad  Actividad Económica ",IF(N36=1,$N$3,"")," ",IF(O36=1,$O$3,""),"",IF(P36=1,$P$3,"")," ",IF(Q36=1,$Q$4,""),"",IF(R36=1,$R$4,""), " en el filtro una vez confirmado ", IF(S36=1,$S$2,"Sin Exportar Excel"),)</f>
        <v xml:space="preserve"> Validar funcionalidad  Actividad Económica  Eliminar Con Valores en el filtro una vez confirmado Exportar Excel </v>
      </c>
      <c r="CP36" s="267" t="s">
        <v>1333</v>
      </c>
    </row>
    <row r="37" spans="1:94" s="109" customFormat="1" ht="15" customHeight="1" x14ac:dyDescent="0.25">
      <c r="A37" s="23"/>
      <c r="B37" s="20"/>
      <c r="C37" s="13"/>
      <c r="D37" s="13"/>
      <c r="E37" s="13"/>
      <c r="F37" s="111"/>
      <c r="G37" s="111"/>
      <c r="H37" s="20"/>
      <c r="I37" s="13"/>
      <c r="J37" s="103"/>
      <c r="K37" s="103"/>
      <c r="L37" s="111"/>
      <c r="M37" s="101"/>
      <c r="N37" s="20"/>
      <c r="O37" s="13"/>
      <c r="P37" s="13">
        <v>1</v>
      </c>
      <c r="Q37" s="13">
        <v>1</v>
      </c>
      <c r="R37" s="111"/>
      <c r="S37" s="111"/>
      <c r="T37" s="20"/>
      <c r="U37" s="13"/>
      <c r="V37" s="103"/>
      <c r="W37" s="103"/>
      <c r="X37" s="111"/>
      <c r="Y37" s="111"/>
      <c r="Z37" s="280"/>
      <c r="AA37" s="20"/>
      <c r="AB37" s="13"/>
      <c r="AC37" s="103"/>
      <c r="AD37" s="103"/>
      <c r="AE37" s="111"/>
      <c r="AF37" s="280"/>
      <c r="AG37" s="20"/>
      <c r="AH37" s="13"/>
      <c r="AI37" s="103"/>
      <c r="AJ37" s="103"/>
      <c r="AK37" s="111"/>
      <c r="AL37" s="280"/>
      <c r="AM37" s="20"/>
      <c r="AN37" s="13"/>
      <c r="AO37" s="103"/>
      <c r="AP37" s="103"/>
      <c r="AQ37" s="111"/>
      <c r="AR37" s="101"/>
      <c r="AS37" s="280"/>
      <c r="AT37" s="20"/>
      <c r="AU37" s="13"/>
      <c r="AV37" s="103"/>
      <c r="AW37" s="103"/>
      <c r="AX37" s="111"/>
      <c r="AY37" s="101"/>
      <c r="AZ37" s="280"/>
      <c r="BA37" s="20"/>
      <c r="BB37" s="13"/>
      <c r="BC37" s="103"/>
      <c r="BD37" s="103"/>
      <c r="BE37" s="111"/>
      <c r="BF37" s="101"/>
      <c r="BG37" s="101"/>
      <c r="BH37" s="280"/>
      <c r="BI37" s="20"/>
      <c r="BJ37" s="13"/>
      <c r="BK37" s="103"/>
      <c r="BL37" s="103"/>
      <c r="BM37" s="103"/>
      <c r="BN37" s="111"/>
      <c r="BO37" s="101"/>
      <c r="BP37" s="280"/>
      <c r="BQ37" s="20"/>
      <c r="BR37" s="13"/>
      <c r="BS37" s="103"/>
      <c r="BT37" s="103"/>
      <c r="BU37" s="103"/>
      <c r="BV37" s="111"/>
      <c r="BW37" s="280"/>
      <c r="BX37" s="20"/>
      <c r="BY37" s="13"/>
      <c r="BZ37" s="103"/>
      <c r="CA37" s="103"/>
      <c r="CB37" s="111"/>
      <c r="CC37" s="101"/>
      <c r="CD37" s="280"/>
      <c r="CE37" s="20"/>
      <c r="CF37" s="13"/>
      <c r="CG37" s="103"/>
      <c r="CH37" s="103"/>
      <c r="CI37" s="111"/>
      <c r="CJ37" s="101"/>
      <c r="CK37" s="101"/>
      <c r="CL37" s="280"/>
      <c r="CM37" s="266" t="s">
        <v>586</v>
      </c>
      <c r="CN37" s="266" t="str">
        <f>CONCATENATE("Acceder al sistema Gemma con usuario y perfil activo para la funcionalidad modulo Maestro - Actividad Económica, ","",IF(N37=1,"Agregar un registro","")," colocando la descripcion en el filtro, hacer clic en el boton ",IF(O37=1,"Modificar, ","")," ",IF(P37=1,"Eliminar","")," ",IF(S37=1,"Exportar Documento Excel",""), ,IF(A37=1,"Link Nombre Distribuidor",""),"y luego Confirmar el cambio.",)</f>
        <v>Acceder al sistema Gemma con usuario y perfil activo para la funcionalidad modulo Maestro - Actividad Económica,  colocando la descripcion en el filtro, hacer clic en el boton  Eliminar y luego Confirmar el cambio.</v>
      </c>
      <c r="CO37" s="310" t="str">
        <f>CONCATENATE(" Validar funcionalidad  Actividad Económica ",IF(N37=1,$N$3,"")," ",IF(O37=1,$O$3,""),"",IF(P37=1,$P$3,"")," ",IF(Q37=1,$Q$4,""),"",IF(R37=1,$R$4,""), " en el filtro ", IF(S37=1,$S$2,"Sin Exportar Excel"),)</f>
        <v xml:space="preserve"> Validar funcionalidad  Actividad Económica  Eliminar Con Valores en el filtro Sin Exportar Excel</v>
      </c>
      <c r="CP37" s="267" t="s">
        <v>1333</v>
      </c>
    </row>
    <row r="38" spans="1:94" s="109" customFormat="1" x14ac:dyDescent="0.25">
      <c r="A38" s="23"/>
      <c r="B38" s="291"/>
      <c r="C38" s="272"/>
      <c r="D38" s="272"/>
      <c r="E38" s="272"/>
      <c r="F38" s="273"/>
      <c r="G38" s="273"/>
      <c r="H38" s="291"/>
      <c r="I38" s="272"/>
      <c r="J38" s="318"/>
      <c r="K38" s="318"/>
      <c r="L38" s="273"/>
      <c r="M38" s="297"/>
      <c r="N38" s="291"/>
      <c r="O38" s="272"/>
      <c r="P38" s="272">
        <v>1</v>
      </c>
      <c r="Q38" s="272"/>
      <c r="R38" s="273">
        <v>1</v>
      </c>
      <c r="S38" s="273"/>
      <c r="T38" s="291"/>
      <c r="U38" s="272"/>
      <c r="V38" s="318"/>
      <c r="W38" s="318"/>
      <c r="X38" s="273"/>
      <c r="Y38" s="273"/>
      <c r="Z38" s="316"/>
      <c r="AA38" s="291"/>
      <c r="AB38" s="272"/>
      <c r="AC38" s="318"/>
      <c r="AD38" s="318"/>
      <c r="AE38" s="273"/>
      <c r="AF38" s="316"/>
      <c r="AG38" s="291"/>
      <c r="AH38" s="272"/>
      <c r="AI38" s="318"/>
      <c r="AJ38" s="318"/>
      <c r="AK38" s="273"/>
      <c r="AL38" s="316"/>
      <c r="AM38" s="291"/>
      <c r="AN38" s="272"/>
      <c r="AO38" s="318"/>
      <c r="AP38" s="318"/>
      <c r="AQ38" s="273"/>
      <c r="AR38" s="297"/>
      <c r="AS38" s="316"/>
      <c r="AT38" s="291"/>
      <c r="AU38" s="272"/>
      <c r="AV38" s="318"/>
      <c r="AW38" s="318"/>
      <c r="AX38" s="273"/>
      <c r="AY38" s="297"/>
      <c r="AZ38" s="316"/>
      <c r="BA38" s="291"/>
      <c r="BB38" s="272"/>
      <c r="BC38" s="318"/>
      <c r="BD38" s="318"/>
      <c r="BE38" s="273"/>
      <c r="BF38" s="297"/>
      <c r="BG38" s="297"/>
      <c r="BH38" s="316"/>
      <c r="BI38" s="291"/>
      <c r="BJ38" s="272"/>
      <c r="BK38" s="318"/>
      <c r="BL38" s="318"/>
      <c r="BM38" s="318"/>
      <c r="BN38" s="273"/>
      <c r="BO38" s="297"/>
      <c r="BP38" s="316"/>
      <c r="BQ38" s="291"/>
      <c r="BR38" s="272"/>
      <c r="BS38" s="318"/>
      <c r="BT38" s="318"/>
      <c r="BU38" s="318"/>
      <c r="BV38" s="273"/>
      <c r="BW38" s="316"/>
      <c r="BX38" s="291"/>
      <c r="BY38" s="272"/>
      <c r="BZ38" s="318"/>
      <c r="CA38" s="318"/>
      <c r="CB38" s="273"/>
      <c r="CC38" s="297"/>
      <c r="CD38" s="316"/>
      <c r="CE38" s="291"/>
      <c r="CF38" s="272"/>
      <c r="CG38" s="318"/>
      <c r="CH38" s="318"/>
      <c r="CI38" s="273"/>
      <c r="CJ38" s="297"/>
      <c r="CK38" s="297"/>
      <c r="CL38" s="316"/>
      <c r="CM38" s="266" t="s">
        <v>587</v>
      </c>
      <c r="CN38" s="266" t="str">
        <f>CONCATENATE("Acceder al sistema Gemma con usuario y perfil activo para la funcionalidad modulo Maestro - Actividad Económica, ","",IF(N38=1,"Agregar un registro","")," seleccionando el registro de la tabla consulta, hacer clic en el boton ",IF(O38=1,"Modificar","")," ",IF(P38=1,"Eliminar","")," ",IF(S38=1,"Exportar Documento Excel",""), ,IF(A38=1,"Link Nombre Distribuidor",""),"presionar el boton Confirmar.",IF(FZ51=1,$FZ$4,"")," ")</f>
        <v xml:space="preserve">Acceder al sistema Gemma con usuario y perfil activo para la funcionalidad modulo Maestro - Actividad Económica,  seleccionando el registro de la tabla consulta, hacer clic en el boton  Eliminar presionar el boton Confirmar. </v>
      </c>
      <c r="CO38" s="310" t="str">
        <f>CONCATENATE(" Validar funcionalidad  Actividad Económica ",IF(N38=1,$N$3,"")," ",IF(O38=1,$O$3,""),"",IF(P38=1,$P$3,"")," ",IF(Q38=1,$Q$4,""),"",IF(R38=1,$R$4,""), " en el filtro ", IF(S38=1,$S$2,"Sin Exportar Excel"),)</f>
        <v xml:space="preserve"> Validar funcionalidad  Actividad Económica  Eliminar Sin Valores en el filtro Sin Exportar Excel</v>
      </c>
      <c r="CP38" s="267" t="s">
        <v>1333</v>
      </c>
    </row>
    <row r="39" spans="1:94" s="109" customFormat="1" ht="15.75" thickBot="1" x14ac:dyDescent="0.3">
      <c r="A39" s="23"/>
      <c r="B39" s="346"/>
      <c r="C39" s="27"/>
      <c r="D39" s="27"/>
      <c r="E39" s="27"/>
      <c r="F39" s="26"/>
      <c r="G39" s="347"/>
      <c r="H39" s="346"/>
      <c r="I39" s="27"/>
      <c r="J39" s="348"/>
      <c r="K39" s="348"/>
      <c r="L39" s="26"/>
      <c r="M39" s="349"/>
      <c r="N39" s="346"/>
      <c r="O39" s="27"/>
      <c r="P39" s="27"/>
      <c r="Q39" s="27"/>
      <c r="R39" s="26"/>
      <c r="S39" s="347">
        <v>1</v>
      </c>
      <c r="T39" s="346"/>
      <c r="U39" s="27"/>
      <c r="V39" s="348"/>
      <c r="W39" s="348"/>
      <c r="X39" s="26"/>
      <c r="Y39" s="26"/>
      <c r="Z39" s="347"/>
      <c r="AA39" s="346"/>
      <c r="AB39" s="27"/>
      <c r="AC39" s="348"/>
      <c r="AD39" s="348"/>
      <c r="AE39" s="26"/>
      <c r="AF39" s="347"/>
      <c r="AG39" s="346"/>
      <c r="AH39" s="27"/>
      <c r="AI39" s="348"/>
      <c r="AJ39" s="348"/>
      <c r="AK39" s="26"/>
      <c r="AL39" s="347"/>
      <c r="AM39" s="346"/>
      <c r="AN39" s="27"/>
      <c r="AO39" s="348"/>
      <c r="AP39" s="348"/>
      <c r="AQ39" s="26"/>
      <c r="AR39" s="349"/>
      <c r="AS39" s="347"/>
      <c r="AT39" s="346"/>
      <c r="AU39" s="27"/>
      <c r="AV39" s="348"/>
      <c r="AW39" s="348"/>
      <c r="AX39" s="26"/>
      <c r="AY39" s="349"/>
      <c r="AZ39" s="347"/>
      <c r="BA39" s="346"/>
      <c r="BB39" s="27"/>
      <c r="BC39" s="348"/>
      <c r="BD39" s="348"/>
      <c r="BE39" s="26"/>
      <c r="BF39" s="349"/>
      <c r="BG39" s="349"/>
      <c r="BH39" s="347"/>
      <c r="BI39" s="346"/>
      <c r="BJ39" s="27"/>
      <c r="BK39" s="348"/>
      <c r="BL39" s="348"/>
      <c r="BM39" s="348"/>
      <c r="BN39" s="26"/>
      <c r="BO39" s="349"/>
      <c r="BP39" s="347"/>
      <c r="BQ39" s="346"/>
      <c r="BR39" s="27"/>
      <c r="BS39" s="348"/>
      <c r="BT39" s="348"/>
      <c r="BU39" s="348"/>
      <c r="BV39" s="26"/>
      <c r="BW39" s="347"/>
      <c r="BX39" s="346"/>
      <c r="BY39" s="27"/>
      <c r="BZ39" s="348"/>
      <c r="CA39" s="348"/>
      <c r="CB39" s="26"/>
      <c r="CC39" s="349"/>
      <c r="CD39" s="347"/>
      <c r="CE39" s="346"/>
      <c r="CF39" s="27"/>
      <c r="CG39" s="348"/>
      <c r="CH39" s="348"/>
      <c r="CI39" s="26"/>
      <c r="CJ39" s="349"/>
      <c r="CK39" s="349"/>
      <c r="CL39" s="347"/>
      <c r="CM39" s="266" t="s">
        <v>588</v>
      </c>
      <c r="CN39" s="266" t="str">
        <f>CONCATENATE("Acceder al sistema Gemma con usuario y perfil activo para la funcionalidad modulo Maestro - Actividad Económica, ","",IF(H39=1,"Agregar un registro","")," sin datos en el filtro, presionar ",IF(I39=1,"Modificar","")," ",IF(J39=1,"Eliminar","")," ",IF(S39=1,"Exportar Documento Excel",""), ,IF(A39=1,"Link Nombre Distribuidor",""),"",IF(FZ52=1,$FZ$4,"")," ")</f>
        <v xml:space="preserve">Acceder al sistema Gemma con usuario y perfil activo para la funcionalidad modulo Maestro - Actividad Económica,  sin datos en el filtro, presionar   Exportar Documento Excel </v>
      </c>
      <c r="CO39" s="310" t="str">
        <f>CONCATENATE(" Validar funcionalidad  Actividad Económica ",IF(N39=1,$N$3,"")," ",IF(O39=1,$O$3,""),"",IF(P39=1,$P$3,"")," ",IF(Q39=1,$Q$4,""),"",IF(R39=1,$R$4,""), "", IF(S39=1,$S$2,"Sin Exportar Excel"),)</f>
        <v xml:space="preserve"> Validar funcionalidad  Actividad Económica   Exportar Excel </v>
      </c>
      <c r="CP39" s="267" t="s">
        <v>1342</v>
      </c>
    </row>
    <row r="40" spans="1:94" s="109" customFormat="1" ht="15.75" thickTop="1" x14ac:dyDescent="0.25">
      <c r="A40" s="23"/>
      <c r="B40" s="105"/>
      <c r="C40" s="25"/>
      <c r="D40" s="25"/>
      <c r="E40" s="25"/>
      <c r="F40" s="24"/>
      <c r="G40" s="279"/>
      <c r="H40" s="105"/>
      <c r="I40" s="25"/>
      <c r="J40" s="345"/>
      <c r="K40" s="345"/>
      <c r="L40" s="24"/>
      <c r="M40" s="100"/>
      <c r="N40" s="105">
        <v>1</v>
      </c>
      <c r="O40" s="25"/>
      <c r="P40" s="25"/>
      <c r="Q40" s="25"/>
      <c r="R40" s="24">
        <v>1</v>
      </c>
      <c r="S40" s="279"/>
      <c r="T40" s="105"/>
      <c r="U40" s="25"/>
      <c r="V40" s="345"/>
      <c r="W40" s="345"/>
      <c r="X40" s="24"/>
      <c r="Y40" s="24"/>
      <c r="Z40" s="279"/>
      <c r="AA40" s="105"/>
      <c r="AB40" s="25"/>
      <c r="AC40" s="345"/>
      <c r="AD40" s="345"/>
      <c r="AE40" s="24"/>
      <c r="AF40" s="279"/>
      <c r="AG40" s="105"/>
      <c r="AH40" s="25"/>
      <c r="AI40" s="345"/>
      <c r="AJ40" s="345"/>
      <c r="AK40" s="24"/>
      <c r="AL40" s="279"/>
      <c r="AM40" s="105"/>
      <c r="AN40" s="25"/>
      <c r="AO40" s="345"/>
      <c r="AP40" s="345"/>
      <c r="AQ40" s="24"/>
      <c r="AR40" s="100"/>
      <c r="AS40" s="279"/>
      <c r="AT40" s="105"/>
      <c r="AU40" s="25"/>
      <c r="AV40" s="345"/>
      <c r="AW40" s="345"/>
      <c r="AX40" s="24"/>
      <c r="AY40" s="100"/>
      <c r="AZ40" s="279"/>
      <c r="BA40" s="105"/>
      <c r="BB40" s="25"/>
      <c r="BC40" s="345"/>
      <c r="BD40" s="345"/>
      <c r="BE40" s="24"/>
      <c r="BF40" s="100"/>
      <c r="BG40" s="100"/>
      <c r="BH40" s="279"/>
      <c r="BI40" s="105"/>
      <c r="BJ40" s="25"/>
      <c r="BK40" s="345"/>
      <c r="BL40" s="345"/>
      <c r="BM40" s="345"/>
      <c r="BN40" s="24"/>
      <c r="BO40" s="100"/>
      <c r="BP40" s="279"/>
      <c r="BQ40" s="105"/>
      <c r="BR40" s="25"/>
      <c r="BS40" s="345"/>
      <c r="BT40" s="345"/>
      <c r="BU40" s="345"/>
      <c r="BV40" s="24"/>
      <c r="BW40" s="279"/>
      <c r="BX40" s="105"/>
      <c r="BY40" s="25"/>
      <c r="BZ40" s="345"/>
      <c r="CA40" s="345"/>
      <c r="CB40" s="24"/>
      <c r="CC40" s="100"/>
      <c r="CD40" s="279"/>
      <c r="CE40" s="105"/>
      <c r="CF40" s="25"/>
      <c r="CG40" s="345"/>
      <c r="CH40" s="345"/>
      <c r="CI40" s="24"/>
      <c r="CJ40" s="100"/>
      <c r="CK40" s="100"/>
      <c r="CL40" s="279"/>
      <c r="CM40" s="266" t="s">
        <v>1358</v>
      </c>
      <c r="CN40" s="266" t="str">
        <f>CONCATENATE("Acceder al sistema Gemma con usuario y perfil activo para la funcionalidad modulo Maestro - Actividad Económica, ","agregar un registro ",IF(H40=1,"Agregar un registro","")," sin datos en la descripcion y presionar Confirmar.",IF(I40=1,"Modificar","")," ",IF(J40=1,"Eliminar","")," ",IF(M40=1,"Exportar Documento Excel",""), ,IF(A40=1,"Link Nombre Distribuidor",""),"",IF(FZ53=1,$FZ$4,"")," ")</f>
        <v xml:space="preserve">Acceder al sistema Gemma con usuario y perfil activo para la funcionalidad modulo Maestro - Actividad Económica, agregar un registro  sin datos en la descripcion y presionar Confirmar.   </v>
      </c>
      <c r="CO40" s="310" t="str">
        <f>CONCATENATE(" Validar funcionalidad  Actividad Económica ",IF(N40=1,$N$3,"")," ",IF(O40=1,$O$3,""),"",IF(P40=1,$P$3,"")," ",IF(Q40=1,$Q$4,""),"",IF(R40=1,$R$4,""), "", IF(S40=1,$S$2,""), " Economica Nombre vacio.")</f>
        <v xml:space="preserve"> Validar funcionalidad  Actividad Económica Agregar  Sin Valores Economica Nombre vacio.</v>
      </c>
      <c r="CP40" s="267" t="s">
        <v>1366</v>
      </c>
    </row>
    <row r="41" spans="1:94" s="109" customFormat="1" x14ac:dyDescent="0.25">
      <c r="A41" s="23"/>
      <c r="B41" s="105"/>
      <c r="C41" s="25"/>
      <c r="D41" s="25"/>
      <c r="E41" s="25"/>
      <c r="F41" s="24"/>
      <c r="G41" s="279"/>
      <c r="H41" s="105"/>
      <c r="I41" s="25"/>
      <c r="J41" s="345"/>
      <c r="K41" s="345"/>
      <c r="L41" s="24"/>
      <c r="M41" s="100"/>
      <c r="N41" s="105"/>
      <c r="O41" s="25"/>
      <c r="P41" s="25"/>
      <c r="Q41" s="25">
        <v>1</v>
      </c>
      <c r="R41" s="24"/>
      <c r="S41" s="279"/>
      <c r="T41" s="105"/>
      <c r="U41" s="25"/>
      <c r="V41" s="345"/>
      <c r="W41" s="345"/>
      <c r="X41" s="24"/>
      <c r="Y41" s="24"/>
      <c r="Z41" s="307"/>
      <c r="AA41" s="105"/>
      <c r="AB41" s="25"/>
      <c r="AC41" s="345"/>
      <c r="AD41" s="345"/>
      <c r="AE41" s="24"/>
      <c r="AF41" s="279"/>
      <c r="AG41" s="105"/>
      <c r="AH41" s="25"/>
      <c r="AI41" s="345"/>
      <c r="AJ41" s="345"/>
      <c r="AK41" s="24"/>
      <c r="AL41" s="279"/>
      <c r="AM41" s="105"/>
      <c r="AN41" s="25"/>
      <c r="AO41" s="345"/>
      <c r="AP41" s="345"/>
      <c r="AQ41" s="24"/>
      <c r="AR41" s="100"/>
      <c r="AS41" s="279"/>
      <c r="AT41" s="105"/>
      <c r="AU41" s="25"/>
      <c r="AV41" s="345"/>
      <c r="AW41" s="345"/>
      <c r="AX41" s="24"/>
      <c r="AY41" s="100"/>
      <c r="AZ41" s="279"/>
      <c r="BA41" s="105"/>
      <c r="BB41" s="25"/>
      <c r="BC41" s="345"/>
      <c r="BD41" s="345"/>
      <c r="BE41" s="24"/>
      <c r="BF41" s="100"/>
      <c r="BG41" s="100"/>
      <c r="BH41" s="279"/>
      <c r="BI41" s="105"/>
      <c r="BJ41" s="25"/>
      <c r="BK41" s="345"/>
      <c r="BL41" s="345"/>
      <c r="BM41" s="345"/>
      <c r="BN41" s="24"/>
      <c r="BO41" s="100"/>
      <c r="BP41" s="279"/>
      <c r="BQ41" s="105"/>
      <c r="BR41" s="25"/>
      <c r="BS41" s="345"/>
      <c r="BT41" s="345"/>
      <c r="BU41" s="345"/>
      <c r="BV41" s="24"/>
      <c r="BW41" s="279"/>
      <c r="BX41" s="105"/>
      <c r="BY41" s="25"/>
      <c r="BZ41" s="345"/>
      <c r="CA41" s="345"/>
      <c r="CB41" s="24"/>
      <c r="CC41" s="100"/>
      <c r="CD41" s="279"/>
      <c r="CE41" s="105"/>
      <c r="CF41" s="25"/>
      <c r="CG41" s="345"/>
      <c r="CH41" s="345"/>
      <c r="CI41" s="24"/>
      <c r="CJ41" s="100"/>
      <c r="CK41" s="100"/>
      <c r="CL41" s="279"/>
      <c r="CM41" s="266" t="s">
        <v>1359</v>
      </c>
      <c r="CN41" s="266" t="s">
        <v>1364</v>
      </c>
      <c r="CO41" s="310" t="str">
        <f>CONCATENATE(" Validar funcionalidad  Actividad Económica ",IF(N41=1,$N$3,"")," ",IF(O41=1,$O$3,""),"",IF(P41=1,$P$3,"")," ",IF(Q41=1,$Q$4,""),"",IF(R41=1,$R$4,""), "", IF(S41=1,$S$2,""), "Economica Nombre invalido.")</f>
        <v xml:space="preserve"> Validar funcionalidad  Actividad Económica   Con ValoresEconomica Nombre invalido.</v>
      </c>
      <c r="CP41" s="267" t="s">
        <v>1344</v>
      </c>
    </row>
    <row r="42" spans="1:94" s="109" customFormat="1" x14ac:dyDescent="0.25">
      <c r="A42" s="23"/>
      <c r="B42" s="20"/>
      <c r="C42" s="13"/>
      <c r="D42" s="13"/>
      <c r="E42" s="13"/>
      <c r="F42" s="111"/>
      <c r="G42" s="280"/>
      <c r="H42" s="20"/>
      <c r="I42" s="13"/>
      <c r="J42" s="103"/>
      <c r="K42" s="103"/>
      <c r="L42" s="111"/>
      <c r="M42" s="101"/>
      <c r="N42" s="20"/>
      <c r="O42" s="13">
        <v>1</v>
      </c>
      <c r="P42" s="13"/>
      <c r="Q42" s="13"/>
      <c r="R42" s="111">
        <v>1</v>
      </c>
      <c r="S42" s="280"/>
      <c r="T42" s="20"/>
      <c r="U42" s="13"/>
      <c r="V42" s="103"/>
      <c r="W42" s="103"/>
      <c r="X42" s="111"/>
      <c r="Y42" s="111"/>
      <c r="Z42" s="316"/>
      <c r="AA42" s="20"/>
      <c r="AB42" s="13"/>
      <c r="AC42" s="103"/>
      <c r="AD42" s="103"/>
      <c r="AE42" s="111"/>
      <c r="AF42" s="280"/>
      <c r="AG42" s="20"/>
      <c r="AH42" s="13"/>
      <c r="AI42" s="103"/>
      <c r="AJ42" s="103"/>
      <c r="AK42" s="111"/>
      <c r="AL42" s="280"/>
      <c r="AM42" s="20"/>
      <c r="AN42" s="13"/>
      <c r="AO42" s="103"/>
      <c r="AP42" s="103"/>
      <c r="AQ42" s="111"/>
      <c r="AR42" s="101"/>
      <c r="AS42" s="280"/>
      <c r="AT42" s="20"/>
      <c r="AU42" s="13"/>
      <c r="AV42" s="103"/>
      <c r="AW42" s="103"/>
      <c r="AX42" s="111"/>
      <c r="AY42" s="101"/>
      <c r="AZ42" s="280"/>
      <c r="BA42" s="20"/>
      <c r="BB42" s="13"/>
      <c r="BC42" s="103"/>
      <c r="BD42" s="103"/>
      <c r="BE42" s="111"/>
      <c r="BF42" s="101"/>
      <c r="BG42" s="101"/>
      <c r="BH42" s="280"/>
      <c r="BI42" s="20"/>
      <c r="BJ42" s="13"/>
      <c r="BK42" s="103"/>
      <c r="BL42" s="103"/>
      <c r="BM42" s="103"/>
      <c r="BN42" s="111"/>
      <c r="BO42" s="101"/>
      <c r="BP42" s="280"/>
      <c r="BQ42" s="20"/>
      <c r="BR42" s="13"/>
      <c r="BS42" s="103"/>
      <c r="BT42" s="103"/>
      <c r="BU42" s="103"/>
      <c r="BV42" s="111"/>
      <c r="BW42" s="280"/>
      <c r="BX42" s="20"/>
      <c r="BY42" s="13"/>
      <c r="BZ42" s="103"/>
      <c r="CA42" s="103"/>
      <c r="CB42" s="111"/>
      <c r="CC42" s="101"/>
      <c r="CD42" s="280"/>
      <c r="CE42" s="20"/>
      <c r="CF42" s="13"/>
      <c r="CG42" s="103"/>
      <c r="CH42" s="103"/>
      <c r="CI42" s="111"/>
      <c r="CJ42" s="101"/>
      <c r="CK42" s="101"/>
      <c r="CL42" s="280"/>
      <c r="CM42" s="266" t="s">
        <v>1360</v>
      </c>
      <c r="CN42" s="266" t="s">
        <v>1433</v>
      </c>
      <c r="CO42" s="310" t="str">
        <f>CONCATENATE(" Validar funcionalidad  Actividad Económica ",IF(N42=1,$N$3,"")," ",IF(O42=1,$O$3,""),"",IF(P42=1,$P$3,"")," ",IF(Q42=1,$Q$4,""),"",IF(R42=1,$R$4,""), "", IF(S42=1,$S$2,""),"Economica Nombre vacia.")</f>
        <v xml:space="preserve"> Validar funcionalidad  Actividad Económica  Modificar Sin ValoresEconomica Nombre vacia.</v>
      </c>
      <c r="CP42" s="267" t="s">
        <v>1366</v>
      </c>
    </row>
    <row r="43" spans="1:94" s="109" customFormat="1" ht="15" customHeight="1" thickBot="1" x14ac:dyDescent="0.3">
      <c r="A43" s="23"/>
      <c r="B43" s="105"/>
      <c r="C43" s="25"/>
      <c r="D43" s="288"/>
      <c r="E43" s="288"/>
      <c r="F43" s="24"/>
      <c r="G43" s="279"/>
      <c r="H43" s="20"/>
      <c r="I43" s="13"/>
      <c r="J43" s="103"/>
      <c r="K43" s="103"/>
      <c r="L43" s="111"/>
      <c r="M43" s="101"/>
      <c r="N43" s="105"/>
      <c r="O43" s="25"/>
      <c r="P43" s="288">
        <v>1</v>
      </c>
      <c r="Q43" s="288">
        <v>1</v>
      </c>
      <c r="R43" s="24"/>
      <c r="S43" s="279"/>
      <c r="T43" s="20"/>
      <c r="U43" s="13"/>
      <c r="V43" s="103"/>
      <c r="W43" s="103"/>
      <c r="X43" s="111"/>
      <c r="Y43" s="111"/>
      <c r="Z43" s="309"/>
      <c r="AA43" s="20"/>
      <c r="AB43" s="13"/>
      <c r="AC43" s="103"/>
      <c r="AD43" s="103"/>
      <c r="AE43" s="111"/>
      <c r="AF43" s="280"/>
      <c r="AG43" s="20"/>
      <c r="AH43" s="13"/>
      <c r="AI43" s="103"/>
      <c r="AJ43" s="103"/>
      <c r="AK43" s="111"/>
      <c r="AL43" s="280"/>
      <c r="AM43" s="20"/>
      <c r="AN43" s="13"/>
      <c r="AO43" s="103"/>
      <c r="AP43" s="103"/>
      <c r="AQ43" s="111"/>
      <c r="AR43" s="101"/>
      <c r="AS43" s="280"/>
      <c r="AT43" s="20"/>
      <c r="AU43" s="13"/>
      <c r="AV43" s="103"/>
      <c r="AW43" s="103"/>
      <c r="AX43" s="111"/>
      <c r="AY43" s="101"/>
      <c r="AZ43" s="280"/>
      <c r="BA43" s="20"/>
      <c r="BB43" s="13"/>
      <c r="BC43" s="103"/>
      <c r="BD43" s="103"/>
      <c r="BE43" s="111"/>
      <c r="BF43" s="101"/>
      <c r="BG43" s="101"/>
      <c r="BH43" s="280"/>
      <c r="BI43" s="20"/>
      <c r="BJ43" s="13"/>
      <c r="BK43" s="103"/>
      <c r="BL43" s="103"/>
      <c r="BM43" s="103"/>
      <c r="BN43" s="111"/>
      <c r="BO43" s="101"/>
      <c r="BP43" s="280"/>
      <c r="BQ43" s="20"/>
      <c r="BR43" s="13"/>
      <c r="BS43" s="103"/>
      <c r="BT43" s="103"/>
      <c r="BU43" s="103"/>
      <c r="BV43" s="111"/>
      <c r="BW43" s="280"/>
      <c r="BX43" s="20"/>
      <c r="BY43" s="13"/>
      <c r="BZ43" s="103"/>
      <c r="CA43" s="103"/>
      <c r="CB43" s="111"/>
      <c r="CC43" s="101"/>
      <c r="CD43" s="280"/>
      <c r="CE43" s="20"/>
      <c r="CF43" s="13"/>
      <c r="CG43" s="103"/>
      <c r="CH43" s="103"/>
      <c r="CI43" s="111"/>
      <c r="CJ43" s="101"/>
      <c r="CK43" s="101"/>
      <c r="CL43" s="280"/>
      <c r="CM43" s="266" t="s">
        <v>1361</v>
      </c>
      <c r="CN43" s="266" t="s">
        <v>1365</v>
      </c>
      <c r="CO43" s="310" t="str">
        <f>CONCATENATE(" Validar funcionalidad  Actividad Económica ",IF(N43=1,$N$3,"")," ",IF(O43=1,$O$3,""),"",IF(P43=1,$P$3,"")," ",IF(Q43=1,$Q$4,""),"",IF(R43=1,$R$4,""), "", IF(S43=1,$S$2,""), "de actividad economica en uso.")</f>
        <v xml:space="preserve"> Validar funcionalidad  Actividad Económica  Eliminar Con Valoresde actividad economica en uso.</v>
      </c>
      <c r="CP43" s="267" t="s">
        <v>1345</v>
      </c>
    </row>
    <row r="44" spans="1:94" s="109" customFormat="1" ht="15.75" thickTop="1" x14ac:dyDescent="0.25">
      <c r="A44" s="23"/>
      <c r="B44" s="274"/>
      <c r="C44" s="275"/>
      <c r="D44" s="275"/>
      <c r="E44" s="275"/>
      <c r="F44" s="276"/>
      <c r="G44" s="277"/>
      <c r="H44" s="274"/>
      <c r="I44" s="275"/>
      <c r="J44" s="275"/>
      <c r="K44" s="275"/>
      <c r="L44" s="276"/>
      <c r="M44" s="311"/>
      <c r="N44" s="274"/>
      <c r="O44" s="275"/>
      <c r="P44" s="275"/>
      <c r="Q44" s="275"/>
      <c r="R44" s="276"/>
      <c r="S44" s="319"/>
      <c r="T44" s="295">
        <v>1</v>
      </c>
      <c r="U44" s="276"/>
      <c r="V44" s="276"/>
      <c r="W44" s="276">
        <v>1</v>
      </c>
      <c r="X44" s="276"/>
      <c r="Y44" s="276"/>
      <c r="Z44" s="312">
        <v>1</v>
      </c>
      <c r="AA44" s="274"/>
      <c r="AB44" s="275"/>
      <c r="AC44" s="275"/>
      <c r="AD44" s="275"/>
      <c r="AE44" s="276"/>
      <c r="AF44" s="319"/>
      <c r="AG44" s="274"/>
      <c r="AH44" s="275"/>
      <c r="AI44" s="275"/>
      <c r="AJ44" s="275"/>
      <c r="AK44" s="276"/>
      <c r="AL44" s="319"/>
      <c r="AM44" s="274"/>
      <c r="AN44" s="275"/>
      <c r="AO44" s="275"/>
      <c r="AP44" s="275"/>
      <c r="AQ44" s="276"/>
      <c r="AR44" s="296"/>
      <c r="AS44" s="319"/>
      <c r="AT44" s="274"/>
      <c r="AU44" s="275"/>
      <c r="AV44" s="275"/>
      <c r="AW44" s="275"/>
      <c r="AX44" s="276"/>
      <c r="AY44" s="296"/>
      <c r="AZ44" s="319"/>
      <c r="BA44" s="274"/>
      <c r="BB44" s="275"/>
      <c r="BC44" s="275"/>
      <c r="BD44" s="275"/>
      <c r="BE44" s="276"/>
      <c r="BF44" s="296"/>
      <c r="BG44" s="296"/>
      <c r="BH44" s="319"/>
      <c r="BI44" s="274"/>
      <c r="BJ44" s="275"/>
      <c r="BK44" s="275"/>
      <c r="BL44" s="275"/>
      <c r="BM44" s="275"/>
      <c r="BN44" s="276"/>
      <c r="BO44" s="296"/>
      <c r="BP44" s="319"/>
      <c r="BQ44" s="274"/>
      <c r="BR44" s="275"/>
      <c r="BS44" s="275"/>
      <c r="BT44" s="275"/>
      <c r="BU44" s="275"/>
      <c r="BV44" s="276"/>
      <c r="BW44" s="319"/>
      <c r="BX44" s="274"/>
      <c r="BY44" s="275"/>
      <c r="BZ44" s="275"/>
      <c r="CA44" s="275"/>
      <c r="CB44" s="276"/>
      <c r="CC44" s="296"/>
      <c r="CD44" s="319"/>
      <c r="CE44" s="274"/>
      <c r="CF44" s="275"/>
      <c r="CG44" s="275"/>
      <c r="CH44" s="275"/>
      <c r="CI44" s="276"/>
      <c r="CJ44" s="296"/>
      <c r="CK44" s="296"/>
      <c r="CL44" s="319"/>
      <c r="CM44" s="266" t="s">
        <v>591</v>
      </c>
      <c r="CN44" s="266" t="str">
        <f>CONCATENATE("Acceder al sistema Gemma con usuario y perfil activo para la funcionalidad modulo Maestro - Tipos de Vehiculos, hacer clic en el boton ","",IF(T44=1,"Agregar","")," colocando el Nombre, sin seleccionar el chek, ",IF(U44=1,"Modificar un registro","")," presionar el boton Confirmar y ",IF(V44=1,"Eliminar un registro",""),"luego presionar ",IF(Z44=1,"Exportar Documento Excel",""), ,IF(A44=1,"Link Nombre Distribuidor",""),""," ")</f>
        <v xml:space="preserve">Acceder al sistema Gemma con usuario y perfil activo para la funcionalidad modulo Maestro - Tipos de Vehiculos, hacer clic en el boton Agregar colocando el Nombre, sin seleccionar el chek,  presionar el boton Confirmar y luego presionar Exportar Documento Excel </v>
      </c>
      <c r="CO44" s="310" t="str">
        <f>CONCATENATE(" Validar funcionalidad  Actividad Económica ",IF(T44=1,$T$3,"")," ",IF(U44=1,$U$3,"")," ",IF(V44=1,$V$3,"")," ",IF(W44=1,$W$4,"")," ",IF(X44=1,$X$4,""), "",IF(Y44=1,$Y$2,""), " una vez confirmado, ", IF(Z44=1,$Z$2,"Sin Exportar Excel"),)</f>
        <v xml:space="preserve"> Validar funcionalidad  Actividad Económica Agregar   Con Valores  una vez confirmado, Exportar Excel </v>
      </c>
      <c r="CP44" s="267" t="s">
        <v>1321</v>
      </c>
    </row>
    <row r="45" spans="1:94" s="109" customFormat="1" x14ac:dyDescent="0.25">
      <c r="A45" s="23"/>
      <c r="B45" s="299"/>
      <c r="C45" s="25"/>
      <c r="D45" s="25"/>
      <c r="E45" s="25"/>
      <c r="F45" s="24"/>
      <c r="G45" s="283"/>
      <c r="H45" s="299"/>
      <c r="I45" s="25"/>
      <c r="J45" s="25"/>
      <c r="K45" s="25"/>
      <c r="L45" s="24"/>
      <c r="M45" s="300"/>
      <c r="N45" s="299"/>
      <c r="O45" s="25"/>
      <c r="P45" s="25"/>
      <c r="Q45" s="25"/>
      <c r="R45" s="24"/>
      <c r="S45" s="300"/>
      <c r="T45" s="105">
        <v>1</v>
      </c>
      <c r="U45" s="24"/>
      <c r="V45" s="24"/>
      <c r="W45" s="24">
        <v>1</v>
      </c>
      <c r="X45" s="24"/>
      <c r="Y45" s="24"/>
      <c r="Z45" s="279"/>
      <c r="AA45" s="299"/>
      <c r="AB45" s="25"/>
      <c r="AC45" s="25"/>
      <c r="AD45" s="25"/>
      <c r="AE45" s="24"/>
      <c r="AF45" s="321"/>
      <c r="AG45" s="299"/>
      <c r="AH45" s="25"/>
      <c r="AI45" s="25"/>
      <c r="AJ45" s="25"/>
      <c r="AK45" s="24"/>
      <c r="AL45" s="321"/>
      <c r="AM45" s="299"/>
      <c r="AN45" s="25"/>
      <c r="AO45" s="25"/>
      <c r="AP45" s="25"/>
      <c r="AQ45" s="24"/>
      <c r="AR45" s="100"/>
      <c r="AS45" s="321"/>
      <c r="AT45" s="299"/>
      <c r="AU45" s="25"/>
      <c r="AV45" s="25"/>
      <c r="AW45" s="25"/>
      <c r="AX45" s="24"/>
      <c r="AY45" s="100"/>
      <c r="AZ45" s="321"/>
      <c r="BA45" s="299"/>
      <c r="BB45" s="25"/>
      <c r="BC45" s="25"/>
      <c r="BD45" s="25"/>
      <c r="BE45" s="24"/>
      <c r="BF45" s="100"/>
      <c r="BG45" s="100"/>
      <c r="BH45" s="321"/>
      <c r="BI45" s="299"/>
      <c r="BJ45" s="25"/>
      <c r="BK45" s="25"/>
      <c r="BL45" s="25"/>
      <c r="BM45" s="25"/>
      <c r="BN45" s="24"/>
      <c r="BO45" s="100"/>
      <c r="BP45" s="321"/>
      <c r="BQ45" s="299"/>
      <c r="BR45" s="25"/>
      <c r="BS45" s="25"/>
      <c r="BT45" s="25"/>
      <c r="BU45" s="25"/>
      <c r="BV45" s="24"/>
      <c r="BW45" s="321"/>
      <c r="BX45" s="299"/>
      <c r="BY45" s="25"/>
      <c r="BZ45" s="25"/>
      <c r="CA45" s="25"/>
      <c r="CB45" s="24"/>
      <c r="CC45" s="100"/>
      <c r="CD45" s="321"/>
      <c r="CE45" s="299"/>
      <c r="CF45" s="25"/>
      <c r="CG45" s="25"/>
      <c r="CH45" s="25"/>
      <c r="CI45" s="24"/>
      <c r="CJ45" s="100"/>
      <c r="CK45" s="100"/>
      <c r="CL45" s="321"/>
      <c r="CM45" s="266" t="s">
        <v>592</v>
      </c>
      <c r="CN45" s="266" t="str">
        <f>CONCATENATE("Acceder al sistema Gemma con usuario y perfil activo para la funcionalidad modulo Maestro - Tipos de Vehiculos, hacer clic en el boton ","",IF(T45=1,"Agregar","")," colocando el Nombre, sin seleccionar el chek ",IF(U45=1,"Modificar un registro","")," ",IF(V45=1,"Eliminar un registro","")," ",IF(Z45=1,"Exportar Documento Excel",""), ,IF(A45=1,"Link Nombre Distribuidor","")," y luego presionar el boton Confirmar."," ")</f>
        <v xml:space="preserve">Acceder al sistema Gemma con usuario y perfil activo para la funcionalidad modulo Maestro - Tipos de Vehiculos, hacer clic en el boton Agregar colocando el Nombre, sin seleccionar el chek    y luego presionar el boton Confirmar. </v>
      </c>
      <c r="CO45" s="310" t="str">
        <f>CONCATENATE(" Validar funcionalidad  Actividad Económica ",IF(T45=1,$T$3,"")," ",IF(U45=1,$U$3,"")," ",IF(V45=1,$V$3,"")," ",IF(W45=1,$W$4,"")," ",IF(X45=1,$X$4,""), "",IF(Y45=1,$Y$2,""), " ", IF(Z45=1,$Z$2,"Sin Exportar Excel"),)</f>
        <v xml:space="preserve"> Validar funcionalidad  Actividad Económica Agregar   Con Valores  Sin Exportar Excel</v>
      </c>
      <c r="CP45" s="267" t="s">
        <v>1321</v>
      </c>
    </row>
    <row r="46" spans="1:94" s="109" customFormat="1" x14ac:dyDescent="0.25">
      <c r="A46" s="23"/>
      <c r="B46" s="14"/>
      <c r="C46" s="13"/>
      <c r="D46" s="13"/>
      <c r="E46" s="13"/>
      <c r="F46" s="111"/>
      <c r="G46" s="112"/>
      <c r="H46" s="14"/>
      <c r="I46" s="13"/>
      <c r="J46" s="13"/>
      <c r="K46" s="13"/>
      <c r="L46" s="111"/>
      <c r="M46" s="298"/>
      <c r="N46" s="14"/>
      <c r="O46" s="13"/>
      <c r="P46" s="13"/>
      <c r="Q46" s="13"/>
      <c r="R46" s="111"/>
      <c r="S46" s="298"/>
      <c r="T46" s="105">
        <v>1</v>
      </c>
      <c r="U46" s="24"/>
      <c r="V46" s="24"/>
      <c r="W46" s="24">
        <v>1</v>
      </c>
      <c r="X46" s="24"/>
      <c r="Y46" s="111">
        <v>1</v>
      </c>
      <c r="Z46" s="280">
        <v>1</v>
      </c>
      <c r="AA46" s="14"/>
      <c r="AB46" s="13"/>
      <c r="AC46" s="13"/>
      <c r="AD46" s="13"/>
      <c r="AE46" s="111"/>
      <c r="AF46" s="308"/>
      <c r="AG46" s="14"/>
      <c r="AH46" s="13"/>
      <c r="AI46" s="13"/>
      <c r="AJ46" s="13"/>
      <c r="AK46" s="111"/>
      <c r="AL46" s="308"/>
      <c r="AM46" s="14"/>
      <c r="AN46" s="13"/>
      <c r="AO46" s="13"/>
      <c r="AP46" s="13"/>
      <c r="AQ46" s="111"/>
      <c r="AR46" s="101"/>
      <c r="AS46" s="308"/>
      <c r="AT46" s="14"/>
      <c r="AU46" s="13"/>
      <c r="AV46" s="13"/>
      <c r="AW46" s="13"/>
      <c r="AX46" s="111"/>
      <c r="AY46" s="101"/>
      <c r="AZ46" s="308"/>
      <c r="BA46" s="14"/>
      <c r="BB46" s="13"/>
      <c r="BC46" s="13"/>
      <c r="BD46" s="13"/>
      <c r="BE46" s="111"/>
      <c r="BF46" s="101"/>
      <c r="BG46" s="101"/>
      <c r="BH46" s="308"/>
      <c r="BI46" s="14"/>
      <c r="BJ46" s="13"/>
      <c r="BK46" s="13"/>
      <c r="BL46" s="13"/>
      <c r="BM46" s="13"/>
      <c r="BN46" s="111"/>
      <c r="BO46" s="101"/>
      <c r="BP46" s="308"/>
      <c r="BQ46" s="14"/>
      <c r="BR46" s="13"/>
      <c r="BS46" s="13"/>
      <c r="BT46" s="13"/>
      <c r="BU46" s="13"/>
      <c r="BV46" s="111"/>
      <c r="BW46" s="308"/>
      <c r="BX46" s="14"/>
      <c r="BY46" s="13"/>
      <c r="BZ46" s="13"/>
      <c r="CA46" s="13"/>
      <c r="CB46" s="111"/>
      <c r="CC46" s="101"/>
      <c r="CD46" s="308"/>
      <c r="CE46" s="14"/>
      <c r="CF46" s="13"/>
      <c r="CG46" s="13"/>
      <c r="CH46" s="13"/>
      <c r="CI46" s="111"/>
      <c r="CJ46" s="101"/>
      <c r="CK46" s="101"/>
      <c r="CL46" s="308"/>
      <c r="CM46" s="266" t="s">
        <v>589</v>
      </c>
      <c r="CN46" s="266" t="str">
        <f>CONCATENATE("Acceder al sistema Gemma con usuario y perfil activo para la funcionalidad modulo Maestro - Tipos de Vehiculos, hacer clic en el boton ","",IF(T46=1,"Agregar",""),"colocando el Nombre y seleccionando ",IF(Y46=1,$Y$2,""),", ",IF(U46=1,"Modificar un registro","")," presionar el boton Confirmar y ",IF(V46=1,"Eliminar un registro",""),"luego presionar ",IF(Z46=1,"Exportar Documento Excel",""), ,IF(A46=1,"Link Nombre Distribuidor",""),""," ")</f>
        <v xml:space="preserve">Acceder al sistema Gemma con usuario y perfil activo para la funcionalidad modulo Maestro - Tipos de Vehiculos, hacer clic en el boton Agregarcolocando el Nombre y seleccionando No Maneja Compra Inteligente,  presionar el boton Confirmar y luego presionar Exportar Documento Excel </v>
      </c>
      <c r="CO46" s="310" t="str">
        <f>CONCATENATE(" Validar funcionalidad  Actividad Económica ",IF(T46=1,$T$3,"")," ",IF(U46=1,$U$3,"")," ",IF(V46=1,$V$3,"")," ",IF(W46=1,$W$4,"")," ",IF(X46=1,$X$4,""), " seleccionando ",IF(Y46=1,$Y$2,""), " ", IF(Z46=1,$Z$2,"Sin Exportar Excel"),)</f>
        <v xml:space="preserve"> Validar funcionalidad  Actividad Económica Agregar   Con Valores  seleccionando No Maneja Compra Inteligente Exportar Excel </v>
      </c>
      <c r="CP46" s="267" t="s">
        <v>1321</v>
      </c>
    </row>
    <row r="47" spans="1:94" s="109" customFormat="1" x14ac:dyDescent="0.25">
      <c r="A47" s="23"/>
      <c r="B47" s="14"/>
      <c r="C47" s="13"/>
      <c r="D47" s="13"/>
      <c r="E47" s="13"/>
      <c r="F47" s="111"/>
      <c r="G47" s="112"/>
      <c r="H47" s="14"/>
      <c r="I47" s="13"/>
      <c r="J47" s="13"/>
      <c r="K47" s="13"/>
      <c r="L47" s="111"/>
      <c r="M47" s="298"/>
      <c r="N47" s="14"/>
      <c r="O47" s="13"/>
      <c r="P47" s="13"/>
      <c r="Q47" s="13"/>
      <c r="R47" s="111"/>
      <c r="S47" s="298"/>
      <c r="T47" s="105">
        <v>1</v>
      </c>
      <c r="U47" s="24"/>
      <c r="V47" s="24"/>
      <c r="W47" s="24">
        <v>1</v>
      </c>
      <c r="X47" s="24"/>
      <c r="Y47" s="111">
        <v>1</v>
      </c>
      <c r="Z47" s="280"/>
      <c r="AA47" s="14"/>
      <c r="AB47" s="13"/>
      <c r="AC47" s="13"/>
      <c r="AD47" s="13"/>
      <c r="AE47" s="111"/>
      <c r="AF47" s="308"/>
      <c r="AG47" s="14"/>
      <c r="AH47" s="13"/>
      <c r="AI47" s="13"/>
      <c r="AJ47" s="13"/>
      <c r="AK47" s="111"/>
      <c r="AL47" s="308"/>
      <c r="AM47" s="14"/>
      <c r="AN47" s="13"/>
      <c r="AO47" s="13"/>
      <c r="AP47" s="13"/>
      <c r="AQ47" s="111"/>
      <c r="AR47" s="101"/>
      <c r="AS47" s="308"/>
      <c r="AT47" s="14"/>
      <c r="AU47" s="13"/>
      <c r="AV47" s="13"/>
      <c r="AW47" s="13"/>
      <c r="AX47" s="111"/>
      <c r="AY47" s="101"/>
      <c r="AZ47" s="308"/>
      <c r="BA47" s="14"/>
      <c r="BB47" s="13"/>
      <c r="BC47" s="13"/>
      <c r="BD47" s="13"/>
      <c r="BE47" s="111"/>
      <c r="BF47" s="101"/>
      <c r="BG47" s="101"/>
      <c r="BH47" s="308"/>
      <c r="BI47" s="14"/>
      <c r="BJ47" s="13"/>
      <c r="BK47" s="13"/>
      <c r="BL47" s="13"/>
      <c r="BM47" s="13"/>
      <c r="BN47" s="111"/>
      <c r="BO47" s="101"/>
      <c r="BP47" s="308"/>
      <c r="BQ47" s="14"/>
      <c r="BR47" s="13"/>
      <c r="BS47" s="13"/>
      <c r="BT47" s="13"/>
      <c r="BU47" s="13"/>
      <c r="BV47" s="111"/>
      <c r="BW47" s="308"/>
      <c r="BX47" s="14"/>
      <c r="BY47" s="13"/>
      <c r="BZ47" s="13"/>
      <c r="CA47" s="13"/>
      <c r="CB47" s="111"/>
      <c r="CC47" s="101"/>
      <c r="CD47" s="308"/>
      <c r="CE47" s="14"/>
      <c r="CF47" s="13"/>
      <c r="CG47" s="13"/>
      <c r="CH47" s="13"/>
      <c r="CI47" s="111"/>
      <c r="CJ47" s="101"/>
      <c r="CK47" s="101"/>
      <c r="CL47" s="308"/>
      <c r="CM47" s="266" t="s">
        <v>590</v>
      </c>
      <c r="CN47" s="266" t="str">
        <f>CONCATENATE("Acceder al sistema Gemma con usuario y perfil activo para la funcionalidad modulo Maestro - Tipos de Vehiculos, hacer clic en el boton ","",IF(T47=1,"Agregar",""),"colocando el Nombre y seleccionando ",IF(Y47=1,$Y$2,""),", ",IF(U47=1,"Modificar un registro","")," presionar el boton Confirmar  ",IF(V47=1,"Eliminar un registro","")," ",IF(Z47=1,"Exportar Documento Excel",""), ,IF(A47=1,"Link Nombre Distribuidor",""),""," ")</f>
        <v xml:space="preserve">Acceder al sistema Gemma con usuario y perfil activo para la funcionalidad modulo Maestro - Tipos de Vehiculos, hacer clic en el boton Agregarcolocando el Nombre y seleccionando No Maneja Compra Inteligente,  presionar el boton Confirmar    </v>
      </c>
      <c r="CO47" s="310" t="str">
        <f>CONCATENATE(" Validar funcionalidad  Actividad Económica ",IF(T47=1,$T$3,"")," ",IF(U47=1,$U$3,"")," ",IF(V47=1,$V$3,"")," ",IF(W47=1,$W$4,"")," ",IF(X47=1,$X$4,""), " seleccionando ",IF(Y47=1,$Y$2,""), " ", IF(Z47=1,$Z$2,"Sin Exportar Excel"),)</f>
        <v xml:space="preserve"> Validar funcionalidad  Actividad Económica Agregar   Con Valores  seleccionando No Maneja Compra Inteligente Sin Exportar Excel</v>
      </c>
      <c r="CP47" s="267" t="s">
        <v>1321</v>
      </c>
    </row>
    <row r="48" spans="1:94" s="109" customFormat="1" x14ac:dyDescent="0.25">
      <c r="A48" s="23"/>
      <c r="B48" s="14"/>
      <c r="C48" s="13"/>
      <c r="D48" s="13"/>
      <c r="E48" s="13"/>
      <c r="F48" s="111"/>
      <c r="G48" s="112"/>
      <c r="H48" s="14"/>
      <c r="I48" s="13"/>
      <c r="J48" s="13"/>
      <c r="K48" s="13"/>
      <c r="L48" s="111"/>
      <c r="M48" s="298"/>
      <c r="N48" s="14"/>
      <c r="O48" s="13"/>
      <c r="P48" s="13"/>
      <c r="Q48" s="13"/>
      <c r="R48" s="111"/>
      <c r="S48" s="298"/>
      <c r="T48" s="20"/>
      <c r="U48" s="13">
        <v>1</v>
      </c>
      <c r="V48" s="103"/>
      <c r="W48" s="24">
        <v>1</v>
      </c>
      <c r="X48" s="111"/>
      <c r="Y48" s="111"/>
      <c r="Z48" s="280">
        <v>1</v>
      </c>
      <c r="AA48" s="14"/>
      <c r="AB48" s="13"/>
      <c r="AC48" s="13"/>
      <c r="AD48" s="13"/>
      <c r="AE48" s="111"/>
      <c r="AF48" s="308"/>
      <c r="AG48" s="14"/>
      <c r="AH48" s="13"/>
      <c r="AI48" s="13"/>
      <c r="AJ48" s="13"/>
      <c r="AK48" s="111"/>
      <c r="AL48" s="308"/>
      <c r="AM48" s="14"/>
      <c r="AN48" s="13"/>
      <c r="AO48" s="13"/>
      <c r="AP48" s="13"/>
      <c r="AQ48" s="111"/>
      <c r="AR48" s="101"/>
      <c r="AS48" s="308"/>
      <c r="AT48" s="14"/>
      <c r="AU48" s="13"/>
      <c r="AV48" s="13"/>
      <c r="AW48" s="13"/>
      <c r="AX48" s="111"/>
      <c r="AY48" s="101"/>
      <c r="AZ48" s="308"/>
      <c r="BA48" s="14"/>
      <c r="BB48" s="13"/>
      <c r="BC48" s="13"/>
      <c r="BD48" s="13"/>
      <c r="BE48" s="111"/>
      <c r="BF48" s="101"/>
      <c r="BG48" s="101"/>
      <c r="BH48" s="308"/>
      <c r="BI48" s="14"/>
      <c r="BJ48" s="13"/>
      <c r="BK48" s="13"/>
      <c r="BL48" s="13"/>
      <c r="BM48" s="13"/>
      <c r="BN48" s="111"/>
      <c r="BO48" s="101"/>
      <c r="BP48" s="308"/>
      <c r="BQ48" s="14"/>
      <c r="BR48" s="13"/>
      <c r="BS48" s="13"/>
      <c r="BT48" s="13"/>
      <c r="BU48" s="13"/>
      <c r="BV48" s="111"/>
      <c r="BW48" s="308"/>
      <c r="BX48" s="14"/>
      <c r="BY48" s="13"/>
      <c r="BZ48" s="13"/>
      <c r="CA48" s="13"/>
      <c r="CB48" s="111"/>
      <c r="CC48" s="101"/>
      <c r="CD48" s="308"/>
      <c r="CE48" s="14"/>
      <c r="CF48" s="13"/>
      <c r="CG48" s="13"/>
      <c r="CH48" s="13"/>
      <c r="CI48" s="111"/>
      <c r="CJ48" s="101"/>
      <c r="CK48" s="101"/>
      <c r="CL48" s="308"/>
      <c r="CM48" s="266" t="s">
        <v>593</v>
      </c>
      <c r="CN48" s="266" t="str">
        <f>CONCATENATE("Acceder al sistema Gemma con usuario y perfil activo para la funcionalidad modulo Maestro - Tipos de Vehículos, colocando la descripcion en el filtro, ","",IF(T48=1,"Agregar un registro","")," hacer clic en el boton ",IF(U48=1,"Modificar, ",""),"",IF(V48=1,"Eliminar un registro",""),"confirmar cambios, luego presionar ",IF(Z48=1,"Exportar Documento Excel",""), ,IF(A48=1,"Link Nombre Distribuidor",""),"",IF(FZ60=1,$FZ$4,"")," ")</f>
        <v xml:space="preserve">Acceder al sistema Gemma con usuario y perfil activo para la funcionalidad modulo Maestro - Tipos de Vehículos, colocando la descripcion en el filtro,  hacer clic en el boton Modificar, confirmar cambios, luego presionar Exportar Documento Excel </v>
      </c>
      <c r="CO48" s="310" t="str">
        <f>CONCATENATE(" Validar funcionalidad  Actividad Económica ",IF(T48=1,$T$3,"")," ",IF(U48=1,$U$3,"")," ",IF(V48=1,$V$3,"")," ",IF(W48=1,$W$4,"")," en el filtro ",IF(X48=1,$X$4,""), "",IF(Y48=1,$Y$2,""), " ", IF(Z48=1,$Z$2,"Sin Exportar Excel"),)</f>
        <v xml:space="preserve"> Validar funcionalidad  Actividad Económica  Modificar  Con Valores en el filtro  Exportar Excel </v>
      </c>
      <c r="CP48" s="267" t="s">
        <v>1341</v>
      </c>
    </row>
    <row r="49" spans="1:94" s="109" customFormat="1" x14ac:dyDescent="0.25">
      <c r="A49" s="23"/>
      <c r="B49" s="14"/>
      <c r="C49" s="13"/>
      <c r="D49" s="13"/>
      <c r="E49" s="13"/>
      <c r="F49" s="111"/>
      <c r="G49" s="112"/>
      <c r="H49" s="14"/>
      <c r="I49" s="13"/>
      <c r="J49" s="13"/>
      <c r="K49" s="13"/>
      <c r="L49" s="111"/>
      <c r="M49" s="298"/>
      <c r="N49" s="14"/>
      <c r="O49" s="13"/>
      <c r="P49" s="13"/>
      <c r="Q49" s="13"/>
      <c r="R49" s="111"/>
      <c r="S49" s="298"/>
      <c r="T49" s="20"/>
      <c r="U49" s="13">
        <v>1</v>
      </c>
      <c r="V49" s="103"/>
      <c r="W49" s="24">
        <v>1</v>
      </c>
      <c r="X49" s="111"/>
      <c r="Y49" s="111">
        <v>1</v>
      </c>
      <c r="Z49" s="280"/>
      <c r="AA49" s="14"/>
      <c r="AB49" s="13"/>
      <c r="AC49" s="13"/>
      <c r="AD49" s="13"/>
      <c r="AE49" s="111"/>
      <c r="AF49" s="308"/>
      <c r="AG49" s="14"/>
      <c r="AH49" s="13"/>
      <c r="AI49" s="13"/>
      <c r="AJ49" s="13"/>
      <c r="AK49" s="111"/>
      <c r="AL49" s="308"/>
      <c r="AM49" s="14"/>
      <c r="AN49" s="13"/>
      <c r="AO49" s="13"/>
      <c r="AP49" s="13"/>
      <c r="AQ49" s="111"/>
      <c r="AR49" s="101"/>
      <c r="AS49" s="308"/>
      <c r="AT49" s="14"/>
      <c r="AU49" s="13"/>
      <c r="AV49" s="13"/>
      <c r="AW49" s="13"/>
      <c r="AX49" s="111"/>
      <c r="AY49" s="101"/>
      <c r="AZ49" s="308"/>
      <c r="BA49" s="14"/>
      <c r="BB49" s="13"/>
      <c r="BC49" s="13"/>
      <c r="BD49" s="13"/>
      <c r="BE49" s="111"/>
      <c r="BF49" s="101"/>
      <c r="BG49" s="101"/>
      <c r="BH49" s="308"/>
      <c r="BI49" s="14"/>
      <c r="BJ49" s="13"/>
      <c r="BK49" s="13"/>
      <c r="BL49" s="13"/>
      <c r="BM49" s="13"/>
      <c r="BN49" s="111"/>
      <c r="BO49" s="101"/>
      <c r="BP49" s="308"/>
      <c r="BQ49" s="14"/>
      <c r="BR49" s="13"/>
      <c r="BS49" s="13"/>
      <c r="BT49" s="13"/>
      <c r="BU49" s="13"/>
      <c r="BV49" s="111"/>
      <c r="BW49" s="308"/>
      <c r="BX49" s="14"/>
      <c r="BY49" s="13"/>
      <c r="BZ49" s="13"/>
      <c r="CA49" s="13"/>
      <c r="CB49" s="111"/>
      <c r="CC49" s="101"/>
      <c r="CD49" s="308"/>
      <c r="CE49" s="14"/>
      <c r="CF49" s="13"/>
      <c r="CG49" s="13"/>
      <c r="CH49" s="13"/>
      <c r="CI49" s="111"/>
      <c r="CJ49" s="101"/>
      <c r="CK49" s="101"/>
      <c r="CL49" s="308"/>
      <c r="CM49" s="266" t="s">
        <v>594</v>
      </c>
      <c r="CN49" s="266" t="str">
        <f>CONCATENATE("Acceder al sistema Gemma con usuario y perfil activo para la funcionalidad modulo Maestro - Tipos de Vehículos, ","",IF(N49=1,"Agregar un registro","")," colocando la descripcion en el filtro, hacer clic en el boton ",IF(U49=1,"Modificar, ","")," ",IF(P49=1,"Eliminar","")," ",IF(S49=1,"Exportar Documento Excel",""), ,IF(A49=1,"Link Nombre Distribuidor",""),"y luego Confirmar el cambio.",IF(FZ61=1,$FZ$4,"")," ")</f>
        <v xml:space="preserve">Acceder al sistema Gemma con usuario y perfil activo para la funcionalidad modulo Maestro - Tipos de Vehículos,  colocando la descripcion en el filtro, hacer clic en el boton Modificar,   y luego Confirmar el cambio. </v>
      </c>
      <c r="CO49" s="310" t="str">
        <f>CONCATENATE(" Validar funcionalidad  Actividad Económica ",IF(T49=1,$T$3,"")," ",IF(U49=1,$U$3,"")," ",IF(V49=1,$V$3,"")," ",IF(W49=1,$W$4,""),"  ",IF(X49=1,$X$4,""), " en el filtro ",IF(Y49=1,$Y$2,""), " ", IF(Z49=1,$Z$2,"Sin Exportar Excel"),)</f>
        <v xml:space="preserve"> Validar funcionalidad  Actividad Económica  Modificar  Con Valores   en el filtro No Maneja Compra Inteligente Sin Exportar Excel</v>
      </c>
      <c r="CP49" s="267" t="s">
        <v>1341</v>
      </c>
    </row>
    <row r="50" spans="1:94" s="109" customFormat="1" x14ac:dyDescent="0.25">
      <c r="A50" s="23"/>
      <c r="B50" s="14"/>
      <c r="C50" s="13"/>
      <c r="D50" s="13"/>
      <c r="E50" s="13"/>
      <c r="F50" s="111"/>
      <c r="G50" s="112"/>
      <c r="H50" s="14"/>
      <c r="I50" s="13"/>
      <c r="J50" s="13"/>
      <c r="K50" s="13"/>
      <c r="L50" s="111"/>
      <c r="M50" s="298"/>
      <c r="N50" s="14"/>
      <c r="O50" s="13"/>
      <c r="P50" s="13"/>
      <c r="Q50" s="13"/>
      <c r="R50" s="111"/>
      <c r="S50" s="298"/>
      <c r="T50" s="20"/>
      <c r="U50" s="13">
        <v>1</v>
      </c>
      <c r="V50" s="103"/>
      <c r="W50" s="24"/>
      <c r="X50" s="111">
        <v>1</v>
      </c>
      <c r="Y50" s="111">
        <v>1</v>
      </c>
      <c r="Z50" s="280"/>
      <c r="AA50" s="14"/>
      <c r="AB50" s="13"/>
      <c r="AC50" s="13"/>
      <c r="AD50" s="13"/>
      <c r="AE50" s="111"/>
      <c r="AF50" s="308"/>
      <c r="AG50" s="14"/>
      <c r="AH50" s="13"/>
      <c r="AI50" s="13"/>
      <c r="AJ50" s="13"/>
      <c r="AK50" s="111"/>
      <c r="AL50" s="308"/>
      <c r="AM50" s="14"/>
      <c r="AN50" s="13"/>
      <c r="AO50" s="13"/>
      <c r="AP50" s="13"/>
      <c r="AQ50" s="111"/>
      <c r="AR50" s="101"/>
      <c r="AS50" s="308"/>
      <c r="AT50" s="14"/>
      <c r="AU50" s="13"/>
      <c r="AV50" s="13"/>
      <c r="AW50" s="13"/>
      <c r="AX50" s="111"/>
      <c r="AY50" s="101"/>
      <c r="AZ50" s="308"/>
      <c r="BA50" s="14"/>
      <c r="BB50" s="13"/>
      <c r="BC50" s="13"/>
      <c r="BD50" s="13"/>
      <c r="BE50" s="111"/>
      <c r="BF50" s="101"/>
      <c r="BG50" s="101"/>
      <c r="BH50" s="308"/>
      <c r="BI50" s="14"/>
      <c r="BJ50" s="13"/>
      <c r="BK50" s="13"/>
      <c r="BL50" s="13"/>
      <c r="BM50" s="13"/>
      <c r="BN50" s="111"/>
      <c r="BO50" s="101"/>
      <c r="BP50" s="308"/>
      <c r="BQ50" s="14"/>
      <c r="BR50" s="13"/>
      <c r="BS50" s="13"/>
      <c r="BT50" s="13"/>
      <c r="BU50" s="13"/>
      <c r="BV50" s="111"/>
      <c r="BW50" s="308"/>
      <c r="BX50" s="14"/>
      <c r="BY50" s="13"/>
      <c r="BZ50" s="13"/>
      <c r="CA50" s="13"/>
      <c r="CB50" s="111"/>
      <c r="CC50" s="101"/>
      <c r="CD50" s="308"/>
      <c r="CE50" s="14"/>
      <c r="CF50" s="13"/>
      <c r="CG50" s="13"/>
      <c r="CH50" s="13"/>
      <c r="CI50" s="111"/>
      <c r="CJ50" s="101"/>
      <c r="CK50" s="101"/>
      <c r="CL50" s="308"/>
      <c r="CM50" s="266" t="s">
        <v>597</v>
      </c>
      <c r="CN50" s="266" t="str">
        <f>CONCATENATE("Acceder al sistema Gemma con usuario y perfil activo para la funcionalidad modulo Maestro - Tipos de Vehículos, ","",IF(T50=1,"Agregar un registro","")," seleccionando el registro de la tabla consulta, hacer clic en el boton ",IF(U50=1,"Modificar","")," ",IF(V50=1,"Eliminar","")," ",IF(Z50=1,"Exportar Documento Excel",""), ,IF(A50=1,"Link Nombre Distribuidor",""),"presionar el boton Confirmar.",IF(FZ62=1,$FZ$4,"")," ")</f>
        <v xml:space="preserve">Acceder al sistema Gemma con usuario y perfil activo para la funcionalidad modulo Maestro - Tipos de Vehículos,  seleccionando el registro de la tabla consulta, hacer clic en el boton Modificar  presionar el boton Confirmar. </v>
      </c>
      <c r="CO50" s="310" t="str">
        <f>CONCATENATE(" Validar funcionalidad  Actividad Económica ",IF(T50=1,$T$3,"")," ",IF(U50=1,$U$3,"")," ",IF(V50=1,$V$3,"")," ",IF(W50=1,$W$4,""),"  ",IF(X50=1,$X$4,""), " en el filtro ",IF(Y50=1,$Y$2,""), " ", IF(Z50=1,$Z$2,"Sin Exportar Excel"),)</f>
        <v xml:space="preserve"> Validar funcionalidad  Actividad Económica  Modificar    Sin Valores en el filtro No Maneja Compra Inteligente Sin Exportar Excel</v>
      </c>
      <c r="CP50" s="267" t="s">
        <v>1341</v>
      </c>
    </row>
    <row r="51" spans="1:94" s="109" customFormat="1" x14ac:dyDescent="0.25">
      <c r="A51" s="23"/>
      <c r="B51" s="14"/>
      <c r="C51" s="13"/>
      <c r="D51" s="13"/>
      <c r="E51" s="13"/>
      <c r="F51" s="111"/>
      <c r="G51" s="112"/>
      <c r="H51" s="14"/>
      <c r="I51" s="13"/>
      <c r="J51" s="13"/>
      <c r="K51" s="13"/>
      <c r="L51" s="111"/>
      <c r="M51" s="298"/>
      <c r="N51" s="14"/>
      <c r="O51" s="13"/>
      <c r="P51" s="13"/>
      <c r="Q51" s="13"/>
      <c r="R51" s="111"/>
      <c r="S51" s="298"/>
      <c r="T51" s="20"/>
      <c r="U51" s="13"/>
      <c r="V51" s="13">
        <v>1</v>
      </c>
      <c r="W51" s="24">
        <v>1</v>
      </c>
      <c r="X51" s="111"/>
      <c r="Y51" s="111"/>
      <c r="Z51" s="280">
        <v>1</v>
      </c>
      <c r="AA51" s="14"/>
      <c r="AB51" s="13"/>
      <c r="AC51" s="13"/>
      <c r="AD51" s="13"/>
      <c r="AE51" s="111"/>
      <c r="AF51" s="308"/>
      <c r="AG51" s="14"/>
      <c r="AH51" s="13"/>
      <c r="AI51" s="13"/>
      <c r="AJ51" s="13"/>
      <c r="AK51" s="111"/>
      <c r="AL51" s="308"/>
      <c r="AM51" s="14"/>
      <c r="AN51" s="13"/>
      <c r="AO51" s="13"/>
      <c r="AP51" s="13"/>
      <c r="AQ51" s="111"/>
      <c r="AR51" s="101"/>
      <c r="AS51" s="308"/>
      <c r="AT51" s="14"/>
      <c r="AU51" s="13"/>
      <c r="AV51" s="13"/>
      <c r="AW51" s="13"/>
      <c r="AX51" s="111"/>
      <c r="AY51" s="101"/>
      <c r="AZ51" s="308"/>
      <c r="BA51" s="14"/>
      <c r="BB51" s="13"/>
      <c r="BC51" s="13"/>
      <c r="BD51" s="13"/>
      <c r="BE51" s="111"/>
      <c r="BF51" s="101"/>
      <c r="BG51" s="101"/>
      <c r="BH51" s="308"/>
      <c r="BI51" s="14"/>
      <c r="BJ51" s="13"/>
      <c r="BK51" s="13"/>
      <c r="BL51" s="13"/>
      <c r="BM51" s="13"/>
      <c r="BN51" s="111"/>
      <c r="BO51" s="101"/>
      <c r="BP51" s="308"/>
      <c r="BQ51" s="14"/>
      <c r="BR51" s="13"/>
      <c r="BS51" s="13"/>
      <c r="BT51" s="13"/>
      <c r="BU51" s="13"/>
      <c r="BV51" s="111"/>
      <c r="BW51" s="308"/>
      <c r="BX51" s="14"/>
      <c r="BY51" s="13"/>
      <c r="BZ51" s="13"/>
      <c r="CA51" s="13"/>
      <c r="CB51" s="111"/>
      <c r="CC51" s="101"/>
      <c r="CD51" s="308"/>
      <c r="CE51" s="14"/>
      <c r="CF51" s="13"/>
      <c r="CG51" s="13"/>
      <c r="CH51" s="13"/>
      <c r="CI51" s="111"/>
      <c r="CJ51" s="101"/>
      <c r="CK51" s="101"/>
      <c r="CL51" s="308"/>
      <c r="CM51" s="266" t="s">
        <v>595</v>
      </c>
      <c r="CN51" s="266" t="str">
        <f>CONCATENATE("Acceder al sistema Gemma con usuario y perfil activo para la funcionalidad modulo Maestro - Tipos de Vehículos, colocando la descripcion en el filtro, ","",IF(T51=1,"Agregar un registro","")," hacer clic en el boton ",IF(U51=1,"Modificar, ",""),"",IF(V51=1,"Eliminar ","")," Y confirmar cambios, luego presionar ",IF(Z51=1,"Exportar Documento Excel",""), ,IF(A51=1,"Link Nombre Distribuidor",""),"",IF(FZ63=1,$FZ$4,"")," ")</f>
        <v xml:space="preserve">Acceder al sistema Gemma con usuario y perfil activo para la funcionalidad modulo Maestro - Tipos de Vehículos, colocando la descripcion en el filtro,  hacer clic en el boton Eliminar  Y confirmar cambios, luego presionar Exportar Documento Excel </v>
      </c>
      <c r="CO51" s="310" t="str">
        <f>CONCATENATE(" Validar funcionalidad  Actividad Económica ",IF(T51=1,$T$3,"")," ",IF(U51=1,$U$3,"")," ",IF(V51=1,$V$3,"")," ",IF(W51=1,$W$4,""),"  ",IF(X51=1,$X$4,""), " en el filtro ",IF(Y51=1,$Y$2,""), " ", IF(Z51=1,$Z$2,"Sin Exportar Excel"),)</f>
        <v xml:space="preserve"> Validar funcionalidad  Actividad Económica   Eliminar Con Valores   en el filtro  Exportar Excel </v>
      </c>
      <c r="CP51" s="267" t="s">
        <v>1333</v>
      </c>
    </row>
    <row r="52" spans="1:94" s="109" customFormat="1" x14ac:dyDescent="0.25">
      <c r="A52" s="23"/>
      <c r="B52" s="14"/>
      <c r="C52" s="13"/>
      <c r="D52" s="13"/>
      <c r="E52" s="13"/>
      <c r="F52" s="111"/>
      <c r="G52" s="112"/>
      <c r="H52" s="14"/>
      <c r="I52" s="13"/>
      <c r="J52" s="13"/>
      <c r="K52" s="13"/>
      <c r="L52" s="111"/>
      <c r="M52" s="298"/>
      <c r="N52" s="14"/>
      <c r="O52" s="13"/>
      <c r="P52" s="13"/>
      <c r="Q52" s="13"/>
      <c r="R52" s="111"/>
      <c r="S52" s="298"/>
      <c r="T52" s="105"/>
      <c r="U52" s="25"/>
      <c r="V52" s="25">
        <v>1</v>
      </c>
      <c r="W52" s="24">
        <v>1</v>
      </c>
      <c r="X52" s="24"/>
      <c r="Y52" s="111">
        <v>1</v>
      </c>
      <c r="Z52" s="280"/>
      <c r="AA52" s="14"/>
      <c r="AB52" s="13"/>
      <c r="AC52" s="13"/>
      <c r="AD52" s="13"/>
      <c r="AE52" s="111"/>
      <c r="AF52" s="308"/>
      <c r="AG52" s="14"/>
      <c r="AH52" s="13"/>
      <c r="AI52" s="13"/>
      <c r="AJ52" s="13"/>
      <c r="AK52" s="111"/>
      <c r="AL52" s="308"/>
      <c r="AM52" s="14"/>
      <c r="AN52" s="13"/>
      <c r="AO52" s="13"/>
      <c r="AP52" s="13"/>
      <c r="AQ52" s="111"/>
      <c r="AR52" s="101"/>
      <c r="AS52" s="308"/>
      <c r="AT52" s="14"/>
      <c r="AU52" s="13"/>
      <c r="AV52" s="13"/>
      <c r="AW52" s="13"/>
      <c r="AX52" s="111"/>
      <c r="AY52" s="101"/>
      <c r="AZ52" s="308"/>
      <c r="BA52" s="14"/>
      <c r="BB52" s="13"/>
      <c r="BC52" s="13"/>
      <c r="BD52" s="13"/>
      <c r="BE52" s="111"/>
      <c r="BF52" s="101"/>
      <c r="BG52" s="101"/>
      <c r="BH52" s="308"/>
      <c r="BI52" s="14"/>
      <c r="BJ52" s="13"/>
      <c r="BK52" s="13"/>
      <c r="BL52" s="13"/>
      <c r="BM52" s="13"/>
      <c r="BN52" s="111"/>
      <c r="BO52" s="101"/>
      <c r="BP52" s="308"/>
      <c r="BQ52" s="14"/>
      <c r="BR52" s="13"/>
      <c r="BS52" s="13"/>
      <c r="BT52" s="13"/>
      <c r="BU52" s="13"/>
      <c r="BV52" s="111"/>
      <c r="BW52" s="308"/>
      <c r="BX52" s="14"/>
      <c r="BY52" s="13"/>
      <c r="BZ52" s="13"/>
      <c r="CA52" s="13"/>
      <c r="CB52" s="111"/>
      <c r="CC52" s="101"/>
      <c r="CD52" s="308"/>
      <c r="CE52" s="14"/>
      <c r="CF52" s="13"/>
      <c r="CG52" s="13"/>
      <c r="CH52" s="13"/>
      <c r="CI52" s="111"/>
      <c r="CJ52" s="101"/>
      <c r="CK52" s="101"/>
      <c r="CL52" s="308"/>
      <c r="CM52" s="266" t="s">
        <v>596</v>
      </c>
      <c r="CN52" s="266" t="str">
        <f>CONCATENATE("Acceder al sistema Gemma con usuario y perfil activo para la funcionalidad modulo Maestro - Tipos de Vehículos, ","",IF(N52=1,"Agregar un registro","")," colocando la descripcion en el filtro, hacer clic en el boton ",IF(U52=1,"Modificar, ","")," ",IF(P52=1,"Eliminar",""),"",IF(S52=1,"Exportar Documento Excel",""), ,IF(A52=1,"Link Nombre Distribuidor",""),"y luego Confirmar el cambio.",IF(FZ64=1,$FZ$4,"")," ")</f>
        <v xml:space="preserve">Acceder al sistema Gemma con usuario y perfil activo para la funcionalidad modulo Maestro - Tipos de Vehículos,  colocando la descripcion en el filtro, hacer clic en el boton  y luego Confirmar el cambio. </v>
      </c>
      <c r="CO52" s="310" t="str">
        <f>CONCATENATE(" Validar funcionalidad  Actividad Económica ",IF(T52=1,$T$3,"")," ",IF(U52=1,$U$3,"")," ",IF(V52=1,$V$3,"")," ",IF(W52=1,$W$4,""),"  ",IF(X52=1,$X$4,""), " en el filtro ",IF(Y52=1,$Y$2,""), " ", IF(Z52=1,$Z$2,"Sin Exportar Excel"),)</f>
        <v xml:space="preserve"> Validar funcionalidad  Actividad Económica   Eliminar Con Valores   en el filtro No Maneja Compra Inteligente Sin Exportar Excel</v>
      </c>
      <c r="CP52" s="267" t="s">
        <v>1333</v>
      </c>
    </row>
    <row r="53" spans="1:94" s="109" customFormat="1" x14ac:dyDescent="0.25">
      <c r="A53" s="23"/>
      <c r="B53" s="14"/>
      <c r="C53" s="13"/>
      <c r="D53" s="13"/>
      <c r="E53" s="13"/>
      <c r="F53" s="111"/>
      <c r="G53" s="112"/>
      <c r="H53" s="14"/>
      <c r="I53" s="13"/>
      <c r="J53" s="13"/>
      <c r="K53" s="13"/>
      <c r="L53" s="111"/>
      <c r="M53" s="298"/>
      <c r="N53" s="14"/>
      <c r="O53" s="13"/>
      <c r="P53" s="13"/>
      <c r="Q53" s="13"/>
      <c r="R53" s="111"/>
      <c r="S53" s="298"/>
      <c r="T53" s="20"/>
      <c r="U53" s="13"/>
      <c r="V53" s="13">
        <v>1</v>
      </c>
      <c r="W53" s="24"/>
      <c r="X53" s="111">
        <v>1</v>
      </c>
      <c r="Y53" s="111">
        <v>1</v>
      </c>
      <c r="Z53" s="280"/>
      <c r="AA53" s="14"/>
      <c r="AB53" s="13"/>
      <c r="AC53" s="13"/>
      <c r="AD53" s="13"/>
      <c r="AE53" s="111"/>
      <c r="AF53" s="308"/>
      <c r="AG53" s="14"/>
      <c r="AH53" s="13"/>
      <c r="AI53" s="13"/>
      <c r="AJ53" s="13"/>
      <c r="AK53" s="111"/>
      <c r="AL53" s="308"/>
      <c r="AM53" s="14"/>
      <c r="AN53" s="13"/>
      <c r="AO53" s="13"/>
      <c r="AP53" s="13"/>
      <c r="AQ53" s="111"/>
      <c r="AR53" s="101"/>
      <c r="AS53" s="308"/>
      <c r="AT53" s="14"/>
      <c r="AU53" s="13"/>
      <c r="AV53" s="13"/>
      <c r="AW53" s="13"/>
      <c r="AX53" s="111"/>
      <c r="AY53" s="101"/>
      <c r="AZ53" s="308"/>
      <c r="BA53" s="14"/>
      <c r="BB53" s="13"/>
      <c r="BC53" s="13"/>
      <c r="BD53" s="13"/>
      <c r="BE53" s="111"/>
      <c r="BF53" s="101"/>
      <c r="BG53" s="101"/>
      <c r="BH53" s="308"/>
      <c r="BI53" s="14"/>
      <c r="BJ53" s="13"/>
      <c r="BK53" s="13"/>
      <c r="BL53" s="13"/>
      <c r="BM53" s="13"/>
      <c r="BN53" s="111"/>
      <c r="BO53" s="101"/>
      <c r="BP53" s="308"/>
      <c r="BQ53" s="14"/>
      <c r="BR53" s="13"/>
      <c r="BS53" s="13"/>
      <c r="BT53" s="13"/>
      <c r="BU53" s="13"/>
      <c r="BV53" s="111"/>
      <c r="BW53" s="308"/>
      <c r="BX53" s="14"/>
      <c r="BY53" s="13"/>
      <c r="BZ53" s="13"/>
      <c r="CA53" s="13"/>
      <c r="CB53" s="111"/>
      <c r="CC53" s="101"/>
      <c r="CD53" s="308"/>
      <c r="CE53" s="14"/>
      <c r="CF53" s="13"/>
      <c r="CG53" s="13"/>
      <c r="CH53" s="13"/>
      <c r="CI53" s="111"/>
      <c r="CJ53" s="101"/>
      <c r="CK53" s="101"/>
      <c r="CL53" s="308"/>
      <c r="CM53" s="266" t="s">
        <v>598</v>
      </c>
      <c r="CN53" s="266" t="str">
        <f>CONCATENATE("Acceder al sistema Gemma con usuario y perfil activo para la funcionalidad modulo Maestro - Tipos de Vehículos, ","",IF(T53=1,"Agregar un registro","")," seleccionando el registro de la tabla consulta, hacer clic en el boton ",IF(U53=1,"Modificar","")," ",IF(V53=1,"Eliminar","")," ",IF(Z53=1,"Exportar Documento Excel",""), ,IF(A53=1,"Link Nombre Distribuidor",""),"presionar el boton Confirmar.",IF(FZ65=1,$FZ$4,"")," ")</f>
        <v xml:space="preserve">Acceder al sistema Gemma con usuario y perfil activo para la funcionalidad modulo Maestro - Tipos de Vehículos,  seleccionando el registro de la tabla consulta, hacer clic en el boton  Eliminar presionar el boton Confirmar. </v>
      </c>
      <c r="CO53" s="310" t="str">
        <f>CONCATENATE(" Validar funcionalidad  Actividad Económica ",IF(T53=1,$T$3,"")," ",IF(U53=1,$U$3,"")," ",IF(V53=1,$V$3,"")," ",IF(W53=1,$W$4,""),"  ",IF(X53=1,$X$4,""), " en el filtro ",IF(Y53=1,$Y$2,""), " ", IF(Z53=1,$Z$2,"Sin Exportar Excel"),)</f>
        <v xml:space="preserve"> Validar funcionalidad  Actividad Económica   Eliminar   Sin Valores en el filtro No Maneja Compra Inteligente Sin Exportar Excel</v>
      </c>
      <c r="CP53" s="267" t="s">
        <v>1333</v>
      </c>
    </row>
    <row r="54" spans="1:94" s="109" customFormat="1" ht="15.75" thickBot="1" x14ac:dyDescent="0.3">
      <c r="A54" s="23"/>
      <c r="B54" s="14"/>
      <c r="C54" s="13"/>
      <c r="D54" s="13"/>
      <c r="E54" s="13"/>
      <c r="F54" s="111"/>
      <c r="G54" s="112"/>
      <c r="H54" s="14"/>
      <c r="I54" s="13"/>
      <c r="J54" s="13"/>
      <c r="K54" s="13"/>
      <c r="L54" s="111"/>
      <c r="M54" s="298"/>
      <c r="N54" s="14"/>
      <c r="O54" s="13"/>
      <c r="P54" s="13"/>
      <c r="Q54" s="13"/>
      <c r="R54" s="111"/>
      <c r="S54" s="298"/>
      <c r="T54" s="20"/>
      <c r="U54" s="13"/>
      <c r="V54" s="13"/>
      <c r="W54" s="24"/>
      <c r="X54" s="111"/>
      <c r="Y54" s="111"/>
      <c r="Z54" s="280">
        <v>1</v>
      </c>
      <c r="AA54" s="15"/>
      <c r="AB54" s="272"/>
      <c r="AC54" s="272"/>
      <c r="AD54" s="272"/>
      <c r="AE54" s="273"/>
      <c r="AF54" s="320"/>
      <c r="AG54" s="15"/>
      <c r="AH54" s="272"/>
      <c r="AI54" s="272"/>
      <c r="AJ54" s="272"/>
      <c r="AK54" s="273"/>
      <c r="AL54" s="320"/>
      <c r="AM54" s="15"/>
      <c r="AN54" s="272"/>
      <c r="AO54" s="272"/>
      <c r="AP54" s="272"/>
      <c r="AQ54" s="273"/>
      <c r="AR54" s="297"/>
      <c r="AS54" s="320"/>
      <c r="AT54" s="15"/>
      <c r="AU54" s="272"/>
      <c r="AV54" s="272"/>
      <c r="AW54" s="272"/>
      <c r="AX54" s="273"/>
      <c r="AY54" s="297"/>
      <c r="AZ54" s="320"/>
      <c r="BA54" s="15"/>
      <c r="BB54" s="272"/>
      <c r="BC54" s="272"/>
      <c r="BD54" s="272"/>
      <c r="BE54" s="273"/>
      <c r="BF54" s="297"/>
      <c r="BG54" s="297"/>
      <c r="BH54" s="320"/>
      <c r="BI54" s="15"/>
      <c r="BJ54" s="272"/>
      <c r="BK54" s="272"/>
      <c r="BL54" s="272"/>
      <c r="BM54" s="272"/>
      <c r="BN54" s="273"/>
      <c r="BO54" s="297"/>
      <c r="BP54" s="320"/>
      <c r="BQ54" s="15"/>
      <c r="BR54" s="272"/>
      <c r="BS54" s="272"/>
      <c r="BT54" s="272"/>
      <c r="BU54" s="272"/>
      <c r="BV54" s="273"/>
      <c r="BW54" s="320"/>
      <c r="BX54" s="15"/>
      <c r="BY54" s="272"/>
      <c r="BZ54" s="272"/>
      <c r="CA54" s="272"/>
      <c r="CB54" s="273"/>
      <c r="CC54" s="297"/>
      <c r="CD54" s="320"/>
      <c r="CE54" s="15"/>
      <c r="CF54" s="272"/>
      <c r="CG54" s="272"/>
      <c r="CH54" s="272"/>
      <c r="CI54" s="273"/>
      <c r="CJ54" s="297"/>
      <c r="CK54" s="297"/>
      <c r="CL54" s="320"/>
      <c r="CM54" s="266" t="s">
        <v>599</v>
      </c>
      <c r="CN54" s="266" t="str">
        <f>CONCATENATE("Acceder al sistema Gemma con usuario y perfil activo para la funcionalidad modulo Maestro - Tipos de Vehículos, ","",IF(T54=1,"Agregar un registro","")," sin seleccion en el filtro ",IF(U54=1,"Modificar","")," ",IF(V54=1,"Eliminar","")," ",IF(Z54=1,"Exportar Documento Excel",""), ,IF(A54=1,"Link Nombre Distribuidor","")," ")</f>
        <v xml:space="preserve">Acceder al sistema Gemma con usuario y perfil activo para la funcionalidad modulo Maestro - Tipos de Vehículos,  sin seleccion en el filtro   Exportar Documento Excel </v>
      </c>
      <c r="CO54" s="310" t="str">
        <f>CONCATENATE(" Validar funcionalidad  Actividad Económica ",IF(T54=1,$T$3,"")," ",IF(U54=1,$U$3,""),"",IF(V54=1,$V$3,"")," ", IF(Z54=1,$Z$2,"Sin Exportar Excel"),)</f>
        <v xml:space="preserve"> Validar funcionalidad  Actividad Económica   Exportar Excel </v>
      </c>
      <c r="CP54" s="267" t="s">
        <v>1342</v>
      </c>
    </row>
    <row r="55" spans="1:94" s="109" customFormat="1" ht="15.75" thickTop="1" x14ac:dyDescent="0.25">
      <c r="A55" s="23"/>
      <c r="B55" s="292"/>
      <c r="C55" s="293"/>
      <c r="D55" s="293"/>
      <c r="E55" s="293"/>
      <c r="F55" s="106"/>
      <c r="G55" s="294"/>
      <c r="H55" s="292"/>
      <c r="I55" s="293"/>
      <c r="J55" s="293"/>
      <c r="K55" s="293"/>
      <c r="L55" s="106"/>
      <c r="M55" s="294"/>
      <c r="N55" s="292"/>
      <c r="O55" s="293"/>
      <c r="P55" s="293"/>
      <c r="Q55" s="293"/>
      <c r="R55" s="106"/>
      <c r="S55" s="294"/>
      <c r="T55" s="292">
        <v>1</v>
      </c>
      <c r="U55" s="293"/>
      <c r="V55" s="293"/>
      <c r="W55" s="293"/>
      <c r="X55" s="293">
        <v>1</v>
      </c>
      <c r="Y55" s="106"/>
      <c r="Z55" s="294"/>
      <c r="AA55" s="292"/>
      <c r="AB55" s="293"/>
      <c r="AC55" s="293"/>
      <c r="AD55" s="293"/>
      <c r="AE55" s="106"/>
      <c r="AF55" s="294"/>
      <c r="AG55" s="292"/>
      <c r="AH55" s="293"/>
      <c r="AI55" s="293"/>
      <c r="AJ55" s="293"/>
      <c r="AK55" s="106"/>
      <c r="AL55" s="294"/>
      <c r="AM55" s="292"/>
      <c r="AN55" s="293"/>
      <c r="AO55" s="293"/>
      <c r="AP55" s="293"/>
      <c r="AQ55" s="106"/>
      <c r="AR55" s="329"/>
      <c r="AS55" s="294"/>
      <c r="AT55" s="292"/>
      <c r="AU55" s="293"/>
      <c r="AV55" s="293"/>
      <c r="AW55" s="293"/>
      <c r="AX55" s="106"/>
      <c r="AY55" s="329"/>
      <c r="AZ55" s="294"/>
      <c r="BA55" s="292"/>
      <c r="BB55" s="293"/>
      <c r="BC55" s="293"/>
      <c r="BD55" s="293"/>
      <c r="BE55" s="106"/>
      <c r="BF55" s="329"/>
      <c r="BG55" s="329"/>
      <c r="BH55" s="294"/>
      <c r="BI55" s="292"/>
      <c r="BJ55" s="293"/>
      <c r="BK55" s="293"/>
      <c r="BL55" s="293"/>
      <c r="BM55" s="293"/>
      <c r="BN55" s="106"/>
      <c r="BO55" s="329"/>
      <c r="BP55" s="294"/>
      <c r="BQ55" s="292"/>
      <c r="BR55" s="293"/>
      <c r="BS55" s="293"/>
      <c r="BT55" s="293"/>
      <c r="BU55" s="293"/>
      <c r="BV55" s="106"/>
      <c r="BW55" s="294"/>
      <c r="BX55" s="292"/>
      <c r="BY55" s="293"/>
      <c r="BZ55" s="293"/>
      <c r="CA55" s="293"/>
      <c r="CB55" s="106"/>
      <c r="CC55" s="329"/>
      <c r="CD55" s="294"/>
      <c r="CE55" s="292"/>
      <c r="CF55" s="293"/>
      <c r="CG55" s="293"/>
      <c r="CH55" s="293"/>
      <c r="CI55" s="106"/>
      <c r="CJ55" s="329"/>
      <c r="CK55" s="329"/>
      <c r="CL55" s="294"/>
      <c r="CM55" s="266" t="s">
        <v>1376</v>
      </c>
      <c r="CN55" s="266" t="str">
        <f>CONCATENATE("Acceder al sistema Gemma con usuario y perfil activo para la funcionalidad modulo Maestro -Tipos de Vehiculos, ","Agregar un Registro ",IF(H55=1,"Agregar un registro","")," sin datos en la descripcion y presionar Confirmar.",IF(I55=1,"Modificar","")," ",IF(J55=1,"Eliminar","")," ",IF(M55=1,"Exportar Documento Excel",""), ,IF(A55=1,"Link Nombre Distribuidor",""),"",IF(FZ69=1,$FZ$4,"")," ")</f>
        <v xml:space="preserve">Acceder al sistema Gemma con usuario y perfil activo para la funcionalidad modulo Maestro -Tipos de Vehiculos, Agregar un Registro  sin datos en la descripcion y presionar Confirmar.   </v>
      </c>
      <c r="CO55" s="310" t="str">
        <f>CONCATENATE(" Validar funcionalidad  Actividad Económica ",IF(T55=1,$T$3,"")," dejando en campo Nombre vacio. ",IF(U55=1,$U$3,""),"",IF(V55=1,$V$3,"")," ", IF(Z55=1,$Z$2,""),)</f>
        <v xml:space="preserve"> Validar funcionalidad  Actividad Económica Agregar dejando en campo Nombre vacio.  </v>
      </c>
      <c r="CP55" s="267" t="s">
        <v>1382</v>
      </c>
    </row>
    <row r="56" spans="1:94" s="109" customFormat="1" x14ac:dyDescent="0.25">
      <c r="A56" s="23"/>
      <c r="B56" s="105"/>
      <c r="C56" s="25"/>
      <c r="D56" s="25"/>
      <c r="E56" s="25"/>
      <c r="F56" s="24"/>
      <c r="G56" s="279"/>
      <c r="H56" s="105"/>
      <c r="I56" s="25"/>
      <c r="J56" s="25"/>
      <c r="K56" s="25"/>
      <c r="L56" s="24"/>
      <c r="M56" s="279"/>
      <c r="N56" s="105"/>
      <c r="O56" s="25"/>
      <c r="P56" s="25"/>
      <c r="Q56" s="25"/>
      <c r="R56" s="24"/>
      <c r="S56" s="279"/>
      <c r="T56" s="105"/>
      <c r="U56" s="25"/>
      <c r="V56" s="25"/>
      <c r="W56" s="25">
        <v>1</v>
      </c>
      <c r="X56" s="25"/>
      <c r="Y56" s="24"/>
      <c r="Z56" s="279"/>
      <c r="AA56" s="105"/>
      <c r="AB56" s="25"/>
      <c r="AC56" s="25"/>
      <c r="AD56" s="25"/>
      <c r="AE56" s="24"/>
      <c r="AF56" s="279"/>
      <c r="AG56" s="105"/>
      <c r="AH56" s="25"/>
      <c r="AI56" s="25"/>
      <c r="AJ56" s="25"/>
      <c r="AK56" s="24"/>
      <c r="AL56" s="279"/>
      <c r="AM56" s="105"/>
      <c r="AN56" s="25"/>
      <c r="AO56" s="25"/>
      <c r="AP56" s="25"/>
      <c r="AQ56" s="24"/>
      <c r="AR56" s="100"/>
      <c r="AS56" s="279"/>
      <c r="AT56" s="105"/>
      <c r="AU56" s="25"/>
      <c r="AV56" s="25"/>
      <c r="AW56" s="25"/>
      <c r="AX56" s="24"/>
      <c r="AY56" s="100"/>
      <c r="AZ56" s="279"/>
      <c r="BA56" s="105"/>
      <c r="BB56" s="25"/>
      <c r="BC56" s="25"/>
      <c r="BD56" s="25"/>
      <c r="BE56" s="24"/>
      <c r="BF56" s="100"/>
      <c r="BG56" s="100"/>
      <c r="BH56" s="279"/>
      <c r="BI56" s="105"/>
      <c r="BJ56" s="25"/>
      <c r="BK56" s="25"/>
      <c r="BL56" s="25"/>
      <c r="BM56" s="25"/>
      <c r="BN56" s="24"/>
      <c r="BO56" s="100"/>
      <c r="BP56" s="279"/>
      <c r="BQ56" s="105"/>
      <c r="BR56" s="25"/>
      <c r="BS56" s="25"/>
      <c r="BT56" s="25"/>
      <c r="BU56" s="25"/>
      <c r="BV56" s="24"/>
      <c r="BW56" s="279"/>
      <c r="BX56" s="105"/>
      <c r="BY56" s="25"/>
      <c r="BZ56" s="25"/>
      <c r="CA56" s="25"/>
      <c r="CB56" s="24"/>
      <c r="CC56" s="100"/>
      <c r="CD56" s="279"/>
      <c r="CE56" s="105"/>
      <c r="CF56" s="25"/>
      <c r="CG56" s="25"/>
      <c r="CH56" s="25"/>
      <c r="CI56" s="24"/>
      <c r="CJ56" s="100"/>
      <c r="CK56" s="100"/>
      <c r="CL56" s="279"/>
      <c r="CM56" s="266" t="s">
        <v>1377</v>
      </c>
      <c r="CN56" s="266" t="s">
        <v>1381</v>
      </c>
      <c r="CO56" s="310" t="str">
        <f>CONCATENATE(" Validar funcionalidad  Actividad Económica ",IF(T56=1,$T$3,"")," colocando valores de vehiculo invalido en el filtro. ",IF(U56=1,$U$3,""),"",IF(V56=1,$V$3,"")," ", IF(Z56=1,$Z$2,""),)</f>
        <v xml:space="preserve"> Validar funcionalidad  Actividad Económica  colocando valores de vehiculo invalido en el filtro.  </v>
      </c>
      <c r="CP56" s="267" t="s">
        <v>1344</v>
      </c>
    </row>
    <row r="57" spans="1:94" s="109" customFormat="1" x14ac:dyDescent="0.25">
      <c r="A57" s="23"/>
      <c r="B57" s="20"/>
      <c r="C57" s="13"/>
      <c r="D57" s="13"/>
      <c r="E57" s="13"/>
      <c r="F57" s="111"/>
      <c r="G57" s="280"/>
      <c r="H57" s="20"/>
      <c r="I57" s="13"/>
      <c r="J57" s="13"/>
      <c r="K57" s="13"/>
      <c r="L57" s="111"/>
      <c r="M57" s="280"/>
      <c r="N57" s="20"/>
      <c r="O57" s="13"/>
      <c r="P57" s="13"/>
      <c r="Q57" s="13"/>
      <c r="R57" s="111"/>
      <c r="S57" s="280"/>
      <c r="T57" s="20"/>
      <c r="U57" s="13">
        <v>1</v>
      </c>
      <c r="V57" s="13"/>
      <c r="W57" s="13">
        <v>1</v>
      </c>
      <c r="X57" s="13"/>
      <c r="Y57" s="111"/>
      <c r="Z57" s="280"/>
      <c r="AA57" s="20"/>
      <c r="AB57" s="13"/>
      <c r="AC57" s="13"/>
      <c r="AD57" s="13"/>
      <c r="AE57" s="111"/>
      <c r="AF57" s="280"/>
      <c r="AG57" s="20"/>
      <c r="AH57" s="13"/>
      <c r="AI57" s="13"/>
      <c r="AJ57" s="13"/>
      <c r="AK57" s="111"/>
      <c r="AL57" s="280"/>
      <c r="AM57" s="20"/>
      <c r="AN57" s="13"/>
      <c r="AO57" s="13"/>
      <c r="AP57" s="13"/>
      <c r="AQ57" s="111"/>
      <c r="AR57" s="101"/>
      <c r="AS57" s="280"/>
      <c r="AT57" s="20"/>
      <c r="AU57" s="13"/>
      <c r="AV57" s="13"/>
      <c r="AW57" s="13"/>
      <c r="AX57" s="111"/>
      <c r="AY57" s="101"/>
      <c r="AZ57" s="280"/>
      <c r="BA57" s="20"/>
      <c r="BB57" s="13"/>
      <c r="BC57" s="13"/>
      <c r="BD57" s="13"/>
      <c r="BE57" s="111"/>
      <c r="BF57" s="101"/>
      <c r="BG57" s="101"/>
      <c r="BH57" s="280"/>
      <c r="BI57" s="20"/>
      <c r="BJ57" s="13"/>
      <c r="BK57" s="13"/>
      <c r="BL57" s="13"/>
      <c r="BM57" s="13"/>
      <c r="BN57" s="111"/>
      <c r="BO57" s="101"/>
      <c r="BP57" s="280"/>
      <c r="BQ57" s="20"/>
      <c r="BR57" s="13"/>
      <c r="BS57" s="13"/>
      <c r="BT57" s="13"/>
      <c r="BU57" s="13"/>
      <c r="BV57" s="111"/>
      <c r="BW57" s="280"/>
      <c r="BX57" s="20"/>
      <c r="BY57" s="13"/>
      <c r="BZ57" s="13"/>
      <c r="CA57" s="13"/>
      <c r="CB57" s="111"/>
      <c r="CC57" s="101"/>
      <c r="CD57" s="280"/>
      <c r="CE57" s="20"/>
      <c r="CF57" s="13"/>
      <c r="CG57" s="13"/>
      <c r="CH57" s="13"/>
      <c r="CI57" s="111"/>
      <c r="CJ57" s="101"/>
      <c r="CK57" s="101"/>
      <c r="CL57" s="280"/>
      <c r="CM57" s="266" t="s">
        <v>1378</v>
      </c>
      <c r="CN57" s="266" t="s">
        <v>1432</v>
      </c>
      <c r="CO57" s="310" t="str">
        <f>CONCATENATE(" Validar funcionalidad  Actividad Económica ",IF(T57=1,$T$3,"")," ",IF(U57=1,$U$3,"")," dejando el campo obligatorio Nombre vacio.",IF(V57=1,$V$3,"")," ", IF(Z57=1,$Z$2,""),)</f>
        <v xml:space="preserve"> Validar funcionalidad  Actividad Económica  Modificar dejando el campo obligatorio Nombre vacio. </v>
      </c>
      <c r="CP57" s="267" t="s">
        <v>1383</v>
      </c>
    </row>
    <row r="58" spans="1:94" s="109" customFormat="1" ht="15" customHeight="1" thickBot="1" x14ac:dyDescent="0.3">
      <c r="A58" s="23"/>
      <c r="B58" s="301"/>
      <c r="C58" s="281"/>
      <c r="D58" s="317"/>
      <c r="E58" s="317"/>
      <c r="F58" s="282"/>
      <c r="G58" s="302"/>
      <c r="H58" s="301"/>
      <c r="I58" s="281"/>
      <c r="J58" s="317"/>
      <c r="K58" s="317"/>
      <c r="L58" s="282"/>
      <c r="M58" s="302"/>
      <c r="N58" s="303"/>
      <c r="O58" s="282"/>
      <c r="P58" s="281"/>
      <c r="Q58" s="317"/>
      <c r="R58" s="317"/>
      <c r="S58" s="302"/>
      <c r="T58" s="303"/>
      <c r="U58" s="282"/>
      <c r="V58" s="281">
        <v>1</v>
      </c>
      <c r="W58" s="281">
        <v>1</v>
      </c>
      <c r="X58" s="317"/>
      <c r="Y58" s="317"/>
      <c r="Z58" s="302"/>
      <c r="AA58" s="303"/>
      <c r="AB58" s="282"/>
      <c r="AC58" s="281"/>
      <c r="AD58" s="317"/>
      <c r="AE58" s="317"/>
      <c r="AF58" s="302"/>
      <c r="AG58" s="303"/>
      <c r="AH58" s="282"/>
      <c r="AI58" s="281"/>
      <c r="AJ58" s="317"/>
      <c r="AK58" s="317"/>
      <c r="AL58" s="302"/>
      <c r="AM58" s="303"/>
      <c r="AN58" s="282"/>
      <c r="AO58" s="281"/>
      <c r="AP58" s="317"/>
      <c r="AQ58" s="317"/>
      <c r="AR58" s="330"/>
      <c r="AS58" s="302"/>
      <c r="AT58" s="303"/>
      <c r="AU58" s="282"/>
      <c r="AV58" s="281"/>
      <c r="AW58" s="317"/>
      <c r="AX58" s="317"/>
      <c r="AY58" s="330"/>
      <c r="AZ58" s="302"/>
      <c r="BA58" s="303"/>
      <c r="BB58" s="282"/>
      <c r="BC58" s="281"/>
      <c r="BD58" s="317"/>
      <c r="BE58" s="317"/>
      <c r="BF58" s="330"/>
      <c r="BG58" s="330"/>
      <c r="BH58" s="302"/>
      <c r="BI58" s="303"/>
      <c r="BJ58" s="282"/>
      <c r="BK58" s="281"/>
      <c r="BL58" s="281"/>
      <c r="BM58" s="317"/>
      <c r="BN58" s="317"/>
      <c r="BO58" s="330"/>
      <c r="BP58" s="302"/>
      <c r="BQ58" s="303"/>
      <c r="BR58" s="282"/>
      <c r="BS58" s="281"/>
      <c r="BT58" s="281"/>
      <c r="BU58" s="317"/>
      <c r="BV58" s="317"/>
      <c r="BW58" s="302"/>
      <c r="BX58" s="303"/>
      <c r="BY58" s="282"/>
      <c r="BZ58" s="281"/>
      <c r="CA58" s="317"/>
      <c r="CB58" s="317"/>
      <c r="CC58" s="330"/>
      <c r="CD58" s="302"/>
      <c r="CE58" s="303"/>
      <c r="CF58" s="282"/>
      <c r="CG58" s="281"/>
      <c r="CH58" s="317"/>
      <c r="CI58" s="317"/>
      <c r="CJ58" s="330"/>
      <c r="CK58" s="330"/>
      <c r="CL58" s="302"/>
      <c r="CM58" s="266" t="s">
        <v>1379</v>
      </c>
      <c r="CN58" s="266" t="s">
        <v>1380</v>
      </c>
      <c r="CO58" s="310" t="str">
        <f>CONCATENATE(" Validar funcionalidad  Actividad Económica ",IF(T58=1,$T$3,"")," ",IF(U58=1,$U$3,""),"",IF(V58=1,$V$3,"")," un registro en uso.", IF(Z58=1,$Z$2,""),)</f>
        <v xml:space="preserve"> Validar funcionalidad  Actividad Económica  Eliminar un registro en uso.</v>
      </c>
      <c r="CP58" s="267" t="s">
        <v>1345</v>
      </c>
    </row>
    <row r="59" spans="1:94" s="109" customFormat="1" ht="15" customHeight="1" thickTop="1" x14ac:dyDescent="0.25">
      <c r="A59" s="23"/>
      <c r="B59" s="105"/>
      <c r="C59" s="25"/>
      <c r="D59" s="345"/>
      <c r="E59" s="25"/>
      <c r="F59" s="24"/>
      <c r="G59" s="24"/>
      <c r="H59" s="105"/>
      <c r="I59" s="25"/>
      <c r="J59" s="345"/>
      <c r="K59" s="345"/>
      <c r="L59" s="24"/>
      <c r="M59" s="100"/>
      <c r="N59" s="105"/>
      <c r="O59" s="25"/>
      <c r="P59" s="345"/>
      <c r="Q59" s="25"/>
      <c r="R59" s="24"/>
      <c r="S59" s="24"/>
      <c r="T59" s="105"/>
      <c r="U59" s="25"/>
      <c r="V59" s="345"/>
      <c r="W59" s="345"/>
      <c r="X59" s="24"/>
      <c r="Y59" s="24"/>
      <c r="Z59" s="279"/>
      <c r="AA59" s="105">
        <v>1</v>
      </c>
      <c r="AB59" s="25"/>
      <c r="AC59" s="345"/>
      <c r="AD59" s="25">
        <v>1</v>
      </c>
      <c r="AE59" s="24"/>
      <c r="AF59" s="24">
        <v>1</v>
      </c>
      <c r="AG59" s="105"/>
      <c r="AH59" s="25"/>
      <c r="AI59" s="345"/>
      <c r="AJ59" s="345"/>
      <c r="AK59" s="24"/>
      <c r="AL59" s="279"/>
      <c r="AM59" s="105"/>
      <c r="AN59" s="25"/>
      <c r="AO59" s="345"/>
      <c r="AP59" s="345"/>
      <c r="AQ59" s="24"/>
      <c r="AR59" s="100"/>
      <c r="AS59" s="279"/>
      <c r="AT59" s="105"/>
      <c r="AU59" s="25"/>
      <c r="AV59" s="345"/>
      <c r="AW59" s="345"/>
      <c r="AX59" s="24"/>
      <c r="AY59" s="100"/>
      <c r="AZ59" s="279"/>
      <c r="BA59" s="105"/>
      <c r="BB59" s="25"/>
      <c r="BC59" s="345"/>
      <c r="BD59" s="345"/>
      <c r="BE59" s="24"/>
      <c r="BF59" s="100"/>
      <c r="BG59" s="100"/>
      <c r="BH59" s="279"/>
      <c r="BI59" s="105"/>
      <c r="BJ59" s="25"/>
      <c r="BK59" s="345"/>
      <c r="BL59" s="345"/>
      <c r="BM59" s="345"/>
      <c r="BN59" s="24"/>
      <c r="BO59" s="100"/>
      <c r="BP59" s="279"/>
      <c r="BQ59" s="105"/>
      <c r="BR59" s="25"/>
      <c r="BS59" s="345"/>
      <c r="BT59" s="345"/>
      <c r="BU59" s="345"/>
      <c r="BV59" s="24"/>
      <c r="BW59" s="279"/>
      <c r="BX59" s="105"/>
      <c r="BY59" s="25"/>
      <c r="BZ59" s="345"/>
      <c r="CA59" s="345"/>
      <c r="CB59" s="24"/>
      <c r="CC59" s="100"/>
      <c r="CD59" s="279"/>
      <c r="CE59" s="105"/>
      <c r="CF59" s="25"/>
      <c r="CG59" s="345"/>
      <c r="CH59" s="345"/>
      <c r="CI59" s="24"/>
      <c r="CJ59" s="100"/>
      <c r="CK59" s="100"/>
      <c r="CL59" s="279"/>
      <c r="CM59" s="266" t="s">
        <v>600</v>
      </c>
      <c r="CN59" s="266" t="str">
        <f>CONCATENATE("Acceder al sistema Gemma con usuario y perfil activo para la funcionalidad modulo Maestro - Profesiones, hacer clic en el boton ","",IF(AA59=1,"Agregar","")," colocando la Profesion Nombre, ",IF(AB59=1,"Modificar un registro","")," presionar el boton Confirmar y  ",IF(AC59=1,"Eliminar un registro",""),"luego presionar ",IF(AF59=1,"Exportar Documento Excel",""), ,IF(A59=1,"Link Nombre Distribuidor",""),"",IF(FZ73=1,$FZ$4,"")," ")</f>
        <v xml:space="preserve">Acceder al sistema Gemma con usuario y perfil activo para la funcionalidad modulo Maestro - Profesiones, hacer clic en el boton Agregar colocando la Profesion Nombre,  presionar el boton Confirmar y  luego presionar Exportar Documento Excel </v>
      </c>
      <c r="CO59" s="310" t="str">
        <f>CONCATENATE(" Validar funcionalidad  Profesiones ",IF(AA59=1,$AA$3,"")," ",IF(AB59=1,$AB$3,""),"",IF(AC59=1,$AC$3,"")," ",IF(AD59=1,$AD$4,"")," ",IF(AE59=1,$AE$4,""), " en el filtro una vez confirmado ", IF(AF59=1,$AF$2,"Sin Exportar Excel"),)</f>
        <v xml:space="preserve"> Validar funcionalidad  Profesiones Agregar  Con Valores  en el filtro una vez confirmado Exportar Excel </v>
      </c>
      <c r="CP59" s="267" t="s">
        <v>1321</v>
      </c>
    </row>
    <row r="60" spans="1:94" s="109" customFormat="1" ht="15" customHeight="1" x14ac:dyDescent="0.25">
      <c r="A60" s="23"/>
      <c r="B60" s="20"/>
      <c r="C60" s="13"/>
      <c r="D60" s="103"/>
      <c r="E60" s="13"/>
      <c r="F60" s="111"/>
      <c r="G60" s="111"/>
      <c r="H60" s="20"/>
      <c r="I60" s="13"/>
      <c r="J60" s="103"/>
      <c r="K60" s="103"/>
      <c r="L60" s="111"/>
      <c r="M60" s="101"/>
      <c r="N60" s="20"/>
      <c r="O60" s="13"/>
      <c r="P60" s="103"/>
      <c r="Q60" s="13"/>
      <c r="R60" s="111"/>
      <c r="S60" s="111"/>
      <c r="T60" s="20"/>
      <c r="U60" s="13"/>
      <c r="V60" s="103"/>
      <c r="W60" s="103"/>
      <c r="X60" s="111"/>
      <c r="Y60" s="111"/>
      <c r="Z60" s="280"/>
      <c r="AA60" s="20">
        <v>1</v>
      </c>
      <c r="AB60" s="13"/>
      <c r="AC60" s="103"/>
      <c r="AD60" s="13">
        <v>1</v>
      </c>
      <c r="AE60" s="111"/>
      <c r="AF60" s="111"/>
      <c r="AG60" s="20"/>
      <c r="AH60" s="13"/>
      <c r="AI60" s="103"/>
      <c r="AJ60" s="103"/>
      <c r="AK60" s="111"/>
      <c r="AL60" s="280"/>
      <c r="AM60" s="20"/>
      <c r="AN60" s="13"/>
      <c r="AO60" s="103"/>
      <c r="AP60" s="103"/>
      <c r="AQ60" s="111"/>
      <c r="AR60" s="101"/>
      <c r="AS60" s="280"/>
      <c r="AT60" s="20"/>
      <c r="AU60" s="13"/>
      <c r="AV60" s="103"/>
      <c r="AW60" s="103"/>
      <c r="AX60" s="111"/>
      <c r="AY60" s="101"/>
      <c r="AZ60" s="280"/>
      <c r="BA60" s="20"/>
      <c r="BB60" s="13"/>
      <c r="BC60" s="103"/>
      <c r="BD60" s="103"/>
      <c r="BE60" s="111"/>
      <c r="BF60" s="101"/>
      <c r="BG60" s="101"/>
      <c r="BH60" s="280"/>
      <c r="BI60" s="20"/>
      <c r="BJ60" s="13"/>
      <c r="BK60" s="103"/>
      <c r="BL60" s="103"/>
      <c r="BM60" s="103"/>
      <c r="BN60" s="111"/>
      <c r="BO60" s="101"/>
      <c r="BP60" s="280"/>
      <c r="BQ60" s="20"/>
      <c r="BR60" s="13"/>
      <c r="BS60" s="103"/>
      <c r="BT60" s="103"/>
      <c r="BU60" s="103"/>
      <c r="BV60" s="111"/>
      <c r="BW60" s="280"/>
      <c r="BX60" s="20"/>
      <c r="BY60" s="13"/>
      <c r="BZ60" s="103"/>
      <c r="CA60" s="103"/>
      <c r="CB60" s="111"/>
      <c r="CC60" s="101"/>
      <c r="CD60" s="280"/>
      <c r="CE60" s="20"/>
      <c r="CF60" s="13"/>
      <c r="CG60" s="103"/>
      <c r="CH60" s="103"/>
      <c r="CI60" s="111"/>
      <c r="CJ60" s="101"/>
      <c r="CK60" s="101"/>
      <c r="CL60" s="280"/>
      <c r="CM60" s="266" t="s">
        <v>601</v>
      </c>
      <c r="CN60" s="266" t="str">
        <f>CONCATENATE("Acceder al sistema Gemma con usuario y perfil activo para la funcionalidad modulo Maestro - Profesiones, hacer clic en el boton ","",IF(AA60=1,"Agregar","")," colocando la Profesion Nombre, ",IF(AB60=1,"Modificar un registro","")," ",IF(AC60=1,"Eliminar un registro","")," ",IF(AF60=1,"Exportar Documento Excel",""), ,IF(A60=1,"Link Nombre Distribuidor",""),"presionar el boton Confirmar.",IF(FZ74=1,$FZ$4,"")," ")</f>
        <v xml:space="preserve">Acceder al sistema Gemma con usuario y perfil activo para la funcionalidad modulo Maestro - Profesiones, hacer clic en el boton Agregar colocando la Profesion Nombre,   presionar el boton Confirmar. </v>
      </c>
      <c r="CO60" s="310" t="str">
        <f>CONCATENATE(" Validar funcionalidad  Profesiones ",IF(AA60=1,$AA$3,"")," ",IF(AB60=1,$AB$3,""),"",IF(AC60=1,$AC$3,"")," ",IF(AD60=1,$AD$4,"")," ",IF(AE60=1,$AE$4,""), " en el filtro ", IF(AF60=1,$AF$2,"Sin Exportar Excel"),)</f>
        <v xml:space="preserve"> Validar funcionalidad  Profesiones Agregar  Con Valores  en el filtro Sin Exportar Excel</v>
      </c>
      <c r="CP60" s="267" t="s">
        <v>1321</v>
      </c>
    </row>
    <row r="61" spans="1:94" s="109" customFormat="1" ht="15" customHeight="1" x14ac:dyDescent="0.25">
      <c r="A61" s="23"/>
      <c r="B61" s="20"/>
      <c r="C61" s="13"/>
      <c r="D61" s="103"/>
      <c r="E61" s="13"/>
      <c r="F61" s="111"/>
      <c r="G61" s="111"/>
      <c r="H61" s="20"/>
      <c r="I61" s="13"/>
      <c r="J61" s="103"/>
      <c r="K61" s="103"/>
      <c r="L61" s="111"/>
      <c r="M61" s="101"/>
      <c r="N61" s="20"/>
      <c r="O61" s="13"/>
      <c r="P61" s="103"/>
      <c r="Q61" s="13"/>
      <c r="R61" s="111"/>
      <c r="S61" s="111"/>
      <c r="T61" s="20"/>
      <c r="U61" s="13"/>
      <c r="V61" s="103"/>
      <c r="W61" s="103"/>
      <c r="X61" s="111"/>
      <c r="Y61" s="111"/>
      <c r="Z61" s="280"/>
      <c r="AA61" s="20"/>
      <c r="AB61" s="13">
        <v>1</v>
      </c>
      <c r="AC61" s="103"/>
      <c r="AD61" s="13">
        <v>1</v>
      </c>
      <c r="AE61" s="111"/>
      <c r="AF61" s="111">
        <v>1</v>
      </c>
      <c r="AG61" s="20"/>
      <c r="AH61" s="13"/>
      <c r="AI61" s="103"/>
      <c r="AJ61" s="103"/>
      <c r="AK61" s="111"/>
      <c r="AL61" s="280"/>
      <c r="AM61" s="20"/>
      <c r="AN61" s="13"/>
      <c r="AO61" s="103"/>
      <c r="AP61" s="103"/>
      <c r="AQ61" s="111"/>
      <c r="AR61" s="101"/>
      <c r="AS61" s="280"/>
      <c r="AT61" s="20"/>
      <c r="AU61" s="13"/>
      <c r="AV61" s="103"/>
      <c r="AW61" s="103"/>
      <c r="AX61" s="111"/>
      <c r="AY61" s="101"/>
      <c r="AZ61" s="280"/>
      <c r="BA61" s="20"/>
      <c r="BB61" s="13"/>
      <c r="BC61" s="103"/>
      <c r="BD61" s="103"/>
      <c r="BE61" s="111"/>
      <c r="BF61" s="101"/>
      <c r="BG61" s="101"/>
      <c r="BH61" s="280"/>
      <c r="BI61" s="20"/>
      <c r="BJ61" s="13"/>
      <c r="BK61" s="103"/>
      <c r="BL61" s="103"/>
      <c r="BM61" s="103"/>
      <c r="BN61" s="111"/>
      <c r="BO61" s="101"/>
      <c r="BP61" s="280"/>
      <c r="BQ61" s="20"/>
      <c r="BR61" s="13"/>
      <c r="BS61" s="103"/>
      <c r="BT61" s="103"/>
      <c r="BU61" s="103"/>
      <c r="BV61" s="111"/>
      <c r="BW61" s="280"/>
      <c r="BX61" s="20"/>
      <c r="BY61" s="13"/>
      <c r="BZ61" s="103"/>
      <c r="CA61" s="103"/>
      <c r="CB61" s="111"/>
      <c r="CC61" s="101"/>
      <c r="CD61" s="280"/>
      <c r="CE61" s="20"/>
      <c r="CF61" s="13"/>
      <c r="CG61" s="103"/>
      <c r="CH61" s="103"/>
      <c r="CI61" s="111"/>
      <c r="CJ61" s="101"/>
      <c r="CK61" s="101"/>
      <c r="CL61" s="280"/>
      <c r="CM61" s="266" t="s">
        <v>1367</v>
      </c>
      <c r="CN61" s="266" t="str">
        <f>CONCATENATE("Acceder al sistema Gemma con usuario y perfil activo para la funcionalidad modulo Maestro - Profesiones, colocando la Profesion Nombre en el filtro, ","",IF(AA61=1,"Agregar un registro","")," hacer clic en el boton ",IF(AB61=1,"Modificar, ","")," ",IF(AC61=1,"Eliminar un registro",""),"confirmar cambios, luego presionar ",IF(AF61=1,"Exportar Documento Excel",""), ,IF(A61=1,"Link Nombre Distribuidor",""),""," ")</f>
        <v xml:space="preserve">Acceder al sistema Gemma con usuario y perfil activo para la funcionalidad modulo Maestro - Profesiones, colocando la Profesion Nombre en el filtro,  hacer clic en el boton Modificar,  confirmar cambios, luego presionar Exportar Documento Excel </v>
      </c>
      <c r="CO61" s="310" t="str">
        <f>CONCATENATE(" Validar funcionalidad  Profesiones ",IF(AA61=1,$AA$3,"")," ",IF(AB61=1,$AB$3,""),"",IF(AC61=1,$AC$3,"")," ",IF(AD61=1,$AD$4,"")," ",IF(AE61=1,$AE$4,""), " en el filtro una vez confirmado ", IF(AF61=1,$AF$2,"Sin Exportar Excel"),)</f>
        <v xml:space="preserve"> Validar funcionalidad  Profesiones  Modificar Con Valores  en el filtro una vez confirmado Exportar Excel </v>
      </c>
      <c r="CP61" s="267" t="s">
        <v>1341</v>
      </c>
    </row>
    <row r="62" spans="1:94" s="109" customFormat="1" ht="15" customHeight="1" x14ac:dyDescent="0.25">
      <c r="A62" s="23"/>
      <c r="B62" s="20"/>
      <c r="C62" s="13"/>
      <c r="D62" s="103"/>
      <c r="E62" s="13"/>
      <c r="F62" s="111"/>
      <c r="G62" s="111"/>
      <c r="H62" s="20"/>
      <c r="I62" s="13"/>
      <c r="J62" s="103"/>
      <c r="K62" s="103"/>
      <c r="L62" s="111"/>
      <c r="M62" s="101"/>
      <c r="N62" s="20"/>
      <c r="O62" s="13"/>
      <c r="P62" s="103"/>
      <c r="Q62" s="13"/>
      <c r="R62" s="111"/>
      <c r="S62" s="111"/>
      <c r="T62" s="20"/>
      <c r="U62" s="13"/>
      <c r="V62" s="103"/>
      <c r="W62" s="103"/>
      <c r="X62" s="111"/>
      <c r="Y62" s="111"/>
      <c r="Z62" s="280"/>
      <c r="AA62" s="20"/>
      <c r="AB62" s="13">
        <v>1</v>
      </c>
      <c r="AC62" s="103"/>
      <c r="AD62" s="13">
        <v>1</v>
      </c>
      <c r="AE62" s="111"/>
      <c r="AF62" s="111"/>
      <c r="AG62" s="20"/>
      <c r="AH62" s="13"/>
      <c r="AI62" s="103"/>
      <c r="AJ62" s="103"/>
      <c r="AK62" s="111"/>
      <c r="AL62" s="280"/>
      <c r="AM62" s="20"/>
      <c r="AN62" s="13"/>
      <c r="AO62" s="103"/>
      <c r="AP62" s="103"/>
      <c r="AQ62" s="111"/>
      <c r="AR62" s="101"/>
      <c r="AS62" s="280"/>
      <c r="AT62" s="20"/>
      <c r="AU62" s="13"/>
      <c r="AV62" s="103"/>
      <c r="AW62" s="103"/>
      <c r="AX62" s="111"/>
      <c r="AY62" s="101"/>
      <c r="AZ62" s="280"/>
      <c r="BA62" s="20"/>
      <c r="BB62" s="13"/>
      <c r="BC62" s="103"/>
      <c r="BD62" s="103"/>
      <c r="BE62" s="111"/>
      <c r="BF62" s="101"/>
      <c r="BG62" s="101"/>
      <c r="BH62" s="280"/>
      <c r="BI62" s="20"/>
      <c r="BJ62" s="13"/>
      <c r="BK62" s="103"/>
      <c r="BL62" s="103"/>
      <c r="BM62" s="103"/>
      <c r="BN62" s="111"/>
      <c r="BO62" s="101"/>
      <c r="BP62" s="280"/>
      <c r="BQ62" s="20"/>
      <c r="BR62" s="13"/>
      <c r="BS62" s="103"/>
      <c r="BT62" s="103"/>
      <c r="BU62" s="103"/>
      <c r="BV62" s="111"/>
      <c r="BW62" s="280"/>
      <c r="BX62" s="20"/>
      <c r="BY62" s="13"/>
      <c r="BZ62" s="103"/>
      <c r="CA62" s="103"/>
      <c r="CB62" s="111"/>
      <c r="CC62" s="101"/>
      <c r="CD62" s="280"/>
      <c r="CE62" s="20"/>
      <c r="CF62" s="13"/>
      <c r="CG62" s="103"/>
      <c r="CH62" s="103"/>
      <c r="CI62" s="111"/>
      <c r="CJ62" s="101"/>
      <c r="CK62" s="101"/>
      <c r="CL62" s="280"/>
      <c r="CM62" s="266" t="s">
        <v>602</v>
      </c>
      <c r="CN62" s="266" t="str">
        <f>CONCATENATE("Acceder al sistema Gemma con usuario y perfil activo para la funcionalidad modulo Maestro - Profesiones, ","",IF(AA62=1,"Agregar un registro","")," colocando la Profesion Nombre en el filtro, hacer clic en el boton ",IF(AB62=1,"Modificar, ","")," ",IF(AC62=1,"Eliminar","")," ",IF(S62=1,"Exportar Documento Excel",""), ,IF(A62=1,"Link Nombre Distribuidor",""),"y luego Confirmar el cambio.",IF(FZ76=1,$FZ$4,"")," ")</f>
        <v xml:space="preserve">Acceder al sistema Gemma con usuario y perfil activo para la funcionalidad modulo Maestro - Profesiones,  colocando la Profesion Nombre en el filtro, hacer clic en el boton Modificar,   y luego Confirmar el cambio. </v>
      </c>
      <c r="CO62" s="310" t="str">
        <f>CONCATENATE(" Validar funcionalidad  Profesiones ",IF(AA62=1,$AA$3,"")," ",IF(AB62=1,$AB$3,""),"",IF(AC62=1,$AC$3,"")," ",IF(AD62=1,$AD$4,"")," ",IF(AE62=1,$AE$4,""), " en el filtro ", IF(AF62=1,$AF$2,"Sin Exportar Excel"),)</f>
        <v xml:space="preserve"> Validar funcionalidad  Profesiones  Modificar Con Valores  en el filtro Sin Exportar Excel</v>
      </c>
      <c r="CP62" s="267" t="s">
        <v>1341</v>
      </c>
    </row>
    <row r="63" spans="1:94" s="109" customFormat="1" ht="15" customHeight="1" x14ac:dyDescent="0.25">
      <c r="A63" s="23"/>
      <c r="B63" s="20"/>
      <c r="C63" s="13"/>
      <c r="D63" s="103"/>
      <c r="E63" s="13"/>
      <c r="F63" s="111"/>
      <c r="G63" s="111"/>
      <c r="H63" s="20"/>
      <c r="I63" s="13"/>
      <c r="J63" s="103"/>
      <c r="K63" s="103"/>
      <c r="L63" s="111"/>
      <c r="M63" s="101"/>
      <c r="N63" s="20"/>
      <c r="O63" s="13"/>
      <c r="P63" s="103"/>
      <c r="Q63" s="13"/>
      <c r="R63" s="111"/>
      <c r="S63" s="111"/>
      <c r="T63" s="20"/>
      <c r="U63" s="13"/>
      <c r="V63" s="103"/>
      <c r="W63" s="103"/>
      <c r="X63" s="111"/>
      <c r="Y63" s="111"/>
      <c r="Z63" s="280"/>
      <c r="AA63" s="20"/>
      <c r="AB63" s="13">
        <v>1</v>
      </c>
      <c r="AC63" s="103"/>
      <c r="AD63" s="13"/>
      <c r="AE63" s="111">
        <v>1</v>
      </c>
      <c r="AF63" s="111"/>
      <c r="AG63" s="20"/>
      <c r="AH63" s="13"/>
      <c r="AI63" s="103"/>
      <c r="AJ63" s="103"/>
      <c r="AK63" s="111"/>
      <c r="AL63" s="280"/>
      <c r="AM63" s="20"/>
      <c r="AN63" s="13"/>
      <c r="AO63" s="103"/>
      <c r="AP63" s="103"/>
      <c r="AQ63" s="111"/>
      <c r="AR63" s="101"/>
      <c r="AS63" s="280"/>
      <c r="AT63" s="20"/>
      <c r="AU63" s="13"/>
      <c r="AV63" s="103"/>
      <c r="AW63" s="103"/>
      <c r="AX63" s="111"/>
      <c r="AY63" s="101"/>
      <c r="AZ63" s="280"/>
      <c r="BA63" s="20"/>
      <c r="BB63" s="13"/>
      <c r="BC63" s="103"/>
      <c r="BD63" s="103"/>
      <c r="BE63" s="111"/>
      <c r="BF63" s="101"/>
      <c r="BG63" s="101"/>
      <c r="BH63" s="280"/>
      <c r="BI63" s="20"/>
      <c r="BJ63" s="13"/>
      <c r="BK63" s="103"/>
      <c r="BL63" s="103"/>
      <c r="BM63" s="103"/>
      <c r="BN63" s="111"/>
      <c r="BO63" s="101"/>
      <c r="BP63" s="280"/>
      <c r="BQ63" s="20"/>
      <c r="BR63" s="13"/>
      <c r="BS63" s="103"/>
      <c r="BT63" s="103"/>
      <c r="BU63" s="103"/>
      <c r="BV63" s="111"/>
      <c r="BW63" s="280"/>
      <c r="BX63" s="20"/>
      <c r="BY63" s="13"/>
      <c r="BZ63" s="103"/>
      <c r="CA63" s="103"/>
      <c r="CB63" s="111"/>
      <c r="CC63" s="101"/>
      <c r="CD63" s="280"/>
      <c r="CE63" s="20"/>
      <c r="CF63" s="13"/>
      <c r="CG63" s="103"/>
      <c r="CH63" s="103"/>
      <c r="CI63" s="111"/>
      <c r="CJ63" s="101"/>
      <c r="CK63" s="101"/>
      <c r="CL63" s="280"/>
      <c r="CM63" s="266" t="s">
        <v>603</v>
      </c>
      <c r="CN63" s="266" t="str">
        <f>CONCATENATE("Acceder al sistema Gemma con usuario y perfil activo para la funcionalidad modulo Maestro - Profesiones, ","",IF(AA63=1,"Agregar un registro","")," seleccionando el registro de la tabla consulta, hacer clic en el boton ",IF(AB63=1,"Modificar","")," ",IF(AC63=1,"Eliminar","")," ",IF(AF63=1,"Exportar Documento Excel",""), ,IF(A63=1,"Link Nombre Distribuidor",""),"presionar el boton Confirmar.",IF(FZ77=1,$FZ$4,"")," ")</f>
        <v xml:space="preserve">Acceder al sistema Gemma con usuario y perfil activo para la funcionalidad modulo Maestro - Profesiones,  seleccionando el registro de la tabla consulta, hacer clic en el boton Modificar  presionar el boton Confirmar. </v>
      </c>
      <c r="CO63" s="310" t="str">
        <f>CONCATENATE(" Validar funcionalidad  Profesiones ",IF(AA63=1,$AA$3,"")," ",IF(AB63=1,$AB$3,""),"",IF(AC63=1,$AC$3,"")," ",IF(AD63=1,$AD$4,"")," ",IF(AE63=1,$AE$4,""), " en el filtro ", IF(AF63=1,$AF$2,"Sin Exportar Excel"),)</f>
        <v xml:space="preserve"> Validar funcionalidad  Profesiones  Modificar  Sin Valores en el filtro Sin Exportar Excel</v>
      </c>
      <c r="CP63" s="267" t="s">
        <v>1341</v>
      </c>
    </row>
    <row r="64" spans="1:94" s="109" customFormat="1" ht="15" customHeight="1" x14ac:dyDescent="0.25">
      <c r="A64" s="23"/>
      <c r="B64" s="20"/>
      <c r="C64" s="13"/>
      <c r="D64" s="13"/>
      <c r="E64" s="13"/>
      <c r="F64" s="111"/>
      <c r="G64" s="111"/>
      <c r="H64" s="20"/>
      <c r="I64" s="13"/>
      <c r="J64" s="103"/>
      <c r="K64" s="103"/>
      <c r="L64" s="111"/>
      <c r="M64" s="101"/>
      <c r="N64" s="20"/>
      <c r="O64" s="13"/>
      <c r="P64" s="13"/>
      <c r="Q64" s="13"/>
      <c r="R64" s="111"/>
      <c r="S64" s="111"/>
      <c r="T64" s="20"/>
      <c r="U64" s="13"/>
      <c r="V64" s="103"/>
      <c r="W64" s="103"/>
      <c r="X64" s="111"/>
      <c r="Y64" s="111"/>
      <c r="Z64" s="280"/>
      <c r="AA64" s="20"/>
      <c r="AB64" s="13"/>
      <c r="AC64" s="13">
        <v>1</v>
      </c>
      <c r="AD64" s="13">
        <v>1</v>
      </c>
      <c r="AE64" s="111"/>
      <c r="AF64" s="111">
        <v>1</v>
      </c>
      <c r="AG64" s="20"/>
      <c r="AH64" s="13"/>
      <c r="AI64" s="103"/>
      <c r="AJ64" s="103"/>
      <c r="AK64" s="111"/>
      <c r="AL64" s="280"/>
      <c r="AM64" s="20"/>
      <c r="AN64" s="13"/>
      <c r="AO64" s="103"/>
      <c r="AP64" s="103"/>
      <c r="AQ64" s="111"/>
      <c r="AR64" s="101"/>
      <c r="AS64" s="280"/>
      <c r="AT64" s="20"/>
      <c r="AU64" s="13"/>
      <c r="AV64" s="103"/>
      <c r="AW64" s="103"/>
      <c r="AX64" s="111"/>
      <c r="AY64" s="101"/>
      <c r="AZ64" s="280"/>
      <c r="BA64" s="20"/>
      <c r="BB64" s="13"/>
      <c r="BC64" s="103"/>
      <c r="BD64" s="103"/>
      <c r="BE64" s="111"/>
      <c r="BF64" s="101"/>
      <c r="BG64" s="101"/>
      <c r="BH64" s="280"/>
      <c r="BI64" s="20"/>
      <c r="BJ64" s="13"/>
      <c r="BK64" s="103"/>
      <c r="BL64" s="103"/>
      <c r="BM64" s="103"/>
      <c r="BN64" s="111"/>
      <c r="BO64" s="101"/>
      <c r="BP64" s="280"/>
      <c r="BQ64" s="20"/>
      <c r="BR64" s="13"/>
      <c r="BS64" s="103"/>
      <c r="BT64" s="103"/>
      <c r="BU64" s="103"/>
      <c r="BV64" s="111"/>
      <c r="BW64" s="280"/>
      <c r="BX64" s="20"/>
      <c r="BY64" s="13"/>
      <c r="BZ64" s="103"/>
      <c r="CA64" s="103"/>
      <c r="CB64" s="111"/>
      <c r="CC64" s="101"/>
      <c r="CD64" s="280"/>
      <c r="CE64" s="20"/>
      <c r="CF64" s="13"/>
      <c r="CG64" s="103"/>
      <c r="CH64" s="103"/>
      <c r="CI64" s="111"/>
      <c r="CJ64" s="101"/>
      <c r="CK64" s="101"/>
      <c r="CL64" s="280"/>
      <c r="CM64" s="266" t="s">
        <v>1368</v>
      </c>
      <c r="CN64" s="266" t="str">
        <f>CONCATENATE("Acceder al sistema Gemma con usuario y perfil activo para la funcionalidad modulo Maestro - Profesiones, colocando la Profesion Nombre en el filtro, ","",IF(AA64=1,"Agregar un registro","")," hacer clic en el boton ",IF(AB64=1,"Modificar, ","")," ",IF(AC64=1,"Eliminar ",""),"confirmar cambios, luego presionar ",IF(AF64=1,"Exportar Documento Excel",""), ,IF(A64=1,"Link Nombre Distribuidor",""),"",IF(FZ78=1,$FZ$4,"")," ")</f>
        <v xml:space="preserve">Acceder al sistema Gemma con usuario y perfil activo para la funcionalidad modulo Maestro - Profesiones, colocando la Profesion Nombre en el filtro,  hacer clic en el boton  Eliminar confirmar cambios, luego presionar Exportar Documento Excel </v>
      </c>
      <c r="CO64" s="310" t="str">
        <f>CONCATENATE(" Validar funcionalidad  Profesiones ",IF(AA64=1,$AA$3,"")," ",IF(AB64=1,$AB$3,""),"",IF(AC64=1,$AC$3,"")," ",IF(AD64=1,$AD$4,"")," ",IF(AE64=1,$AE$4,""), " en el filtro una vez confirmado ", IF(AF64=1,$AF$2,"Sin Exportar Excel"),)</f>
        <v xml:space="preserve"> Validar funcionalidad  Profesiones  Eliminar Con Valores  en el filtro una vez confirmado Exportar Excel </v>
      </c>
      <c r="CP64" s="267" t="s">
        <v>1333</v>
      </c>
    </row>
    <row r="65" spans="1:94" s="109" customFormat="1" ht="15" customHeight="1" x14ac:dyDescent="0.25">
      <c r="A65" s="23"/>
      <c r="B65" s="20"/>
      <c r="C65" s="13"/>
      <c r="D65" s="13"/>
      <c r="E65" s="13"/>
      <c r="F65" s="111"/>
      <c r="G65" s="111"/>
      <c r="H65" s="20"/>
      <c r="I65" s="13"/>
      <c r="J65" s="103"/>
      <c r="K65" s="103"/>
      <c r="L65" s="111"/>
      <c r="M65" s="101"/>
      <c r="N65" s="20"/>
      <c r="O65" s="13"/>
      <c r="P65" s="13"/>
      <c r="Q65" s="13"/>
      <c r="R65" s="111"/>
      <c r="S65" s="111"/>
      <c r="T65" s="20"/>
      <c r="U65" s="13"/>
      <c r="V65" s="103"/>
      <c r="W65" s="103"/>
      <c r="X65" s="111"/>
      <c r="Y65" s="111"/>
      <c r="Z65" s="280"/>
      <c r="AA65" s="20"/>
      <c r="AB65" s="13"/>
      <c r="AC65" s="13">
        <v>1</v>
      </c>
      <c r="AD65" s="13">
        <v>1</v>
      </c>
      <c r="AE65" s="111"/>
      <c r="AF65" s="111"/>
      <c r="AG65" s="20"/>
      <c r="AH65" s="13"/>
      <c r="AI65" s="103"/>
      <c r="AJ65" s="103"/>
      <c r="AK65" s="111"/>
      <c r="AL65" s="280"/>
      <c r="AM65" s="20"/>
      <c r="AN65" s="13"/>
      <c r="AO65" s="103"/>
      <c r="AP65" s="103"/>
      <c r="AQ65" s="111"/>
      <c r="AR65" s="101"/>
      <c r="AS65" s="280"/>
      <c r="AT65" s="20"/>
      <c r="AU65" s="13"/>
      <c r="AV65" s="103"/>
      <c r="AW65" s="103"/>
      <c r="AX65" s="111"/>
      <c r="AY65" s="101"/>
      <c r="AZ65" s="280"/>
      <c r="BA65" s="20"/>
      <c r="BB65" s="13"/>
      <c r="BC65" s="103"/>
      <c r="BD65" s="103"/>
      <c r="BE65" s="111"/>
      <c r="BF65" s="101"/>
      <c r="BG65" s="101"/>
      <c r="BH65" s="280"/>
      <c r="BI65" s="20"/>
      <c r="BJ65" s="13"/>
      <c r="BK65" s="103"/>
      <c r="BL65" s="103"/>
      <c r="BM65" s="103"/>
      <c r="BN65" s="111"/>
      <c r="BO65" s="101"/>
      <c r="BP65" s="280"/>
      <c r="BQ65" s="20"/>
      <c r="BR65" s="13"/>
      <c r="BS65" s="103"/>
      <c r="BT65" s="103"/>
      <c r="BU65" s="103"/>
      <c r="BV65" s="111"/>
      <c r="BW65" s="280"/>
      <c r="BX65" s="20"/>
      <c r="BY65" s="13"/>
      <c r="BZ65" s="103"/>
      <c r="CA65" s="103"/>
      <c r="CB65" s="111"/>
      <c r="CC65" s="101"/>
      <c r="CD65" s="280"/>
      <c r="CE65" s="20"/>
      <c r="CF65" s="13"/>
      <c r="CG65" s="103"/>
      <c r="CH65" s="103"/>
      <c r="CI65" s="111"/>
      <c r="CJ65" s="101"/>
      <c r="CK65" s="101"/>
      <c r="CL65" s="280"/>
      <c r="CM65" s="266" t="s">
        <v>604</v>
      </c>
      <c r="CN65" s="266" t="str">
        <f>CONCATENATE("Acceder al sistema Gemma con usuario y perfil activo para la funcionalidad modulo Maestro - Profesiones, ","",IF(AA65=1,"Agregar un registro","")," colocando la descripcion en el filtro, hacer clic en el boton ",IF(AB65=1,"Modificar, ","")," ",IF(AC65=1,"Eliminar","")," ",IF(AF65=1,"Exportar Documento Excel",""), ,IF(A65=1,"Link Nombre Distribuidor",""),"y luego Confirmar el cambio.",IF(FZ79=1,$FZ$4,"")," ")</f>
        <v xml:space="preserve">Acceder al sistema Gemma con usuario y perfil activo para la funcionalidad modulo Maestro - Profesiones,  colocando la descripcion en el filtro, hacer clic en el boton  Eliminar y luego Confirmar el cambio. </v>
      </c>
      <c r="CO65" s="310" t="str">
        <f t="shared" ref="CO65:CO66" si="2">CONCATENATE(" Validar funcionalidad  Profesiones ",IF(AA65=1,$AA$3,"")," ",IF(AB65=1,$AB$3,""),"",IF(AC65=1,$AC$3,"")," ",IF(AD65=1,$AD$4,"")," ",IF(AE65=1,$AE$4,""), " en el filtro ", IF(AF65=1,$AF$2,"Sin Exportar Excel"),)</f>
        <v xml:space="preserve"> Validar funcionalidad  Profesiones  Eliminar Con Valores  en el filtro Sin Exportar Excel</v>
      </c>
      <c r="CP65" s="267" t="s">
        <v>1333</v>
      </c>
    </row>
    <row r="66" spans="1:94" s="109" customFormat="1" x14ac:dyDescent="0.25">
      <c r="A66" s="23"/>
      <c r="B66" s="291"/>
      <c r="C66" s="272"/>
      <c r="D66" s="272"/>
      <c r="E66" s="272"/>
      <c r="F66" s="273"/>
      <c r="G66" s="273"/>
      <c r="H66" s="291"/>
      <c r="I66" s="272"/>
      <c r="J66" s="318"/>
      <c r="K66" s="318"/>
      <c r="L66" s="273"/>
      <c r="M66" s="297"/>
      <c r="N66" s="291"/>
      <c r="O66" s="272"/>
      <c r="P66" s="272"/>
      <c r="Q66" s="272"/>
      <c r="R66" s="273"/>
      <c r="S66" s="273"/>
      <c r="T66" s="291"/>
      <c r="U66" s="272"/>
      <c r="V66" s="318"/>
      <c r="W66" s="318"/>
      <c r="X66" s="273"/>
      <c r="Y66" s="273"/>
      <c r="Z66" s="316"/>
      <c r="AA66" s="291"/>
      <c r="AB66" s="272"/>
      <c r="AC66" s="272">
        <v>1</v>
      </c>
      <c r="AD66" s="272"/>
      <c r="AE66" s="273">
        <v>1</v>
      </c>
      <c r="AF66" s="273"/>
      <c r="AG66" s="291"/>
      <c r="AH66" s="272"/>
      <c r="AI66" s="318"/>
      <c r="AJ66" s="318"/>
      <c r="AK66" s="273"/>
      <c r="AL66" s="316"/>
      <c r="AM66" s="291"/>
      <c r="AN66" s="272"/>
      <c r="AO66" s="318"/>
      <c r="AP66" s="318"/>
      <c r="AQ66" s="273"/>
      <c r="AR66" s="297"/>
      <c r="AS66" s="316"/>
      <c r="AT66" s="291"/>
      <c r="AU66" s="272"/>
      <c r="AV66" s="318"/>
      <c r="AW66" s="318"/>
      <c r="AX66" s="273"/>
      <c r="AY66" s="297"/>
      <c r="AZ66" s="316"/>
      <c r="BA66" s="291"/>
      <c r="BB66" s="272"/>
      <c r="BC66" s="318"/>
      <c r="BD66" s="318"/>
      <c r="BE66" s="273"/>
      <c r="BF66" s="297"/>
      <c r="BG66" s="297"/>
      <c r="BH66" s="316"/>
      <c r="BI66" s="291"/>
      <c r="BJ66" s="272"/>
      <c r="BK66" s="318"/>
      <c r="BL66" s="318"/>
      <c r="BM66" s="318"/>
      <c r="BN66" s="273"/>
      <c r="BO66" s="297"/>
      <c r="BP66" s="316"/>
      <c r="BQ66" s="291"/>
      <c r="BR66" s="272"/>
      <c r="BS66" s="318"/>
      <c r="BT66" s="318"/>
      <c r="BU66" s="318"/>
      <c r="BV66" s="273"/>
      <c r="BW66" s="316"/>
      <c r="BX66" s="291"/>
      <c r="BY66" s="272"/>
      <c r="BZ66" s="318"/>
      <c r="CA66" s="318"/>
      <c r="CB66" s="273"/>
      <c r="CC66" s="297"/>
      <c r="CD66" s="316"/>
      <c r="CE66" s="291"/>
      <c r="CF66" s="272"/>
      <c r="CG66" s="318"/>
      <c r="CH66" s="318"/>
      <c r="CI66" s="273"/>
      <c r="CJ66" s="297"/>
      <c r="CK66" s="297"/>
      <c r="CL66" s="316"/>
      <c r="CM66" s="266" t="s">
        <v>605</v>
      </c>
      <c r="CN66" s="266" t="str">
        <f>CONCATENATE("Acceder al sistema Gemma con usuario y perfil activo para la funcionalidad modulo Maestro - Profesiones, ","",IF(AA66=1,"Agregar un registro","")," seleccionando el registro de la tabla consulta, hacer clic en el boton ",IF(AB66=1,"Modificar","")," ",IF(AC66=1,"Eliminar","")," ",IF(AF66=1,"Exportar Documento Excel",""), ,IF(A66=1,"Link Nombre Distribuidor",""),"presionar el boton Confirmar.",IF(FZ80=1,$FZ$4,"")," ")</f>
        <v xml:space="preserve">Acceder al sistema Gemma con usuario y perfil activo para la funcionalidad modulo Maestro - Profesiones,  seleccionando el registro de la tabla consulta, hacer clic en el boton  Eliminar presionar el boton Confirmar. </v>
      </c>
      <c r="CO66" s="310" t="str">
        <f t="shared" si="2"/>
        <v xml:space="preserve"> Validar funcionalidad  Profesiones  Eliminar  Sin Valores en el filtro Sin Exportar Excel</v>
      </c>
      <c r="CP66" s="267" t="s">
        <v>1333</v>
      </c>
    </row>
    <row r="67" spans="1:94" s="109" customFormat="1" ht="15.75" thickBot="1" x14ac:dyDescent="0.3">
      <c r="A67" s="23"/>
      <c r="B67" s="346"/>
      <c r="C67" s="27"/>
      <c r="D67" s="27"/>
      <c r="E67" s="27"/>
      <c r="F67" s="26"/>
      <c r="G67" s="347"/>
      <c r="H67" s="346"/>
      <c r="I67" s="27"/>
      <c r="J67" s="348"/>
      <c r="K67" s="348"/>
      <c r="L67" s="26"/>
      <c r="M67" s="349"/>
      <c r="N67" s="346"/>
      <c r="O67" s="27"/>
      <c r="P67" s="27"/>
      <c r="Q67" s="27"/>
      <c r="R67" s="26"/>
      <c r="S67" s="347"/>
      <c r="T67" s="346"/>
      <c r="U67" s="27"/>
      <c r="V67" s="348"/>
      <c r="W67" s="348"/>
      <c r="X67" s="26"/>
      <c r="Y67" s="26"/>
      <c r="Z67" s="347"/>
      <c r="AA67" s="346"/>
      <c r="AB67" s="27"/>
      <c r="AC67" s="27"/>
      <c r="AD67" s="27"/>
      <c r="AE67" s="26"/>
      <c r="AF67" s="347">
        <v>1</v>
      </c>
      <c r="AG67" s="346"/>
      <c r="AH67" s="27"/>
      <c r="AI67" s="348"/>
      <c r="AJ67" s="348"/>
      <c r="AK67" s="26"/>
      <c r="AL67" s="347"/>
      <c r="AM67" s="346"/>
      <c r="AN67" s="27"/>
      <c r="AO67" s="348"/>
      <c r="AP67" s="348"/>
      <c r="AQ67" s="26"/>
      <c r="AR67" s="349"/>
      <c r="AS67" s="347"/>
      <c r="AT67" s="346"/>
      <c r="AU67" s="27"/>
      <c r="AV67" s="348"/>
      <c r="AW67" s="348"/>
      <c r="AX67" s="26"/>
      <c r="AY67" s="349"/>
      <c r="AZ67" s="347"/>
      <c r="BA67" s="346"/>
      <c r="BB67" s="27"/>
      <c r="BC67" s="348"/>
      <c r="BD67" s="348"/>
      <c r="BE67" s="26"/>
      <c r="BF67" s="349"/>
      <c r="BG67" s="349"/>
      <c r="BH67" s="347"/>
      <c r="BI67" s="346"/>
      <c r="BJ67" s="27"/>
      <c r="BK67" s="348"/>
      <c r="BL67" s="348"/>
      <c r="BM67" s="348"/>
      <c r="BN67" s="26"/>
      <c r="BO67" s="349"/>
      <c r="BP67" s="347"/>
      <c r="BQ67" s="346"/>
      <c r="BR67" s="27"/>
      <c r="BS67" s="348"/>
      <c r="BT67" s="348"/>
      <c r="BU67" s="348"/>
      <c r="BV67" s="26"/>
      <c r="BW67" s="347"/>
      <c r="BX67" s="346"/>
      <c r="BY67" s="27"/>
      <c r="BZ67" s="348"/>
      <c r="CA67" s="348"/>
      <c r="CB67" s="26"/>
      <c r="CC67" s="349"/>
      <c r="CD67" s="347"/>
      <c r="CE67" s="346"/>
      <c r="CF67" s="27"/>
      <c r="CG67" s="348"/>
      <c r="CH67" s="348"/>
      <c r="CI67" s="26"/>
      <c r="CJ67" s="349"/>
      <c r="CK67" s="349"/>
      <c r="CL67" s="347"/>
      <c r="CM67" s="266" t="s">
        <v>606</v>
      </c>
      <c r="CN67" s="266" t="str">
        <f>CONCATENATE("Acceder al sistema Gemma con usuario y perfil activo para la funcionalidad modulo Maestro - Profesiones, ","",IF(H67=1,"Agregar un registro","")," sin datos en el filtro, presionar ",IF(I67=1,"Modificar","")," ",IF(J67=1,"Eliminar","")," ",IF(AF67=1,"Exportar Documento Excel",""), ,IF(A67=1,"Link Nombre Distribuidor",""),"")</f>
        <v>Acceder al sistema Gemma con usuario y perfil activo para la funcionalidad modulo Maestro - Profesiones,  sin datos en el filtro, presionar   Exportar Documento Excel</v>
      </c>
      <c r="CO67" s="310" t="str">
        <f>CONCATENATE(" Validar funcionalidad  Profesiones ",IF(AA67=1,$AA$3,""),"",IF(AB67=1,$AB$3,""),"",IF(AC67=1,$AC$3,"")," ",IF(AD67=1,$AD$4,""),"",IF(AE67=1,$AE$4,""), "", IF(AF67=1,$AF$2,"Sin Exportar Excel"),)</f>
        <v xml:space="preserve"> Validar funcionalidad  Profesiones  Exportar Excel </v>
      </c>
      <c r="CP67" s="267" t="s">
        <v>1342</v>
      </c>
    </row>
    <row r="68" spans="1:94" s="109" customFormat="1" ht="15.75" thickTop="1" x14ac:dyDescent="0.25">
      <c r="A68" s="23"/>
      <c r="B68" s="105"/>
      <c r="C68" s="25"/>
      <c r="D68" s="25"/>
      <c r="E68" s="25"/>
      <c r="F68" s="24"/>
      <c r="G68" s="279"/>
      <c r="H68" s="105"/>
      <c r="I68" s="25"/>
      <c r="J68" s="345"/>
      <c r="K68" s="345"/>
      <c r="L68" s="24"/>
      <c r="M68" s="100"/>
      <c r="N68" s="105"/>
      <c r="O68" s="25"/>
      <c r="P68" s="25"/>
      <c r="Q68" s="25"/>
      <c r="R68" s="24"/>
      <c r="S68" s="279"/>
      <c r="T68" s="105"/>
      <c r="U68" s="25"/>
      <c r="V68" s="345"/>
      <c r="W68" s="345"/>
      <c r="X68" s="24"/>
      <c r="Y68" s="24"/>
      <c r="Z68" s="279"/>
      <c r="AA68" s="105">
        <v>1</v>
      </c>
      <c r="AB68" s="25"/>
      <c r="AC68" s="25"/>
      <c r="AD68" s="25"/>
      <c r="AE68" s="24">
        <v>1</v>
      </c>
      <c r="AF68" s="279"/>
      <c r="AG68" s="105"/>
      <c r="AH68" s="25"/>
      <c r="AI68" s="345"/>
      <c r="AJ68" s="345"/>
      <c r="AK68" s="24"/>
      <c r="AL68" s="279"/>
      <c r="AM68" s="105"/>
      <c r="AN68" s="25"/>
      <c r="AO68" s="345"/>
      <c r="AP68" s="345"/>
      <c r="AQ68" s="24"/>
      <c r="AR68" s="100"/>
      <c r="AS68" s="279"/>
      <c r="AT68" s="105"/>
      <c r="AU68" s="25"/>
      <c r="AV68" s="345"/>
      <c r="AW68" s="345"/>
      <c r="AX68" s="24"/>
      <c r="AY68" s="100"/>
      <c r="AZ68" s="279"/>
      <c r="BA68" s="105"/>
      <c r="BB68" s="25"/>
      <c r="BC68" s="345"/>
      <c r="BD68" s="345"/>
      <c r="BE68" s="24"/>
      <c r="BF68" s="100"/>
      <c r="BG68" s="100"/>
      <c r="BH68" s="279"/>
      <c r="BI68" s="105"/>
      <c r="BJ68" s="25"/>
      <c r="BK68" s="345"/>
      <c r="BL68" s="345"/>
      <c r="BM68" s="345"/>
      <c r="BN68" s="24"/>
      <c r="BO68" s="100"/>
      <c r="BP68" s="279"/>
      <c r="BQ68" s="105"/>
      <c r="BR68" s="25"/>
      <c r="BS68" s="345"/>
      <c r="BT68" s="345"/>
      <c r="BU68" s="345"/>
      <c r="BV68" s="24"/>
      <c r="BW68" s="279"/>
      <c r="BX68" s="105"/>
      <c r="BY68" s="25"/>
      <c r="BZ68" s="345"/>
      <c r="CA68" s="345"/>
      <c r="CB68" s="24"/>
      <c r="CC68" s="100"/>
      <c r="CD68" s="279"/>
      <c r="CE68" s="105"/>
      <c r="CF68" s="25"/>
      <c r="CG68" s="345"/>
      <c r="CH68" s="345"/>
      <c r="CI68" s="24"/>
      <c r="CJ68" s="100"/>
      <c r="CK68" s="100"/>
      <c r="CL68" s="279"/>
      <c r="CM68" s="266" t="s">
        <v>1369</v>
      </c>
      <c r="CN68" s="266" t="str">
        <f>CONCATENATE("Acceder al sistema Gemma con usuario y perfil activo para la funcionalidad modulo Maestro - Profesiones, "," Agregar un registro  ",IF(H68=1,"Agregar un registro","")," sin datos en la descripcion Profesion Nombre y presionar Confirmar.",IF(I68=1,"Modificar","")," ",IF(J68=1,"Eliminar","")," ",IF(M68=1,"Exportar Documento Excel",""), ,IF(A68=1,"Link Nombre Distribuidor",""),"",IF(FZ82=1,$FZ$4,"")," ")</f>
        <v xml:space="preserve">Acceder al sistema Gemma con usuario y perfil activo para la funcionalidad modulo Maestro - Profesiones,  Agregar un registro   sin datos en la descripcion Profesion Nombre y presionar Confirmar.   </v>
      </c>
      <c r="CO68" s="310" t="str">
        <f>CONCATENATE(" Validar funcionalidad  Profesiones ",IF(AA68=1,$AA$3,""),"",IF(AB68=1,$AB$3,""),"",IF(AC68=1,$AC$3,"")," ",IF(AD68=1,$AD$4,""),"",IF(AE68=1,$AE$4,""), " en las descripcion Profesion Nombre", IF(AF68=1,$AF$2,""),)</f>
        <v xml:space="preserve"> Validar funcionalidad  Profesiones Agregar Sin Valores en las descripcion Profesion Nombre</v>
      </c>
      <c r="CP68" s="267" t="s">
        <v>1375</v>
      </c>
    </row>
    <row r="69" spans="1:94" s="109" customFormat="1" x14ac:dyDescent="0.25">
      <c r="A69" s="23"/>
      <c r="B69" s="105"/>
      <c r="C69" s="25"/>
      <c r="D69" s="25"/>
      <c r="E69" s="25"/>
      <c r="F69" s="24"/>
      <c r="G69" s="279"/>
      <c r="H69" s="105"/>
      <c r="I69" s="25"/>
      <c r="J69" s="345"/>
      <c r="K69" s="345"/>
      <c r="L69" s="24"/>
      <c r="M69" s="100"/>
      <c r="N69" s="105"/>
      <c r="O69" s="25"/>
      <c r="P69" s="25"/>
      <c r="Q69" s="25"/>
      <c r="R69" s="24"/>
      <c r="S69" s="279"/>
      <c r="T69" s="105"/>
      <c r="U69" s="25"/>
      <c r="V69" s="345"/>
      <c r="W69" s="345"/>
      <c r="X69" s="24"/>
      <c r="Y69" s="24"/>
      <c r="Z69" s="307"/>
      <c r="AA69" s="105"/>
      <c r="AB69" s="25"/>
      <c r="AC69" s="25"/>
      <c r="AD69" s="25">
        <v>1</v>
      </c>
      <c r="AE69" s="24"/>
      <c r="AF69" s="279"/>
      <c r="AG69" s="105"/>
      <c r="AH69" s="25"/>
      <c r="AI69" s="345"/>
      <c r="AJ69" s="345"/>
      <c r="AK69" s="24"/>
      <c r="AL69" s="279"/>
      <c r="AM69" s="105"/>
      <c r="AN69" s="25"/>
      <c r="AO69" s="345"/>
      <c r="AP69" s="345"/>
      <c r="AQ69" s="24"/>
      <c r="AR69" s="100"/>
      <c r="AS69" s="279"/>
      <c r="AT69" s="105"/>
      <c r="AU69" s="25"/>
      <c r="AV69" s="345"/>
      <c r="AW69" s="345"/>
      <c r="AX69" s="24"/>
      <c r="AY69" s="100"/>
      <c r="AZ69" s="279"/>
      <c r="BA69" s="105"/>
      <c r="BB69" s="25"/>
      <c r="BC69" s="345"/>
      <c r="BD69" s="345"/>
      <c r="BE69" s="24"/>
      <c r="BF69" s="100"/>
      <c r="BG69" s="100"/>
      <c r="BH69" s="279"/>
      <c r="BI69" s="105"/>
      <c r="BJ69" s="25"/>
      <c r="BK69" s="345"/>
      <c r="BL69" s="345"/>
      <c r="BM69" s="345"/>
      <c r="BN69" s="24"/>
      <c r="BO69" s="100"/>
      <c r="BP69" s="279"/>
      <c r="BQ69" s="105"/>
      <c r="BR69" s="25"/>
      <c r="BS69" s="345"/>
      <c r="BT69" s="345"/>
      <c r="BU69" s="345"/>
      <c r="BV69" s="24"/>
      <c r="BW69" s="279"/>
      <c r="BX69" s="105"/>
      <c r="BY69" s="25"/>
      <c r="BZ69" s="345"/>
      <c r="CA69" s="345"/>
      <c r="CB69" s="24"/>
      <c r="CC69" s="100"/>
      <c r="CD69" s="279"/>
      <c r="CE69" s="105"/>
      <c r="CF69" s="25"/>
      <c r="CG69" s="345"/>
      <c r="CH69" s="345"/>
      <c r="CI69" s="24"/>
      <c r="CJ69" s="100"/>
      <c r="CK69" s="100"/>
      <c r="CL69" s="279"/>
      <c r="CM69" s="266" t="s">
        <v>1370</v>
      </c>
      <c r="CN69" s="266" t="s">
        <v>1374</v>
      </c>
      <c r="CO69" s="310" t="str">
        <f>CONCATENATE(" Validar funcionalidad  Profesiones ",IF(AA69=1,$AA$3,""),"",IF(AB69=1,$AB$3,""),"",IF(AC69=1,$AC$3,"")," ",IF(AD69=1,$AD$4,""),"",IF(AE69=1,$AE$4,""), "en la descripcion Profesion Nombre invalidos.", IF(AF69=1,$AF$2,""),)</f>
        <v xml:space="preserve"> Validar funcionalidad  Profesiones  Con Valoresen la descripcion Profesion Nombre invalidos.</v>
      </c>
      <c r="CP69" s="267" t="s">
        <v>1344</v>
      </c>
    </row>
    <row r="70" spans="1:94" s="109" customFormat="1" x14ac:dyDescent="0.25">
      <c r="A70" s="23"/>
      <c r="B70" s="20"/>
      <c r="C70" s="13"/>
      <c r="D70" s="13"/>
      <c r="E70" s="13"/>
      <c r="F70" s="111"/>
      <c r="G70" s="280"/>
      <c r="H70" s="20"/>
      <c r="I70" s="13"/>
      <c r="J70" s="103"/>
      <c r="K70" s="103"/>
      <c r="L70" s="111"/>
      <c r="M70" s="101"/>
      <c r="N70" s="20"/>
      <c r="O70" s="13"/>
      <c r="P70" s="13"/>
      <c r="Q70" s="13"/>
      <c r="R70" s="111"/>
      <c r="S70" s="280"/>
      <c r="T70" s="20"/>
      <c r="U70" s="13"/>
      <c r="V70" s="103"/>
      <c r="W70" s="103"/>
      <c r="X70" s="111"/>
      <c r="Y70" s="111"/>
      <c r="Z70" s="316"/>
      <c r="AA70" s="20"/>
      <c r="AB70" s="13">
        <v>1</v>
      </c>
      <c r="AC70" s="13"/>
      <c r="AD70" s="13"/>
      <c r="AE70" s="111">
        <v>1</v>
      </c>
      <c r="AF70" s="280"/>
      <c r="AG70" s="20"/>
      <c r="AH70" s="13"/>
      <c r="AI70" s="103"/>
      <c r="AJ70" s="103"/>
      <c r="AK70" s="111"/>
      <c r="AL70" s="280"/>
      <c r="AM70" s="20"/>
      <c r="AN70" s="13"/>
      <c r="AO70" s="103"/>
      <c r="AP70" s="103"/>
      <c r="AQ70" s="111"/>
      <c r="AR70" s="101"/>
      <c r="AS70" s="280"/>
      <c r="AT70" s="20"/>
      <c r="AU70" s="13"/>
      <c r="AV70" s="103"/>
      <c r="AW70" s="103"/>
      <c r="AX70" s="111"/>
      <c r="AY70" s="101"/>
      <c r="AZ70" s="280"/>
      <c r="BA70" s="20"/>
      <c r="BB70" s="13"/>
      <c r="BC70" s="103"/>
      <c r="BD70" s="103"/>
      <c r="BE70" s="111"/>
      <c r="BF70" s="101"/>
      <c r="BG70" s="101"/>
      <c r="BH70" s="280"/>
      <c r="BI70" s="20"/>
      <c r="BJ70" s="13"/>
      <c r="BK70" s="103"/>
      <c r="BL70" s="103"/>
      <c r="BM70" s="103"/>
      <c r="BN70" s="111"/>
      <c r="BO70" s="101"/>
      <c r="BP70" s="280"/>
      <c r="BQ70" s="20"/>
      <c r="BR70" s="13"/>
      <c r="BS70" s="103"/>
      <c r="BT70" s="103"/>
      <c r="BU70" s="103"/>
      <c r="BV70" s="111"/>
      <c r="BW70" s="280"/>
      <c r="BX70" s="20"/>
      <c r="BY70" s="13"/>
      <c r="BZ70" s="103"/>
      <c r="CA70" s="103"/>
      <c r="CB70" s="111"/>
      <c r="CC70" s="101"/>
      <c r="CD70" s="280"/>
      <c r="CE70" s="20"/>
      <c r="CF70" s="13"/>
      <c r="CG70" s="103"/>
      <c r="CH70" s="103"/>
      <c r="CI70" s="111"/>
      <c r="CJ70" s="101"/>
      <c r="CK70" s="101"/>
      <c r="CL70" s="280"/>
      <c r="CM70" s="266" t="s">
        <v>1371</v>
      </c>
      <c r="CN70" s="266" t="s">
        <v>1431</v>
      </c>
      <c r="CO70" s="310" t="str">
        <f>CONCATENATE(" Validar funcionalidad  Profesiones ",IF(AA70=1,$AA$3,""),"",IF(AB70=1,$AB$3,""),"",IF(AC70=1,$AC$3,"")," ",IF(AD70=1,$AD$4,""),"",IF(AE70=1,$AE$4,""), "en la Profesion Nombre, campo vacio.", IF(AF70=1,$AF$2,""),)</f>
        <v xml:space="preserve"> Validar funcionalidad  Profesiones Modificar Sin Valoresen la Profesion Nombre, campo vacio.</v>
      </c>
      <c r="CP70" s="267" t="s">
        <v>1375</v>
      </c>
    </row>
    <row r="71" spans="1:94" s="109" customFormat="1" ht="15" customHeight="1" thickBot="1" x14ac:dyDescent="0.3">
      <c r="A71" s="23"/>
      <c r="B71" s="301"/>
      <c r="C71" s="281"/>
      <c r="D71" s="317"/>
      <c r="E71" s="317"/>
      <c r="F71" s="282"/>
      <c r="G71" s="302"/>
      <c r="H71" s="301"/>
      <c r="I71" s="281"/>
      <c r="J71" s="350"/>
      <c r="K71" s="350"/>
      <c r="L71" s="282"/>
      <c r="M71" s="351"/>
      <c r="N71" s="301"/>
      <c r="O71" s="281"/>
      <c r="P71" s="317"/>
      <c r="Q71" s="317"/>
      <c r="R71" s="282"/>
      <c r="S71" s="302"/>
      <c r="T71" s="301"/>
      <c r="U71" s="281"/>
      <c r="V71" s="350"/>
      <c r="W71" s="350"/>
      <c r="X71" s="282"/>
      <c r="Y71" s="282"/>
      <c r="Z71" s="309"/>
      <c r="AA71" s="301"/>
      <c r="AB71" s="281"/>
      <c r="AC71" s="317">
        <v>1</v>
      </c>
      <c r="AD71" s="317"/>
      <c r="AE71" s="282"/>
      <c r="AF71" s="302"/>
      <c r="AG71" s="301"/>
      <c r="AH71" s="281"/>
      <c r="AI71" s="350"/>
      <c r="AJ71" s="350"/>
      <c r="AK71" s="282"/>
      <c r="AL71" s="302"/>
      <c r="AM71" s="301"/>
      <c r="AN71" s="281"/>
      <c r="AO71" s="350"/>
      <c r="AP71" s="350"/>
      <c r="AQ71" s="282"/>
      <c r="AR71" s="351"/>
      <c r="AS71" s="302"/>
      <c r="AT71" s="301"/>
      <c r="AU71" s="281"/>
      <c r="AV71" s="350"/>
      <c r="AW71" s="350"/>
      <c r="AX71" s="282"/>
      <c r="AY71" s="351"/>
      <c r="AZ71" s="302"/>
      <c r="BA71" s="301"/>
      <c r="BB71" s="281"/>
      <c r="BC71" s="350"/>
      <c r="BD71" s="350"/>
      <c r="BE71" s="282"/>
      <c r="BF71" s="351"/>
      <c r="BG71" s="351"/>
      <c r="BH71" s="302"/>
      <c r="BI71" s="301"/>
      <c r="BJ71" s="281"/>
      <c r="BK71" s="350"/>
      <c r="BL71" s="350"/>
      <c r="BM71" s="350"/>
      <c r="BN71" s="282"/>
      <c r="BO71" s="351"/>
      <c r="BP71" s="302"/>
      <c r="BQ71" s="301"/>
      <c r="BR71" s="281"/>
      <c r="BS71" s="350"/>
      <c r="BT71" s="350"/>
      <c r="BU71" s="350"/>
      <c r="BV71" s="282"/>
      <c r="BW71" s="302"/>
      <c r="BX71" s="301"/>
      <c r="BY71" s="281"/>
      <c r="BZ71" s="350"/>
      <c r="CA71" s="350"/>
      <c r="CB71" s="282"/>
      <c r="CC71" s="351"/>
      <c r="CD71" s="302"/>
      <c r="CE71" s="301"/>
      <c r="CF71" s="281"/>
      <c r="CG71" s="350"/>
      <c r="CH71" s="350"/>
      <c r="CI71" s="282"/>
      <c r="CJ71" s="351"/>
      <c r="CK71" s="351"/>
      <c r="CL71" s="302"/>
      <c r="CM71" s="266" t="s">
        <v>1372</v>
      </c>
      <c r="CN71" s="266" t="s">
        <v>1373</v>
      </c>
      <c r="CO71" s="310" t="str">
        <f>CONCATENATE(" Validar funcionalidad  Profesiones ",IF(AA71=1,$AA$3,""),"",IF(AB71=1,$AB$3,""),"",IF(AC71=1,$AC$3,"")," un registro que esta en uso.",IF(AD71=1,$AD$4,""),"",IF(AE71=1,$AE$4,""), "", IF(AF71=1,$AF$2,""),)</f>
        <v xml:space="preserve"> Validar funcionalidad  Profesiones Eliminar un registro que esta en uso.</v>
      </c>
      <c r="CP71" s="267" t="s">
        <v>1345</v>
      </c>
    </row>
    <row r="72" spans="1:94" s="109" customFormat="1" ht="15" customHeight="1" thickTop="1" x14ac:dyDescent="0.25">
      <c r="A72" s="23"/>
      <c r="B72" s="105"/>
      <c r="C72" s="25"/>
      <c r="D72" s="345"/>
      <c r="E72" s="25"/>
      <c r="F72" s="24"/>
      <c r="G72" s="24"/>
      <c r="H72" s="105"/>
      <c r="I72" s="25"/>
      <c r="J72" s="345"/>
      <c r="K72" s="345"/>
      <c r="L72" s="24"/>
      <c r="M72" s="100"/>
      <c r="N72" s="105"/>
      <c r="O72" s="25"/>
      <c r="P72" s="345"/>
      <c r="Q72" s="25"/>
      <c r="R72" s="24"/>
      <c r="S72" s="24"/>
      <c r="T72" s="105"/>
      <c r="U72" s="25"/>
      <c r="V72" s="345"/>
      <c r="W72" s="345"/>
      <c r="X72" s="24"/>
      <c r="Y72" s="24"/>
      <c r="Z72" s="279"/>
      <c r="AA72" s="105"/>
      <c r="AB72" s="25"/>
      <c r="AC72" s="345"/>
      <c r="AD72" s="25"/>
      <c r="AE72" s="24"/>
      <c r="AF72" s="24"/>
      <c r="AG72" s="105">
        <v>1</v>
      </c>
      <c r="AH72" s="25"/>
      <c r="AI72" s="345"/>
      <c r="AJ72" s="25">
        <v>1</v>
      </c>
      <c r="AK72" s="24"/>
      <c r="AL72" s="24">
        <v>1</v>
      </c>
      <c r="AM72" s="105"/>
      <c r="AN72" s="25"/>
      <c r="AO72" s="345"/>
      <c r="AP72" s="345"/>
      <c r="AQ72" s="24"/>
      <c r="AR72" s="100"/>
      <c r="AS72" s="279"/>
      <c r="AT72" s="105"/>
      <c r="AU72" s="25"/>
      <c r="AV72" s="345"/>
      <c r="AW72" s="345"/>
      <c r="AX72" s="24"/>
      <c r="AY72" s="100"/>
      <c r="AZ72" s="279"/>
      <c r="BA72" s="105"/>
      <c r="BB72" s="25"/>
      <c r="BC72" s="345"/>
      <c r="BD72" s="345"/>
      <c r="BE72" s="24"/>
      <c r="BF72" s="100"/>
      <c r="BG72" s="100"/>
      <c r="BH72" s="279"/>
      <c r="BI72" s="105"/>
      <c r="BJ72" s="25"/>
      <c r="BK72" s="345"/>
      <c r="BL72" s="345"/>
      <c r="BM72" s="345"/>
      <c r="BN72" s="24"/>
      <c r="BO72" s="100"/>
      <c r="BP72" s="279"/>
      <c r="BQ72" s="105"/>
      <c r="BR72" s="25"/>
      <c r="BS72" s="345"/>
      <c r="BT72" s="345"/>
      <c r="BU72" s="345"/>
      <c r="BV72" s="24"/>
      <c r="BW72" s="279"/>
      <c r="BX72" s="105"/>
      <c r="BY72" s="25"/>
      <c r="BZ72" s="345"/>
      <c r="CA72" s="345"/>
      <c r="CB72" s="24"/>
      <c r="CC72" s="100"/>
      <c r="CD72" s="279"/>
      <c r="CE72" s="105"/>
      <c r="CF72" s="25"/>
      <c r="CG72" s="345"/>
      <c r="CH72" s="345"/>
      <c r="CI72" s="24"/>
      <c r="CJ72" s="100"/>
      <c r="CK72" s="100"/>
      <c r="CL72" s="279"/>
      <c r="CM72" s="266" t="s">
        <v>607</v>
      </c>
      <c r="CN72" s="266" t="str">
        <f>CONCATENATE("Acceder al sistema Gemma con usuario y perfil activo para la funcionalidad modulo Maestro - Tipo Bien Raiz, hacer clic en el boton ","",IF(AG72=1,"Agregar","")," colocando la Raiz Nombre, ",IF(AH72=1,"Modificar un registro","")," presionar el boton Confirmar y  ",IF(AI72=1,"Eliminar un registro",""),"luego presionar ",IF(AL72=1,"Exportar Documento Excel",""), ,IF(A72=1,"Link Nombre Distribuidor","")," ")</f>
        <v xml:space="preserve">Acceder al sistema Gemma con usuario y perfil activo para la funcionalidad modulo Maestro - Tipo Bien Raiz, hacer clic en el boton Agregar colocando la Raiz Nombre,  presionar el boton Confirmar y  luego presionar Exportar Documento Excel </v>
      </c>
      <c r="CO72" s="310" t="str">
        <f>CONCATENATE(" Validar funcionalidad  Tipo Bien Raiz ",IF(AG72=1,$AG$3,"")," ",IF(AH72=1,$AH$3,""),"",IF(AI72=1,$AI$3,"")," ",IF(AJ72=1,$AJ$4,"")," ",IF(AK72=1,$AK$4,""), " en el filtro una vez confirmado ", IF(AL72=1,$AL$2,"Sin Exportar Excel"),)</f>
        <v xml:space="preserve"> Validar funcionalidad  Tipo Bien Raiz Agregar  Con Valores  en el filtro una vez confirmado Exportar Excel </v>
      </c>
      <c r="CP72" s="267" t="s">
        <v>1321</v>
      </c>
    </row>
    <row r="73" spans="1:94" s="109" customFormat="1" ht="15" customHeight="1" x14ac:dyDescent="0.25">
      <c r="A73" s="23"/>
      <c r="B73" s="20"/>
      <c r="C73" s="13"/>
      <c r="D73" s="103"/>
      <c r="E73" s="13"/>
      <c r="F73" s="111"/>
      <c r="G73" s="111"/>
      <c r="H73" s="20"/>
      <c r="I73" s="13"/>
      <c r="J73" s="103"/>
      <c r="K73" s="103"/>
      <c r="L73" s="111"/>
      <c r="M73" s="101"/>
      <c r="N73" s="20"/>
      <c r="O73" s="13"/>
      <c r="P73" s="103"/>
      <c r="Q73" s="13"/>
      <c r="R73" s="111"/>
      <c r="S73" s="111"/>
      <c r="T73" s="20"/>
      <c r="U73" s="13"/>
      <c r="V73" s="103"/>
      <c r="W73" s="103"/>
      <c r="X73" s="111"/>
      <c r="Y73" s="111"/>
      <c r="Z73" s="280"/>
      <c r="AA73" s="20"/>
      <c r="AB73" s="13"/>
      <c r="AC73" s="103"/>
      <c r="AD73" s="13"/>
      <c r="AE73" s="111"/>
      <c r="AF73" s="111"/>
      <c r="AG73" s="20">
        <v>1</v>
      </c>
      <c r="AH73" s="13"/>
      <c r="AI73" s="103"/>
      <c r="AJ73" s="13">
        <v>1</v>
      </c>
      <c r="AK73" s="111"/>
      <c r="AL73" s="111"/>
      <c r="AM73" s="20"/>
      <c r="AN73" s="13"/>
      <c r="AO73" s="103"/>
      <c r="AP73" s="103"/>
      <c r="AQ73" s="111"/>
      <c r="AR73" s="101"/>
      <c r="AS73" s="280"/>
      <c r="AT73" s="20"/>
      <c r="AU73" s="13"/>
      <c r="AV73" s="103"/>
      <c r="AW73" s="103"/>
      <c r="AX73" s="111"/>
      <c r="AY73" s="101"/>
      <c r="AZ73" s="280"/>
      <c r="BA73" s="20"/>
      <c r="BB73" s="13"/>
      <c r="BC73" s="103"/>
      <c r="BD73" s="103"/>
      <c r="BE73" s="111"/>
      <c r="BF73" s="101"/>
      <c r="BG73" s="101"/>
      <c r="BH73" s="280"/>
      <c r="BI73" s="20"/>
      <c r="BJ73" s="13"/>
      <c r="BK73" s="103"/>
      <c r="BL73" s="103"/>
      <c r="BM73" s="103"/>
      <c r="BN73" s="111"/>
      <c r="BO73" s="101"/>
      <c r="BP73" s="280"/>
      <c r="BQ73" s="20"/>
      <c r="BR73" s="13"/>
      <c r="BS73" s="103"/>
      <c r="BT73" s="103"/>
      <c r="BU73" s="103"/>
      <c r="BV73" s="111"/>
      <c r="BW73" s="280"/>
      <c r="BX73" s="20"/>
      <c r="BY73" s="13"/>
      <c r="BZ73" s="103"/>
      <c r="CA73" s="103"/>
      <c r="CB73" s="111"/>
      <c r="CC73" s="101"/>
      <c r="CD73" s="280"/>
      <c r="CE73" s="20"/>
      <c r="CF73" s="13"/>
      <c r="CG73" s="103"/>
      <c r="CH73" s="103"/>
      <c r="CI73" s="111"/>
      <c r="CJ73" s="101"/>
      <c r="CK73" s="101"/>
      <c r="CL73" s="280"/>
      <c r="CM73" s="266" t="s">
        <v>608</v>
      </c>
      <c r="CN73" s="266" t="str">
        <f>CONCATENATE("Acceder al sistema Gemma con usuario y perfil activo para la funcionalidad modulo Maestro - Tipo Bien Raiz, hacer clic en el boton ","",IF(AG73=1,"Agregar","")," colocando la Raiz Nombre, ",IF(AH73=1,"Modificar un registro","")," ",IF(AI73=1,"Eliminar un registro","")," ",IF(AL73=1,"Exportar Documento Excel",""), ,IF(A73=1,"Link Nombre Distribuidor",""),"presionar el boton Confirmar. ")</f>
        <v xml:space="preserve">Acceder al sistema Gemma con usuario y perfil activo para la funcionalidad modulo Maestro - Tipo Bien Raiz, hacer clic en el boton Agregar colocando la Raiz Nombre,   presionar el boton Confirmar. </v>
      </c>
      <c r="CO73" s="310" t="str">
        <f>CONCATENATE(" Validar funcionalidad  Tipo Bien Raiz ",IF(AG73=1,$AG$3,"")," ",IF(AH73=1,$AH$3,""),"",IF(AI73=1,$AI$3,"")," ",IF(AJ73=1,$AJ$4,"")," ",IF(AK73=1,$AK$4,""), " en el filtro ", IF(AL73=1,$AL$2,"Sin Exportar Excel"),)</f>
        <v xml:space="preserve"> Validar funcionalidad  Tipo Bien Raiz Agregar  Con Valores  en el filtro Sin Exportar Excel</v>
      </c>
      <c r="CP73" s="267" t="s">
        <v>1321</v>
      </c>
    </row>
    <row r="74" spans="1:94" s="109" customFormat="1" ht="15" customHeight="1" x14ac:dyDescent="0.25">
      <c r="A74" s="23"/>
      <c r="B74" s="20"/>
      <c r="C74" s="13"/>
      <c r="D74" s="103"/>
      <c r="E74" s="13"/>
      <c r="F74" s="111"/>
      <c r="G74" s="111"/>
      <c r="H74" s="20"/>
      <c r="I74" s="13"/>
      <c r="J74" s="103"/>
      <c r="K74" s="103"/>
      <c r="L74" s="111"/>
      <c r="M74" s="101"/>
      <c r="N74" s="20"/>
      <c r="O74" s="13"/>
      <c r="P74" s="103"/>
      <c r="Q74" s="13"/>
      <c r="R74" s="111"/>
      <c r="S74" s="111"/>
      <c r="T74" s="20"/>
      <c r="U74" s="13"/>
      <c r="V74" s="103"/>
      <c r="W74" s="103"/>
      <c r="X74" s="111"/>
      <c r="Y74" s="111"/>
      <c r="Z74" s="280"/>
      <c r="AA74" s="20"/>
      <c r="AB74" s="13"/>
      <c r="AC74" s="103"/>
      <c r="AD74" s="13"/>
      <c r="AE74" s="111"/>
      <c r="AF74" s="111"/>
      <c r="AG74" s="20"/>
      <c r="AH74" s="13">
        <v>1</v>
      </c>
      <c r="AI74" s="103"/>
      <c r="AJ74" s="13">
        <v>1</v>
      </c>
      <c r="AK74" s="111"/>
      <c r="AL74" s="111">
        <v>1</v>
      </c>
      <c r="AM74" s="20"/>
      <c r="AN74" s="13"/>
      <c r="AO74" s="103"/>
      <c r="AP74" s="103"/>
      <c r="AQ74" s="111"/>
      <c r="AR74" s="101"/>
      <c r="AS74" s="280"/>
      <c r="AT74" s="20"/>
      <c r="AU74" s="13"/>
      <c r="AV74" s="103"/>
      <c r="AW74" s="103"/>
      <c r="AX74" s="111"/>
      <c r="AY74" s="101"/>
      <c r="AZ74" s="280"/>
      <c r="BA74" s="20"/>
      <c r="BB74" s="13"/>
      <c r="BC74" s="103"/>
      <c r="BD74" s="103"/>
      <c r="BE74" s="111"/>
      <c r="BF74" s="101"/>
      <c r="BG74" s="101"/>
      <c r="BH74" s="280"/>
      <c r="BI74" s="20"/>
      <c r="BJ74" s="13"/>
      <c r="BK74" s="103"/>
      <c r="BL74" s="103"/>
      <c r="BM74" s="103"/>
      <c r="BN74" s="111"/>
      <c r="BO74" s="101"/>
      <c r="BP74" s="280"/>
      <c r="BQ74" s="20"/>
      <c r="BR74" s="13"/>
      <c r="BS74" s="103"/>
      <c r="BT74" s="103"/>
      <c r="BU74" s="103"/>
      <c r="BV74" s="111"/>
      <c r="BW74" s="280"/>
      <c r="BX74" s="20"/>
      <c r="BY74" s="13"/>
      <c r="BZ74" s="103"/>
      <c r="CA74" s="103"/>
      <c r="CB74" s="111"/>
      <c r="CC74" s="101"/>
      <c r="CD74" s="280"/>
      <c r="CE74" s="20"/>
      <c r="CF74" s="13"/>
      <c r="CG74" s="103"/>
      <c r="CH74" s="103"/>
      <c r="CI74" s="111"/>
      <c r="CJ74" s="101"/>
      <c r="CK74" s="101"/>
      <c r="CL74" s="280"/>
      <c r="CM74" s="266" t="s">
        <v>1384</v>
      </c>
      <c r="CN74" s="266" t="str">
        <f>CONCATENATE("Acceder al sistema Gemma con usuario y perfil activo para la funcionalidad modulo Maestro - Tipo Bien Raiz, colocando la Raiz Nombre en el filtro, ","",IF(AG74=1,"Agregar un registro","")," hacer clic en el boton ",IF(AH74=1,"Modificar, ","")," ",IF(AI74=1,"Eliminar un registro",""),"confirmar cambios, luego presionar ",IF(AL74=1,"Exportar Documento Excel",""), ,IF(A74=1,"Link Nombre Distribuidor",""),""," ")</f>
        <v xml:space="preserve">Acceder al sistema Gemma con usuario y perfil activo para la funcionalidad modulo Maestro - Tipo Bien Raiz, colocando la Raiz Nombre en el filtro,  hacer clic en el boton Modificar,  confirmar cambios, luego presionar Exportar Documento Excel </v>
      </c>
      <c r="CO74" s="310" t="str">
        <f>CONCATENATE(" Validar funcionalidad  Tipo Bien Raiz ",IF(AG74=1,$AG$3,"")," ",IF(AH74=1,$AH$3,""),"",IF(AI74=1,$AI$3,"")," ",IF(AJ74=1,$AJ$4,"")," ",IF(AK74=1,$AK$4,""), " en el filtro una vez confirmado ", IF(AL74=1,$AL$2,"Sin Exportar Excel"),)</f>
        <v xml:space="preserve"> Validar funcionalidad  Tipo Bien Raiz  Modificar Con Valores  en el filtro una vez confirmado Exportar Excel </v>
      </c>
      <c r="CP74" s="267" t="s">
        <v>1341</v>
      </c>
    </row>
    <row r="75" spans="1:94" s="109" customFormat="1" ht="15" customHeight="1" x14ac:dyDescent="0.25">
      <c r="A75" s="23"/>
      <c r="B75" s="20"/>
      <c r="C75" s="13"/>
      <c r="D75" s="103"/>
      <c r="E75" s="13"/>
      <c r="F75" s="111"/>
      <c r="G75" s="111"/>
      <c r="H75" s="20"/>
      <c r="I75" s="13"/>
      <c r="J75" s="103"/>
      <c r="K75" s="103"/>
      <c r="L75" s="111"/>
      <c r="M75" s="101"/>
      <c r="N75" s="20"/>
      <c r="O75" s="13"/>
      <c r="P75" s="103"/>
      <c r="Q75" s="13"/>
      <c r="R75" s="111"/>
      <c r="S75" s="111"/>
      <c r="T75" s="20"/>
      <c r="U75" s="13"/>
      <c r="V75" s="103"/>
      <c r="W75" s="103"/>
      <c r="X75" s="111"/>
      <c r="Y75" s="111"/>
      <c r="Z75" s="280"/>
      <c r="AA75" s="20"/>
      <c r="AB75" s="13"/>
      <c r="AC75" s="103"/>
      <c r="AD75" s="13"/>
      <c r="AE75" s="111"/>
      <c r="AF75" s="111"/>
      <c r="AG75" s="20"/>
      <c r="AH75" s="13">
        <v>1</v>
      </c>
      <c r="AI75" s="103"/>
      <c r="AJ75" s="13">
        <v>1</v>
      </c>
      <c r="AK75" s="111"/>
      <c r="AL75" s="111"/>
      <c r="AM75" s="20"/>
      <c r="AN75" s="13"/>
      <c r="AO75" s="103"/>
      <c r="AP75" s="103"/>
      <c r="AQ75" s="111"/>
      <c r="AR75" s="101"/>
      <c r="AS75" s="280"/>
      <c r="AT75" s="20"/>
      <c r="AU75" s="13"/>
      <c r="AV75" s="103"/>
      <c r="AW75" s="103"/>
      <c r="AX75" s="111"/>
      <c r="AY75" s="101"/>
      <c r="AZ75" s="280"/>
      <c r="BA75" s="20"/>
      <c r="BB75" s="13"/>
      <c r="BC75" s="103"/>
      <c r="BD75" s="103"/>
      <c r="BE75" s="111"/>
      <c r="BF75" s="101"/>
      <c r="BG75" s="101"/>
      <c r="BH75" s="280"/>
      <c r="BI75" s="20"/>
      <c r="BJ75" s="13"/>
      <c r="BK75" s="103"/>
      <c r="BL75" s="103"/>
      <c r="BM75" s="103"/>
      <c r="BN75" s="111"/>
      <c r="BO75" s="101"/>
      <c r="BP75" s="280"/>
      <c r="BQ75" s="20"/>
      <c r="BR75" s="13"/>
      <c r="BS75" s="103"/>
      <c r="BT75" s="103"/>
      <c r="BU75" s="103"/>
      <c r="BV75" s="111"/>
      <c r="BW75" s="280"/>
      <c r="BX75" s="20"/>
      <c r="BY75" s="13"/>
      <c r="BZ75" s="103"/>
      <c r="CA75" s="103"/>
      <c r="CB75" s="111"/>
      <c r="CC75" s="101"/>
      <c r="CD75" s="280"/>
      <c r="CE75" s="20"/>
      <c r="CF75" s="13"/>
      <c r="CG75" s="103"/>
      <c r="CH75" s="103"/>
      <c r="CI75" s="111"/>
      <c r="CJ75" s="101"/>
      <c r="CK75" s="101"/>
      <c r="CL75" s="280"/>
      <c r="CM75" s="266" t="s">
        <v>609</v>
      </c>
      <c r="CN75" s="266" t="str">
        <f>CONCATENATE("Acceder al sistema Gemma con usuario y perfil activo para la funcionalidad modulo Maestro - Tipo Bien Raiz, ","",IF(AG75=1,"Agregar un registro","")," colocando la Raiz Nombre en el filtro, hacer clic en el boton ",IF(AH75=1,"Modificar, ","")," ",IF(AI75=1,"Eliminar","")," ",IF(AL75=1,"Exportar Documento Excel",""), ,IF(A75=1,"Link Nombre Distribuidor",""),"y luego Confirmar el cambio.",IF(FZ89=1,$FZ$4,"")," ")</f>
        <v xml:space="preserve">Acceder al sistema Gemma con usuario y perfil activo para la funcionalidad modulo Maestro - Tipo Bien Raiz,  colocando la Raiz Nombre en el filtro, hacer clic en el boton Modificar,   y luego Confirmar el cambio. </v>
      </c>
      <c r="CO75" s="310" t="str">
        <f>CONCATENATE(" Validar funcionalidad  Tipo Bien Raiz ",IF(AG75=1,$AG$3,"")," ",IF(AH75=1,$AH$3,""),"",IF(AI75=1,$AI$3,"")," ",IF(AJ75=1,$AJ$4,"")," ",IF(AK75=1,$AK$4,""), " en el filtro ", IF(AL75=1,$AL$2,"Sin Exportar Excel"),)</f>
        <v xml:space="preserve"> Validar funcionalidad  Tipo Bien Raiz  Modificar Con Valores  en el filtro Sin Exportar Excel</v>
      </c>
      <c r="CP75" s="267" t="s">
        <v>1341</v>
      </c>
    </row>
    <row r="76" spans="1:94" s="109" customFormat="1" ht="15" customHeight="1" x14ac:dyDescent="0.25">
      <c r="A76" s="23"/>
      <c r="B76" s="20"/>
      <c r="C76" s="13"/>
      <c r="D76" s="103"/>
      <c r="E76" s="13"/>
      <c r="F76" s="111"/>
      <c r="G76" s="111"/>
      <c r="H76" s="20"/>
      <c r="I76" s="13"/>
      <c r="J76" s="103"/>
      <c r="K76" s="103"/>
      <c r="L76" s="111"/>
      <c r="M76" s="101"/>
      <c r="N76" s="20"/>
      <c r="O76" s="13"/>
      <c r="P76" s="103"/>
      <c r="Q76" s="13"/>
      <c r="R76" s="111"/>
      <c r="S76" s="111"/>
      <c r="T76" s="20"/>
      <c r="U76" s="13"/>
      <c r="V76" s="103"/>
      <c r="W76" s="103"/>
      <c r="X76" s="111"/>
      <c r="Y76" s="111"/>
      <c r="Z76" s="280"/>
      <c r="AA76" s="20"/>
      <c r="AB76" s="13"/>
      <c r="AC76" s="103"/>
      <c r="AD76" s="13"/>
      <c r="AE76" s="111"/>
      <c r="AF76" s="111"/>
      <c r="AG76" s="20"/>
      <c r="AH76" s="13">
        <v>1</v>
      </c>
      <c r="AI76" s="103"/>
      <c r="AJ76" s="13"/>
      <c r="AK76" s="111">
        <v>1</v>
      </c>
      <c r="AL76" s="111"/>
      <c r="AM76" s="20"/>
      <c r="AN76" s="13"/>
      <c r="AO76" s="103"/>
      <c r="AP76" s="103"/>
      <c r="AQ76" s="111"/>
      <c r="AR76" s="101"/>
      <c r="AS76" s="280"/>
      <c r="AT76" s="20"/>
      <c r="AU76" s="13"/>
      <c r="AV76" s="103"/>
      <c r="AW76" s="103"/>
      <c r="AX76" s="111"/>
      <c r="AY76" s="101"/>
      <c r="AZ76" s="280"/>
      <c r="BA76" s="20"/>
      <c r="BB76" s="13"/>
      <c r="BC76" s="103"/>
      <c r="BD76" s="103"/>
      <c r="BE76" s="111"/>
      <c r="BF76" s="101"/>
      <c r="BG76" s="101"/>
      <c r="BH76" s="280"/>
      <c r="BI76" s="20"/>
      <c r="BJ76" s="13"/>
      <c r="BK76" s="103"/>
      <c r="BL76" s="103"/>
      <c r="BM76" s="103"/>
      <c r="BN76" s="111"/>
      <c r="BO76" s="101"/>
      <c r="BP76" s="280"/>
      <c r="BQ76" s="20"/>
      <c r="BR76" s="13"/>
      <c r="BS76" s="103"/>
      <c r="BT76" s="103"/>
      <c r="BU76" s="103"/>
      <c r="BV76" s="111"/>
      <c r="BW76" s="280"/>
      <c r="BX76" s="20"/>
      <c r="BY76" s="13"/>
      <c r="BZ76" s="103"/>
      <c r="CA76" s="103"/>
      <c r="CB76" s="111"/>
      <c r="CC76" s="101"/>
      <c r="CD76" s="280"/>
      <c r="CE76" s="20"/>
      <c r="CF76" s="13"/>
      <c r="CG76" s="103"/>
      <c r="CH76" s="103"/>
      <c r="CI76" s="111"/>
      <c r="CJ76" s="101"/>
      <c r="CK76" s="101"/>
      <c r="CL76" s="280"/>
      <c r="CM76" s="266" t="s">
        <v>610</v>
      </c>
      <c r="CN76" s="266" t="str">
        <f>CONCATENATE("Acceder al sistema Gemma con usuario y perfil activo para la funcionalidad modulo Maestro - Tipo Bien Raiz, ","",IF(AG76=1,"Agregar un registro","")," seleccionando el registro de la tabla consulta, hacer clic en el boton ",IF(AH76=1,"Modificar","")," ",IF(AI76=1,"Eliminar","")," ",IF(AL76=1,"Exportar Documento Excel",""), ,IF(A76=1,"Link Nombre Distribuidor",""),"presionar el boton Confirmar.",IF(FZ90=1,$FZ$4,"")," ")</f>
        <v xml:space="preserve">Acceder al sistema Gemma con usuario y perfil activo para la funcionalidad modulo Maestro - Tipo Bien Raiz,  seleccionando el registro de la tabla consulta, hacer clic en el boton Modificar  presionar el boton Confirmar. </v>
      </c>
      <c r="CO76" s="310" t="str">
        <f>CONCATENATE(" Validar funcionalidad  Tipo Bien Raiz ",IF(AG76=1,$AG$3,"")," ",IF(AH76=1,$AH$3,""),"",IF(AI76=1,$AI$3,"")," ",IF(AJ76=1,$AJ$4,"")," ",IF(AK76=1,$AK$4,""), " en el filtro ", IF(AL76=1,$AL$2,"Sin Exportar Excel"),)</f>
        <v xml:space="preserve"> Validar funcionalidad  Tipo Bien Raiz  Modificar  Sin Valores en el filtro Sin Exportar Excel</v>
      </c>
      <c r="CP76" s="267" t="s">
        <v>1341</v>
      </c>
    </row>
    <row r="77" spans="1:94" s="109" customFormat="1" ht="15" customHeight="1" x14ac:dyDescent="0.25">
      <c r="A77" s="23"/>
      <c r="B77" s="20"/>
      <c r="C77" s="13"/>
      <c r="D77" s="13"/>
      <c r="E77" s="13"/>
      <c r="F77" s="111"/>
      <c r="G77" s="111"/>
      <c r="H77" s="20"/>
      <c r="I77" s="13"/>
      <c r="J77" s="103"/>
      <c r="K77" s="103"/>
      <c r="L77" s="111"/>
      <c r="M77" s="101"/>
      <c r="N77" s="20"/>
      <c r="O77" s="13"/>
      <c r="P77" s="13"/>
      <c r="Q77" s="13"/>
      <c r="R77" s="111"/>
      <c r="S77" s="111"/>
      <c r="T77" s="20"/>
      <c r="U77" s="13"/>
      <c r="V77" s="103"/>
      <c r="W77" s="103"/>
      <c r="X77" s="111"/>
      <c r="Y77" s="111"/>
      <c r="Z77" s="280"/>
      <c r="AA77" s="20"/>
      <c r="AB77" s="13"/>
      <c r="AC77" s="13"/>
      <c r="AD77" s="13"/>
      <c r="AE77" s="111"/>
      <c r="AF77" s="111"/>
      <c r="AG77" s="20"/>
      <c r="AH77" s="13"/>
      <c r="AI77" s="13">
        <v>1</v>
      </c>
      <c r="AJ77" s="13">
        <v>1</v>
      </c>
      <c r="AK77" s="111"/>
      <c r="AL77" s="111">
        <v>1</v>
      </c>
      <c r="AM77" s="20"/>
      <c r="AN77" s="13"/>
      <c r="AO77" s="103"/>
      <c r="AP77" s="103"/>
      <c r="AQ77" s="111"/>
      <c r="AR77" s="101"/>
      <c r="AS77" s="280"/>
      <c r="AT77" s="20"/>
      <c r="AU77" s="13"/>
      <c r="AV77" s="103"/>
      <c r="AW77" s="103"/>
      <c r="AX77" s="111"/>
      <c r="AY77" s="101"/>
      <c r="AZ77" s="280"/>
      <c r="BA77" s="20"/>
      <c r="BB77" s="13"/>
      <c r="BC77" s="103"/>
      <c r="BD77" s="103"/>
      <c r="BE77" s="111"/>
      <c r="BF77" s="101"/>
      <c r="BG77" s="101"/>
      <c r="BH77" s="280"/>
      <c r="BI77" s="20"/>
      <c r="BJ77" s="13"/>
      <c r="BK77" s="103"/>
      <c r="BL77" s="103"/>
      <c r="BM77" s="103"/>
      <c r="BN77" s="111"/>
      <c r="BO77" s="101"/>
      <c r="BP77" s="280"/>
      <c r="BQ77" s="20"/>
      <c r="BR77" s="13"/>
      <c r="BS77" s="103"/>
      <c r="BT77" s="103"/>
      <c r="BU77" s="103"/>
      <c r="BV77" s="111"/>
      <c r="BW77" s="280"/>
      <c r="BX77" s="20"/>
      <c r="BY77" s="13"/>
      <c r="BZ77" s="103"/>
      <c r="CA77" s="103"/>
      <c r="CB77" s="111"/>
      <c r="CC77" s="101"/>
      <c r="CD77" s="280"/>
      <c r="CE77" s="20"/>
      <c r="CF77" s="13"/>
      <c r="CG77" s="103"/>
      <c r="CH77" s="103"/>
      <c r="CI77" s="111"/>
      <c r="CJ77" s="101"/>
      <c r="CK77" s="101"/>
      <c r="CL77" s="280"/>
      <c r="CM77" s="266" t="s">
        <v>1385</v>
      </c>
      <c r="CN77" s="266" t="str">
        <f>CONCATENATE("Acceder al sistema Gemma con usuario y perfil activo para la funcionalidad modulo Maestro - Tipo Bien Raiz, colocando la descripcion Raiz Nombre en el filtro, ","",IF(AG77=1,"Agregar un registro","")," hacer clic en el boton ",IF(AH77=1,"Modificar, ","")," ",IF(AI77=1,"Eliminar ",""),"confirmar cambios, luego presionar ",IF(AL77=1,"Exportar Documento Excel",""), ,IF(A77=1,"Link Nombre Distribuidor",""),"",IF(FZ91=1,$FZ$4,"")," ")</f>
        <v xml:space="preserve">Acceder al sistema Gemma con usuario y perfil activo para la funcionalidad modulo Maestro - Tipo Bien Raiz, colocando la descripcion Raiz Nombre en el filtro,  hacer clic en el boton  Eliminar confirmar cambios, luego presionar Exportar Documento Excel </v>
      </c>
      <c r="CO77" s="310" t="str">
        <f>CONCATENATE(" Validar funcionalidad  Tipo Bien Raiz ",IF(AG77=1,$AG$3,"")," ",IF(AH77=1,$AH$3,""),"",IF(AI77=1,$AI$3,"")," ",IF(AJ77=1,$AJ$4,"")," ",IF(AK77=1,$AK$4,""), " en el filtro una vez confirmado ", IF(AL77=1,$AL$2,"Sin Exportar Excel"),)</f>
        <v xml:space="preserve"> Validar funcionalidad  Tipo Bien Raiz  Eliminar Con Valores  en el filtro una vez confirmado Exportar Excel </v>
      </c>
      <c r="CP77" s="267" t="s">
        <v>1333</v>
      </c>
    </row>
    <row r="78" spans="1:94" s="109" customFormat="1" ht="15" customHeight="1" x14ac:dyDescent="0.25">
      <c r="A78" s="23"/>
      <c r="B78" s="20"/>
      <c r="C78" s="13"/>
      <c r="D78" s="13"/>
      <c r="E78" s="13"/>
      <c r="F78" s="111"/>
      <c r="G78" s="111"/>
      <c r="H78" s="20"/>
      <c r="I78" s="13"/>
      <c r="J78" s="103"/>
      <c r="K78" s="103"/>
      <c r="L78" s="111"/>
      <c r="M78" s="101"/>
      <c r="N78" s="20"/>
      <c r="O78" s="13"/>
      <c r="P78" s="13"/>
      <c r="Q78" s="13"/>
      <c r="R78" s="111"/>
      <c r="S78" s="111"/>
      <c r="T78" s="20"/>
      <c r="U78" s="13"/>
      <c r="V78" s="103"/>
      <c r="W78" s="103"/>
      <c r="X78" s="111"/>
      <c r="Y78" s="111"/>
      <c r="Z78" s="280"/>
      <c r="AA78" s="20"/>
      <c r="AB78" s="13"/>
      <c r="AC78" s="13"/>
      <c r="AD78" s="13"/>
      <c r="AE78" s="111"/>
      <c r="AF78" s="111"/>
      <c r="AG78" s="20"/>
      <c r="AH78" s="13"/>
      <c r="AI78" s="13">
        <v>1</v>
      </c>
      <c r="AJ78" s="13">
        <v>1</v>
      </c>
      <c r="AK78" s="111"/>
      <c r="AL78" s="111"/>
      <c r="AM78" s="20"/>
      <c r="AN78" s="13"/>
      <c r="AO78" s="103"/>
      <c r="AP78" s="103"/>
      <c r="AQ78" s="111"/>
      <c r="AR78" s="101"/>
      <c r="AS78" s="280"/>
      <c r="AT78" s="20"/>
      <c r="AU78" s="13"/>
      <c r="AV78" s="103"/>
      <c r="AW78" s="103"/>
      <c r="AX78" s="111"/>
      <c r="AY78" s="101"/>
      <c r="AZ78" s="280"/>
      <c r="BA78" s="20"/>
      <c r="BB78" s="13"/>
      <c r="BC78" s="103"/>
      <c r="BD78" s="103"/>
      <c r="BE78" s="111"/>
      <c r="BF78" s="101"/>
      <c r="BG78" s="101"/>
      <c r="BH78" s="280"/>
      <c r="BI78" s="20"/>
      <c r="BJ78" s="13"/>
      <c r="BK78" s="103"/>
      <c r="BL78" s="103"/>
      <c r="BM78" s="103"/>
      <c r="BN78" s="111"/>
      <c r="BO78" s="101"/>
      <c r="BP78" s="280"/>
      <c r="BQ78" s="20"/>
      <c r="BR78" s="13"/>
      <c r="BS78" s="103"/>
      <c r="BT78" s="103"/>
      <c r="BU78" s="103"/>
      <c r="BV78" s="111"/>
      <c r="BW78" s="280"/>
      <c r="BX78" s="20"/>
      <c r="BY78" s="13"/>
      <c r="BZ78" s="103"/>
      <c r="CA78" s="103"/>
      <c r="CB78" s="111"/>
      <c r="CC78" s="101"/>
      <c r="CD78" s="280"/>
      <c r="CE78" s="20"/>
      <c r="CF78" s="13"/>
      <c r="CG78" s="103"/>
      <c r="CH78" s="103"/>
      <c r="CI78" s="111"/>
      <c r="CJ78" s="101"/>
      <c r="CK78" s="101"/>
      <c r="CL78" s="280"/>
      <c r="CM78" s="266" t="s">
        <v>611</v>
      </c>
      <c r="CN78" s="266" t="str">
        <f>CONCATENATE("Acceder al sistema Gemma con usuario y perfil activo para la funcionalidad modulo Maestro - Tipo Bien Raiz, ","",IF(AA78=1,"Agregar un registro","")," colocando la descripcion Raiz Nombre en el filtro, hacer clic en el boton ",IF(AB78=1,"Modificar, ","")," ",IF(AC78=1,"Eliminar","")," ",IF(AF78=1,"Exportar Documento Excel",""), ,IF(A78=1,"Link Nombre Distribuidor",""),"y luego Confirmar el cambio.",IF(FZ92=1,$FZ$4,"")," ")</f>
        <v xml:space="preserve">Acceder al sistema Gemma con usuario y perfil activo para la funcionalidad modulo Maestro - Tipo Bien Raiz,  colocando la descripcion Raiz Nombre en el filtro, hacer clic en el boton   y luego Confirmar el cambio. </v>
      </c>
      <c r="CO78" s="310" t="str">
        <f>CONCATENATE(" Validar funcionalidad  Tipo Bien Raiz ",IF(AG78=1,$AG$3,"")," ",IF(AH78=1,$AH$3,""),"",IF(AI78=1,$AI$3,"")," ",IF(AJ78=1,$AJ$4,"")," ",IF(AK78=1,$AK$4,""), " en el filtro ", IF(AL78=1,$AL$2,"Sin Exportar Excel"),)</f>
        <v xml:space="preserve"> Validar funcionalidad  Tipo Bien Raiz  Eliminar Con Valores  en el filtro Sin Exportar Excel</v>
      </c>
      <c r="CP78" s="267" t="s">
        <v>1333</v>
      </c>
    </row>
    <row r="79" spans="1:94" s="109" customFormat="1" x14ac:dyDescent="0.25">
      <c r="A79" s="23"/>
      <c r="B79" s="291"/>
      <c r="C79" s="272"/>
      <c r="D79" s="272"/>
      <c r="E79" s="272"/>
      <c r="F79" s="273"/>
      <c r="G79" s="273"/>
      <c r="H79" s="291"/>
      <c r="I79" s="272"/>
      <c r="J79" s="318"/>
      <c r="K79" s="318"/>
      <c r="L79" s="273"/>
      <c r="M79" s="297"/>
      <c r="N79" s="291"/>
      <c r="O79" s="272"/>
      <c r="P79" s="272"/>
      <c r="Q79" s="272"/>
      <c r="R79" s="273"/>
      <c r="S79" s="273"/>
      <c r="T79" s="291"/>
      <c r="U79" s="272"/>
      <c r="V79" s="318"/>
      <c r="W79" s="318"/>
      <c r="X79" s="273"/>
      <c r="Y79" s="273"/>
      <c r="Z79" s="316"/>
      <c r="AA79" s="291"/>
      <c r="AB79" s="272"/>
      <c r="AC79" s="272"/>
      <c r="AD79" s="272"/>
      <c r="AE79" s="273"/>
      <c r="AF79" s="273"/>
      <c r="AG79" s="291"/>
      <c r="AH79" s="272"/>
      <c r="AI79" s="272">
        <v>1</v>
      </c>
      <c r="AJ79" s="272"/>
      <c r="AK79" s="273">
        <v>1</v>
      </c>
      <c r="AL79" s="273"/>
      <c r="AM79" s="291"/>
      <c r="AN79" s="272"/>
      <c r="AO79" s="318"/>
      <c r="AP79" s="318"/>
      <c r="AQ79" s="273"/>
      <c r="AR79" s="297"/>
      <c r="AS79" s="316"/>
      <c r="AT79" s="291"/>
      <c r="AU79" s="272"/>
      <c r="AV79" s="318"/>
      <c r="AW79" s="318"/>
      <c r="AX79" s="273"/>
      <c r="AY79" s="297"/>
      <c r="AZ79" s="316"/>
      <c r="BA79" s="291"/>
      <c r="BB79" s="272"/>
      <c r="BC79" s="318"/>
      <c r="BD79" s="318"/>
      <c r="BE79" s="273"/>
      <c r="BF79" s="297"/>
      <c r="BG79" s="297"/>
      <c r="BH79" s="316"/>
      <c r="BI79" s="291"/>
      <c r="BJ79" s="272"/>
      <c r="BK79" s="318"/>
      <c r="BL79" s="318"/>
      <c r="BM79" s="318"/>
      <c r="BN79" s="273"/>
      <c r="BO79" s="297"/>
      <c r="BP79" s="316"/>
      <c r="BQ79" s="291"/>
      <c r="BR79" s="272"/>
      <c r="BS79" s="318"/>
      <c r="BT79" s="318"/>
      <c r="BU79" s="318"/>
      <c r="BV79" s="273"/>
      <c r="BW79" s="316"/>
      <c r="BX79" s="291"/>
      <c r="BY79" s="272"/>
      <c r="BZ79" s="318"/>
      <c r="CA79" s="318"/>
      <c r="CB79" s="273"/>
      <c r="CC79" s="297"/>
      <c r="CD79" s="316"/>
      <c r="CE79" s="291"/>
      <c r="CF79" s="272"/>
      <c r="CG79" s="318"/>
      <c r="CH79" s="318"/>
      <c r="CI79" s="273"/>
      <c r="CJ79" s="297"/>
      <c r="CK79" s="297"/>
      <c r="CL79" s="316"/>
      <c r="CM79" s="266" t="s">
        <v>612</v>
      </c>
      <c r="CN79" s="266" t="str">
        <f>CONCATENATE("Acceder al sistema Gemma con usuario y perfil activo para la funcionalidad modulo Maestro - Tipo Bien Raiz, ","",IF(AA79=1,"Agregar un registro","")," seleccionando el registro de la tabla consulta, hacer clic en el boton ",IF(AB79=1,"Modificar","")," ",IF(AC79=1,"Eliminar","")," ",IF(AF79=1,"Exportar Documento Excel",""), ,IF(A79=1,"Link Nombre Distribuidor",""),"presionar el boton Confirmar.",IF(FZ93=1,$FZ$4,"")," ")</f>
        <v xml:space="preserve">Acceder al sistema Gemma con usuario y perfil activo para la funcionalidad modulo Maestro - Tipo Bien Raiz,  seleccionando el registro de la tabla consulta, hacer clic en el boton   presionar el boton Confirmar. </v>
      </c>
      <c r="CO79" s="310" t="str">
        <f>CONCATENATE(" Validar funcionalidad  Tipo Bien Raiz ",IF(AG79=1,$AG$3,"")," ",IF(AH79=1,$AH$3,""),"",IF(AI79=1,$AI$3,"")," ",IF(AJ79=1,$AJ$4,"")," ",IF(AK79=1,$AK$4,""), " en el filtro ", IF(AL79=1,$AL$2,"Sin Exportar Excel"),)</f>
        <v xml:space="preserve"> Validar funcionalidad  Tipo Bien Raiz  Eliminar  Sin Valores en el filtro Sin Exportar Excel</v>
      </c>
      <c r="CP79" s="267" t="s">
        <v>1333</v>
      </c>
    </row>
    <row r="80" spans="1:94" s="109" customFormat="1" ht="15.75" thickBot="1" x14ac:dyDescent="0.3">
      <c r="A80" s="23"/>
      <c r="B80" s="346"/>
      <c r="C80" s="27"/>
      <c r="D80" s="27"/>
      <c r="E80" s="27"/>
      <c r="F80" s="26"/>
      <c r="G80" s="347"/>
      <c r="H80" s="346"/>
      <c r="I80" s="27"/>
      <c r="J80" s="348"/>
      <c r="K80" s="348"/>
      <c r="L80" s="26"/>
      <c r="M80" s="349"/>
      <c r="N80" s="346"/>
      <c r="O80" s="27"/>
      <c r="P80" s="27"/>
      <c r="Q80" s="27"/>
      <c r="R80" s="26"/>
      <c r="S80" s="347"/>
      <c r="T80" s="346"/>
      <c r="U80" s="27"/>
      <c r="V80" s="348"/>
      <c r="W80" s="348"/>
      <c r="X80" s="26"/>
      <c r="Y80" s="26"/>
      <c r="Z80" s="347"/>
      <c r="AA80" s="346"/>
      <c r="AB80" s="27"/>
      <c r="AC80" s="27"/>
      <c r="AD80" s="27"/>
      <c r="AE80" s="26"/>
      <c r="AF80" s="347"/>
      <c r="AG80" s="346"/>
      <c r="AH80" s="27"/>
      <c r="AI80" s="27"/>
      <c r="AJ80" s="27"/>
      <c r="AK80" s="26"/>
      <c r="AL80" s="347">
        <v>1</v>
      </c>
      <c r="AM80" s="346"/>
      <c r="AN80" s="27"/>
      <c r="AO80" s="348"/>
      <c r="AP80" s="348"/>
      <c r="AQ80" s="26"/>
      <c r="AR80" s="349"/>
      <c r="AS80" s="347"/>
      <c r="AT80" s="346"/>
      <c r="AU80" s="27"/>
      <c r="AV80" s="348"/>
      <c r="AW80" s="348"/>
      <c r="AX80" s="26"/>
      <c r="AY80" s="349"/>
      <c r="AZ80" s="347"/>
      <c r="BA80" s="346"/>
      <c r="BB80" s="27"/>
      <c r="BC80" s="348"/>
      <c r="BD80" s="348"/>
      <c r="BE80" s="26"/>
      <c r="BF80" s="349"/>
      <c r="BG80" s="349"/>
      <c r="BH80" s="347"/>
      <c r="BI80" s="346"/>
      <c r="BJ80" s="27"/>
      <c r="BK80" s="348"/>
      <c r="BL80" s="348"/>
      <c r="BM80" s="348"/>
      <c r="BN80" s="26"/>
      <c r="BO80" s="349"/>
      <c r="BP80" s="347"/>
      <c r="BQ80" s="346"/>
      <c r="BR80" s="27"/>
      <c r="BS80" s="348"/>
      <c r="BT80" s="348"/>
      <c r="BU80" s="348"/>
      <c r="BV80" s="26"/>
      <c r="BW80" s="347"/>
      <c r="BX80" s="346"/>
      <c r="BY80" s="27"/>
      <c r="BZ80" s="348"/>
      <c r="CA80" s="348"/>
      <c r="CB80" s="26"/>
      <c r="CC80" s="349"/>
      <c r="CD80" s="347"/>
      <c r="CE80" s="346"/>
      <c r="CF80" s="27"/>
      <c r="CG80" s="348"/>
      <c r="CH80" s="348"/>
      <c r="CI80" s="26"/>
      <c r="CJ80" s="349"/>
      <c r="CK80" s="349"/>
      <c r="CL80" s="347"/>
      <c r="CM80" s="266" t="s">
        <v>613</v>
      </c>
      <c r="CN80" s="266" t="str">
        <f>CONCATENATE("Acceder al sistema Gemma con usuario y perfil activo para la funcionalidad modulo Maestro - Tipo Bien Raiz, ","",IF(AG80=1,"Agregar un registro","")," sin datos en el filtro, presionar ",IF(AH80=1,"Modificar","")," ",IF(AI80=1,"Eliminar","")," ",IF(AL80=1,"Exportar Documento Excel",""), ,IF(A80=1,"Link Nombre Distribuidor",""),"")</f>
        <v>Acceder al sistema Gemma con usuario y perfil activo para la funcionalidad modulo Maestro - Tipo Bien Raiz,  sin datos en el filtro, presionar   Exportar Documento Excel</v>
      </c>
      <c r="CO80" s="310" t="str">
        <f>CONCATENATE(" Validar funcionalidad  Tipo Bien Raiz ",IF(AG80=1,$AG$3,""),"",IF(AH80=1,$AH$3,""),"",IF(AI80=1,$AI$3,""),"",IF(AJ80=1,$AJ$4,""),"",IF(AK80=1,$AK$4,""), "", IF(AL80=1,$AL$2,"Sin Exportar Excel"),)</f>
        <v xml:space="preserve"> Validar funcionalidad  Tipo Bien Raiz Exportar Excel </v>
      </c>
      <c r="CP80" s="267" t="s">
        <v>1342</v>
      </c>
    </row>
    <row r="81" spans="1:94" s="109" customFormat="1" ht="15.75" thickTop="1" x14ac:dyDescent="0.25">
      <c r="A81" s="23"/>
      <c r="B81" s="105"/>
      <c r="C81" s="25"/>
      <c r="D81" s="25"/>
      <c r="E81" s="25"/>
      <c r="F81" s="24"/>
      <c r="G81" s="279"/>
      <c r="H81" s="105"/>
      <c r="I81" s="25"/>
      <c r="J81" s="345"/>
      <c r="K81" s="345"/>
      <c r="L81" s="24"/>
      <c r="M81" s="100"/>
      <c r="N81" s="105"/>
      <c r="O81" s="25"/>
      <c r="P81" s="25"/>
      <c r="Q81" s="25"/>
      <c r="R81" s="24"/>
      <c r="S81" s="279"/>
      <c r="T81" s="105"/>
      <c r="U81" s="25"/>
      <c r="V81" s="345"/>
      <c r="W81" s="345"/>
      <c r="X81" s="24"/>
      <c r="Y81" s="24"/>
      <c r="Z81" s="279"/>
      <c r="AA81" s="105"/>
      <c r="AB81" s="25"/>
      <c r="AC81" s="25"/>
      <c r="AD81" s="25"/>
      <c r="AE81" s="24"/>
      <c r="AF81" s="279"/>
      <c r="AG81" s="105">
        <v>1</v>
      </c>
      <c r="AH81" s="25"/>
      <c r="AI81" s="25"/>
      <c r="AJ81" s="25"/>
      <c r="AK81" s="24">
        <v>1</v>
      </c>
      <c r="AL81" s="279"/>
      <c r="AM81" s="105"/>
      <c r="AN81" s="25"/>
      <c r="AO81" s="345"/>
      <c r="AP81" s="345"/>
      <c r="AQ81" s="24"/>
      <c r="AR81" s="100"/>
      <c r="AS81" s="279"/>
      <c r="AT81" s="105"/>
      <c r="AU81" s="25"/>
      <c r="AV81" s="345"/>
      <c r="AW81" s="345"/>
      <c r="AX81" s="24"/>
      <c r="AY81" s="100"/>
      <c r="AZ81" s="279"/>
      <c r="BA81" s="105"/>
      <c r="BB81" s="25"/>
      <c r="BC81" s="345"/>
      <c r="BD81" s="345"/>
      <c r="BE81" s="24"/>
      <c r="BF81" s="100"/>
      <c r="BG81" s="100"/>
      <c r="BH81" s="279"/>
      <c r="BI81" s="105"/>
      <c r="BJ81" s="25"/>
      <c r="BK81" s="345"/>
      <c r="BL81" s="345"/>
      <c r="BM81" s="345"/>
      <c r="BN81" s="24"/>
      <c r="BO81" s="100"/>
      <c r="BP81" s="279"/>
      <c r="BQ81" s="105"/>
      <c r="BR81" s="25"/>
      <c r="BS81" s="345"/>
      <c r="BT81" s="345"/>
      <c r="BU81" s="345"/>
      <c r="BV81" s="24"/>
      <c r="BW81" s="279"/>
      <c r="BX81" s="105"/>
      <c r="BY81" s="25"/>
      <c r="BZ81" s="345"/>
      <c r="CA81" s="345"/>
      <c r="CB81" s="24"/>
      <c r="CC81" s="100"/>
      <c r="CD81" s="279"/>
      <c r="CE81" s="105"/>
      <c r="CF81" s="25"/>
      <c r="CG81" s="345"/>
      <c r="CH81" s="345"/>
      <c r="CI81" s="24"/>
      <c r="CJ81" s="100"/>
      <c r="CK81" s="100"/>
      <c r="CL81" s="279"/>
      <c r="CM81" s="266" t="s">
        <v>1386</v>
      </c>
      <c r="CN81" s="266" t="str">
        <f>CONCATENATE("Acceder al sistema Gemma con usuario y perfil activo para la funcionalidad modulo Maestro - Tipo Bien Raiz, ","",IF(H81=1,"Agregar un registro","")," sin datos en la descripcion Profesion Nombre y presionar Confirmar.",IF(I81=1,"Modificar","")," ",IF(J81=1,"Eliminar","")," ",IF(M81=1,"Exportar Documento Excel",""), ,IF(A81=1,"Link Nombre Distribuidor",""),"",IF(FZ95=1,$FZ$4,"")," ")</f>
        <v xml:space="preserve">Acceder al sistema Gemma con usuario y perfil activo para la funcionalidad modulo Maestro - Tipo Bien Raiz,  sin datos en la descripcion Profesion Nombre y presionar Confirmar.   </v>
      </c>
      <c r="CO81" s="310" t="str">
        <f>CONCATENATE(" Validar funcionalidad  Tipo Bien Raiz ",IF(AG81=1,$AG$3,""),"",IF(AH81=1,$AH$3,""),"",IF(AI81=1,$AI$3,""),"",IF(AJ81=1,$AJ$4,"")," ",IF(AK81=1,$AK$4,""), " en la descripcion Raiz Nombre  ", IF(AL81=1,$AL$2,""),)</f>
        <v xml:space="preserve"> Validar funcionalidad  Tipo Bien Raiz Agregar Sin Valores en la descripcion Raiz Nombre  </v>
      </c>
      <c r="CP81" s="267" t="s">
        <v>1375</v>
      </c>
    </row>
    <row r="82" spans="1:94" s="109" customFormat="1" x14ac:dyDescent="0.25">
      <c r="A82" s="23"/>
      <c r="B82" s="105"/>
      <c r="C82" s="25"/>
      <c r="D82" s="25"/>
      <c r="E82" s="25"/>
      <c r="F82" s="24"/>
      <c r="G82" s="279"/>
      <c r="H82" s="105"/>
      <c r="I82" s="25"/>
      <c r="J82" s="345"/>
      <c r="K82" s="345"/>
      <c r="L82" s="24"/>
      <c r="M82" s="100"/>
      <c r="N82" s="105"/>
      <c r="O82" s="25"/>
      <c r="P82" s="25"/>
      <c r="Q82" s="25"/>
      <c r="R82" s="24"/>
      <c r="S82" s="279"/>
      <c r="T82" s="105"/>
      <c r="U82" s="25"/>
      <c r="V82" s="345"/>
      <c r="W82" s="345"/>
      <c r="X82" s="24"/>
      <c r="Y82" s="24"/>
      <c r="Z82" s="307"/>
      <c r="AA82" s="105"/>
      <c r="AB82" s="25"/>
      <c r="AC82" s="25"/>
      <c r="AD82" s="25"/>
      <c r="AE82" s="24"/>
      <c r="AF82" s="279"/>
      <c r="AG82" s="105"/>
      <c r="AH82" s="25"/>
      <c r="AI82" s="25"/>
      <c r="AJ82" s="25">
        <v>1</v>
      </c>
      <c r="AK82" s="24"/>
      <c r="AL82" s="279"/>
      <c r="AM82" s="105"/>
      <c r="AN82" s="25"/>
      <c r="AO82" s="345"/>
      <c r="AP82" s="345"/>
      <c r="AQ82" s="24"/>
      <c r="AR82" s="100"/>
      <c r="AS82" s="279"/>
      <c r="AT82" s="105"/>
      <c r="AU82" s="25"/>
      <c r="AV82" s="345"/>
      <c r="AW82" s="345"/>
      <c r="AX82" s="24"/>
      <c r="AY82" s="100"/>
      <c r="AZ82" s="279"/>
      <c r="BA82" s="105"/>
      <c r="BB82" s="25"/>
      <c r="BC82" s="345"/>
      <c r="BD82" s="345"/>
      <c r="BE82" s="24"/>
      <c r="BF82" s="100"/>
      <c r="BG82" s="100"/>
      <c r="BH82" s="279"/>
      <c r="BI82" s="105"/>
      <c r="BJ82" s="25"/>
      <c r="BK82" s="345"/>
      <c r="BL82" s="345"/>
      <c r="BM82" s="345"/>
      <c r="BN82" s="24"/>
      <c r="BO82" s="100"/>
      <c r="BP82" s="279"/>
      <c r="BQ82" s="105"/>
      <c r="BR82" s="25"/>
      <c r="BS82" s="345"/>
      <c r="BT82" s="345"/>
      <c r="BU82" s="345"/>
      <c r="BV82" s="24"/>
      <c r="BW82" s="279"/>
      <c r="BX82" s="105"/>
      <c r="BY82" s="25"/>
      <c r="BZ82" s="345"/>
      <c r="CA82" s="345"/>
      <c r="CB82" s="24"/>
      <c r="CC82" s="100"/>
      <c r="CD82" s="279"/>
      <c r="CE82" s="105"/>
      <c r="CF82" s="25"/>
      <c r="CG82" s="345"/>
      <c r="CH82" s="345"/>
      <c r="CI82" s="24"/>
      <c r="CJ82" s="100"/>
      <c r="CK82" s="100"/>
      <c r="CL82" s="279"/>
      <c r="CM82" s="266" t="s">
        <v>1387</v>
      </c>
      <c r="CN82" s="266" t="s">
        <v>1390</v>
      </c>
      <c r="CO82" s="310" t="str">
        <f>CONCATENATE(" Validar funcionalidad  Tipo Bien Raiz ",IF(AG82=1,$AG$3,""),"",IF(AH82=1,$AH$3,""),"",IF(AI82=1,$AI$3,""),"",IF(AJ82=1,$AJ$4,"")," descripcion Raiz Nombre invalida ",IF(AK82=1,$AK$4,""), " ", IF(AL82=1,$AL$2,""),)</f>
        <v xml:space="preserve"> Validar funcionalidad  Tipo Bien Raiz Con Valores descripcion Raiz Nombre invalida  </v>
      </c>
      <c r="CP82" s="267" t="s">
        <v>1344</v>
      </c>
    </row>
    <row r="83" spans="1:94" s="109" customFormat="1" x14ac:dyDescent="0.25">
      <c r="A83" s="23"/>
      <c r="B83" s="20"/>
      <c r="C83" s="13"/>
      <c r="D83" s="13"/>
      <c r="E83" s="13"/>
      <c r="F83" s="111"/>
      <c r="G83" s="280"/>
      <c r="H83" s="20"/>
      <c r="I83" s="13"/>
      <c r="J83" s="103"/>
      <c r="K83" s="103"/>
      <c r="L83" s="111"/>
      <c r="M83" s="101"/>
      <c r="N83" s="20"/>
      <c r="O83" s="13"/>
      <c r="P83" s="13"/>
      <c r="Q83" s="13"/>
      <c r="R83" s="111"/>
      <c r="S83" s="280"/>
      <c r="T83" s="20"/>
      <c r="U83" s="13"/>
      <c r="V83" s="103"/>
      <c r="W83" s="103"/>
      <c r="X83" s="111"/>
      <c r="Y83" s="111"/>
      <c r="Z83" s="316"/>
      <c r="AA83" s="20"/>
      <c r="AB83" s="13"/>
      <c r="AC83" s="13"/>
      <c r="AD83" s="13"/>
      <c r="AE83" s="111"/>
      <c r="AF83" s="280"/>
      <c r="AG83" s="20"/>
      <c r="AH83" s="13">
        <v>1</v>
      </c>
      <c r="AI83" s="13"/>
      <c r="AJ83" s="13"/>
      <c r="AK83" s="111">
        <v>1</v>
      </c>
      <c r="AL83" s="280"/>
      <c r="AM83" s="20"/>
      <c r="AN83" s="13"/>
      <c r="AO83" s="103"/>
      <c r="AP83" s="103"/>
      <c r="AQ83" s="111"/>
      <c r="AR83" s="101"/>
      <c r="AS83" s="280"/>
      <c r="AT83" s="20"/>
      <c r="AU83" s="13"/>
      <c r="AV83" s="103"/>
      <c r="AW83" s="103"/>
      <c r="AX83" s="111"/>
      <c r="AY83" s="101"/>
      <c r="AZ83" s="280"/>
      <c r="BA83" s="20"/>
      <c r="BB83" s="13"/>
      <c r="BC83" s="103"/>
      <c r="BD83" s="103"/>
      <c r="BE83" s="111"/>
      <c r="BF83" s="101"/>
      <c r="BG83" s="101"/>
      <c r="BH83" s="280"/>
      <c r="BI83" s="20"/>
      <c r="BJ83" s="13"/>
      <c r="BK83" s="103"/>
      <c r="BL83" s="103"/>
      <c r="BM83" s="103"/>
      <c r="BN83" s="111"/>
      <c r="BO83" s="101"/>
      <c r="BP83" s="280"/>
      <c r="BQ83" s="20"/>
      <c r="BR83" s="13"/>
      <c r="BS83" s="103"/>
      <c r="BT83" s="103"/>
      <c r="BU83" s="103"/>
      <c r="BV83" s="111"/>
      <c r="BW83" s="280"/>
      <c r="BX83" s="20"/>
      <c r="BY83" s="13"/>
      <c r="BZ83" s="103"/>
      <c r="CA83" s="103"/>
      <c r="CB83" s="111"/>
      <c r="CC83" s="101"/>
      <c r="CD83" s="280"/>
      <c r="CE83" s="20"/>
      <c r="CF83" s="13"/>
      <c r="CG83" s="103"/>
      <c r="CH83" s="103"/>
      <c r="CI83" s="111"/>
      <c r="CJ83" s="101"/>
      <c r="CK83" s="101"/>
      <c r="CL83" s="280"/>
      <c r="CM83" s="266" t="s">
        <v>1388</v>
      </c>
      <c r="CN83" s="266" t="s">
        <v>1430</v>
      </c>
      <c r="CO83" s="310" t="str">
        <f>CONCATENATE(" Validar funcionalidad  Tipo Bien Raiz ",IF(AG83=1,$AG$3,""),"",IF(AH83=1,$AH$3,""),"",IF(AI83=1,$AI$3,""),"",IF(AJ83=1,$AJ$4,"")," ",IF(AK83=1,$AK$4,""), " en la descripcion Raiz Nombre ", IF(AL83=1,$AL$2,""),)</f>
        <v xml:space="preserve"> Validar funcionalidad  Tipo Bien Raiz Modificar Sin Valores en la descripcion Raiz Nombre </v>
      </c>
      <c r="CP83" s="267" t="s">
        <v>1375</v>
      </c>
    </row>
    <row r="84" spans="1:94" s="109" customFormat="1" ht="15" customHeight="1" thickBot="1" x14ac:dyDescent="0.3">
      <c r="A84" s="23"/>
      <c r="B84" s="301"/>
      <c r="C84" s="281"/>
      <c r="D84" s="317"/>
      <c r="E84" s="317"/>
      <c r="F84" s="282"/>
      <c r="G84" s="302"/>
      <c r="H84" s="301"/>
      <c r="I84" s="281"/>
      <c r="J84" s="350"/>
      <c r="K84" s="350"/>
      <c r="L84" s="282"/>
      <c r="M84" s="351"/>
      <c r="N84" s="301"/>
      <c r="O84" s="281"/>
      <c r="P84" s="317"/>
      <c r="Q84" s="317"/>
      <c r="R84" s="282"/>
      <c r="S84" s="302"/>
      <c r="T84" s="301"/>
      <c r="U84" s="281"/>
      <c r="V84" s="350"/>
      <c r="W84" s="350"/>
      <c r="X84" s="282"/>
      <c r="Y84" s="282"/>
      <c r="Z84" s="309"/>
      <c r="AA84" s="301"/>
      <c r="AB84" s="281"/>
      <c r="AC84" s="317"/>
      <c r="AD84" s="317"/>
      <c r="AE84" s="282"/>
      <c r="AF84" s="302"/>
      <c r="AG84" s="301"/>
      <c r="AH84" s="281"/>
      <c r="AI84" s="317">
        <v>1</v>
      </c>
      <c r="AJ84" s="317"/>
      <c r="AK84" s="282"/>
      <c r="AL84" s="302"/>
      <c r="AM84" s="301"/>
      <c r="AN84" s="281"/>
      <c r="AO84" s="350"/>
      <c r="AP84" s="350"/>
      <c r="AQ84" s="282"/>
      <c r="AR84" s="351"/>
      <c r="AS84" s="302"/>
      <c r="AT84" s="301"/>
      <c r="AU84" s="281"/>
      <c r="AV84" s="350"/>
      <c r="AW84" s="350"/>
      <c r="AX84" s="282"/>
      <c r="AY84" s="351"/>
      <c r="AZ84" s="302"/>
      <c r="BA84" s="301"/>
      <c r="BB84" s="281"/>
      <c r="BC84" s="350"/>
      <c r="BD84" s="350"/>
      <c r="BE84" s="282"/>
      <c r="BF84" s="351"/>
      <c r="BG84" s="351"/>
      <c r="BH84" s="302"/>
      <c r="BI84" s="301"/>
      <c r="BJ84" s="281"/>
      <c r="BK84" s="350"/>
      <c r="BL84" s="350"/>
      <c r="BM84" s="350"/>
      <c r="BN84" s="282"/>
      <c r="BO84" s="351"/>
      <c r="BP84" s="302"/>
      <c r="BQ84" s="301"/>
      <c r="BR84" s="281"/>
      <c r="BS84" s="350"/>
      <c r="BT84" s="350"/>
      <c r="BU84" s="350"/>
      <c r="BV84" s="282"/>
      <c r="BW84" s="302"/>
      <c r="BX84" s="301"/>
      <c r="BY84" s="281"/>
      <c r="BZ84" s="350"/>
      <c r="CA84" s="350"/>
      <c r="CB84" s="282"/>
      <c r="CC84" s="351"/>
      <c r="CD84" s="302"/>
      <c r="CE84" s="301"/>
      <c r="CF84" s="281"/>
      <c r="CG84" s="350"/>
      <c r="CH84" s="350"/>
      <c r="CI84" s="282"/>
      <c r="CJ84" s="351"/>
      <c r="CK84" s="351"/>
      <c r="CL84" s="302"/>
      <c r="CM84" s="266" t="s">
        <v>1389</v>
      </c>
      <c r="CN84" s="266" t="s">
        <v>1391</v>
      </c>
      <c r="CO84" s="310" t="str">
        <f>CONCATENATE(" Validar funcionalidad  Tipo Bien Raiz ",IF(AG84=1,$AG$3,""),"",IF(AH84=1,$AH$3,""),"",IF(AI84=1,$AI$3,"")," registro en uso.",IF(AJ84=1,$AJ$4,"")," ",IF(AK84=1,$AK$4,""), " ", IF(AL84=1,$AL$2,""),)</f>
        <v xml:space="preserve"> Validar funcionalidad  Tipo Bien Raiz Eliminar registro en uso.  </v>
      </c>
      <c r="CP84" s="267" t="s">
        <v>1345</v>
      </c>
    </row>
    <row r="85" spans="1:94" s="109" customFormat="1" ht="15" customHeight="1" thickTop="1" x14ac:dyDescent="0.25">
      <c r="A85" s="23"/>
      <c r="B85" s="105"/>
      <c r="C85" s="25"/>
      <c r="D85" s="345"/>
      <c r="E85" s="25"/>
      <c r="F85" s="24"/>
      <c r="G85" s="24"/>
      <c r="H85" s="105"/>
      <c r="I85" s="25"/>
      <c r="J85" s="345"/>
      <c r="K85" s="345"/>
      <c r="L85" s="24"/>
      <c r="M85" s="100"/>
      <c r="N85" s="105"/>
      <c r="O85" s="25"/>
      <c r="P85" s="345"/>
      <c r="Q85" s="25"/>
      <c r="R85" s="24"/>
      <c r="S85" s="24"/>
      <c r="T85" s="105"/>
      <c r="U85" s="25"/>
      <c r="V85" s="345"/>
      <c r="W85" s="345"/>
      <c r="X85" s="24"/>
      <c r="Y85" s="24"/>
      <c r="Z85" s="279"/>
      <c r="AA85" s="105"/>
      <c r="AB85" s="25"/>
      <c r="AC85" s="345"/>
      <c r="AD85" s="25"/>
      <c r="AE85" s="24"/>
      <c r="AF85" s="24"/>
      <c r="AG85" s="105"/>
      <c r="AH85" s="25"/>
      <c r="AI85" s="345"/>
      <c r="AJ85" s="25"/>
      <c r="AK85" s="24"/>
      <c r="AL85" s="24"/>
      <c r="AM85" s="105">
        <v>1</v>
      </c>
      <c r="AN85" s="25"/>
      <c r="AO85" s="345"/>
      <c r="AP85" s="25">
        <v>1</v>
      </c>
      <c r="AQ85" s="24"/>
      <c r="AR85" s="24"/>
      <c r="AS85" s="24">
        <v>1</v>
      </c>
      <c r="AT85" s="105"/>
      <c r="AU85" s="25"/>
      <c r="AV85" s="345"/>
      <c r="AW85" s="345"/>
      <c r="AX85" s="24"/>
      <c r="AY85" s="100"/>
      <c r="AZ85" s="279"/>
      <c r="BA85" s="105"/>
      <c r="BB85" s="25"/>
      <c r="BC85" s="345"/>
      <c r="BD85" s="345"/>
      <c r="BE85" s="24"/>
      <c r="BF85" s="100"/>
      <c r="BG85" s="100"/>
      <c r="BH85" s="279"/>
      <c r="BI85" s="105"/>
      <c r="BJ85" s="25"/>
      <c r="BK85" s="345"/>
      <c r="BL85" s="345"/>
      <c r="BM85" s="345"/>
      <c r="BN85" s="24"/>
      <c r="BO85" s="100"/>
      <c r="BP85" s="279"/>
      <c r="BQ85" s="105"/>
      <c r="BR85" s="25"/>
      <c r="BS85" s="345"/>
      <c r="BT85" s="345"/>
      <c r="BU85" s="345"/>
      <c r="BV85" s="24"/>
      <c r="BW85" s="279"/>
      <c r="BX85" s="105"/>
      <c r="BY85" s="25"/>
      <c r="BZ85" s="345"/>
      <c r="CA85" s="345"/>
      <c r="CB85" s="24"/>
      <c r="CC85" s="100"/>
      <c r="CD85" s="279"/>
      <c r="CE85" s="105"/>
      <c r="CF85" s="25"/>
      <c r="CG85" s="345"/>
      <c r="CH85" s="345"/>
      <c r="CI85" s="24"/>
      <c r="CJ85" s="100"/>
      <c r="CK85" s="100"/>
      <c r="CL85" s="279"/>
      <c r="CM85" s="266" t="s">
        <v>614</v>
      </c>
      <c r="CN85" s="266" t="str">
        <f>CONCATENATE("Acceder al sistema Gemma con usuario y perfil activo para la funcionalidad modulo Maestro - Razon Fracaso, hacer clic en el boton ","",IF(AMJ85=1,"Agregar","")," colocando el Nombre, ",IF(AN85=1,"Modificar un registro","")," presionar el boton Confirmar y  ",IF(AO85=1,"Eliminar un registro",""),"luego presionar ",IF(AS85=1,"Exportar Documento Excel",""), ,IF(AR85=1,"Link Nombre ","")," ")</f>
        <v xml:space="preserve">Acceder al sistema Gemma con usuario y perfil activo para la funcionalidad modulo Maestro - Razon Fracaso, hacer clic en el boton  colocando el Nombre,  presionar el boton Confirmar y  luego presionar Exportar Documento Excel </v>
      </c>
      <c r="CO85" s="310" t="str">
        <f>CONCATENATE(" Validar funcionalidad  Razon de fracaso ",IF(AM85=1,$AM$3,"")," ",IF(AN85=1,$AN$3,""),"",IF(AO85=1,$AO$3,"")," ",IF(AP85=1,$AP$4,"")," ",IF(AQ85=1,$AQ$4,""), " en el filtro una vez confirmado ", IF(AS85=1,$AS$2,"Sin Exportar Excel"),)</f>
        <v xml:space="preserve"> Validar funcionalidad  Razon de fracaso Agregar  Con Valores  en el filtro una vez confirmado Exportar Excel </v>
      </c>
      <c r="CP85" s="267" t="s">
        <v>1321</v>
      </c>
    </row>
    <row r="86" spans="1:94" s="109" customFormat="1" ht="15" customHeight="1" x14ac:dyDescent="0.25">
      <c r="A86" s="23"/>
      <c r="B86" s="20"/>
      <c r="C86" s="13"/>
      <c r="D86" s="103"/>
      <c r="E86" s="13"/>
      <c r="F86" s="111"/>
      <c r="G86" s="111"/>
      <c r="H86" s="20"/>
      <c r="I86" s="13"/>
      <c r="J86" s="103"/>
      <c r="K86" s="103"/>
      <c r="L86" s="111"/>
      <c r="M86" s="101"/>
      <c r="N86" s="20"/>
      <c r="O86" s="13"/>
      <c r="P86" s="103"/>
      <c r="Q86" s="13"/>
      <c r="R86" s="111"/>
      <c r="S86" s="111"/>
      <c r="T86" s="20"/>
      <c r="U86" s="13"/>
      <c r="V86" s="103"/>
      <c r="W86" s="103"/>
      <c r="X86" s="111"/>
      <c r="Y86" s="111"/>
      <c r="Z86" s="280"/>
      <c r="AA86" s="20"/>
      <c r="AB86" s="13"/>
      <c r="AC86" s="103"/>
      <c r="AD86" s="13"/>
      <c r="AE86" s="111"/>
      <c r="AF86" s="111"/>
      <c r="AG86" s="20"/>
      <c r="AH86" s="13"/>
      <c r="AI86" s="103"/>
      <c r="AJ86" s="13"/>
      <c r="AK86" s="111"/>
      <c r="AL86" s="111"/>
      <c r="AM86" s="20">
        <v>1</v>
      </c>
      <c r="AN86" s="13"/>
      <c r="AO86" s="103"/>
      <c r="AP86" s="13">
        <v>1</v>
      </c>
      <c r="AQ86" s="111"/>
      <c r="AR86" s="111"/>
      <c r="AS86" s="111"/>
      <c r="AT86" s="20"/>
      <c r="AU86" s="13"/>
      <c r="AV86" s="103"/>
      <c r="AW86" s="103"/>
      <c r="AX86" s="111"/>
      <c r="AY86" s="101"/>
      <c r="AZ86" s="280"/>
      <c r="BA86" s="20"/>
      <c r="BB86" s="13"/>
      <c r="BC86" s="103"/>
      <c r="BD86" s="103"/>
      <c r="BE86" s="111"/>
      <c r="BF86" s="101"/>
      <c r="BG86" s="101"/>
      <c r="BH86" s="280"/>
      <c r="BI86" s="20"/>
      <c r="BJ86" s="13"/>
      <c r="BK86" s="103"/>
      <c r="BL86" s="103"/>
      <c r="BM86" s="103"/>
      <c r="BN86" s="111"/>
      <c r="BO86" s="101"/>
      <c r="BP86" s="280"/>
      <c r="BQ86" s="20"/>
      <c r="BR86" s="13"/>
      <c r="BS86" s="103"/>
      <c r="BT86" s="103"/>
      <c r="BU86" s="103"/>
      <c r="BV86" s="111"/>
      <c r="BW86" s="280"/>
      <c r="BX86" s="20"/>
      <c r="BY86" s="13"/>
      <c r="BZ86" s="103"/>
      <c r="CA86" s="103"/>
      <c r="CB86" s="111"/>
      <c r="CC86" s="101"/>
      <c r="CD86" s="280"/>
      <c r="CE86" s="20"/>
      <c r="CF86" s="13"/>
      <c r="CG86" s="103"/>
      <c r="CH86" s="103"/>
      <c r="CI86" s="111"/>
      <c r="CJ86" s="101"/>
      <c r="CK86" s="101"/>
      <c r="CL86" s="280"/>
      <c r="CM86" s="266" t="s">
        <v>615</v>
      </c>
      <c r="CN86" s="266" t="str">
        <f>CONCATENATE("Acceder al sistema Gemma con usuario y perfil activo para la funcionalidad modulo Maestro - Razon Fracaso, hacer clic en el boton ","",IF(AM86=1,"Agregar","")," colocando el Nombre, ",IF(AN86=1,"Modificar un registro","")," ",IF(AO86=1,"Eliminar un registro","")," ",IF(AS86=1,"Exportar Documento Excel",""), ,IF(A86=1,"Link Nombre Distribuidor",""),"presionar el boton Confirmar. ")</f>
        <v xml:space="preserve">Acceder al sistema Gemma con usuario y perfil activo para la funcionalidad modulo Maestro - Razon Fracaso, hacer clic en el boton Agregar colocando el Nombre,   presionar el boton Confirmar. </v>
      </c>
      <c r="CO86" s="310" t="str">
        <f>CONCATENATE(" Validar funcionalidad  Razon de fracaso ",IF(AM86=1,$AM$3,"")," ",IF(AN86=1,$AN$3,""),"",IF(AO86=1,$AO$3,"")," ",IF(AP86=1,$AP$4,"")," ",IF(AQ86=1,$AQ$4,""), " en el filtro  ", IF(AS86=1,$AS$2,"Sin Exportar Excel"),)</f>
        <v xml:space="preserve"> Validar funcionalidad  Razon de fracaso Agregar  Con Valores  en el filtro  Sin Exportar Excel</v>
      </c>
      <c r="CP86" s="267" t="s">
        <v>1321</v>
      </c>
    </row>
    <row r="87" spans="1:94" s="109" customFormat="1" ht="15" customHeight="1" x14ac:dyDescent="0.25">
      <c r="A87" s="23"/>
      <c r="B87" s="20"/>
      <c r="C87" s="13"/>
      <c r="D87" s="103"/>
      <c r="E87" s="13"/>
      <c r="F87" s="111"/>
      <c r="G87" s="111"/>
      <c r="H87" s="20"/>
      <c r="I87" s="13"/>
      <c r="J87" s="103"/>
      <c r="K87" s="103"/>
      <c r="L87" s="111"/>
      <c r="M87" s="101"/>
      <c r="N87" s="20"/>
      <c r="O87" s="13"/>
      <c r="P87" s="103"/>
      <c r="Q87" s="13"/>
      <c r="R87" s="111"/>
      <c r="S87" s="111"/>
      <c r="T87" s="20"/>
      <c r="U87" s="13"/>
      <c r="V87" s="103"/>
      <c r="W87" s="103"/>
      <c r="X87" s="111"/>
      <c r="Y87" s="111"/>
      <c r="Z87" s="280"/>
      <c r="AA87" s="20"/>
      <c r="AB87" s="13"/>
      <c r="AC87" s="103"/>
      <c r="AD87" s="13"/>
      <c r="AE87" s="111"/>
      <c r="AF87" s="111"/>
      <c r="AG87" s="20"/>
      <c r="AH87" s="13"/>
      <c r="AI87" s="103"/>
      <c r="AJ87" s="13"/>
      <c r="AK87" s="111"/>
      <c r="AL87" s="111"/>
      <c r="AM87" s="20"/>
      <c r="AN87" s="13">
        <v>1</v>
      </c>
      <c r="AO87" s="103"/>
      <c r="AP87" s="13">
        <v>1</v>
      </c>
      <c r="AQ87" s="111"/>
      <c r="AR87" s="111"/>
      <c r="AS87" s="111">
        <v>1</v>
      </c>
      <c r="AT87" s="20"/>
      <c r="AU87" s="13"/>
      <c r="AV87" s="103"/>
      <c r="AW87" s="103"/>
      <c r="AX87" s="111"/>
      <c r="AY87" s="101"/>
      <c r="AZ87" s="280"/>
      <c r="BA87" s="20"/>
      <c r="BB87" s="13"/>
      <c r="BC87" s="103"/>
      <c r="BD87" s="103"/>
      <c r="BE87" s="111"/>
      <c r="BF87" s="101"/>
      <c r="BG87" s="101"/>
      <c r="BH87" s="280"/>
      <c r="BI87" s="20"/>
      <c r="BJ87" s="13"/>
      <c r="BK87" s="103"/>
      <c r="BL87" s="103"/>
      <c r="BM87" s="103"/>
      <c r="BN87" s="111"/>
      <c r="BO87" s="101"/>
      <c r="BP87" s="280"/>
      <c r="BQ87" s="20"/>
      <c r="BR87" s="13"/>
      <c r="BS87" s="103"/>
      <c r="BT87" s="103"/>
      <c r="BU87" s="103"/>
      <c r="BV87" s="111"/>
      <c r="BW87" s="280"/>
      <c r="BX87" s="20"/>
      <c r="BY87" s="13"/>
      <c r="BZ87" s="103"/>
      <c r="CA87" s="103"/>
      <c r="CB87" s="111"/>
      <c r="CC87" s="101"/>
      <c r="CD87" s="280"/>
      <c r="CE87" s="20"/>
      <c r="CF87" s="13"/>
      <c r="CG87" s="103"/>
      <c r="CH87" s="103"/>
      <c r="CI87" s="111"/>
      <c r="CJ87" s="101"/>
      <c r="CK87" s="101"/>
      <c r="CL87" s="280"/>
      <c r="CM87" s="266" t="s">
        <v>1392</v>
      </c>
      <c r="CN87" s="266" t="str">
        <f>CONCATENATE("Acceder al sistema Gemma con usuario y perfil activo para la funcionalidad modulo Maestro - Razon Fracaso, colocando el Nombre en el filtro, ","",IF(AM87=1,"Agregar un registro","")," hacer clic en el boton ",IF(AN87=1,"Modificar, ","")," ",IF(AO87=1,"Eliminar un registro",""),"confirmar cambios, luego presionar ",IF(AS87=1,"Exportar Documento Excel",""), ,IF(A87=1,"Link Nombre Distribuidor",""),""," ")</f>
        <v xml:space="preserve">Acceder al sistema Gemma con usuario y perfil activo para la funcionalidad modulo Maestro - Razon Fracaso, colocando el Nombre en el filtro,  hacer clic en el boton Modificar,  confirmar cambios, luego presionar Exportar Documento Excel </v>
      </c>
      <c r="CO87" s="310" t="str">
        <f>CONCATENATE(" Validar funcionalidad  Razon de fracaso ",IF(AM87=1,$AM$3,"")," ",IF(AN87=1,$AN$3,""),"",IF(AO87=1,$AO$3,"")," ",IF(AP87=1,$AP$4,"")," ",IF(AQ87=1,$AQ$4,""), " en el filtro una vez confirmado ", IF(AS87=1,$AS$2,"Sin Exportar Excel"),)</f>
        <v xml:space="preserve"> Validar funcionalidad  Razon de fracaso  Modificar Con Valores  en el filtro una vez confirmado Exportar Excel </v>
      </c>
      <c r="CP87" s="267" t="s">
        <v>1341</v>
      </c>
    </row>
    <row r="88" spans="1:94" s="109" customFormat="1" ht="15" customHeight="1" x14ac:dyDescent="0.25">
      <c r="A88" s="23"/>
      <c r="B88" s="20"/>
      <c r="C88" s="13"/>
      <c r="D88" s="103"/>
      <c r="E88" s="13"/>
      <c r="F88" s="111"/>
      <c r="G88" s="111"/>
      <c r="H88" s="20"/>
      <c r="I88" s="13"/>
      <c r="J88" s="103"/>
      <c r="K88" s="103"/>
      <c r="L88" s="111"/>
      <c r="M88" s="101"/>
      <c r="N88" s="20"/>
      <c r="O88" s="13"/>
      <c r="P88" s="103"/>
      <c r="Q88" s="13"/>
      <c r="R88" s="111"/>
      <c r="S88" s="111"/>
      <c r="T88" s="20"/>
      <c r="U88" s="13"/>
      <c r="V88" s="103"/>
      <c r="W88" s="103"/>
      <c r="X88" s="111"/>
      <c r="Y88" s="111"/>
      <c r="Z88" s="280"/>
      <c r="AA88" s="20"/>
      <c r="AB88" s="13"/>
      <c r="AC88" s="103"/>
      <c r="AD88" s="13"/>
      <c r="AE88" s="111"/>
      <c r="AF88" s="111"/>
      <c r="AG88" s="20"/>
      <c r="AH88" s="13"/>
      <c r="AI88" s="103"/>
      <c r="AJ88" s="13"/>
      <c r="AK88" s="111"/>
      <c r="AL88" s="111"/>
      <c r="AM88" s="20"/>
      <c r="AN88" s="13">
        <v>1</v>
      </c>
      <c r="AO88" s="103"/>
      <c r="AP88" s="13">
        <v>1</v>
      </c>
      <c r="AQ88" s="111"/>
      <c r="AR88" s="111">
        <v>1</v>
      </c>
      <c r="AS88" s="111"/>
      <c r="AT88" s="20"/>
      <c r="AU88" s="13"/>
      <c r="AV88" s="103"/>
      <c r="AW88" s="103"/>
      <c r="AX88" s="111"/>
      <c r="AY88" s="101"/>
      <c r="AZ88" s="280"/>
      <c r="BA88" s="20"/>
      <c r="BB88" s="13"/>
      <c r="BC88" s="103"/>
      <c r="BD88" s="103"/>
      <c r="BE88" s="111"/>
      <c r="BF88" s="101"/>
      <c r="BG88" s="101"/>
      <c r="BH88" s="280"/>
      <c r="BI88" s="20"/>
      <c r="BJ88" s="13"/>
      <c r="BK88" s="103"/>
      <c r="BL88" s="103"/>
      <c r="BM88" s="103"/>
      <c r="BN88" s="111"/>
      <c r="BO88" s="101"/>
      <c r="BP88" s="280"/>
      <c r="BQ88" s="20"/>
      <c r="BR88" s="13"/>
      <c r="BS88" s="103"/>
      <c r="BT88" s="103"/>
      <c r="BU88" s="103"/>
      <c r="BV88" s="111"/>
      <c r="BW88" s="280"/>
      <c r="BX88" s="20"/>
      <c r="BY88" s="13"/>
      <c r="BZ88" s="103"/>
      <c r="CA88" s="103"/>
      <c r="CB88" s="111"/>
      <c r="CC88" s="101"/>
      <c r="CD88" s="280"/>
      <c r="CE88" s="20"/>
      <c r="CF88" s="13"/>
      <c r="CG88" s="103"/>
      <c r="CH88" s="103"/>
      <c r="CI88" s="111"/>
      <c r="CJ88" s="101"/>
      <c r="CK88" s="101"/>
      <c r="CL88" s="280"/>
      <c r="CM88" s="266" t="s">
        <v>616</v>
      </c>
      <c r="CN88" s="266" t="str">
        <f>CONCATENATE("Acceder al sistema Gemma con usuario y perfil activo para la funcionalidad modulo Maestro - Razon Fracaso, ","",IF(AM88=1,"Agregar un registro","")," colocando el Nombre en el filtro, hacer clic en el boton ",IF(AN88=1,"Modificar, ","")," ",IF(AO88=1,"Eliminar","")," y Confirmar el cambio. ",IF(AS88=1,"Exportar Documento Excel",""), "Luego seleccionar ",IF(AR88=1,"Link Nombre ","")," y Modificar el Registro, confirmar cambios.",IF(FZ102=1,$FZ$4,"")," ")</f>
        <v xml:space="preserve">Acceder al sistema Gemma con usuario y perfil activo para la funcionalidad modulo Maestro - Razon Fracaso,  colocando el Nombre en el filtro, hacer clic en el boton Modificar,   y Confirmar el cambio. Luego seleccionar Link Nombre  y Modificar el Registro, confirmar cambios. </v>
      </c>
      <c r="CO88" s="310" t="str">
        <f>CONCATENATE(" Validar funcionalidad  Razon de fracaso ",IF(AM88=1,$AM$3,"")," ",IF(AN88=1,$AN$3,""),"",IF(AO88=1,$AO$3,"")," ",IF(AP88=1,$AP$4,"")," ",IF(AQ88=1,$AQ$4,""), " en el filtro  ", IF(AS88=1,$AS$2,"Sin Exportar Excel"),)</f>
        <v xml:space="preserve"> Validar funcionalidad  Razon de fracaso  Modificar Con Valores  en el filtro  Sin Exportar Excel</v>
      </c>
      <c r="CP88" s="267" t="s">
        <v>1341</v>
      </c>
    </row>
    <row r="89" spans="1:94" s="109" customFormat="1" ht="15" customHeight="1" x14ac:dyDescent="0.25">
      <c r="A89" s="23"/>
      <c r="B89" s="20"/>
      <c r="C89" s="13"/>
      <c r="D89" s="103"/>
      <c r="E89" s="13"/>
      <c r="F89" s="111"/>
      <c r="G89" s="111"/>
      <c r="H89" s="20"/>
      <c r="I89" s="13"/>
      <c r="J89" s="103"/>
      <c r="K89" s="103"/>
      <c r="L89" s="111"/>
      <c r="M89" s="101"/>
      <c r="N89" s="20"/>
      <c r="O89" s="13"/>
      <c r="P89" s="103"/>
      <c r="Q89" s="13"/>
      <c r="R89" s="111"/>
      <c r="S89" s="111"/>
      <c r="T89" s="20"/>
      <c r="U89" s="13"/>
      <c r="V89" s="103"/>
      <c r="W89" s="103"/>
      <c r="X89" s="111"/>
      <c r="Y89" s="111"/>
      <c r="Z89" s="280"/>
      <c r="AA89" s="20"/>
      <c r="AB89" s="13"/>
      <c r="AC89" s="103"/>
      <c r="AD89" s="13"/>
      <c r="AE89" s="111"/>
      <c r="AF89" s="111"/>
      <c r="AG89" s="20"/>
      <c r="AH89" s="13"/>
      <c r="AI89" s="103"/>
      <c r="AJ89" s="13"/>
      <c r="AK89" s="111"/>
      <c r="AL89" s="111"/>
      <c r="AM89" s="20"/>
      <c r="AN89" s="13">
        <v>1</v>
      </c>
      <c r="AO89" s="103"/>
      <c r="AP89" s="13"/>
      <c r="AQ89" s="111">
        <v>1</v>
      </c>
      <c r="AR89" s="111">
        <v>1</v>
      </c>
      <c r="AS89" s="111"/>
      <c r="AT89" s="20"/>
      <c r="AU89" s="13"/>
      <c r="AV89" s="103"/>
      <c r="AW89" s="103"/>
      <c r="AX89" s="111"/>
      <c r="AY89" s="101"/>
      <c r="AZ89" s="280"/>
      <c r="BA89" s="20"/>
      <c r="BB89" s="13"/>
      <c r="BC89" s="103"/>
      <c r="BD89" s="103"/>
      <c r="BE89" s="111"/>
      <c r="BF89" s="101"/>
      <c r="BG89" s="101"/>
      <c r="BH89" s="280"/>
      <c r="BI89" s="20"/>
      <c r="BJ89" s="13"/>
      <c r="BK89" s="103"/>
      <c r="BL89" s="103"/>
      <c r="BM89" s="103"/>
      <c r="BN89" s="111"/>
      <c r="BO89" s="101"/>
      <c r="BP89" s="280"/>
      <c r="BQ89" s="20"/>
      <c r="BR89" s="13"/>
      <c r="BS89" s="103"/>
      <c r="BT89" s="103"/>
      <c r="BU89" s="103"/>
      <c r="BV89" s="111"/>
      <c r="BW89" s="280"/>
      <c r="BX89" s="20"/>
      <c r="BY89" s="13"/>
      <c r="BZ89" s="103"/>
      <c r="CA89" s="103"/>
      <c r="CB89" s="111"/>
      <c r="CC89" s="101"/>
      <c r="CD89" s="280"/>
      <c r="CE89" s="20"/>
      <c r="CF89" s="13"/>
      <c r="CG89" s="103"/>
      <c r="CH89" s="103"/>
      <c r="CI89" s="111"/>
      <c r="CJ89" s="101"/>
      <c r="CK89" s="101"/>
      <c r="CL89" s="280"/>
      <c r="CM89" s="266" t="s">
        <v>617</v>
      </c>
      <c r="CN89" s="266" t="str">
        <f>CONCATENATE("Acceder al sistema Gemma con usuario y perfil activo para la funcionalidad modulo Maestro - Razon Fracaso, ","",IF(AM89=1,"Agregar un registro","")," seleccionando el registro de la tabla consulta, hacer clic en el boton ",IF(AN89=1,"Modificar","")," ",IF(AO89=1,"Eliminar",""),"presionar el boton Confirmar. ",IF(AS89=1,"Exportar Documento Excel","")," Luego presionar el ",IF(AR89=1,"Link Nombre ","")," y eliminar el registro."," ")</f>
        <v xml:space="preserve">Acceder al sistema Gemma con usuario y perfil activo para la funcionalidad modulo Maestro - Razon Fracaso,  seleccionando el registro de la tabla consulta, hacer clic en el boton Modificar presionar el boton Confirmar.  Luego presionar el Link Nombre  y eliminar el registro. </v>
      </c>
      <c r="CO89" s="310" t="str">
        <f>CONCATENATE(" Validar funcionalidad  Razon de fracaso ",IF(AM89=1,$AM$3,"")," ",IF(AN89=1,$AN$3,""),"",IF(AO89=1,$AO$3,"")," ",IF(AP89=1,$AP$4,"")," ",IF(AQ89=1,$AQ$4,""), " en el filtro  ", IF(AS89=1,$AS$2,"Sin Exportar Excel"),)</f>
        <v xml:space="preserve"> Validar funcionalidad  Razon de fracaso  Modificar  Sin Valores en el filtro  Sin Exportar Excel</v>
      </c>
      <c r="CP89" s="267" t="s">
        <v>1341</v>
      </c>
    </row>
    <row r="90" spans="1:94" s="109" customFormat="1" ht="15" customHeight="1" x14ac:dyDescent="0.25">
      <c r="A90" s="23"/>
      <c r="B90" s="20"/>
      <c r="C90" s="13"/>
      <c r="D90" s="13"/>
      <c r="E90" s="13"/>
      <c r="F90" s="111"/>
      <c r="G90" s="111"/>
      <c r="H90" s="20"/>
      <c r="I90" s="13"/>
      <c r="J90" s="103"/>
      <c r="K90" s="103"/>
      <c r="L90" s="111"/>
      <c r="M90" s="101"/>
      <c r="N90" s="20"/>
      <c r="O90" s="13"/>
      <c r="P90" s="13"/>
      <c r="Q90" s="13"/>
      <c r="R90" s="111"/>
      <c r="S90" s="111"/>
      <c r="T90" s="20"/>
      <c r="U90" s="13"/>
      <c r="V90" s="103"/>
      <c r="W90" s="103"/>
      <c r="X90" s="111"/>
      <c r="Y90" s="111"/>
      <c r="Z90" s="280"/>
      <c r="AA90" s="20"/>
      <c r="AB90" s="13"/>
      <c r="AC90" s="13"/>
      <c r="AD90" s="13"/>
      <c r="AE90" s="111"/>
      <c r="AF90" s="111"/>
      <c r="AG90" s="20"/>
      <c r="AH90" s="13"/>
      <c r="AI90" s="13"/>
      <c r="AJ90" s="13"/>
      <c r="AK90" s="111"/>
      <c r="AL90" s="111"/>
      <c r="AM90" s="20"/>
      <c r="AN90" s="13"/>
      <c r="AO90" s="13">
        <v>1</v>
      </c>
      <c r="AP90" s="13">
        <v>1</v>
      </c>
      <c r="AQ90" s="111"/>
      <c r="AR90" s="111"/>
      <c r="AS90" s="111">
        <v>1</v>
      </c>
      <c r="AT90" s="20"/>
      <c r="AU90" s="13"/>
      <c r="AV90" s="103"/>
      <c r="AW90" s="103"/>
      <c r="AX90" s="111"/>
      <c r="AY90" s="101"/>
      <c r="AZ90" s="280"/>
      <c r="BA90" s="20"/>
      <c r="BB90" s="13"/>
      <c r="BC90" s="103"/>
      <c r="BD90" s="103"/>
      <c r="BE90" s="111"/>
      <c r="BF90" s="101"/>
      <c r="BG90" s="101"/>
      <c r="BH90" s="280"/>
      <c r="BI90" s="20"/>
      <c r="BJ90" s="13"/>
      <c r="BK90" s="103"/>
      <c r="BL90" s="103"/>
      <c r="BM90" s="103"/>
      <c r="BN90" s="111"/>
      <c r="BO90" s="101"/>
      <c r="BP90" s="280"/>
      <c r="BQ90" s="20"/>
      <c r="BR90" s="13"/>
      <c r="BS90" s="103"/>
      <c r="BT90" s="103"/>
      <c r="BU90" s="103"/>
      <c r="BV90" s="111"/>
      <c r="BW90" s="280"/>
      <c r="BX90" s="20"/>
      <c r="BY90" s="13"/>
      <c r="BZ90" s="103"/>
      <c r="CA90" s="103"/>
      <c r="CB90" s="111"/>
      <c r="CC90" s="101"/>
      <c r="CD90" s="280"/>
      <c r="CE90" s="20"/>
      <c r="CF90" s="13"/>
      <c r="CG90" s="103"/>
      <c r="CH90" s="103"/>
      <c r="CI90" s="111"/>
      <c r="CJ90" s="101"/>
      <c r="CK90" s="101"/>
      <c r="CL90" s="280"/>
      <c r="CM90" s="266" t="s">
        <v>1393</v>
      </c>
      <c r="CN90" s="266" t="str">
        <f>CONCATENATE("Acceder al sistema Gemma con usuario y perfil activo para la funcionalidad modulo Maestro - Razon Fracaso, colocando la descripcion Nombre en el filtro, ","",IF(AM90=1,"Agregar un registro","")," hacer clic en el boton ",IF(AN90=1,"Modificar, ","")," ",IF(AO90=1,"Eliminar ",""),"confirmar, luego presionar ",IF(AS90=1,"Exportar Documento Excel",""), ,IF(AR90=1,"Link Nombre Distribuidor",""),"",IF(FZ104=1,$FZ$4,"")," ")</f>
        <v xml:space="preserve">Acceder al sistema Gemma con usuario y perfil activo para la funcionalidad modulo Maestro - Razon Fracaso, colocando la descripcion Nombre en el filtro,  hacer clic en el boton  Eliminar confirmar, luego presionar Exportar Documento Excel </v>
      </c>
      <c r="CO90" s="310" t="str">
        <f>CONCATENATE(" Validar funcionalidad  Razon de fracaso ",IF(AM90=1,$AM$3,"")," ",IF(AN90=1,$AN$3,""),"",IF(AO90=1,$AO$3,"")," ",IF(AP90=1,$AP$4,"")," ",IF(AQ90=1,$AQ$4,""), " en el filtro una vez confirmado ", IF(AS90=1,$AS$2,"Sin Exportar Excel"),)</f>
        <v xml:space="preserve"> Validar funcionalidad  Razon de fracaso  Eliminar Con Valores  en el filtro una vez confirmado Exportar Excel </v>
      </c>
      <c r="CP90" s="267" t="s">
        <v>1333</v>
      </c>
    </row>
    <row r="91" spans="1:94" s="109" customFormat="1" ht="15" customHeight="1" x14ac:dyDescent="0.25">
      <c r="A91" s="23"/>
      <c r="B91" s="20"/>
      <c r="C91" s="13"/>
      <c r="D91" s="13"/>
      <c r="E91" s="13"/>
      <c r="F91" s="111"/>
      <c r="G91" s="111"/>
      <c r="H91" s="20"/>
      <c r="I91" s="13"/>
      <c r="J91" s="103"/>
      <c r="K91" s="103"/>
      <c r="L91" s="111"/>
      <c r="M91" s="101"/>
      <c r="N91" s="20"/>
      <c r="O91" s="13"/>
      <c r="P91" s="13"/>
      <c r="Q91" s="13"/>
      <c r="R91" s="111"/>
      <c r="S91" s="111"/>
      <c r="T91" s="20"/>
      <c r="U91" s="13"/>
      <c r="V91" s="103"/>
      <c r="W91" s="103"/>
      <c r="X91" s="111"/>
      <c r="Y91" s="111"/>
      <c r="Z91" s="280"/>
      <c r="AA91" s="20"/>
      <c r="AB91" s="13"/>
      <c r="AC91" s="13"/>
      <c r="AD91" s="13"/>
      <c r="AE91" s="111"/>
      <c r="AF91" s="111"/>
      <c r="AG91" s="20"/>
      <c r="AH91" s="13"/>
      <c r="AI91" s="13"/>
      <c r="AJ91" s="13"/>
      <c r="AK91" s="111"/>
      <c r="AL91" s="111"/>
      <c r="AM91" s="20"/>
      <c r="AN91" s="13"/>
      <c r="AO91" s="13">
        <v>1</v>
      </c>
      <c r="AP91" s="13">
        <v>1</v>
      </c>
      <c r="AQ91" s="111"/>
      <c r="AR91" s="111">
        <v>1</v>
      </c>
      <c r="AS91" s="111"/>
      <c r="AT91" s="20"/>
      <c r="AU91" s="13"/>
      <c r="AV91" s="103"/>
      <c r="AW91" s="103"/>
      <c r="AX91" s="111"/>
      <c r="AY91" s="101"/>
      <c r="AZ91" s="280"/>
      <c r="BA91" s="20"/>
      <c r="BB91" s="13"/>
      <c r="BC91" s="103"/>
      <c r="BD91" s="103"/>
      <c r="BE91" s="111"/>
      <c r="BF91" s="101"/>
      <c r="BG91" s="101"/>
      <c r="BH91" s="280"/>
      <c r="BI91" s="20"/>
      <c r="BJ91" s="13"/>
      <c r="BK91" s="103"/>
      <c r="BL91" s="103"/>
      <c r="BM91" s="103"/>
      <c r="BN91" s="111"/>
      <c r="BO91" s="101"/>
      <c r="BP91" s="280"/>
      <c r="BQ91" s="20"/>
      <c r="BR91" s="13"/>
      <c r="BS91" s="103"/>
      <c r="BT91" s="103"/>
      <c r="BU91" s="103"/>
      <c r="BV91" s="111"/>
      <c r="BW91" s="280"/>
      <c r="BX91" s="20"/>
      <c r="BY91" s="13"/>
      <c r="BZ91" s="103"/>
      <c r="CA91" s="103"/>
      <c r="CB91" s="111"/>
      <c r="CC91" s="101"/>
      <c r="CD91" s="280"/>
      <c r="CE91" s="20"/>
      <c r="CF91" s="13"/>
      <c r="CG91" s="103"/>
      <c r="CH91" s="103"/>
      <c r="CI91" s="111"/>
      <c r="CJ91" s="101"/>
      <c r="CK91" s="101"/>
      <c r="CL91" s="280"/>
      <c r="CM91" s="266" t="s">
        <v>618</v>
      </c>
      <c r="CN91" s="266" t="str">
        <f>CONCATENATE("Acceder al sistema Gemma con usuario y perfil activo para la funcionalidad modulo Maestro - Razon Fracaso, ","",IF(AM91=1,"Agregar un registro","")," colocando la descripcion  Nombre en el filtro, hacer clic en el ", IF(AR91=1,"Link Nombre","")," y Modificar el Registro, Regresar a la Pantalla y hacer clic en el boton ",IF(AN91=1,"Modificar, ","")," ",IF(AO91=1,"Eliminar","")," y luego Confirmar. ",IF(AS91=1,"Exportar Documento Excel",""),"")</f>
        <v xml:space="preserve">Acceder al sistema Gemma con usuario y perfil activo para la funcionalidad modulo Maestro - Razon Fracaso,  colocando la descripcion  Nombre en el filtro, hacer clic en el Link Nombre y Modificar el Registro, Regresar a la Pantalla y hacer clic en el boton  Eliminar y luego Confirmar. </v>
      </c>
      <c r="CO91" s="310" t="str">
        <f>CONCATENATE(" Validar funcionalidad  Razon de fracaso ",IF(AM91=1,$AM$3,"")," ",IF(AN91=1,$AN$3,""),"",IF(AO91=1,$AO$3,"")," ",IF(AP91=1,$AP$4,"")," ",IF(AQ91=1,$AQ$4,""), " en el filtro ", IF(AS91=1,$AS$2,"Sin Exportar Excel"),)</f>
        <v xml:space="preserve"> Validar funcionalidad  Razon de fracaso  Eliminar Con Valores  en el filtro Sin Exportar Excel</v>
      </c>
      <c r="CP91" s="267" t="s">
        <v>1333</v>
      </c>
    </row>
    <row r="92" spans="1:94" s="109" customFormat="1" x14ac:dyDescent="0.25">
      <c r="A92" s="23"/>
      <c r="B92" s="291"/>
      <c r="C92" s="272"/>
      <c r="D92" s="272"/>
      <c r="E92" s="272"/>
      <c r="F92" s="273"/>
      <c r="G92" s="273"/>
      <c r="H92" s="291"/>
      <c r="I92" s="272"/>
      <c r="J92" s="318"/>
      <c r="K92" s="318"/>
      <c r="L92" s="273"/>
      <c r="M92" s="297"/>
      <c r="N92" s="291"/>
      <c r="O92" s="272"/>
      <c r="P92" s="272"/>
      <c r="Q92" s="272"/>
      <c r="R92" s="273"/>
      <c r="S92" s="273"/>
      <c r="T92" s="291"/>
      <c r="U92" s="272"/>
      <c r="V92" s="318"/>
      <c r="W92" s="318"/>
      <c r="X92" s="273"/>
      <c r="Y92" s="273"/>
      <c r="Z92" s="316"/>
      <c r="AA92" s="291"/>
      <c r="AB92" s="272"/>
      <c r="AC92" s="272"/>
      <c r="AD92" s="272"/>
      <c r="AE92" s="273"/>
      <c r="AF92" s="273"/>
      <c r="AG92" s="291"/>
      <c r="AH92" s="272"/>
      <c r="AI92" s="272"/>
      <c r="AJ92" s="272"/>
      <c r="AK92" s="273"/>
      <c r="AL92" s="273"/>
      <c r="AM92" s="291"/>
      <c r="AN92" s="272"/>
      <c r="AO92" s="272">
        <v>1</v>
      </c>
      <c r="AP92" s="272"/>
      <c r="AQ92" s="273">
        <v>1</v>
      </c>
      <c r="AR92" s="273"/>
      <c r="AS92" s="273"/>
      <c r="AT92" s="291"/>
      <c r="AU92" s="272"/>
      <c r="AV92" s="318"/>
      <c r="AW92" s="318"/>
      <c r="AX92" s="273"/>
      <c r="AY92" s="297"/>
      <c r="AZ92" s="316"/>
      <c r="BA92" s="291"/>
      <c r="BB92" s="272"/>
      <c r="BC92" s="318"/>
      <c r="BD92" s="318"/>
      <c r="BE92" s="273"/>
      <c r="BF92" s="297"/>
      <c r="BG92" s="297"/>
      <c r="BH92" s="316"/>
      <c r="BI92" s="291"/>
      <c r="BJ92" s="272"/>
      <c r="BK92" s="318"/>
      <c r="BL92" s="318"/>
      <c r="BM92" s="318"/>
      <c r="BN92" s="273"/>
      <c r="BO92" s="297"/>
      <c r="BP92" s="316"/>
      <c r="BQ92" s="291"/>
      <c r="BR92" s="272"/>
      <c r="BS92" s="318"/>
      <c r="BT92" s="318"/>
      <c r="BU92" s="318"/>
      <c r="BV92" s="273"/>
      <c r="BW92" s="316"/>
      <c r="BX92" s="291"/>
      <c r="BY92" s="272"/>
      <c r="BZ92" s="318"/>
      <c r="CA92" s="318"/>
      <c r="CB92" s="273"/>
      <c r="CC92" s="297"/>
      <c r="CD92" s="316"/>
      <c r="CE92" s="291"/>
      <c r="CF92" s="272"/>
      <c r="CG92" s="318"/>
      <c r="CH92" s="318"/>
      <c r="CI92" s="273"/>
      <c r="CJ92" s="297"/>
      <c r="CK92" s="297"/>
      <c r="CL92" s="316"/>
      <c r="CM92" s="266" t="s">
        <v>619</v>
      </c>
      <c r="CN92" s="266" t="str">
        <f>CONCATENATE("Acceder al sistema Gemma con usuario y perfil activo para la funcionalidad modulo Maestro - Razon Fracaso, ","",IF(AM92=1,"Agregar un registro","")," seleccionando el registro de la tabla consulta, hacer clic en el boton ",IF(AN92=1,"Modificar","")," ",IF(AO92=1,"Eliminar","")," ",IF(AS92=1,"Exportar Documento Excel",""), ,IF(A92=1,"Link Nombre Distribuidor",""),"presionar el boton Confirmar.",IF(FZ106=1,$FZ$4,"")," ")</f>
        <v xml:space="preserve">Acceder al sistema Gemma con usuario y perfil activo para la funcionalidad modulo Maestro - Razon Fracaso,  seleccionando el registro de la tabla consulta, hacer clic en el boton  Eliminar presionar el boton Confirmar. </v>
      </c>
      <c r="CO92" s="310" t="str">
        <f>CONCATENATE(" Validar funcionalidad  Razon de fracaso ",IF(AM92=1,$AM$3,"")," ",IF(AN92=1,$AN$3,""),"",IF(AO92=1,$AO$3,"")," ",IF(AP92=1,$AP$4,"")," ",IF(AQ92=1,$AQ$4,""), " en el filtro ", IF(AS92=1,$AS$2,"Sin Exportar Excel"),)</f>
        <v xml:space="preserve"> Validar funcionalidad  Razon de fracaso  Eliminar  Sin Valores en el filtro Sin Exportar Excel</v>
      </c>
      <c r="CP92" s="267" t="s">
        <v>1333</v>
      </c>
    </row>
    <row r="93" spans="1:94" s="109" customFormat="1" ht="15.75" thickBot="1" x14ac:dyDescent="0.3">
      <c r="A93" s="23"/>
      <c r="B93" s="346"/>
      <c r="C93" s="27"/>
      <c r="D93" s="27"/>
      <c r="E93" s="27"/>
      <c r="F93" s="26"/>
      <c r="G93" s="347"/>
      <c r="H93" s="346"/>
      <c r="I93" s="27"/>
      <c r="J93" s="348"/>
      <c r="K93" s="348"/>
      <c r="L93" s="26"/>
      <c r="M93" s="349"/>
      <c r="N93" s="346"/>
      <c r="O93" s="27"/>
      <c r="P93" s="27"/>
      <c r="Q93" s="27"/>
      <c r="R93" s="26"/>
      <c r="S93" s="347"/>
      <c r="T93" s="346"/>
      <c r="U93" s="27"/>
      <c r="V93" s="348"/>
      <c r="W93" s="348"/>
      <c r="X93" s="26"/>
      <c r="Y93" s="26"/>
      <c r="Z93" s="347"/>
      <c r="AA93" s="346"/>
      <c r="AB93" s="27"/>
      <c r="AC93" s="27"/>
      <c r="AD93" s="27"/>
      <c r="AE93" s="26"/>
      <c r="AF93" s="347"/>
      <c r="AG93" s="346"/>
      <c r="AH93" s="27"/>
      <c r="AI93" s="27"/>
      <c r="AJ93" s="27"/>
      <c r="AK93" s="26"/>
      <c r="AL93" s="347"/>
      <c r="AM93" s="346"/>
      <c r="AN93" s="27"/>
      <c r="AO93" s="27"/>
      <c r="AP93" s="27"/>
      <c r="AQ93" s="26"/>
      <c r="AR93" s="349"/>
      <c r="AS93" s="347">
        <v>1</v>
      </c>
      <c r="AT93" s="346"/>
      <c r="AU93" s="27"/>
      <c r="AV93" s="348"/>
      <c r="AW93" s="348"/>
      <c r="AX93" s="26"/>
      <c r="AY93" s="349"/>
      <c r="AZ93" s="347"/>
      <c r="BA93" s="346"/>
      <c r="BB93" s="27"/>
      <c r="BC93" s="348"/>
      <c r="BD93" s="348"/>
      <c r="BE93" s="26"/>
      <c r="BF93" s="349"/>
      <c r="BG93" s="349"/>
      <c r="BH93" s="347"/>
      <c r="BI93" s="346"/>
      <c r="BJ93" s="27"/>
      <c r="BK93" s="348"/>
      <c r="BL93" s="348"/>
      <c r="BM93" s="348"/>
      <c r="BN93" s="26"/>
      <c r="BO93" s="349"/>
      <c r="BP93" s="347"/>
      <c r="BQ93" s="346"/>
      <c r="BR93" s="27"/>
      <c r="BS93" s="348"/>
      <c r="BT93" s="348"/>
      <c r="BU93" s="348"/>
      <c r="BV93" s="26"/>
      <c r="BW93" s="347"/>
      <c r="BX93" s="346"/>
      <c r="BY93" s="27"/>
      <c r="BZ93" s="348"/>
      <c r="CA93" s="348"/>
      <c r="CB93" s="26"/>
      <c r="CC93" s="349"/>
      <c r="CD93" s="347"/>
      <c r="CE93" s="346"/>
      <c r="CF93" s="27"/>
      <c r="CG93" s="348"/>
      <c r="CH93" s="348"/>
      <c r="CI93" s="26"/>
      <c r="CJ93" s="349"/>
      <c r="CK93" s="349"/>
      <c r="CL93" s="347"/>
      <c r="CM93" s="266" t="s">
        <v>620</v>
      </c>
      <c r="CN93" s="266" t="str">
        <f>CONCATENATE("Acceder al sistema Gemma con usuario y perfil activo para la funcionalidad modulo Maestro - Razon Fracaso, ","",IF(AG93=1,"Agregar un registro","")," sin datos en el filtro, presionar ",IF(AH93=1,"Modificar","")," ",IF(AI93=1,"Eliminar","")," ",IF(AS93=1,"Exportar Documento Excel",""), ,IF(A93=1,"Link Nombre Distribuidor",""),"")</f>
        <v>Acceder al sistema Gemma con usuario y perfil activo para la funcionalidad modulo Maestro - Razon Fracaso,  sin datos en el filtro, presionar   Exportar Documento Excel</v>
      </c>
      <c r="CO93" s="310" t="str">
        <f>CONCATENATE(" Validar funcionalidad  Razon de fracaso ",IF(AM93=1,$AM$3,"")," ",IF(AN93=1,$AN$3,""),"",IF(AO93=1,$AO$3,""),"",IF(AP93=1,$AP$4,""),"",IF(AQ93=1,$AQ$4,""), " ", IF(AS93=1,$AS$2,"Sin Exportar Excel"),)</f>
        <v xml:space="preserve"> Validar funcionalidad  Razon de fracaso   Exportar Excel </v>
      </c>
      <c r="CP93" s="267" t="s">
        <v>1342</v>
      </c>
    </row>
    <row r="94" spans="1:94" s="109" customFormat="1" ht="15.75" thickTop="1" x14ac:dyDescent="0.25">
      <c r="A94" s="23"/>
      <c r="B94" s="105"/>
      <c r="C94" s="25"/>
      <c r="D94" s="25"/>
      <c r="E94" s="25"/>
      <c r="F94" s="24"/>
      <c r="G94" s="279"/>
      <c r="H94" s="105"/>
      <c r="I94" s="25"/>
      <c r="J94" s="345"/>
      <c r="K94" s="345"/>
      <c r="L94" s="24"/>
      <c r="M94" s="100"/>
      <c r="N94" s="105"/>
      <c r="O94" s="25"/>
      <c r="P94" s="25"/>
      <c r="Q94" s="25"/>
      <c r="R94" s="24"/>
      <c r="S94" s="279"/>
      <c r="T94" s="105"/>
      <c r="U94" s="25"/>
      <c r="V94" s="345"/>
      <c r="W94" s="345"/>
      <c r="X94" s="24"/>
      <c r="Y94" s="24"/>
      <c r="Z94" s="279"/>
      <c r="AA94" s="105"/>
      <c r="AB94" s="25"/>
      <c r="AC94" s="25"/>
      <c r="AD94" s="25"/>
      <c r="AE94" s="24"/>
      <c r="AF94" s="279"/>
      <c r="AG94" s="105"/>
      <c r="AH94" s="25"/>
      <c r="AI94" s="25"/>
      <c r="AJ94" s="25"/>
      <c r="AK94" s="24"/>
      <c r="AL94" s="279"/>
      <c r="AM94" s="105">
        <v>1</v>
      </c>
      <c r="AN94" s="25"/>
      <c r="AO94" s="25"/>
      <c r="AP94" s="25"/>
      <c r="AQ94" s="24">
        <v>1</v>
      </c>
      <c r="AR94" s="100"/>
      <c r="AS94" s="279"/>
      <c r="AT94" s="105"/>
      <c r="AU94" s="25"/>
      <c r="AV94" s="345"/>
      <c r="AW94" s="345"/>
      <c r="AX94" s="24"/>
      <c r="AY94" s="100"/>
      <c r="AZ94" s="279"/>
      <c r="BA94" s="105"/>
      <c r="BB94" s="25"/>
      <c r="BC94" s="345"/>
      <c r="BD94" s="345"/>
      <c r="BE94" s="24"/>
      <c r="BF94" s="100"/>
      <c r="BG94" s="100"/>
      <c r="BH94" s="279"/>
      <c r="BI94" s="105"/>
      <c r="BJ94" s="25"/>
      <c r="BK94" s="345"/>
      <c r="BL94" s="345"/>
      <c r="BM94" s="345"/>
      <c r="BN94" s="24"/>
      <c r="BO94" s="100"/>
      <c r="BP94" s="279"/>
      <c r="BQ94" s="105"/>
      <c r="BR94" s="25"/>
      <c r="BS94" s="345"/>
      <c r="BT94" s="345"/>
      <c r="BU94" s="345"/>
      <c r="BV94" s="24"/>
      <c r="BW94" s="279"/>
      <c r="BX94" s="105"/>
      <c r="BY94" s="25"/>
      <c r="BZ94" s="345"/>
      <c r="CA94" s="345"/>
      <c r="CB94" s="24"/>
      <c r="CC94" s="100"/>
      <c r="CD94" s="279"/>
      <c r="CE94" s="105"/>
      <c r="CF94" s="25"/>
      <c r="CG94" s="345"/>
      <c r="CH94" s="345"/>
      <c r="CI94" s="24"/>
      <c r="CJ94" s="100"/>
      <c r="CK94" s="100"/>
      <c r="CL94" s="279"/>
      <c r="CM94" s="266" t="s">
        <v>1398</v>
      </c>
      <c r="CN94" s="266" t="str">
        <f>CONCATENATE("Acceder al sistema Gemma con usuario y perfil activo para la funcionalidad modulo Maestro - Razon Fracaso, ","",IF(H94=1,"Agregar un registro","")," sin datos en la descripcion Nombre y presionar Confirmar.",IF(I94=1,"Modificar","")," ",IF(J94=1,"Eliminar","")," ",IF(M94=1,"Exportar Documento Excel",""), ,IF(A94=1,"Link Nombre Distribuidor",""),"",IF(FZ109=1,$FZ$4,"")," ")</f>
        <v xml:space="preserve">Acceder al sistema Gemma con usuario y perfil activo para la funcionalidad modulo Maestro - Razon Fracaso,  sin datos en la descripcion Nombre y presionar Confirmar.   </v>
      </c>
      <c r="CO94" s="310" t="str">
        <f>CONCATENATE(" Validar funcionalidad  Razon de fracaso ",IF(AM94=1,$AM$3,"")," ",IF(AN94=1,$AN$3,""),"",IF(AO94=1,$AO$3,""),"",IF(AP94=1,$AP$4,""),"",IF(AQ94=1,$AQ$4,""), " en el Nombre de la Razon Fracaso ", IF(AS94=1,$AS$2,""),)</f>
        <v xml:space="preserve"> Validar funcionalidad  Razon de fracaso Agregar Sin Valores en el Nombre de la Razon Fracaso </v>
      </c>
      <c r="CP94" s="267" t="s">
        <v>1375</v>
      </c>
    </row>
    <row r="95" spans="1:94" s="109" customFormat="1" x14ac:dyDescent="0.25">
      <c r="A95" s="23"/>
      <c r="B95" s="105"/>
      <c r="C95" s="25"/>
      <c r="D95" s="25"/>
      <c r="E95" s="25"/>
      <c r="F95" s="24"/>
      <c r="G95" s="279"/>
      <c r="H95" s="105"/>
      <c r="I95" s="25"/>
      <c r="J95" s="345"/>
      <c r="K95" s="345"/>
      <c r="L95" s="24"/>
      <c r="M95" s="100"/>
      <c r="N95" s="105"/>
      <c r="O95" s="25"/>
      <c r="P95" s="25"/>
      <c r="Q95" s="25"/>
      <c r="R95" s="24"/>
      <c r="S95" s="279"/>
      <c r="T95" s="105"/>
      <c r="U95" s="25"/>
      <c r="V95" s="345"/>
      <c r="W95" s="345"/>
      <c r="X95" s="24"/>
      <c r="Y95" s="24"/>
      <c r="Z95" s="307"/>
      <c r="AA95" s="105"/>
      <c r="AB95" s="25"/>
      <c r="AC95" s="25"/>
      <c r="AD95" s="25"/>
      <c r="AE95" s="24"/>
      <c r="AF95" s="279"/>
      <c r="AG95" s="105"/>
      <c r="AH95" s="25"/>
      <c r="AI95" s="25"/>
      <c r="AJ95" s="25"/>
      <c r="AK95" s="24"/>
      <c r="AL95" s="279"/>
      <c r="AM95" s="105"/>
      <c r="AN95" s="25"/>
      <c r="AO95" s="25"/>
      <c r="AP95" s="25">
        <v>1</v>
      </c>
      <c r="AQ95" s="24"/>
      <c r="AR95" s="100"/>
      <c r="AS95" s="279"/>
      <c r="AT95" s="105"/>
      <c r="AU95" s="25"/>
      <c r="AV95" s="345"/>
      <c r="AW95" s="345"/>
      <c r="AX95" s="24"/>
      <c r="AY95" s="100"/>
      <c r="AZ95" s="279"/>
      <c r="BA95" s="105"/>
      <c r="BB95" s="25"/>
      <c r="BC95" s="345"/>
      <c r="BD95" s="345"/>
      <c r="BE95" s="24"/>
      <c r="BF95" s="100"/>
      <c r="BG95" s="100"/>
      <c r="BH95" s="279"/>
      <c r="BI95" s="105"/>
      <c r="BJ95" s="25"/>
      <c r="BK95" s="345"/>
      <c r="BL95" s="345"/>
      <c r="BM95" s="345"/>
      <c r="BN95" s="24"/>
      <c r="BO95" s="100"/>
      <c r="BP95" s="279"/>
      <c r="BQ95" s="105"/>
      <c r="BR95" s="25"/>
      <c r="BS95" s="345"/>
      <c r="BT95" s="345"/>
      <c r="BU95" s="345"/>
      <c r="BV95" s="24"/>
      <c r="BW95" s="279"/>
      <c r="BX95" s="105"/>
      <c r="BY95" s="25"/>
      <c r="BZ95" s="345"/>
      <c r="CA95" s="345"/>
      <c r="CB95" s="24"/>
      <c r="CC95" s="100"/>
      <c r="CD95" s="279"/>
      <c r="CE95" s="105"/>
      <c r="CF95" s="25"/>
      <c r="CG95" s="345"/>
      <c r="CH95" s="345"/>
      <c r="CI95" s="24"/>
      <c r="CJ95" s="100"/>
      <c r="CK95" s="100"/>
      <c r="CL95" s="279"/>
      <c r="CM95" s="266" t="s">
        <v>1400</v>
      </c>
      <c r="CN95" s="266" t="s">
        <v>1395</v>
      </c>
      <c r="CO95" s="310" t="str">
        <f>CONCATENATE(" Validar funcionalidad  Razon de fracaso ",IF(AM95=1,$AM$3,"")," ",IF(AN95=1,$AN$3,""),"",IF(AO95=1,$AO$3,""),"",IF(AP95=1,$AP$4,""),"",IF(AQ95=1,$AQ$4,""), " del Nombre Invalido en el filtro de busqueda.", IF(AS95=1,$AS$2,""),)</f>
        <v xml:space="preserve"> Validar funcionalidad  Razon de fracaso  Con Valores del Nombre Invalido en el filtro de busqueda.</v>
      </c>
      <c r="CP95" s="267" t="s">
        <v>1344</v>
      </c>
    </row>
    <row r="96" spans="1:94" s="109" customFormat="1" x14ac:dyDescent="0.25">
      <c r="A96" s="23"/>
      <c r="B96" s="20"/>
      <c r="C96" s="13"/>
      <c r="D96" s="13"/>
      <c r="E96" s="13"/>
      <c r="F96" s="111"/>
      <c r="G96" s="280"/>
      <c r="H96" s="20"/>
      <c r="I96" s="13"/>
      <c r="J96" s="103"/>
      <c r="K96" s="103"/>
      <c r="L96" s="111"/>
      <c r="M96" s="101"/>
      <c r="N96" s="20"/>
      <c r="O96" s="13"/>
      <c r="P96" s="13"/>
      <c r="Q96" s="13"/>
      <c r="R96" s="111"/>
      <c r="S96" s="280"/>
      <c r="T96" s="20"/>
      <c r="U96" s="13"/>
      <c r="V96" s="103"/>
      <c r="W96" s="103"/>
      <c r="X96" s="111"/>
      <c r="Y96" s="111"/>
      <c r="Z96" s="316"/>
      <c r="AA96" s="20"/>
      <c r="AB96" s="13"/>
      <c r="AC96" s="13"/>
      <c r="AD96" s="13"/>
      <c r="AE96" s="111"/>
      <c r="AF96" s="280"/>
      <c r="AG96" s="20"/>
      <c r="AH96" s="13"/>
      <c r="AI96" s="13"/>
      <c r="AJ96" s="13"/>
      <c r="AK96" s="111"/>
      <c r="AL96" s="280"/>
      <c r="AM96" s="20"/>
      <c r="AN96" s="13">
        <v>1</v>
      </c>
      <c r="AO96" s="13"/>
      <c r="AP96" s="13"/>
      <c r="AQ96" s="111">
        <v>1</v>
      </c>
      <c r="AR96" s="101"/>
      <c r="AS96" s="280"/>
      <c r="AT96" s="20"/>
      <c r="AU96" s="13"/>
      <c r="AV96" s="103"/>
      <c r="AW96" s="103"/>
      <c r="AX96" s="111"/>
      <c r="AY96" s="101"/>
      <c r="AZ96" s="280"/>
      <c r="BA96" s="20"/>
      <c r="BB96" s="13"/>
      <c r="BC96" s="103"/>
      <c r="BD96" s="103"/>
      <c r="BE96" s="111"/>
      <c r="BF96" s="101"/>
      <c r="BG96" s="101"/>
      <c r="BH96" s="280"/>
      <c r="BI96" s="20"/>
      <c r="BJ96" s="13"/>
      <c r="BK96" s="103"/>
      <c r="BL96" s="103"/>
      <c r="BM96" s="103"/>
      <c r="BN96" s="111"/>
      <c r="BO96" s="101"/>
      <c r="BP96" s="280"/>
      <c r="BQ96" s="20"/>
      <c r="BR96" s="13"/>
      <c r="BS96" s="103"/>
      <c r="BT96" s="103"/>
      <c r="BU96" s="103"/>
      <c r="BV96" s="111"/>
      <c r="BW96" s="280"/>
      <c r="BX96" s="20"/>
      <c r="BY96" s="13"/>
      <c r="BZ96" s="103"/>
      <c r="CA96" s="103"/>
      <c r="CB96" s="111"/>
      <c r="CC96" s="101"/>
      <c r="CD96" s="280"/>
      <c r="CE96" s="20"/>
      <c r="CF96" s="13"/>
      <c r="CG96" s="103"/>
      <c r="CH96" s="103"/>
      <c r="CI96" s="111"/>
      <c r="CJ96" s="101"/>
      <c r="CK96" s="101"/>
      <c r="CL96" s="280"/>
      <c r="CM96" s="266" t="s">
        <v>1402</v>
      </c>
      <c r="CN96" s="266" t="s">
        <v>1429</v>
      </c>
      <c r="CO96" s="310" t="str">
        <f>CONCATENATE(" Validar funcionalidad  Razon de fracaso ",IF(AM96=1,$AM$3,"")," ",IF(AN96=1,$AN$3,"")," ",IF(AO96=1,$AO$3,""),"",IF(AP96=1,$AP$4,""),"",IF(AQ96=1,$AQ$4,""), " en la descripcion del Nombre, campo vacio.", IF(AS96=1,$AS$2,""),)</f>
        <v xml:space="preserve"> Validar funcionalidad  Razon de fracaso  Modificar Sin Valores en la descripcion del Nombre, campo vacio.</v>
      </c>
      <c r="CP96" s="267" t="s">
        <v>1375</v>
      </c>
    </row>
    <row r="97" spans="1:94" s="109" customFormat="1" ht="15" customHeight="1" thickBot="1" x14ac:dyDescent="0.3">
      <c r="A97" s="23"/>
      <c r="B97" s="301"/>
      <c r="C97" s="281"/>
      <c r="D97" s="317"/>
      <c r="E97" s="317"/>
      <c r="F97" s="282"/>
      <c r="G97" s="302"/>
      <c r="H97" s="301"/>
      <c r="I97" s="281"/>
      <c r="J97" s="350"/>
      <c r="K97" s="350"/>
      <c r="L97" s="282"/>
      <c r="M97" s="351"/>
      <c r="N97" s="301"/>
      <c r="O97" s="281"/>
      <c r="P97" s="317"/>
      <c r="Q97" s="317"/>
      <c r="R97" s="282"/>
      <c r="S97" s="302"/>
      <c r="T97" s="301"/>
      <c r="U97" s="281"/>
      <c r="V97" s="350"/>
      <c r="W97" s="350"/>
      <c r="X97" s="282"/>
      <c r="Y97" s="282"/>
      <c r="Z97" s="309"/>
      <c r="AA97" s="301"/>
      <c r="AB97" s="281"/>
      <c r="AC97" s="317"/>
      <c r="AD97" s="317"/>
      <c r="AE97" s="282"/>
      <c r="AF97" s="302"/>
      <c r="AG97" s="301"/>
      <c r="AH97" s="281"/>
      <c r="AI97" s="317"/>
      <c r="AJ97" s="317"/>
      <c r="AK97" s="282"/>
      <c r="AL97" s="302"/>
      <c r="AM97" s="301"/>
      <c r="AN97" s="281"/>
      <c r="AO97" s="317">
        <v>1</v>
      </c>
      <c r="AP97" s="317"/>
      <c r="AQ97" s="282"/>
      <c r="AR97" s="351"/>
      <c r="AS97" s="302"/>
      <c r="AT97" s="301"/>
      <c r="AU97" s="281"/>
      <c r="AV97" s="350"/>
      <c r="AW97" s="350"/>
      <c r="AX97" s="282"/>
      <c r="AY97" s="351"/>
      <c r="AZ97" s="302"/>
      <c r="BA97" s="301"/>
      <c r="BB97" s="281"/>
      <c r="BC97" s="350"/>
      <c r="BD97" s="350"/>
      <c r="BE97" s="282"/>
      <c r="BF97" s="351"/>
      <c r="BG97" s="351"/>
      <c r="BH97" s="302"/>
      <c r="BI97" s="301"/>
      <c r="BJ97" s="281"/>
      <c r="BK97" s="350"/>
      <c r="BL97" s="350"/>
      <c r="BM97" s="350"/>
      <c r="BN97" s="282"/>
      <c r="BO97" s="351"/>
      <c r="BP97" s="302"/>
      <c r="BQ97" s="301"/>
      <c r="BR97" s="281"/>
      <c r="BS97" s="350"/>
      <c r="BT97" s="350"/>
      <c r="BU97" s="350"/>
      <c r="BV97" s="282"/>
      <c r="BW97" s="302"/>
      <c r="BX97" s="301"/>
      <c r="BY97" s="281"/>
      <c r="BZ97" s="350"/>
      <c r="CA97" s="350"/>
      <c r="CB97" s="282"/>
      <c r="CC97" s="351"/>
      <c r="CD97" s="302"/>
      <c r="CE97" s="301"/>
      <c r="CF97" s="281"/>
      <c r="CG97" s="350"/>
      <c r="CH97" s="350"/>
      <c r="CI97" s="282"/>
      <c r="CJ97" s="351"/>
      <c r="CK97" s="351"/>
      <c r="CL97" s="302"/>
      <c r="CM97" s="266" t="s">
        <v>1403</v>
      </c>
      <c r="CN97" s="266" t="s">
        <v>1394</v>
      </c>
      <c r="CO97" s="310" t="str">
        <f>CONCATENATE(" Validar funcionalidad  Razon de fracaso ",IF(AM97=1,$AM$3,"")," ",IF(AN97=1,$AN$3,""),"",IF(AO97=1,$AO$3,""),"",IF(AP97=1,$AP$4,""),"",IF(AQ97=1,$AQ$4,""), " un registro en Uso. ", IF(AS97=1,$AS$2,""),)</f>
        <v xml:space="preserve"> Validar funcionalidad  Razon de fracaso  Eliminar un registro en Uso. </v>
      </c>
      <c r="CP97" s="267" t="s">
        <v>1345</v>
      </c>
    </row>
    <row r="98" spans="1:94" s="109" customFormat="1" ht="15" customHeight="1" thickTop="1" x14ac:dyDescent="0.25">
      <c r="A98" s="23"/>
      <c r="B98" s="105"/>
      <c r="C98" s="25"/>
      <c r="D98" s="345"/>
      <c r="E98" s="25"/>
      <c r="F98" s="24"/>
      <c r="G98" s="24"/>
      <c r="H98" s="105"/>
      <c r="I98" s="25"/>
      <c r="J98" s="345"/>
      <c r="K98" s="345"/>
      <c r="L98" s="24"/>
      <c r="M98" s="100"/>
      <c r="N98" s="105"/>
      <c r="O98" s="25"/>
      <c r="P98" s="345"/>
      <c r="Q98" s="25"/>
      <c r="R98" s="24"/>
      <c r="S98" s="24"/>
      <c r="T98" s="105"/>
      <c r="U98" s="25"/>
      <c r="V98" s="345"/>
      <c r="W98" s="345"/>
      <c r="X98" s="24"/>
      <c r="Y98" s="24"/>
      <c r="Z98" s="279"/>
      <c r="AA98" s="105"/>
      <c r="AB98" s="25"/>
      <c r="AC98" s="345"/>
      <c r="AD98" s="25"/>
      <c r="AE98" s="24"/>
      <c r="AF98" s="24"/>
      <c r="AG98" s="105"/>
      <c r="AH98" s="25"/>
      <c r="AI98" s="345"/>
      <c r="AJ98" s="25"/>
      <c r="AK98" s="24"/>
      <c r="AL98" s="24"/>
      <c r="AM98" s="105"/>
      <c r="AN98" s="25"/>
      <c r="AO98" s="345"/>
      <c r="AP98" s="345"/>
      <c r="AQ98" s="24"/>
      <c r="AR98" s="100"/>
      <c r="AS98" s="279"/>
      <c r="AT98" s="105">
        <v>1</v>
      </c>
      <c r="AU98" s="25"/>
      <c r="AV98" s="345"/>
      <c r="AW98" s="25">
        <v>1</v>
      </c>
      <c r="AX98" s="24"/>
      <c r="AY98" s="24"/>
      <c r="AZ98" s="24">
        <v>1</v>
      </c>
      <c r="BA98" s="105"/>
      <c r="BB98" s="25"/>
      <c r="BC98" s="345"/>
      <c r="BD98" s="345"/>
      <c r="BE98" s="24"/>
      <c r="BF98" s="100"/>
      <c r="BG98" s="24"/>
      <c r="BH98" s="279"/>
      <c r="BI98" s="105"/>
      <c r="BJ98" s="25"/>
      <c r="BK98" s="345"/>
      <c r="BL98" s="345"/>
      <c r="BM98" s="345"/>
      <c r="BN98" s="24"/>
      <c r="BO98" s="100"/>
      <c r="BP98" s="279"/>
      <c r="BQ98" s="105"/>
      <c r="BR98" s="25"/>
      <c r="BS98" s="345"/>
      <c r="BT98" s="345"/>
      <c r="BU98" s="345"/>
      <c r="BV98" s="24"/>
      <c r="BW98" s="279"/>
      <c r="BX98" s="105"/>
      <c r="BY98" s="25"/>
      <c r="BZ98" s="345"/>
      <c r="CA98" s="25"/>
      <c r="CB98" s="24"/>
      <c r="CC98" s="100"/>
      <c r="CD98" s="312"/>
      <c r="CE98" s="105"/>
      <c r="CF98" s="25"/>
      <c r="CG98" s="345"/>
      <c r="CH98" s="25"/>
      <c r="CI98" s="24"/>
      <c r="CJ98" s="100"/>
      <c r="CK98" s="100"/>
      <c r="CL98" s="312"/>
      <c r="CM98" s="266" t="s">
        <v>621</v>
      </c>
      <c r="CN98" s="266" t="str">
        <f>CONCATENATE("Acceder al sistema Gemma con usuario y perfil activo para la funcionalidad modulo Maestro - Motivos Rechazos, hacer clic en el boton ","",IF(AT98=1,"Agregar","")," colocando campos obligatorios, ",IF(AU98=1,"Modificar un registro","")," presionar el boton Confirmar y  ",IF(AV98=1,"Eliminar un registro",""),"luego presionar ",IF(AZ98=1,"Exportar Documento Excel",""), ,IF(AR98=1,"Link Nombre ","")," ")</f>
        <v xml:space="preserve">Acceder al sistema Gemma con usuario y perfil activo para la funcionalidad modulo Maestro - Motivos Rechazos, hacer clic en el boton Agregar colocando campos obligatorios,  presionar el boton Confirmar y  luego presionar Exportar Documento Excel </v>
      </c>
      <c r="CO98" s="310" t="str">
        <f>CONCATENATE(" Validar funcionalidad  Motivos Rechazo ",IF(AT98=1,$AT$3,"")," ",IF(AU98=1,$AU$3,""),"",IF(AV98=1,$AV$3,"")," ",IF(AW98=1,$AW$4,"")," ",IF(AX98=1,$AX$4,""), " en el filtro una vez confirmado ", IF(AZ98=1,$AZ$2,"Sin Exportar Excel"),)</f>
        <v xml:space="preserve"> Validar funcionalidad  Motivos Rechazo Agregar  Con Valores  en el filtro una vez confirmado Exportar Excel </v>
      </c>
      <c r="CP98" s="267" t="s">
        <v>1321</v>
      </c>
    </row>
    <row r="99" spans="1:94" s="109" customFormat="1" ht="15" customHeight="1" x14ac:dyDescent="0.25">
      <c r="A99" s="23"/>
      <c r="B99" s="20"/>
      <c r="C99" s="13"/>
      <c r="D99" s="103"/>
      <c r="E99" s="13"/>
      <c r="F99" s="111"/>
      <c r="G99" s="111"/>
      <c r="H99" s="20"/>
      <c r="I99" s="13"/>
      <c r="J99" s="103"/>
      <c r="K99" s="103"/>
      <c r="L99" s="111"/>
      <c r="M99" s="101"/>
      <c r="N99" s="20"/>
      <c r="O99" s="13"/>
      <c r="P99" s="103"/>
      <c r="Q99" s="13"/>
      <c r="R99" s="111"/>
      <c r="S99" s="111"/>
      <c r="T99" s="20"/>
      <c r="U99" s="13"/>
      <c r="V99" s="103"/>
      <c r="W99" s="103"/>
      <c r="X99" s="111"/>
      <c r="Y99" s="111"/>
      <c r="Z99" s="280"/>
      <c r="AA99" s="20"/>
      <c r="AB99" s="13"/>
      <c r="AC99" s="103"/>
      <c r="AD99" s="13"/>
      <c r="AE99" s="111"/>
      <c r="AF99" s="111"/>
      <c r="AG99" s="20"/>
      <c r="AH99" s="13"/>
      <c r="AI99" s="103"/>
      <c r="AJ99" s="13"/>
      <c r="AK99" s="111"/>
      <c r="AL99" s="111"/>
      <c r="AM99" s="20"/>
      <c r="AN99" s="13"/>
      <c r="AO99" s="103"/>
      <c r="AP99" s="103"/>
      <c r="AQ99" s="111"/>
      <c r="AR99" s="101"/>
      <c r="AS99" s="280"/>
      <c r="AT99" s="20">
        <v>1</v>
      </c>
      <c r="AU99" s="13"/>
      <c r="AV99" s="103"/>
      <c r="AW99" s="13">
        <v>1</v>
      </c>
      <c r="AX99" s="111"/>
      <c r="AY99" s="111"/>
      <c r="AZ99" s="111"/>
      <c r="BA99" s="20"/>
      <c r="BB99" s="13"/>
      <c r="BC99" s="103"/>
      <c r="BD99" s="103"/>
      <c r="BE99" s="111"/>
      <c r="BF99" s="101"/>
      <c r="BG99" s="111"/>
      <c r="BH99" s="280"/>
      <c r="BI99" s="20"/>
      <c r="BJ99" s="13"/>
      <c r="BK99" s="103"/>
      <c r="BL99" s="103"/>
      <c r="BM99" s="103"/>
      <c r="BN99" s="111"/>
      <c r="BO99" s="101"/>
      <c r="BP99" s="280"/>
      <c r="BQ99" s="20"/>
      <c r="BR99" s="13"/>
      <c r="BS99" s="103"/>
      <c r="BT99" s="103"/>
      <c r="BU99" s="103"/>
      <c r="BV99" s="111"/>
      <c r="BW99" s="280"/>
      <c r="BX99" s="20"/>
      <c r="BY99" s="13"/>
      <c r="BZ99" s="103"/>
      <c r="CA99" s="13"/>
      <c r="CB99" s="111"/>
      <c r="CC99" s="101"/>
      <c r="CD99" s="280"/>
      <c r="CE99" s="20"/>
      <c r="CF99" s="13"/>
      <c r="CG99" s="103"/>
      <c r="CH99" s="13"/>
      <c r="CI99" s="111"/>
      <c r="CJ99" s="101"/>
      <c r="CK99" s="101"/>
      <c r="CL99" s="280"/>
      <c r="CM99" s="266" t="s">
        <v>622</v>
      </c>
      <c r="CN99" s="266" t="str">
        <f>CONCATENATE("Acceder al sistema Gemma con usuario y perfil activo para la funcionalidad modulo Maestro - Motivos Rechazos, hacer clic en el boton ","",IF(AT99=1,"Agregar","")," colocando los campos obligatorios, ",IF(AU99=1,"Modificar un registro","")," ",IF(AV99=1,"Eliminar un registro","")," ",IF(AZ99=1,"Exportar Documento Excel",""), ,IF(A99=1,"Link Nombre Distribuidor",""),"presionar el boton Confirmar. ")</f>
        <v xml:space="preserve">Acceder al sistema Gemma con usuario y perfil activo para la funcionalidad modulo Maestro - Motivos Rechazos, hacer clic en el boton Agregar colocando los campos obligatorios,   presionar el boton Confirmar. </v>
      </c>
      <c r="CO99" s="310" t="str">
        <f>CONCATENATE(" Validar funcionalidad  Motivos Rechazo ",IF(AT99=1,$AT$3,"")," ",IF(AU99=1,$AU$3,""),"",IF(AV99=1,$AV$3,"")," ",IF(AW99=1,$AW$4,"")," ",IF(AX99=1,$AX$4,""), " en el filtro ", IF(AZ99=1,$AZ$2,"Sin Exportar Excel"),)</f>
        <v xml:space="preserve"> Validar funcionalidad  Motivos Rechazo Agregar  Con Valores  en el filtro Sin Exportar Excel</v>
      </c>
      <c r="CP99" s="267" t="s">
        <v>1321</v>
      </c>
    </row>
    <row r="100" spans="1:94" s="109" customFormat="1" ht="15" customHeight="1" x14ac:dyDescent="0.25">
      <c r="A100" s="23"/>
      <c r="B100" s="20"/>
      <c r="C100" s="13"/>
      <c r="D100" s="103"/>
      <c r="E100" s="13"/>
      <c r="F100" s="111"/>
      <c r="G100" s="111"/>
      <c r="H100" s="20"/>
      <c r="I100" s="13"/>
      <c r="J100" s="103"/>
      <c r="K100" s="103"/>
      <c r="L100" s="111"/>
      <c r="M100" s="101"/>
      <c r="N100" s="20"/>
      <c r="O100" s="13"/>
      <c r="P100" s="103"/>
      <c r="Q100" s="13"/>
      <c r="R100" s="111"/>
      <c r="S100" s="111"/>
      <c r="T100" s="20"/>
      <c r="U100" s="13"/>
      <c r="V100" s="103"/>
      <c r="W100" s="103"/>
      <c r="X100" s="111"/>
      <c r="Y100" s="111"/>
      <c r="Z100" s="280"/>
      <c r="AA100" s="20"/>
      <c r="AB100" s="13"/>
      <c r="AC100" s="103"/>
      <c r="AD100" s="13"/>
      <c r="AE100" s="111"/>
      <c r="AF100" s="111"/>
      <c r="AG100" s="20"/>
      <c r="AH100" s="13"/>
      <c r="AI100" s="103"/>
      <c r="AJ100" s="13"/>
      <c r="AK100" s="111"/>
      <c r="AL100" s="111"/>
      <c r="AM100" s="20"/>
      <c r="AN100" s="13"/>
      <c r="AO100" s="103"/>
      <c r="AP100" s="103"/>
      <c r="AQ100" s="111"/>
      <c r="AR100" s="101"/>
      <c r="AS100" s="280"/>
      <c r="AT100" s="20"/>
      <c r="AU100" s="13">
        <v>1</v>
      </c>
      <c r="AV100" s="103"/>
      <c r="AW100" s="13">
        <v>1</v>
      </c>
      <c r="AX100" s="111"/>
      <c r="AY100" s="111"/>
      <c r="AZ100" s="111">
        <v>1</v>
      </c>
      <c r="BA100" s="20"/>
      <c r="BB100" s="13"/>
      <c r="BC100" s="103"/>
      <c r="BD100" s="103"/>
      <c r="BE100" s="111"/>
      <c r="BF100" s="101"/>
      <c r="BG100" s="111"/>
      <c r="BH100" s="280"/>
      <c r="BI100" s="20"/>
      <c r="BJ100" s="13"/>
      <c r="BK100" s="103"/>
      <c r="BL100" s="103"/>
      <c r="BM100" s="103"/>
      <c r="BN100" s="111"/>
      <c r="BO100" s="101"/>
      <c r="BP100" s="280"/>
      <c r="BQ100" s="20"/>
      <c r="BR100" s="13"/>
      <c r="BS100" s="103"/>
      <c r="BT100" s="103"/>
      <c r="BU100" s="103"/>
      <c r="BV100" s="111"/>
      <c r="BW100" s="280"/>
      <c r="BX100" s="20"/>
      <c r="BY100" s="13"/>
      <c r="BZ100" s="103"/>
      <c r="CA100" s="13"/>
      <c r="CB100" s="111"/>
      <c r="CC100" s="101"/>
      <c r="CD100" s="280"/>
      <c r="CE100" s="20"/>
      <c r="CF100" s="13"/>
      <c r="CG100" s="103"/>
      <c r="CH100" s="13"/>
      <c r="CI100" s="111"/>
      <c r="CJ100" s="101"/>
      <c r="CK100" s="101"/>
      <c r="CL100" s="280"/>
      <c r="CM100" s="266" t="s">
        <v>1396</v>
      </c>
      <c r="CN100" s="266" t="str">
        <f>CONCATENATE("Acceder al sistema Gemma con usuario y perfil activo para la funcionalidad modulo Maestro - Motivos Rechazos, colocando el Rechazo Descripcion en el filtro, ","",IF(AT100=1,"Agregar un registro","")," hacer clic en el boton ",IF(AU100=1,"Modificar, ","")," ",IF(AV100=1,"Eliminar un registro",""),"confirmar cambios, luego presionar ",IF(AZ100=1,"Exportar Documento Excel",""), ,IF(A100=1,"Link Nombre Distribuidor",""),""," ")</f>
        <v xml:space="preserve">Acceder al sistema Gemma con usuario y perfil activo para la funcionalidad modulo Maestro - Motivos Rechazos, colocando el Rechazo Descripcion en el filtro,  hacer clic en el boton Modificar,  confirmar cambios, luego presionar Exportar Documento Excel </v>
      </c>
      <c r="CO100" s="310" t="str">
        <f>CONCATENATE(" Validar funcionalidad  Motivos Rechazo ",IF(AT100=1,$AT$3,"")," ",IF(AU100=1,$AU$3,""),"",IF(AV100=1,$AV$3,"")," ",IF(AW100=1,$AW$4,"")," ",IF(AX100=1,$AX$4,""), " en el filtro una vez confirmado ", IF(AZ100=1,$AZ$2,"Sin Exportar Excel"),)</f>
        <v xml:space="preserve"> Validar funcionalidad  Motivos Rechazo  Modificar Con Valores  en el filtro una vez confirmado Exportar Excel </v>
      </c>
      <c r="CP100" s="267" t="s">
        <v>1341</v>
      </c>
    </row>
    <row r="101" spans="1:94" s="109" customFormat="1" ht="15" customHeight="1" x14ac:dyDescent="0.25">
      <c r="A101" s="23"/>
      <c r="B101" s="20"/>
      <c r="C101" s="13"/>
      <c r="D101" s="103"/>
      <c r="E101" s="13"/>
      <c r="F101" s="111"/>
      <c r="G101" s="111"/>
      <c r="H101" s="20"/>
      <c r="I101" s="13"/>
      <c r="J101" s="103"/>
      <c r="K101" s="103"/>
      <c r="L101" s="111"/>
      <c r="M101" s="101"/>
      <c r="N101" s="20"/>
      <c r="O101" s="13"/>
      <c r="P101" s="103"/>
      <c r="Q101" s="13"/>
      <c r="R101" s="111"/>
      <c r="S101" s="111"/>
      <c r="T101" s="20"/>
      <c r="U101" s="13"/>
      <c r="V101" s="103"/>
      <c r="W101" s="103"/>
      <c r="X101" s="111"/>
      <c r="Y101" s="111"/>
      <c r="Z101" s="280"/>
      <c r="AA101" s="20"/>
      <c r="AB101" s="13"/>
      <c r="AC101" s="103"/>
      <c r="AD101" s="13"/>
      <c r="AE101" s="111"/>
      <c r="AF101" s="111"/>
      <c r="AG101" s="20"/>
      <c r="AH101" s="13"/>
      <c r="AI101" s="103"/>
      <c r="AJ101" s="13"/>
      <c r="AK101" s="111"/>
      <c r="AL101" s="111"/>
      <c r="AM101" s="20"/>
      <c r="AN101" s="13"/>
      <c r="AO101" s="103"/>
      <c r="AP101" s="103"/>
      <c r="AQ101" s="111"/>
      <c r="AR101" s="101"/>
      <c r="AS101" s="280"/>
      <c r="AT101" s="20"/>
      <c r="AU101" s="13">
        <v>1</v>
      </c>
      <c r="AV101" s="103"/>
      <c r="AW101" s="13">
        <v>1</v>
      </c>
      <c r="AX101" s="111"/>
      <c r="AY101" s="111">
        <v>1</v>
      </c>
      <c r="AZ101" s="111"/>
      <c r="BA101" s="20"/>
      <c r="BB101" s="13"/>
      <c r="BC101" s="103"/>
      <c r="BD101" s="103"/>
      <c r="BE101" s="111"/>
      <c r="BF101" s="101"/>
      <c r="BG101" s="111"/>
      <c r="BH101" s="280"/>
      <c r="BI101" s="20"/>
      <c r="BJ101" s="13"/>
      <c r="BK101" s="103"/>
      <c r="BL101" s="103"/>
      <c r="BM101" s="103"/>
      <c r="BN101" s="111"/>
      <c r="BO101" s="101"/>
      <c r="BP101" s="280"/>
      <c r="BQ101" s="20"/>
      <c r="BR101" s="13"/>
      <c r="BS101" s="103"/>
      <c r="BT101" s="103"/>
      <c r="BU101" s="103"/>
      <c r="BV101" s="111"/>
      <c r="BW101" s="280"/>
      <c r="BX101" s="20"/>
      <c r="BY101" s="13"/>
      <c r="BZ101" s="103"/>
      <c r="CA101" s="13"/>
      <c r="CB101" s="111"/>
      <c r="CC101" s="101"/>
      <c r="CD101" s="280"/>
      <c r="CE101" s="20"/>
      <c r="CF101" s="13"/>
      <c r="CG101" s="103"/>
      <c r="CH101" s="13"/>
      <c r="CI101" s="111"/>
      <c r="CJ101" s="101"/>
      <c r="CK101" s="101"/>
      <c r="CL101" s="280"/>
      <c r="CM101" s="266" t="s">
        <v>623</v>
      </c>
      <c r="CN101" s="266" t="str">
        <f>CONCATENATE("Acceder al sistema Gemma con usuario y perfil activo para la funcionalidad modulo Maestro - Motivos Rechazos, ","",IF(AT101=1,"Agregar un registro","")," colocando el Rechazo Descripcion en el filtro, hacer clic en el boton ",IF(AU101=1,"Modificar, ","")," ",IF(AV101=1,"Eliminar","")," y Confirmar el cambio. ",IF(AZ101=1,"Exportar Documento Excel",""), "Luego seleccionar ",IF(AY101=1,"Link Nombre ","")," y Modificar el Registro, confirmar cambios.",IF(FZ116=1,$FZ$4,"")," ")</f>
        <v xml:space="preserve">Acceder al sistema Gemma con usuario y perfil activo para la funcionalidad modulo Maestro - Motivos Rechazos,  colocando el Rechazo Descripcion en el filtro, hacer clic en el boton Modificar,   y Confirmar el cambio. Luego seleccionar Link Nombre  y Modificar el Registro, confirmar cambios. </v>
      </c>
      <c r="CO101" s="310" t="str">
        <f>CONCATENATE(" Validar funcionalidad  Motivos Rechazo ",IF(AT101=1,$AT$3,"")," ",IF(AU101=1,$AU$3,""),"",IF(AV101=1,$AV$3,"")," ",IF(AW101=1,$AW$4,"")," ",IF(AX101=1,$AX$4,""), " en el filtro  ", IF(AZ101=1,$AZ$2,"Sin Exportar Excel"),)</f>
        <v xml:space="preserve"> Validar funcionalidad  Motivos Rechazo  Modificar Con Valores  en el filtro  Sin Exportar Excel</v>
      </c>
      <c r="CP101" s="267" t="s">
        <v>1341</v>
      </c>
    </row>
    <row r="102" spans="1:94" s="109" customFormat="1" ht="15" customHeight="1" x14ac:dyDescent="0.25">
      <c r="A102" s="23"/>
      <c r="B102" s="20"/>
      <c r="C102" s="13"/>
      <c r="D102" s="103"/>
      <c r="E102" s="13"/>
      <c r="F102" s="111"/>
      <c r="G102" s="111"/>
      <c r="H102" s="20"/>
      <c r="I102" s="13"/>
      <c r="J102" s="103"/>
      <c r="K102" s="103"/>
      <c r="L102" s="111"/>
      <c r="M102" s="101"/>
      <c r="N102" s="20"/>
      <c r="O102" s="13"/>
      <c r="P102" s="103"/>
      <c r="Q102" s="13"/>
      <c r="R102" s="111"/>
      <c r="S102" s="111"/>
      <c r="T102" s="20"/>
      <c r="U102" s="13"/>
      <c r="V102" s="103"/>
      <c r="W102" s="103"/>
      <c r="X102" s="111"/>
      <c r="Y102" s="111"/>
      <c r="Z102" s="280"/>
      <c r="AA102" s="20"/>
      <c r="AB102" s="13"/>
      <c r="AC102" s="103"/>
      <c r="AD102" s="13"/>
      <c r="AE102" s="111"/>
      <c r="AF102" s="111"/>
      <c r="AG102" s="20"/>
      <c r="AH102" s="13"/>
      <c r="AI102" s="103"/>
      <c r="AJ102" s="13"/>
      <c r="AK102" s="111"/>
      <c r="AL102" s="111"/>
      <c r="AM102" s="20"/>
      <c r="AN102" s="13"/>
      <c r="AO102" s="103"/>
      <c r="AP102" s="103"/>
      <c r="AQ102" s="111"/>
      <c r="AR102" s="101"/>
      <c r="AS102" s="280"/>
      <c r="AT102" s="20"/>
      <c r="AU102" s="13">
        <v>1</v>
      </c>
      <c r="AV102" s="103"/>
      <c r="AW102" s="13"/>
      <c r="AX102" s="111">
        <v>1</v>
      </c>
      <c r="AY102" s="111">
        <v>1</v>
      </c>
      <c r="AZ102" s="111"/>
      <c r="BA102" s="20"/>
      <c r="BB102" s="13"/>
      <c r="BC102" s="103"/>
      <c r="BD102" s="103"/>
      <c r="BE102" s="111"/>
      <c r="BF102" s="101"/>
      <c r="BG102" s="111"/>
      <c r="BH102" s="280"/>
      <c r="BI102" s="20"/>
      <c r="BJ102" s="13"/>
      <c r="BK102" s="103"/>
      <c r="BL102" s="103"/>
      <c r="BM102" s="103"/>
      <c r="BN102" s="111"/>
      <c r="BO102" s="101"/>
      <c r="BP102" s="280"/>
      <c r="BQ102" s="20"/>
      <c r="BR102" s="13"/>
      <c r="BS102" s="103"/>
      <c r="BT102" s="103"/>
      <c r="BU102" s="103"/>
      <c r="BV102" s="111"/>
      <c r="BW102" s="280"/>
      <c r="BX102" s="20"/>
      <c r="BY102" s="13"/>
      <c r="BZ102" s="103"/>
      <c r="CA102" s="13"/>
      <c r="CB102" s="111"/>
      <c r="CC102" s="101"/>
      <c r="CD102" s="280"/>
      <c r="CE102" s="20"/>
      <c r="CF102" s="13"/>
      <c r="CG102" s="103"/>
      <c r="CH102" s="13"/>
      <c r="CI102" s="111"/>
      <c r="CJ102" s="101"/>
      <c r="CK102" s="101"/>
      <c r="CL102" s="280"/>
      <c r="CM102" s="266" t="s">
        <v>624</v>
      </c>
      <c r="CN102" s="266" t="str">
        <f>CONCATENATE("Acceder al sistema Gemma con usuario y perfil activo para la funcionalidad modulo Maestro - Motivos Rechazos, ","",IF(AT102=1,"Agregar un registro","")," seleccionando el registro de la tabla consulta, hacer clic en el boton ",IF(AU102=1,"Modificar","")," ",IF(AV102=1,"Eliminar",""),"presionar el boton Confirmar. ",IF(AZ102=1,"Exportar Documento Excel","")," Luego presionar el ",IF(AY102=1,"Link Nombre ","")," y eliminar el registro."," ")</f>
        <v xml:space="preserve">Acceder al sistema Gemma con usuario y perfil activo para la funcionalidad modulo Maestro - Motivos Rechazos,  seleccionando el registro de la tabla consulta, hacer clic en el boton Modificar presionar el boton Confirmar.  Luego presionar el Link Nombre  y eliminar el registro. </v>
      </c>
      <c r="CO102" s="310" t="str">
        <f>CONCATENATE(" Validar funcionalidad  Motivos Rechazo ",IF(AT102=1,$AT$3,"")," ",IF(AU102=1,$AU$3,""),"",IF(AV102=1,$AV$3,"")," ",IF(AW102=1,$AW$4,"")," ",IF(AX102=1,$AX$4,""), " en el filtro  ", IF(AZ102=1,$AZ$2,"Sin Exportar Excel"),)</f>
        <v xml:space="preserve"> Validar funcionalidad  Motivos Rechazo  Modificar  Sin Valores en el filtro  Sin Exportar Excel</v>
      </c>
      <c r="CP102" s="267" t="s">
        <v>1341</v>
      </c>
    </row>
    <row r="103" spans="1:94" s="109" customFormat="1" ht="15" customHeight="1" x14ac:dyDescent="0.25">
      <c r="A103" s="23"/>
      <c r="B103" s="20"/>
      <c r="C103" s="13"/>
      <c r="D103" s="13"/>
      <c r="E103" s="13"/>
      <c r="F103" s="111"/>
      <c r="G103" s="111"/>
      <c r="H103" s="20"/>
      <c r="I103" s="13"/>
      <c r="J103" s="103"/>
      <c r="K103" s="103"/>
      <c r="L103" s="111"/>
      <c r="M103" s="101"/>
      <c r="N103" s="20"/>
      <c r="O103" s="13"/>
      <c r="P103" s="13"/>
      <c r="Q103" s="13"/>
      <c r="R103" s="111"/>
      <c r="S103" s="111"/>
      <c r="T103" s="20"/>
      <c r="U103" s="13"/>
      <c r="V103" s="103"/>
      <c r="W103" s="103"/>
      <c r="X103" s="111"/>
      <c r="Y103" s="111"/>
      <c r="Z103" s="280"/>
      <c r="AA103" s="20"/>
      <c r="AB103" s="13"/>
      <c r="AC103" s="13"/>
      <c r="AD103" s="13"/>
      <c r="AE103" s="111"/>
      <c r="AF103" s="111"/>
      <c r="AG103" s="20"/>
      <c r="AH103" s="13"/>
      <c r="AI103" s="13"/>
      <c r="AJ103" s="13"/>
      <c r="AK103" s="111"/>
      <c r="AL103" s="111"/>
      <c r="AM103" s="20"/>
      <c r="AN103" s="13"/>
      <c r="AO103" s="103"/>
      <c r="AP103" s="103"/>
      <c r="AQ103" s="111"/>
      <c r="AR103" s="101"/>
      <c r="AS103" s="280"/>
      <c r="AT103" s="20"/>
      <c r="AU103" s="13"/>
      <c r="AV103" s="13">
        <v>1</v>
      </c>
      <c r="AW103" s="13">
        <v>1</v>
      </c>
      <c r="AX103" s="111"/>
      <c r="AY103" s="111"/>
      <c r="AZ103" s="111">
        <v>1</v>
      </c>
      <c r="BA103" s="20"/>
      <c r="BB103" s="13"/>
      <c r="BC103" s="103"/>
      <c r="BD103" s="103"/>
      <c r="BE103" s="111"/>
      <c r="BF103" s="101"/>
      <c r="BG103" s="111"/>
      <c r="BH103" s="280"/>
      <c r="BI103" s="20"/>
      <c r="BJ103" s="13"/>
      <c r="BK103" s="103"/>
      <c r="BL103" s="103"/>
      <c r="BM103" s="103"/>
      <c r="BN103" s="111"/>
      <c r="BO103" s="101"/>
      <c r="BP103" s="280"/>
      <c r="BQ103" s="20"/>
      <c r="BR103" s="13"/>
      <c r="BS103" s="103"/>
      <c r="BT103" s="103"/>
      <c r="BU103" s="103"/>
      <c r="BV103" s="111"/>
      <c r="BW103" s="280"/>
      <c r="BX103" s="20"/>
      <c r="BY103" s="13"/>
      <c r="BZ103" s="13"/>
      <c r="CA103" s="13"/>
      <c r="CB103" s="111"/>
      <c r="CC103" s="101"/>
      <c r="CD103" s="280"/>
      <c r="CE103" s="20"/>
      <c r="CF103" s="13"/>
      <c r="CG103" s="13"/>
      <c r="CH103" s="13"/>
      <c r="CI103" s="111"/>
      <c r="CJ103" s="101"/>
      <c r="CK103" s="101"/>
      <c r="CL103" s="280"/>
      <c r="CM103" s="266" t="s">
        <v>1397</v>
      </c>
      <c r="CN103" s="266" t="str">
        <f>CONCATENATE("Acceder al sistema Gemma con usuario y perfil activo para la funcionalidad modulo Maestro - Motivos Rechazos, colocando la Rechazo Descripcion en el filtro, ","",IF(AT103=1,"Agregar un registro","")," hacer clic en el boton ",IF(AU103=1,"Modificar, ","")," ",IF(AV103=1,"Eliminar ",""),"confirmar, luego presionar ",IF(AZ103=1,"Exportar Documento Excel",""), ,IF(AR103=1,"Link Nombre Distribuidor",""),"",IF(FZ118=1,$FZ$4,"")," ")</f>
        <v xml:space="preserve">Acceder al sistema Gemma con usuario y perfil activo para la funcionalidad modulo Maestro - Motivos Rechazos, colocando la Rechazo Descripcion en el filtro,  hacer clic en el boton  Eliminar confirmar, luego presionar Exportar Documento Excel </v>
      </c>
      <c r="CO103" s="310" t="str">
        <f>CONCATENATE(" Validar funcionalidad  Motivos Rechazo ",IF(AT103=1,$AT$3,"")," ",IF(AU103=1,$AU$3,""),"",IF(AV103=1,$AV$3,"")," ",IF(AW103=1,$AW$4,"")," ",IF(AX103=1,$AX$4,""), " en el filtro una vez confirmado ", IF(AZ103=1,$AZ$2,"Sin Exportar Excel"),)</f>
        <v xml:space="preserve"> Validar funcionalidad  Motivos Rechazo  Eliminar Con Valores  en el filtro una vez confirmado Exportar Excel </v>
      </c>
      <c r="CP103" s="267" t="s">
        <v>1333</v>
      </c>
    </row>
    <row r="104" spans="1:94" s="109" customFormat="1" ht="15" customHeight="1" x14ac:dyDescent="0.25">
      <c r="A104" s="23"/>
      <c r="B104" s="20"/>
      <c r="C104" s="13"/>
      <c r="D104" s="13"/>
      <c r="E104" s="13"/>
      <c r="F104" s="111"/>
      <c r="G104" s="111"/>
      <c r="H104" s="20"/>
      <c r="I104" s="13"/>
      <c r="J104" s="103"/>
      <c r="K104" s="103"/>
      <c r="L104" s="111"/>
      <c r="M104" s="101"/>
      <c r="N104" s="20"/>
      <c r="O104" s="13"/>
      <c r="P104" s="13"/>
      <c r="Q104" s="13"/>
      <c r="R104" s="111"/>
      <c r="S104" s="111"/>
      <c r="T104" s="20"/>
      <c r="U104" s="13"/>
      <c r="V104" s="103"/>
      <c r="W104" s="103"/>
      <c r="X104" s="111"/>
      <c r="Y104" s="111"/>
      <c r="Z104" s="280"/>
      <c r="AA104" s="20"/>
      <c r="AB104" s="13"/>
      <c r="AC104" s="13"/>
      <c r="AD104" s="13"/>
      <c r="AE104" s="111"/>
      <c r="AF104" s="111"/>
      <c r="AG104" s="20"/>
      <c r="AH104" s="13"/>
      <c r="AI104" s="13"/>
      <c r="AJ104" s="13"/>
      <c r="AK104" s="111"/>
      <c r="AL104" s="111"/>
      <c r="AM104" s="20"/>
      <c r="AN104" s="13"/>
      <c r="AO104" s="103"/>
      <c r="AP104" s="103"/>
      <c r="AQ104" s="111"/>
      <c r="AR104" s="101"/>
      <c r="AS104" s="280"/>
      <c r="AT104" s="20"/>
      <c r="AU104" s="13"/>
      <c r="AV104" s="13">
        <v>1</v>
      </c>
      <c r="AW104" s="13">
        <v>1</v>
      </c>
      <c r="AX104" s="111"/>
      <c r="AY104" s="111">
        <v>1</v>
      </c>
      <c r="AZ104" s="111"/>
      <c r="BA104" s="20"/>
      <c r="BB104" s="13"/>
      <c r="BC104" s="103"/>
      <c r="BD104" s="103"/>
      <c r="BE104" s="111"/>
      <c r="BF104" s="101"/>
      <c r="BG104" s="111"/>
      <c r="BH104" s="280"/>
      <c r="BI104" s="20"/>
      <c r="BJ104" s="13"/>
      <c r="BK104" s="103"/>
      <c r="BL104" s="103"/>
      <c r="BM104" s="103"/>
      <c r="BN104" s="111"/>
      <c r="BO104" s="101"/>
      <c r="BP104" s="280"/>
      <c r="BQ104" s="20"/>
      <c r="BR104" s="13"/>
      <c r="BS104" s="103"/>
      <c r="BT104" s="103"/>
      <c r="BU104" s="103"/>
      <c r="BV104" s="111"/>
      <c r="BW104" s="280"/>
      <c r="BX104" s="20"/>
      <c r="BY104" s="13"/>
      <c r="BZ104" s="13"/>
      <c r="CA104" s="13"/>
      <c r="CB104" s="111"/>
      <c r="CC104" s="101"/>
      <c r="CD104" s="280"/>
      <c r="CE104" s="20"/>
      <c r="CF104" s="13"/>
      <c r="CG104" s="13"/>
      <c r="CH104" s="13"/>
      <c r="CI104" s="111"/>
      <c r="CJ104" s="101"/>
      <c r="CK104" s="101"/>
      <c r="CL104" s="280"/>
      <c r="CM104" s="266" t="s">
        <v>625</v>
      </c>
      <c r="CN104" s="266" t="str">
        <f>CONCATENATE("Acceder al sistema Gemma con usuario y perfil activo para la funcionalidad modulo Maestro - Motivos Rechazos, ","",IF(AT104=1,"Agregar un registro","")," colocando la Rechazo descripcion en el filtro, hacer clic en el ", IF(AY104=1,"Link Nombre","")," y Modificar el Registro, Regresar a la Pantalla y hacer clic en el boton ",IF(AU104=1,"Modificar, ","")," ",IF(AV104=1,"Eliminar","")," y luego Confirmar. ",IF(AZ104=1,"Exportar Documento Excel",""),"")</f>
        <v xml:space="preserve">Acceder al sistema Gemma con usuario y perfil activo para la funcionalidad modulo Maestro - Motivos Rechazos,  colocando la Rechazo descripcion en el filtro, hacer clic en el Link Nombre y Modificar el Registro, Regresar a la Pantalla y hacer clic en el boton  Eliminar y luego Confirmar. </v>
      </c>
      <c r="CO104" s="310" t="str">
        <f>CONCATENATE(" Validar funcionalidad  Motivos Rechazo ",IF(AT104=1,$AT$3,"")," ",IF(AU104=1,$AU$3,""),"",IF(AV104=1,$AV$3,"")," ",IF(AW104=1,$AW$4,"")," ",IF(AX104=1,$AX$4,""), " en el filtro ", IF(AZ104=1,$AZ$2,"Sin Exportar Excel"),)</f>
        <v xml:space="preserve"> Validar funcionalidad  Motivos Rechazo  Eliminar Con Valores  en el filtro Sin Exportar Excel</v>
      </c>
      <c r="CP104" s="267" t="s">
        <v>1333</v>
      </c>
    </row>
    <row r="105" spans="1:94" s="109" customFormat="1" x14ac:dyDescent="0.25">
      <c r="A105" s="23"/>
      <c r="B105" s="291"/>
      <c r="C105" s="272"/>
      <c r="D105" s="272"/>
      <c r="E105" s="272"/>
      <c r="F105" s="273"/>
      <c r="G105" s="273"/>
      <c r="H105" s="291"/>
      <c r="I105" s="272"/>
      <c r="J105" s="318"/>
      <c r="K105" s="318"/>
      <c r="L105" s="273"/>
      <c r="M105" s="297"/>
      <c r="N105" s="291"/>
      <c r="O105" s="272"/>
      <c r="P105" s="272"/>
      <c r="Q105" s="272"/>
      <c r="R105" s="273"/>
      <c r="S105" s="273"/>
      <c r="T105" s="291"/>
      <c r="U105" s="272"/>
      <c r="V105" s="318"/>
      <c r="W105" s="318"/>
      <c r="X105" s="273"/>
      <c r="Y105" s="273"/>
      <c r="Z105" s="316"/>
      <c r="AA105" s="291"/>
      <c r="AB105" s="272"/>
      <c r="AC105" s="272"/>
      <c r="AD105" s="272"/>
      <c r="AE105" s="273"/>
      <c r="AF105" s="273"/>
      <c r="AG105" s="291"/>
      <c r="AH105" s="272"/>
      <c r="AI105" s="272"/>
      <c r="AJ105" s="272"/>
      <c r="AK105" s="273"/>
      <c r="AL105" s="273"/>
      <c r="AM105" s="291"/>
      <c r="AN105" s="272"/>
      <c r="AO105" s="318"/>
      <c r="AP105" s="318"/>
      <c r="AQ105" s="273"/>
      <c r="AR105" s="297"/>
      <c r="AS105" s="316"/>
      <c r="AT105" s="291"/>
      <c r="AU105" s="272"/>
      <c r="AV105" s="272">
        <v>1</v>
      </c>
      <c r="AW105" s="272"/>
      <c r="AX105" s="273">
        <v>1</v>
      </c>
      <c r="AY105" s="273"/>
      <c r="AZ105" s="273"/>
      <c r="BA105" s="291"/>
      <c r="BB105" s="272"/>
      <c r="BC105" s="318"/>
      <c r="BD105" s="318"/>
      <c r="BE105" s="273"/>
      <c r="BF105" s="297"/>
      <c r="BG105" s="273"/>
      <c r="BH105" s="316"/>
      <c r="BI105" s="291"/>
      <c r="BJ105" s="272"/>
      <c r="BK105" s="318"/>
      <c r="BL105" s="318"/>
      <c r="BM105" s="318"/>
      <c r="BN105" s="273"/>
      <c r="BO105" s="297"/>
      <c r="BP105" s="316"/>
      <c r="BQ105" s="291"/>
      <c r="BR105" s="272"/>
      <c r="BS105" s="318"/>
      <c r="BT105" s="318"/>
      <c r="BU105" s="318"/>
      <c r="BV105" s="273"/>
      <c r="BW105" s="316"/>
      <c r="BX105" s="291"/>
      <c r="BY105" s="272"/>
      <c r="BZ105" s="272"/>
      <c r="CA105" s="272"/>
      <c r="CB105" s="273"/>
      <c r="CC105" s="297"/>
      <c r="CD105" s="316"/>
      <c r="CE105" s="291"/>
      <c r="CF105" s="272"/>
      <c r="CG105" s="272"/>
      <c r="CH105" s="272"/>
      <c r="CI105" s="273"/>
      <c r="CJ105" s="297"/>
      <c r="CK105" s="297"/>
      <c r="CL105" s="316"/>
      <c r="CM105" s="266" t="s">
        <v>626</v>
      </c>
      <c r="CN105" s="266" t="str">
        <f>CONCATENATE("Acceder al sistema Gemma con usuario y perfil activo para la funcionalidad modulo Maestro - Motivos Rechazos, ","",IF(AT105=1,"Agregar un registro","")," seleccionando el registro de la tabla consulta, hacer clic en el boton ",IF(AU105=1,"Modificar","")," ",IF(AV105=1,"Eliminar","")," ",IF(AZ105=1,"Exportar Documento Excel",""), ,IF(A105=1,"Link Nombre Distribuidor",""),"presionar el boton Confirmar.",IF(FZ120=1,$FZ$4,"")," ")</f>
        <v xml:space="preserve">Acceder al sistema Gemma con usuario y perfil activo para la funcionalidad modulo Maestro - Motivos Rechazos,  seleccionando el registro de la tabla consulta, hacer clic en el boton  Eliminar presionar el boton Confirmar. </v>
      </c>
      <c r="CO105" s="310" t="str">
        <f>CONCATENATE(" Validar funcionalidad  Motivos Rechazo ",IF(AT105=1,$AT$3,"")," ",IF(AU105=1,$AU$3,""),"",IF(AV105=1,$AV$3,"")," ",IF(AW105=1,$AW$4,"")," ",IF(AX105=1,$AX$4,""), " en el filtro ", IF(AZ105=1,$AZ$2,"Sin Exportar Excel"),)</f>
        <v xml:space="preserve"> Validar funcionalidad  Motivos Rechazo  Eliminar  Sin Valores en el filtro Sin Exportar Excel</v>
      </c>
      <c r="CP105" s="267" t="s">
        <v>1333</v>
      </c>
    </row>
    <row r="106" spans="1:94" s="109" customFormat="1" ht="15.75" thickBot="1" x14ac:dyDescent="0.3">
      <c r="A106" s="23"/>
      <c r="B106" s="346"/>
      <c r="C106" s="27"/>
      <c r="D106" s="27"/>
      <c r="E106" s="27"/>
      <c r="F106" s="26"/>
      <c r="G106" s="347"/>
      <c r="H106" s="346"/>
      <c r="I106" s="27"/>
      <c r="J106" s="348"/>
      <c r="K106" s="348"/>
      <c r="L106" s="26"/>
      <c r="M106" s="349"/>
      <c r="N106" s="346"/>
      <c r="O106" s="27"/>
      <c r="P106" s="27"/>
      <c r="Q106" s="27"/>
      <c r="R106" s="26"/>
      <c r="S106" s="347"/>
      <c r="T106" s="346"/>
      <c r="U106" s="27"/>
      <c r="V106" s="348"/>
      <c r="W106" s="348"/>
      <c r="X106" s="26"/>
      <c r="Y106" s="26"/>
      <c r="Z106" s="347"/>
      <c r="AA106" s="346"/>
      <c r="AB106" s="27"/>
      <c r="AC106" s="27"/>
      <c r="AD106" s="27"/>
      <c r="AE106" s="26"/>
      <c r="AF106" s="347"/>
      <c r="AG106" s="346"/>
      <c r="AH106" s="27"/>
      <c r="AI106" s="27"/>
      <c r="AJ106" s="27"/>
      <c r="AK106" s="26"/>
      <c r="AL106" s="347"/>
      <c r="AM106" s="346"/>
      <c r="AN106" s="27"/>
      <c r="AO106" s="348"/>
      <c r="AP106" s="348"/>
      <c r="AQ106" s="26"/>
      <c r="AR106" s="349"/>
      <c r="AS106" s="347"/>
      <c r="AT106" s="346"/>
      <c r="AU106" s="27"/>
      <c r="AV106" s="27"/>
      <c r="AW106" s="27"/>
      <c r="AX106" s="26"/>
      <c r="AY106" s="349"/>
      <c r="AZ106" s="347">
        <v>1</v>
      </c>
      <c r="BA106" s="346"/>
      <c r="BB106" s="27"/>
      <c r="BC106" s="348"/>
      <c r="BD106" s="348"/>
      <c r="BE106" s="26"/>
      <c r="BF106" s="349"/>
      <c r="BG106" s="349"/>
      <c r="BH106" s="347"/>
      <c r="BI106" s="346"/>
      <c r="BJ106" s="27"/>
      <c r="BK106" s="348"/>
      <c r="BL106" s="348"/>
      <c r="BM106" s="348"/>
      <c r="BN106" s="26"/>
      <c r="BO106" s="349"/>
      <c r="BP106" s="347"/>
      <c r="BQ106" s="346"/>
      <c r="BR106" s="27"/>
      <c r="BS106" s="348"/>
      <c r="BT106" s="348"/>
      <c r="BU106" s="348"/>
      <c r="BV106" s="26"/>
      <c r="BW106" s="347"/>
      <c r="BX106" s="346"/>
      <c r="BY106" s="27"/>
      <c r="BZ106" s="27"/>
      <c r="CA106" s="27"/>
      <c r="CB106" s="26"/>
      <c r="CC106" s="349"/>
      <c r="CD106" s="347"/>
      <c r="CE106" s="346"/>
      <c r="CF106" s="27"/>
      <c r="CG106" s="27"/>
      <c r="CH106" s="27"/>
      <c r="CI106" s="26"/>
      <c r="CJ106" s="349"/>
      <c r="CK106" s="349"/>
      <c r="CL106" s="347"/>
      <c r="CM106" s="266" t="s">
        <v>627</v>
      </c>
      <c r="CN106" s="266" t="str">
        <f>CONCATENATE("Acceder al sistema Gemma con usuario y perfil activo para la funcionalidad modulo Maestro - Motivos Rechazos, ","",IF(AG106=1,"Agregar un registro","")," sin datos en el filtro, presionar ",IF(AH106=1,"Modificar","")," ",IF(AI106=1,"Eliminar","")," ",IF(AZ106=1,"Exportar Documento Excel",""), ,IF(A106=1,"Link Nombre Distribuidor",""),"")</f>
        <v>Acceder al sistema Gemma con usuario y perfil activo para la funcionalidad modulo Maestro - Motivos Rechazos,  sin datos en el filtro, presionar   Exportar Documento Excel</v>
      </c>
      <c r="CO106" s="310" t="str">
        <f>CONCATENATE(" Validar funcionalidad  Motivos Rechazo ",IF(AT106=1,$AT$3,""),"",IF(AU106=1,$AU$3,""),"",IF(AV106=1,$AV$3,""),"",IF(AW106=1,$AW$4,"")," ",IF(AX106=1,$AX$4,""), "", IF(AZ106=1,$AZ$2,"Sin Exportar Excel"),)</f>
        <v xml:space="preserve"> Validar funcionalidad  Motivos Rechazo  Exportar Excel </v>
      </c>
      <c r="CP106" s="267" t="s">
        <v>1342</v>
      </c>
    </row>
    <row r="107" spans="1:94" s="109" customFormat="1" ht="15.75" thickTop="1" x14ac:dyDescent="0.25">
      <c r="A107" s="23"/>
      <c r="B107" s="105"/>
      <c r="C107" s="25"/>
      <c r="D107" s="25"/>
      <c r="E107" s="25"/>
      <c r="F107" s="24"/>
      <c r="G107" s="279"/>
      <c r="H107" s="105"/>
      <c r="I107" s="25"/>
      <c r="J107" s="345"/>
      <c r="K107" s="345"/>
      <c r="L107" s="24"/>
      <c r="M107" s="100"/>
      <c r="N107" s="105"/>
      <c r="O107" s="25"/>
      <c r="P107" s="25"/>
      <c r="Q107" s="25"/>
      <c r="R107" s="24"/>
      <c r="S107" s="279"/>
      <c r="T107" s="105"/>
      <c r="U107" s="25"/>
      <c r="V107" s="345"/>
      <c r="W107" s="345"/>
      <c r="X107" s="24"/>
      <c r="Y107" s="24"/>
      <c r="Z107" s="279"/>
      <c r="AA107" s="105"/>
      <c r="AB107" s="25"/>
      <c r="AC107" s="25"/>
      <c r="AD107" s="25"/>
      <c r="AE107" s="24"/>
      <c r="AF107" s="279"/>
      <c r="AG107" s="105"/>
      <c r="AH107" s="25"/>
      <c r="AI107" s="25"/>
      <c r="AJ107" s="25"/>
      <c r="AK107" s="24"/>
      <c r="AL107" s="279"/>
      <c r="AM107" s="105"/>
      <c r="AN107" s="25"/>
      <c r="AO107" s="345"/>
      <c r="AP107" s="345"/>
      <c r="AQ107" s="24"/>
      <c r="AR107" s="100"/>
      <c r="AS107" s="279"/>
      <c r="AT107" s="105">
        <v>1</v>
      </c>
      <c r="AU107" s="25"/>
      <c r="AV107" s="25"/>
      <c r="AW107" s="25">
        <v>1</v>
      </c>
      <c r="AX107" s="24"/>
      <c r="AY107" s="100"/>
      <c r="AZ107" s="279"/>
      <c r="BA107" s="105"/>
      <c r="BB107" s="25"/>
      <c r="BC107" s="345"/>
      <c r="BD107" s="345"/>
      <c r="BE107" s="24"/>
      <c r="BF107" s="100"/>
      <c r="BG107" s="100"/>
      <c r="BH107" s="279"/>
      <c r="BI107" s="105"/>
      <c r="BJ107" s="25"/>
      <c r="BK107" s="345"/>
      <c r="BL107" s="345"/>
      <c r="BM107" s="345"/>
      <c r="BN107" s="24"/>
      <c r="BO107" s="100"/>
      <c r="BP107" s="279"/>
      <c r="BQ107" s="105"/>
      <c r="BR107" s="25"/>
      <c r="BS107" s="345"/>
      <c r="BT107" s="345"/>
      <c r="BU107" s="345"/>
      <c r="BV107" s="24"/>
      <c r="BW107" s="279"/>
      <c r="BX107" s="105"/>
      <c r="BY107" s="25"/>
      <c r="BZ107" s="25"/>
      <c r="CA107" s="25"/>
      <c r="CB107" s="24"/>
      <c r="CC107" s="100"/>
      <c r="CD107" s="279"/>
      <c r="CE107" s="105"/>
      <c r="CF107" s="25"/>
      <c r="CG107" s="25"/>
      <c r="CH107" s="25"/>
      <c r="CI107" s="24"/>
      <c r="CJ107" s="100"/>
      <c r="CK107" s="100"/>
      <c r="CL107" s="279"/>
      <c r="CM107" s="266" t="s">
        <v>1409</v>
      </c>
      <c r="CN107" s="266" t="str">
        <f>CONCATENATE("Acceder al sistema Gemma con usuario y perfil activo para la funcionalidad modulo Maestro - Motivos Rechazos, ","",IF(H107=1,"Agregar un registro","")," colocando Rechazo Id existente, Confirmar.",IF(I107=1,"Modificar","")," ",IF(J107=1,"Eliminar","")," ",IF(M107=1,"Exportar Documento Excel",""), ,IF(A107=1,"Link Nombre Distribuidor",""),"",IF(FZ122=1,$FZ$4,"")," ")</f>
        <v xml:space="preserve">Acceder al sistema Gemma con usuario y perfil activo para la funcionalidad modulo Maestro - Motivos Rechazos,  colocando Rechazo Id existente, Confirmar.   </v>
      </c>
      <c r="CO107" s="310" t="str">
        <f>CONCATENATE(" Validar funcionalidad  Motivos Rechazo ",IF(AT107=1,$AT$3,""),"",IF(AU107=1,$AU$3,""),"",IF(AV107=1,$AV$3,"")," ",IF(AW107=1,$AW$4,"")," ",IF(AX107=1,$AX$4,""), " de Rechazi id Repetidos.", IF(AZ107=1,$AZ$2,""),)</f>
        <v xml:space="preserve"> Validar funcionalidad  Motivos Rechazo Agregar Con Valores  de Rechazi id Repetidos.</v>
      </c>
      <c r="CP107" s="267" t="s">
        <v>1408</v>
      </c>
    </row>
    <row r="108" spans="1:94" s="109" customFormat="1" x14ac:dyDescent="0.25">
      <c r="A108" s="23"/>
      <c r="B108" s="105"/>
      <c r="C108" s="25"/>
      <c r="D108" s="25"/>
      <c r="E108" s="25"/>
      <c r="F108" s="24"/>
      <c r="G108" s="279"/>
      <c r="H108" s="105"/>
      <c r="I108" s="25"/>
      <c r="J108" s="345"/>
      <c r="K108" s="345"/>
      <c r="L108" s="24"/>
      <c r="M108" s="100"/>
      <c r="N108" s="105"/>
      <c r="O108" s="25"/>
      <c r="P108" s="25"/>
      <c r="Q108" s="25"/>
      <c r="R108" s="24"/>
      <c r="S108" s="279"/>
      <c r="T108" s="105"/>
      <c r="U108" s="25"/>
      <c r="V108" s="345"/>
      <c r="W108" s="345"/>
      <c r="X108" s="24"/>
      <c r="Y108" s="24"/>
      <c r="Z108" s="279"/>
      <c r="AA108" s="105"/>
      <c r="AB108" s="25"/>
      <c r="AC108" s="25"/>
      <c r="AD108" s="25"/>
      <c r="AE108" s="24"/>
      <c r="AF108" s="279"/>
      <c r="AG108" s="105"/>
      <c r="AH108" s="25"/>
      <c r="AI108" s="25"/>
      <c r="AJ108" s="25"/>
      <c r="AK108" s="24"/>
      <c r="AL108" s="279"/>
      <c r="AM108" s="105"/>
      <c r="AN108" s="25"/>
      <c r="AO108" s="345"/>
      <c r="AP108" s="345"/>
      <c r="AQ108" s="24"/>
      <c r="AR108" s="100"/>
      <c r="AS108" s="279"/>
      <c r="AT108" s="105">
        <v>1</v>
      </c>
      <c r="AU108" s="25"/>
      <c r="AV108" s="25"/>
      <c r="AW108" s="25">
        <v>1</v>
      </c>
      <c r="AX108" s="24">
        <v>1</v>
      </c>
      <c r="AY108" s="100"/>
      <c r="AZ108" s="279"/>
      <c r="BA108" s="105"/>
      <c r="BB108" s="25"/>
      <c r="BC108" s="345"/>
      <c r="BD108" s="345"/>
      <c r="BE108" s="24"/>
      <c r="BF108" s="100"/>
      <c r="BG108" s="100"/>
      <c r="BH108" s="279"/>
      <c r="BI108" s="105"/>
      <c r="BJ108" s="25"/>
      <c r="BK108" s="345"/>
      <c r="BL108" s="345"/>
      <c r="BM108" s="345"/>
      <c r="BN108" s="24"/>
      <c r="BO108" s="100"/>
      <c r="BP108" s="279"/>
      <c r="BQ108" s="105"/>
      <c r="BR108" s="25"/>
      <c r="BS108" s="345"/>
      <c r="BT108" s="345"/>
      <c r="BU108" s="345"/>
      <c r="BV108" s="24"/>
      <c r="BW108" s="279"/>
      <c r="BX108" s="105"/>
      <c r="BY108" s="25"/>
      <c r="BZ108" s="25"/>
      <c r="CA108" s="25"/>
      <c r="CB108" s="24"/>
      <c r="CC108" s="100"/>
      <c r="CD108" s="279"/>
      <c r="CE108" s="105"/>
      <c r="CF108" s="25"/>
      <c r="CG108" s="25"/>
      <c r="CH108" s="25"/>
      <c r="CI108" s="24"/>
      <c r="CJ108" s="100"/>
      <c r="CK108" s="100"/>
      <c r="CL108" s="279"/>
      <c r="CM108" s="266" t="s">
        <v>1399</v>
      </c>
      <c r="CN108" s="266" t="str">
        <f>CONCATENATE("Acceder al sistema Gemma con usuario y perfil activo para la funcionalidad modulo Maestro - Motivos Rechazos, ","",IF(H108=1,"Agregar un registro","")," sin datos en el Rechazo descripcion y presionar Confirmar.",IF(I108=1,"Modificar","")," ",IF(J108=1,"Eliminar","")," ",IF(M108=1,"Exportar Documento Excel",""), ,IF(A108=1,"Link Nombre Distribuidor",""),"",IF(FZ123=1,$FZ$4,"")," ")</f>
        <v xml:space="preserve">Acceder al sistema Gemma con usuario y perfil activo para la funcionalidad modulo Maestro - Motivos Rechazos,  sin datos en el Rechazo descripcion y presionar Confirmar.   </v>
      </c>
      <c r="CO108" s="310" t="str">
        <f>CONCATENATE(" Validar funcionalidad  Motivos Rechazo ",IF(AT108=1,$AT$3,""),"",IF(AU108=1,$AU$3,""),"",IF(AV108=1,$AV$3,"")," ",IF(AW108=1,$AW$4,""),"de Rechazo Id ",IF(AX108=1,$AX$4,""), " del campo Rechazo descripcion", IF(AZ108=1,$AZ$2,""),)</f>
        <v xml:space="preserve"> Validar funcionalidad  Motivos Rechazo Agregar Con Valoresde Rechazo Id Sin Valores del campo Rechazo descripcion</v>
      </c>
      <c r="CP108" s="267" t="s">
        <v>1375</v>
      </c>
    </row>
    <row r="109" spans="1:94" s="109" customFormat="1" x14ac:dyDescent="0.25">
      <c r="A109" s="23"/>
      <c r="B109" s="105"/>
      <c r="C109" s="25"/>
      <c r="D109" s="25"/>
      <c r="E109" s="25"/>
      <c r="F109" s="24"/>
      <c r="G109" s="279"/>
      <c r="H109" s="105"/>
      <c r="I109" s="25"/>
      <c r="J109" s="345"/>
      <c r="K109" s="345"/>
      <c r="L109" s="24"/>
      <c r="M109" s="100"/>
      <c r="N109" s="105"/>
      <c r="O109" s="25"/>
      <c r="P109" s="25"/>
      <c r="Q109" s="25"/>
      <c r="R109" s="24"/>
      <c r="S109" s="279"/>
      <c r="T109" s="105"/>
      <c r="U109" s="25"/>
      <c r="V109" s="345"/>
      <c r="W109" s="345"/>
      <c r="X109" s="24"/>
      <c r="Y109" s="24"/>
      <c r="Z109" s="307"/>
      <c r="AA109" s="105"/>
      <c r="AB109" s="25"/>
      <c r="AC109" s="25"/>
      <c r="AD109" s="25"/>
      <c r="AE109" s="24"/>
      <c r="AF109" s="279"/>
      <c r="AG109" s="105"/>
      <c r="AH109" s="25"/>
      <c r="AI109" s="25"/>
      <c r="AJ109" s="25"/>
      <c r="AK109" s="24"/>
      <c r="AL109" s="279"/>
      <c r="AM109" s="105"/>
      <c r="AN109" s="25"/>
      <c r="AO109" s="345"/>
      <c r="AP109" s="345"/>
      <c r="AQ109" s="24"/>
      <c r="AR109" s="100"/>
      <c r="AS109" s="279"/>
      <c r="AT109" s="105"/>
      <c r="AU109" s="25"/>
      <c r="AV109" s="25"/>
      <c r="AW109" s="25">
        <v>1</v>
      </c>
      <c r="AX109" s="24"/>
      <c r="AY109" s="100"/>
      <c r="AZ109" s="279"/>
      <c r="BA109" s="105"/>
      <c r="BB109" s="25"/>
      <c r="BC109" s="345"/>
      <c r="BD109" s="345"/>
      <c r="BE109" s="24"/>
      <c r="BF109" s="100"/>
      <c r="BG109" s="100"/>
      <c r="BH109" s="279"/>
      <c r="BI109" s="105"/>
      <c r="BJ109" s="25"/>
      <c r="BK109" s="345"/>
      <c r="BL109" s="345"/>
      <c r="BM109" s="345"/>
      <c r="BN109" s="24"/>
      <c r="BO109" s="100"/>
      <c r="BP109" s="279"/>
      <c r="BQ109" s="105"/>
      <c r="BR109" s="25"/>
      <c r="BS109" s="345"/>
      <c r="BT109" s="345"/>
      <c r="BU109" s="345"/>
      <c r="BV109" s="24"/>
      <c r="BW109" s="279"/>
      <c r="BX109" s="105"/>
      <c r="BY109" s="25"/>
      <c r="BZ109" s="25"/>
      <c r="CA109" s="25"/>
      <c r="CB109" s="24"/>
      <c r="CC109" s="100"/>
      <c r="CD109" s="279"/>
      <c r="CE109" s="105"/>
      <c r="CF109" s="25"/>
      <c r="CG109" s="25"/>
      <c r="CH109" s="25"/>
      <c r="CI109" s="24"/>
      <c r="CJ109" s="100"/>
      <c r="CK109" s="100"/>
      <c r="CL109" s="279"/>
      <c r="CM109" s="266" t="s">
        <v>1401</v>
      </c>
      <c r="CN109" s="266" t="s">
        <v>1407</v>
      </c>
      <c r="CO109" s="310" t="str">
        <f>CONCATENATE(" Validar funcionalidad  Motivos Rechazo ",IF(AT109=1,$AT$3,""),"",IF(AU109=1,$AU$3,""),"",IF(AV109=1,$AV$3,""),"",IF(AW109=1,$AW$4,"")," ",IF(AX109=1,$AX$4,""), " de rechazo descripcion invalidos", IF(AZ109=1,$AZ$2,""),)</f>
        <v xml:space="preserve"> Validar funcionalidad  Motivos Rechazo Con Valores  de rechazo descripcion invalidos</v>
      </c>
      <c r="CP109" s="267" t="s">
        <v>1344</v>
      </c>
    </row>
    <row r="110" spans="1:94" s="109" customFormat="1" x14ac:dyDescent="0.25">
      <c r="A110" s="23"/>
      <c r="B110" s="20"/>
      <c r="C110" s="13"/>
      <c r="D110" s="13"/>
      <c r="E110" s="13"/>
      <c r="F110" s="111"/>
      <c r="G110" s="280"/>
      <c r="H110" s="20"/>
      <c r="I110" s="13"/>
      <c r="J110" s="103"/>
      <c r="K110" s="103"/>
      <c r="L110" s="111"/>
      <c r="M110" s="101"/>
      <c r="N110" s="20"/>
      <c r="O110" s="13"/>
      <c r="P110" s="13"/>
      <c r="Q110" s="13"/>
      <c r="R110" s="111"/>
      <c r="S110" s="280"/>
      <c r="T110" s="20"/>
      <c r="U110" s="13"/>
      <c r="V110" s="103"/>
      <c r="W110" s="103"/>
      <c r="X110" s="111"/>
      <c r="Y110" s="111"/>
      <c r="Z110" s="316"/>
      <c r="AA110" s="20"/>
      <c r="AB110" s="13"/>
      <c r="AC110" s="13"/>
      <c r="AD110" s="13"/>
      <c r="AE110" s="111"/>
      <c r="AF110" s="280"/>
      <c r="AG110" s="20"/>
      <c r="AH110" s="13"/>
      <c r="AI110" s="13"/>
      <c r="AJ110" s="13"/>
      <c r="AK110" s="111"/>
      <c r="AL110" s="280"/>
      <c r="AM110" s="20"/>
      <c r="AN110" s="13"/>
      <c r="AO110" s="103"/>
      <c r="AP110" s="103"/>
      <c r="AQ110" s="111"/>
      <c r="AR110" s="101"/>
      <c r="AS110" s="280"/>
      <c r="AT110" s="20"/>
      <c r="AU110" s="13">
        <v>1</v>
      </c>
      <c r="AV110" s="13"/>
      <c r="AW110" s="13"/>
      <c r="AX110" s="111">
        <v>1</v>
      </c>
      <c r="AY110" s="101"/>
      <c r="AZ110" s="280"/>
      <c r="BA110" s="20"/>
      <c r="BB110" s="13"/>
      <c r="BC110" s="103"/>
      <c r="BD110" s="103"/>
      <c r="BE110" s="111"/>
      <c r="BF110" s="101"/>
      <c r="BG110" s="101"/>
      <c r="BH110" s="280"/>
      <c r="BI110" s="20"/>
      <c r="BJ110" s="13"/>
      <c r="BK110" s="103"/>
      <c r="BL110" s="103"/>
      <c r="BM110" s="103"/>
      <c r="BN110" s="111"/>
      <c r="BO110" s="101"/>
      <c r="BP110" s="280"/>
      <c r="BQ110" s="20"/>
      <c r="BR110" s="13"/>
      <c r="BS110" s="103"/>
      <c r="BT110" s="103"/>
      <c r="BU110" s="103"/>
      <c r="BV110" s="111"/>
      <c r="BW110" s="280"/>
      <c r="BX110" s="20"/>
      <c r="BY110" s="13"/>
      <c r="BZ110" s="13"/>
      <c r="CA110" s="13"/>
      <c r="CB110" s="111"/>
      <c r="CC110" s="101"/>
      <c r="CD110" s="280"/>
      <c r="CE110" s="20"/>
      <c r="CF110" s="13"/>
      <c r="CG110" s="13"/>
      <c r="CH110" s="13"/>
      <c r="CI110" s="111"/>
      <c r="CJ110" s="101"/>
      <c r="CK110" s="101"/>
      <c r="CL110" s="280"/>
      <c r="CM110" s="266" t="s">
        <v>1404</v>
      </c>
      <c r="CN110" s="266" t="s">
        <v>1428</v>
      </c>
      <c r="CO110" s="310" t="str">
        <f>CONCATENATE(" Validar funcionalidad  Motivos Rechazo ",IF(AT110=1,$AT$3,""),"",IF(AU110=1,$AU$3,""),"",IF(AV110=1,$AV$3,""),"",IF(AW110=1,$AW$4,"")," ",IF(AX110=1,$AX$4,""), " en la descripcion o id y confirmar", IF(AZ110=1,$AZ$2,""),)</f>
        <v xml:space="preserve"> Validar funcionalidad  Motivos Rechazo Modificar Sin Valores en la descripcion o id y confirmar</v>
      </c>
      <c r="CP110" s="267" t="s">
        <v>1375</v>
      </c>
    </row>
    <row r="111" spans="1:94" s="109" customFormat="1" ht="15" customHeight="1" thickBot="1" x14ac:dyDescent="0.3">
      <c r="A111" s="23"/>
      <c r="B111" s="301"/>
      <c r="C111" s="281"/>
      <c r="D111" s="317"/>
      <c r="E111" s="317"/>
      <c r="F111" s="282"/>
      <c r="G111" s="302"/>
      <c r="H111" s="301"/>
      <c r="I111" s="281"/>
      <c r="J111" s="350"/>
      <c r="K111" s="350"/>
      <c r="L111" s="282"/>
      <c r="M111" s="351"/>
      <c r="N111" s="301"/>
      <c r="O111" s="281"/>
      <c r="P111" s="317"/>
      <c r="Q111" s="317"/>
      <c r="R111" s="282"/>
      <c r="S111" s="302"/>
      <c r="T111" s="301"/>
      <c r="U111" s="281"/>
      <c r="V111" s="350"/>
      <c r="W111" s="350"/>
      <c r="X111" s="282"/>
      <c r="Y111" s="282"/>
      <c r="Z111" s="309"/>
      <c r="AA111" s="301"/>
      <c r="AB111" s="281"/>
      <c r="AC111" s="317"/>
      <c r="AD111" s="317"/>
      <c r="AE111" s="282"/>
      <c r="AF111" s="302"/>
      <c r="AG111" s="301"/>
      <c r="AH111" s="281"/>
      <c r="AI111" s="317"/>
      <c r="AJ111" s="317"/>
      <c r="AK111" s="282"/>
      <c r="AL111" s="302"/>
      <c r="AM111" s="301"/>
      <c r="AN111" s="281"/>
      <c r="AO111" s="350"/>
      <c r="AP111" s="350"/>
      <c r="AQ111" s="282"/>
      <c r="AR111" s="351"/>
      <c r="AS111" s="302"/>
      <c r="AT111" s="301"/>
      <c r="AU111" s="281"/>
      <c r="AV111" s="317">
        <v>1</v>
      </c>
      <c r="AW111" s="317"/>
      <c r="AX111" s="282"/>
      <c r="AY111" s="351"/>
      <c r="AZ111" s="302"/>
      <c r="BA111" s="301"/>
      <c r="BB111" s="281"/>
      <c r="BC111" s="350"/>
      <c r="BD111" s="350"/>
      <c r="BE111" s="282"/>
      <c r="BF111" s="351"/>
      <c r="BG111" s="351"/>
      <c r="BH111" s="302"/>
      <c r="BI111" s="301"/>
      <c r="BJ111" s="281"/>
      <c r="BK111" s="350"/>
      <c r="BL111" s="350"/>
      <c r="BM111" s="350"/>
      <c r="BN111" s="282"/>
      <c r="BO111" s="351"/>
      <c r="BP111" s="302"/>
      <c r="BQ111" s="301"/>
      <c r="BR111" s="281"/>
      <c r="BS111" s="350"/>
      <c r="BT111" s="350"/>
      <c r="BU111" s="350"/>
      <c r="BV111" s="282"/>
      <c r="BW111" s="302"/>
      <c r="BX111" s="301"/>
      <c r="BY111" s="281"/>
      <c r="BZ111" s="317"/>
      <c r="CA111" s="317"/>
      <c r="CB111" s="282"/>
      <c r="CC111" s="351"/>
      <c r="CD111" s="302"/>
      <c r="CE111" s="301"/>
      <c r="CF111" s="281"/>
      <c r="CG111" s="317"/>
      <c r="CH111" s="317"/>
      <c r="CI111" s="282"/>
      <c r="CJ111" s="351"/>
      <c r="CK111" s="351"/>
      <c r="CL111" s="302"/>
      <c r="CM111" s="266" t="s">
        <v>1405</v>
      </c>
      <c r="CN111" s="266" t="s">
        <v>1406</v>
      </c>
      <c r="CO111" s="310" t="str">
        <f>CONCATENATE(" Validar funcionalidad  Motivos Rechazo ",IF(AT111=1,$AT$3,""),"",IF(AU111=1,$AU$3,""),"",IF(AV111=1,$AV$3,""),"",IF(AW111=1,$AW$4,"")," ",IF(AX111=1,$AX$4,""), " registro en uso.", IF(AZ111=1,$AZ$2,""),)</f>
        <v xml:space="preserve"> Validar funcionalidad  Motivos Rechazo Eliminar  registro en uso.</v>
      </c>
      <c r="CP111" s="267" t="s">
        <v>1345</v>
      </c>
    </row>
    <row r="112" spans="1:94" ht="15.75" thickTop="1" x14ac:dyDescent="0.25">
      <c r="B112" s="322"/>
      <c r="C112" s="25"/>
      <c r="D112" s="25"/>
      <c r="E112" s="25"/>
      <c r="F112" s="25"/>
      <c r="G112" s="25"/>
      <c r="H112" s="322"/>
      <c r="I112" s="25"/>
      <c r="J112" s="25"/>
      <c r="K112" s="25"/>
      <c r="L112" s="25"/>
      <c r="M112" s="285"/>
      <c r="N112" s="322"/>
      <c r="O112" s="25"/>
      <c r="P112" s="25"/>
      <c r="Q112" s="25"/>
      <c r="R112" s="25"/>
      <c r="S112" s="285"/>
      <c r="T112" s="322"/>
      <c r="U112" s="25"/>
      <c r="V112" s="25"/>
      <c r="W112" s="25"/>
      <c r="X112" s="25"/>
      <c r="Y112" s="25"/>
      <c r="Z112" s="285"/>
      <c r="AA112" s="322"/>
      <c r="AB112" s="25"/>
      <c r="AC112" s="25"/>
      <c r="AD112" s="25"/>
      <c r="AE112" s="25"/>
      <c r="AF112" s="285"/>
      <c r="AG112" s="322"/>
      <c r="AH112" s="25"/>
      <c r="AI112" s="25"/>
      <c r="AJ112" s="25"/>
      <c r="AK112" s="25"/>
      <c r="AL112" s="285"/>
      <c r="AM112" s="322"/>
      <c r="AN112" s="25"/>
      <c r="AO112" s="25"/>
      <c r="AP112" s="25"/>
      <c r="AQ112" s="25"/>
      <c r="AR112" s="285"/>
      <c r="AS112" s="285"/>
      <c r="AT112" s="322"/>
      <c r="AU112" s="25"/>
      <c r="AV112" s="25"/>
      <c r="AW112" s="25"/>
      <c r="AX112" s="25"/>
      <c r="AY112" s="285"/>
      <c r="AZ112" s="285"/>
      <c r="BA112" s="331">
        <v>1</v>
      </c>
      <c r="BB112" s="332"/>
      <c r="BC112" s="332"/>
      <c r="BD112" s="332">
        <v>1</v>
      </c>
      <c r="BE112" s="276"/>
      <c r="BF112" s="296">
        <v>1</v>
      </c>
      <c r="BG112" s="285"/>
      <c r="BH112" s="312">
        <v>1</v>
      </c>
      <c r="BI112" s="322"/>
      <c r="BJ112" s="25"/>
      <c r="BK112" s="25"/>
      <c r="BL112" s="25"/>
      <c r="BM112" s="25"/>
      <c r="BN112" s="25"/>
      <c r="BO112" s="285"/>
      <c r="BP112" s="339"/>
      <c r="BQ112" s="322"/>
      <c r="BR112" s="25"/>
      <c r="BS112" s="25"/>
      <c r="BT112" s="25"/>
      <c r="BU112" s="25"/>
      <c r="BV112" s="25"/>
      <c r="BW112" s="339"/>
      <c r="BX112" s="322"/>
      <c r="BY112" s="25"/>
      <c r="BZ112" s="25"/>
      <c r="CA112" s="25"/>
      <c r="CB112" s="25"/>
      <c r="CC112" s="296"/>
      <c r="CD112" s="340"/>
      <c r="CE112" s="322"/>
      <c r="CF112" s="25"/>
      <c r="CG112" s="25"/>
      <c r="CH112" s="25"/>
      <c r="CI112" s="25"/>
      <c r="CJ112" s="285"/>
      <c r="CK112" s="296"/>
      <c r="CL112" s="340"/>
      <c r="CM112" s="266" t="s">
        <v>629</v>
      </c>
      <c r="CN112" s="266" t="str">
        <f>CONCATENATE("Acceder al sistema Gemma con usuario y perfil activo para la funcionalidad modulo Maestro - Financiera, hacer clic en el boton ","",IF(BA112=1,"Agregar","")," colocando campos obligatorios, ",IF(BB112=1,"Modificar un registro","")," presionar el boton Confirmar y  ",IF(BC112=1,"Eliminar un registro",""),"luego presionar ",IF(BH112=1,"Exportar Documento Excel",""), ,IF(A112=1,"Link Nombre Distribuidor",""),"")</f>
        <v>Acceder al sistema Gemma con usuario y perfil activo para la funcionalidad modulo Maestro - Financiera, hacer clic en el boton Agregar colocando campos obligatorios,  presionar el boton Confirmar y  luego presionar Exportar Documento Excel</v>
      </c>
      <c r="CO112" s="310" t="str">
        <f>CONCATENATE(" Validar funcionalidad  Financiera ",IF(BA112=1,$BA$3,"")," ",IF(BB112=1,$BB$3,""),"",IF(BC112=1,$BC$3,"")," ",IF(BD112=1,$BD$4,"")," ",IF(BE112=1,$BE$4,""), "",IF(BF112=1,$BF$2,"")," una vez confirmado ", IF(BH112=1,$BH$2,"Sin Exportar Excel"),)</f>
        <v xml:space="preserve"> Validar funcionalidad  Financiera Agregar  Con Valores Agregar Icono una vez confirmado Exportar Excel </v>
      </c>
      <c r="CP112" s="267" t="s">
        <v>1321</v>
      </c>
    </row>
    <row r="113" spans="2:94" x14ac:dyDescent="0.25">
      <c r="B113" s="322"/>
      <c r="C113" s="25"/>
      <c r="D113" s="25"/>
      <c r="E113" s="25"/>
      <c r="F113" s="25"/>
      <c r="G113" s="25"/>
      <c r="H113" s="322"/>
      <c r="I113" s="25"/>
      <c r="J113" s="25"/>
      <c r="K113" s="25"/>
      <c r="L113" s="25"/>
      <c r="M113" s="285"/>
      <c r="N113" s="322"/>
      <c r="O113" s="25"/>
      <c r="P113" s="25"/>
      <c r="Q113" s="25"/>
      <c r="R113" s="25"/>
      <c r="S113" s="285"/>
      <c r="T113" s="322"/>
      <c r="U113" s="25"/>
      <c r="V113" s="25"/>
      <c r="W113" s="25"/>
      <c r="X113" s="25"/>
      <c r="Y113" s="25"/>
      <c r="Z113" s="285"/>
      <c r="AA113" s="322"/>
      <c r="AB113" s="25"/>
      <c r="AC113" s="25"/>
      <c r="AD113" s="25"/>
      <c r="AE113" s="25"/>
      <c r="AF113" s="285"/>
      <c r="AG113" s="322"/>
      <c r="AH113" s="25"/>
      <c r="AI113" s="25"/>
      <c r="AJ113" s="25"/>
      <c r="AK113" s="25"/>
      <c r="AL113" s="285"/>
      <c r="AM113" s="322"/>
      <c r="AN113" s="25"/>
      <c r="AO113" s="25"/>
      <c r="AP113" s="25"/>
      <c r="AQ113" s="25"/>
      <c r="AR113" s="285"/>
      <c r="AS113" s="285"/>
      <c r="AT113" s="322"/>
      <c r="AU113" s="25"/>
      <c r="AV113" s="25"/>
      <c r="AW113" s="25"/>
      <c r="AX113" s="25"/>
      <c r="AY113" s="285"/>
      <c r="AZ113" s="285"/>
      <c r="BA113" s="20">
        <v>1</v>
      </c>
      <c r="BB113" s="111"/>
      <c r="BC113" s="111"/>
      <c r="BD113" s="111">
        <v>1</v>
      </c>
      <c r="BE113" s="24"/>
      <c r="BF113" s="100"/>
      <c r="BG113" s="285"/>
      <c r="BH113" s="279"/>
      <c r="BI113" s="322"/>
      <c r="BJ113" s="25"/>
      <c r="BK113" s="25"/>
      <c r="BL113" s="25"/>
      <c r="BM113" s="25"/>
      <c r="BN113" s="25"/>
      <c r="BO113" s="285"/>
      <c r="BP113" s="340"/>
      <c r="BQ113" s="322"/>
      <c r="BR113" s="25"/>
      <c r="BS113" s="25"/>
      <c r="BT113" s="25"/>
      <c r="BU113" s="25"/>
      <c r="BV113" s="25"/>
      <c r="BW113" s="340"/>
      <c r="BX113" s="322"/>
      <c r="BY113" s="25"/>
      <c r="BZ113" s="25"/>
      <c r="CA113" s="25"/>
      <c r="CB113" s="25"/>
      <c r="CC113" s="100"/>
      <c r="CD113" s="340"/>
      <c r="CE113" s="322"/>
      <c r="CF113" s="25"/>
      <c r="CG113" s="25"/>
      <c r="CH113" s="25"/>
      <c r="CI113" s="25"/>
      <c r="CJ113" s="285"/>
      <c r="CK113" s="100"/>
      <c r="CL113" s="340"/>
      <c r="CM113" s="266" t="s">
        <v>630</v>
      </c>
      <c r="CN113" s="266" t="str">
        <f>CONCATENATE("Acceder al sistema Gemma con usuario y perfil activo para la funcionalidad modulo Maestro - Financiera, hacer clic en el boton ","",IF(BA113=1,"Agregar","")," colocando todos los campos, ",IF(BB113=1,"Modificar un registro","")," ",IF(BC113=1,"Eliminar un registro","")," ",IF(BH113=1,"Exportar Documento Excel",""), ,IF(A113=1,"Link Nombre Distribuidor",""),"presionar el boton Confirmar.",IF(FZ127=1,$FZ$4,"")," ")</f>
        <v xml:space="preserve">Acceder al sistema Gemma con usuario y perfil activo para la funcionalidad modulo Maestro - Financiera, hacer clic en el boton Agregar colocando todos los campos,   presionar el boton Confirmar. </v>
      </c>
      <c r="CO113" s="310" t="str">
        <f>CONCATENATE(" Validar funcionalidad  Financiera ",IF(BA113=1,$BA$3,"")," ",IF(BB113=1,$BB$3,""),"",IF(BC113=1,$BC$3,"")," ",IF(BD113=1,$BD$4,"")," ",IF(BE113=1,$BE$4,""), "",IF(BF113=1,$BF$2,""),"", IF(BH113=1,$BH$2,"Sin Exportar Excel"),)</f>
        <v xml:space="preserve"> Validar funcionalidad  Financiera Agregar  Con Valores Sin Exportar Excel</v>
      </c>
      <c r="CP113" s="267" t="s">
        <v>1321</v>
      </c>
    </row>
    <row r="114" spans="2:94" x14ac:dyDescent="0.25">
      <c r="B114" s="18"/>
      <c r="C114" s="13"/>
      <c r="D114" s="13"/>
      <c r="E114" s="13"/>
      <c r="F114" s="13"/>
      <c r="G114" s="13"/>
      <c r="H114" s="18"/>
      <c r="I114" s="13"/>
      <c r="J114" s="13"/>
      <c r="K114" s="13"/>
      <c r="L114" s="13"/>
      <c r="M114" s="98"/>
      <c r="N114" s="18"/>
      <c r="O114" s="13"/>
      <c r="P114" s="13"/>
      <c r="Q114" s="13"/>
      <c r="R114" s="13"/>
      <c r="S114" s="98"/>
      <c r="T114" s="18"/>
      <c r="U114" s="13"/>
      <c r="V114" s="13"/>
      <c r="W114" s="13"/>
      <c r="X114" s="13"/>
      <c r="Y114" s="13"/>
      <c r="Z114" s="98"/>
      <c r="AA114" s="18"/>
      <c r="AB114" s="13"/>
      <c r="AC114" s="13"/>
      <c r="AD114" s="13"/>
      <c r="AE114" s="13"/>
      <c r="AF114" s="98"/>
      <c r="AG114" s="18"/>
      <c r="AH114" s="13"/>
      <c r="AI114" s="13"/>
      <c r="AJ114" s="13"/>
      <c r="AK114" s="13"/>
      <c r="AL114" s="98"/>
      <c r="AM114" s="18"/>
      <c r="AN114" s="13"/>
      <c r="AO114" s="13"/>
      <c r="AP114" s="13"/>
      <c r="AQ114" s="13"/>
      <c r="AR114" s="98"/>
      <c r="AS114" s="98"/>
      <c r="AT114" s="18"/>
      <c r="AU114" s="13"/>
      <c r="AV114" s="13"/>
      <c r="AW114" s="13"/>
      <c r="AX114" s="13"/>
      <c r="AY114" s="98"/>
      <c r="AZ114" s="98"/>
      <c r="BA114" s="20"/>
      <c r="BB114" s="13">
        <v>1</v>
      </c>
      <c r="BC114" s="103"/>
      <c r="BD114" s="13">
        <v>1</v>
      </c>
      <c r="BE114" s="111"/>
      <c r="BF114" s="101">
        <v>1</v>
      </c>
      <c r="BG114" s="98"/>
      <c r="BH114" s="280">
        <v>1</v>
      </c>
      <c r="BI114" s="18"/>
      <c r="BJ114" s="13"/>
      <c r="BK114" s="13"/>
      <c r="BL114" s="13"/>
      <c r="BM114" s="13"/>
      <c r="BN114" s="13"/>
      <c r="BO114" s="98"/>
      <c r="BP114" s="278"/>
      <c r="BQ114" s="18"/>
      <c r="BR114" s="13"/>
      <c r="BS114" s="13"/>
      <c r="BT114" s="13"/>
      <c r="BU114" s="13"/>
      <c r="BV114" s="13"/>
      <c r="BW114" s="278"/>
      <c r="BX114" s="18"/>
      <c r="BY114" s="13"/>
      <c r="BZ114" s="13"/>
      <c r="CA114" s="13"/>
      <c r="CB114" s="13"/>
      <c r="CC114" s="101"/>
      <c r="CD114" s="278"/>
      <c r="CE114" s="18"/>
      <c r="CF114" s="13"/>
      <c r="CG114" s="13"/>
      <c r="CH114" s="13"/>
      <c r="CI114" s="13"/>
      <c r="CJ114" s="98"/>
      <c r="CK114" s="101"/>
      <c r="CL114" s="278"/>
      <c r="CM114" s="266" t="s">
        <v>1410</v>
      </c>
      <c r="CN114" s="266" t="str">
        <f>CONCATENATE("Acceder al sistema Gemma con usuario y perfil activo para la funcionalidad modulo Maestro - Financiera, colocando el Nombre en el filtro, ","",IF(BA114=1,"Agregar un registro","")," hacer clic en el boton ",IF(BB114=1,"Modificar, ","")," ",IF(BC114=1,"Eliminar un registro",""),"confirmar cambios, luego presionar ",IF(BH114=1,"Exportar Documento Excel",""), ,IF(A114=1,"Link Nombre Distribuidor",""),""," ")</f>
        <v xml:space="preserve">Acceder al sistema Gemma con usuario y perfil activo para la funcionalidad modulo Maestro - Financiera, colocando el Nombre en el filtro,  hacer clic en el boton Modificar,  confirmar cambios, luego presionar Exportar Documento Excel </v>
      </c>
      <c r="CO114" s="310" t="str">
        <f>CONCATENATE(" Validar funcionalidad  Financiera ",IF(BA114=1,$BA$3,"")," ",IF(BB114=1,$BB$3,""),"",IF(BC114=1,$BC$3,"")," ",IF(BD114=1,$BD$4,"")," ",IF(BE114=1,$BE$4,""), " en el filtro ",IF(BF114=1,$BF$2,"")," una vez confirmado ", IF(BH114=1,$BH$2,"Sin Exportar Excel"),)</f>
        <v xml:space="preserve"> Validar funcionalidad  Financiera  Modificar Con Valores  en el filtro Agregar Icono una vez confirmado Exportar Excel </v>
      </c>
      <c r="CP114" s="267" t="s">
        <v>1341</v>
      </c>
    </row>
    <row r="115" spans="2:94" x14ac:dyDescent="0.25">
      <c r="B115" s="18"/>
      <c r="C115" s="13"/>
      <c r="D115" s="13"/>
      <c r="E115" s="13"/>
      <c r="F115" s="13"/>
      <c r="G115" s="13"/>
      <c r="H115" s="18"/>
      <c r="I115" s="13"/>
      <c r="J115" s="13"/>
      <c r="K115" s="13"/>
      <c r="L115" s="13"/>
      <c r="M115" s="98"/>
      <c r="N115" s="18"/>
      <c r="O115" s="13"/>
      <c r="P115" s="13"/>
      <c r="Q115" s="13"/>
      <c r="R115" s="13"/>
      <c r="S115" s="98"/>
      <c r="T115" s="18"/>
      <c r="U115" s="13"/>
      <c r="V115" s="13"/>
      <c r="W115" s="13"/>
      <c r="X115" s="13"/>
      <c r="Y115" s="13"/>
      <c r="Z115" s="98"/>
      <c r="AA115" s="18"/>
      <c r="AB115" s="13"/>
      <c r="AC115" s="13"/>
      <c r="AD115" s="13"/>
      <c r="AE115" s="13"/>
      <c r="AF115" s="98"/>
      <c r="AG115" s="18"/>
      <c r="AH115" s="13"/>
      <c r="AI115" s="13"/>
      <c r="AJ115" s="13"/>
      <c r="AK115" s="13"/>
      <c r="AL115" s="98"/>
      <c r="AM115" s="18"/>
      <c r="AN115" s="13"/>
      <c r="AO115" s="13"/>
      <c r="AP115" s="13"/>
      <c r="AQ115" s="13"/>
      <c r="AR115" s="98"/>
      <c r="AS115" s="98"/>
      <c r="AT115" s="18"/>
      <c r="AU115" s="13"/>
      <c r="AV115" s="13"/>
      <c r="AW115" s="13"/>
      <c r="AX115" s="13"/>
      <c r="AY115" s="98"/>
      <c r="AZ115" s="98"/>
      <c r="BA115" s="20"/>
      <c r="BB115" s="13">
        <v>1</v>
      </c>
      <c r="BC115" s="103"/>
      <c r="BD115" s="13">
        <v>1</v>
      </c>
      <c r="BE115" s="111"/>
      <c r="BF115" s="101">
        <v>1</v>
      </c>
      <c r="BG115" s="98">
        <v>1</v>
      </c>
      <c r="BH115" s="280"/>
      <c r="BI115" s="18"/>
      <c r="BJ115" s="13"/>
      <c r="BK115" s="13"/>
      <c r="BL115" s="13"/>
      <c r="BM115" s="13"/>
      <c r="BN115" s="13"/>
      <c r="BO115" s="98"/>
      <c r="BP115" s="278"/>
      <c r="BQ115" s="18"/>
      <c r="BR115" s="13"/>
      <c r="BS115" s="13"/>
      <c r="BT115" s="13"/>
      <c r="BU115" s="13"/>
      <c r="BV115" s="13"/>
      <c r="BW115" s="278"/>
      <c r="BX115" s="18"/>
      <c r="BY115" s="13"/>
      <c r="BZ115" s="13"/>
      <c r="CA115" s="13"/>
      <c r="CB115" s="13"/>
      <c r="CC115" s="101"/>
      <c r="CD115" s="278"/>
      <c r="CE115" s="18"/>
      <c r="CF115" s="13"/>
      <c r="CG115" s="13"/>
      <c r="CH115" s="13"/>
      <c r="CI115" s="13"/>
      <c r="CJ115" s="98"/>
      <c r="CK115" s="101"/>
      <c r="CL115" s="278"/>
      <c r="CM115" s="266" t="s">
        <v>631</v>
      </c>
      <c r="CN115" s="266" t="str">
        <f>CONCATENATE("Acceder al sistema Gemma con usuario y perfil activo para la funcionalidad modulo Maestro - Financieras, ","",IF(BA115=1,"Agregar un registro","")," colocando el Nombre en el filtro, hacer clic en el boton ",IF(BB115=1,"Modificar, ","")," ",IF(BC115=1,"Eliminar","")," y Confirmar el cambio. ",IF(BH115=1,"Exportar Documento Excel",""), "Luego seleccionar ",IF(BG115=1,"Link Nombre ","")," y Modificar el Registro, confirmar cambios.",IF(FZ130=1,$FZ$4,"")," ")</f>
        <v xml:space="preserve">Acceder al sistema Gemma con usuario y perfil activo para la funcionalidad modulo Maestro - Financieras,  colocando el Nombre en el filtro, hacer clic en el boton Modificar,   y Confirmar el cambio. Luego seleccionar Link Nombre  y Modificar el Registro, confirmar cambios. </v>
      </c>
      <c r="CO115" s="310" t="str">
        <f>CONCATENATE(" Validar funcionalidad  Financiera ",IF(BA115=1,$BA$3,"")," ",IF(BB115=1,$BB$3,""),"",IF(BC115=1,$BC$3,"")," ",IF(BD115=1,$BD$4,"")," ",IF(BE115=1,$BE$4,""), " en el filtro ",IF(BF115=1,$BF$2,"")," ", IF(BH115=1,$BH$2,"Sin Exportar Excel"),)</f>
        <v xml:space="preserve"> Validar funcionalidad  Financiera  Modificar Con Valores  en el filtro Agregar Icono Sin Exportar Excel</v>
      </c>
      <c r="CP115" s="267" t="s">
        <v>1341</v>
      </c>
    </row>
    <row r="116" spans="2:94" x14ac:dyDescent="0.25">
      <c r="B116" s="18"/>
      <c r="C116" s="13"/>
      <c r="D116" s="13"/>
      <c r="E116" s="13"/>
      <c r="F116" s="13"/>
      <c r="G116" s="13"/>
      <c r="H116" s="18"/>
      <c r="I116" s="13"/>
      <c r="J116" s="13"/>
      <c r="K116" s="13"/>
      <c r="L116" s="13"/>
      <c r="M116" s="98"/>
      <c r="N116" s="18"/>
      <c r="O116" s="13"/>
      <c r="P116" s="13"/>
      <c r="Q116" s="13"/>
      <c r="R116" s="13"/>
      <c r="S116" s="98"/>
      <c r="T116" s="18"/>
      <c r="U116" s="13"/>
      <c r="V116" s="13"/>
      <c r="W116" s="13"/>
      <c r="X116" s="13"/>
      <c r="Y116" s="13"/>
      <c r="Z116" s="98"/>
      <c r="AA116" s="18"/>
      <c r="AB116" s="13"/>
      <c r="AC116" s="13"/>
      <c r="AD116" s="13"/>
      <c r="AE116" s="13"/>
      <c r="AF116" s="98"/>
      <c r="AG116" s="18"/>
      <c r="AH116" s="13"/>
      <c r="AI116" s="13"/>
      <c r="AJ116" s="13"/>
      <c r="AK116" s="13"/>
      <c r="AL116" s="98"/>
      <c r="AM116" s="18"/>
      <c r="AN116" s="13"/>
      <c r="AO116" s="13"/>
      <c r="AP116" s="13"/>
      <c r="AQ116" s="13"/>
      <c r="AR116" s="98"/>
      <c r="AS116" s="98"/>
      <c r="AT116" s="18"/>
      <c r="AU116" s="13"/>
      <c r="AV116" s="13"/>
      <c r="AW116" s="13"/>
      <c r="AX116" s="13"/>
      <c r="AY116" s="98"/>
      <c r="AZ116" s="98"/>
      <c r="BA116" s="20"/>
      <c r="BB116" s="13">
        <v>1</v>
      </c>
      <c r="BC116" s="103"/>
      <c r="BD116" s="13"/>
      <c r="BE116" s="111">
        <v>1</v>
      </c>
      <c r="BF116" s="101"/>
      <c r="BG116" s="98">
        <v>1</v>
      </c>
      <c r="BH116" s="280"/>
      <c r="BI116" s="18"/>
      <c r="BJ116" s="13"/>
      <c r="BK116" s="13"/>
      <c r="BL116" s="13"/>
      <c r="BM116" s="13"/>
      <c r="BN116" s="13"/>
      <c r="BO116" s="98"/>
      <c r="BP116" s="278"/>
      <c r="BQ116" s="18"/>
      <c r="BR116" s="13"/>
      <c r="BS116" s="13"/>
      <c r="BT116" s="13"/>
      <c r="BU116" s="13"/>
      <c r="BV116" s="13"/>
      <c r="BW116" s="278"/>
      <c r="BX116" s="18"/>
      <c r="BY116" s="13"/>
      <c r="BZ116" s="13"/>
      <c r="CA116" s="13"/>
      <c r="CB116" s="13"/>
      <c r="CC116" s="101"/>
      <c r="CD116" s="278"/>
      <c r="CE116" s="18"/>
      <c r="CF116" s="13"/>
      <c r="CG116" s="13"/>
      <c r="CH116" s="13"/>
      <c r="CI116" s="13"/>
      <c r="CJ116" s="98"/>
      <c r="CK116" s="101"/>
      <c r="CL116" s="278"/>
      <c r="CM116" s="266" t="s">
        <v>632</v>
      </c>
      <c r="CN116" s="266" t="str">
        <f>CONCATENATE("Acceder al sistema Gemma con usuario y perfil activo para la funcionalidad modulo Maestro - Financieras, ","",IF(BA116=1,"Agregar un registro","")," seleccionando el registro de la tabla consulta, hacer clic en el boton ",IF(BB116=1,"Modificar","")," ",IF(BC116=1,"Eliminar",""),"presionar el boton Confirmar. ",IF(AZ116=1,"Exportar Documento Excel","")," Luego presionar el ",IF(BG116=1,"Link Nombre ","")," y eliminar el registro, Confirmar"," ")</f>
        <v xml:space="preserve">Acceder al sistema Gemma con usuario y perfil activo para la funcionalidad modulo Maestro - Financieras,  seleccionando el registro de la tabla consulta, hacer clic en el boton Modificar presionar el boton Confirmar.  Luego presionar el Link Nombre  y eliminar el registro, Confirmar </v>
      </c>
      <c r="CO116" s="310" t="str">
        <f>CONCATENATE(" Validar funcionalidad  Financiera ",IF(BA116=1,$BA$3,"")," ",IF(BB116=1,$BB$3,""),"",IF(BC116=1,$BC$3,"")," ",IF(BD116=1,$BD$4,"")," ",IF(BE116=1,$BE$4,""), " en el filtro ",IF(BF116=1,$BF$2,""),"", IF(BH116=1,$BH$2,"Sin Exportar Excel"),)</f>
        <v xml:space="preserve"> Validar funcionalidad  Financiera  Modificar  Sin Valores en el filtro Sin Exportar Excel</v>
      </c>
      <c r="CP116" s="267" t="s">
        <v>1341</v>
      </c>
    </row>
    <row r="117" spans="2:94" x14ac:dyDescent="0.25">
      <c r="B117" s="18"/>
      <c r="C117" s="13"/>
      <c r="D117" s="13"/>
      <c r="E117" s="13"/>
      <c r="F117" s="13"/>
      <c r="G117" s="13"/>
      <c r="H117" s="18"/>
      <c r="I117" s="13"/>
      <c r="J117" s="13"/>
      <c r="K117" s="13"/>
      <c r="L117" s="13"/>
      <c r="M117" s="98"/>
      <c r="N117" s="18"/>
      <c r="O117" s="13"/>
      <c r="P117" s="13"/>
      <c r="Q117" s="13"/>
      <c r="R117" s="13"/>
      <c r="S117" s="98"/>
      <c r="T117" s="18"/>
      <c r="U117" s="13"/>
      <c r="V117" s="13"/>
      <c r="W117" s="13"/>
      <c r="X117" s="13"/>
      <c r="Y117" s="13"/>
      <c r="Z117" s="98"/>
      <c r="AA117" s="18"/>
      <c r="AB117" s="13"/>
      <c r="AC117" s="13"/>
      <c r="AD117" s="13"/>
      <c r="AE117" s="13"/>
      <c r="AF117" s="98"/>
      <c r="AG117" s="18"/>
      <c r="AH117" s="13"/>
      <c r="AI117" s="13"/>
      <c r="AJ117" s="13"/>
      <c r="AK117" s="13"/>
      <c r="AL117" s="98"/>
      <c r="AM117" s="18"/>
      <c r="AN117" s="13"/>
      <c r="AO117" s="13"/>
      <c r="AP117" s="13"/>
      <c r="AQ117" s="13"/>
      <c r="AR117" s="98"/>
      <c r="AS117" s="98"/>
      <c r="AT117" s="18"/>
      <c r="AU117" s="13"/>
      <c r="AV117" s="13"/>
      <c r="AW117" s="13"/>
      <c r="AX117" s="13"/>
      <c r="AY117" s="98"/>
      <c r="AZ117" s="98"/>
      <c r="BA117" s="20"/>
      <c r="BB117" s="13"/>
      <c r="BC117" s="13">
        <v>1</v>
      </c>
      <c r="BD117" s="13">
        <v>1</v>
      </c>
      <c r="BE117" s="111"/>
      <c r="BF117" s="101">
        <v>1</v>
      </c>
      <c r="BG117" s="98"/>
      <c r="BH117" s="280">
        <v>1</v>
      </c>
      <c r="BI117" s="18"/>
      <c r="BJ117" s="13"/>
      <c r="BK117" s="13"/>
      <c r="BL117" s="13"/>
      <c r="BM117" s="13"/>
      <c r="BN117" s="13"/>
      <c r="BO117" s="98"/>
      <c r="BP117" s="278"/>
      <c r="BQ117" s="18"/>
      <c r="BR117" s="13"/>
      <c r="BS117" s="13"/>
      <c r="BT117" s="13"/>
      <c r="BU117" s="13"/>
      <c r="BV117" s="13"/>
      <c r="BW117" s="278"/>
      <c r="BX117" s="18"/>
      <c r="BY117" s="13"/>
      <c r="BZ117" s="13"/>
      <c r="CA117" s="13"/>
      <c r="CB117" s="13"/>
      <c r="CC117" s="101"/>
      <c r="CD117" s="278"/>
      <c r="CE117" s="18"/>
      <c r="CF117" s="13"/>
      <c r="CG117" s="13"/>
      <c r="CH117" s="13"/>
      <c r="CI117" s="13"/>
      <c r="CJ117" s="98"/>
      <c r="CK117" s="101"/>
      <c r="CL117" s="278"/>
      <c r="CM117" s="266" t="s">
        <v>1411</v>
      </c>
      <c r="CN117" s="266" t="str">
        <f>CONCATENATE("Acceder al sistema Gemma con usuario y perfil activo para la funcionalidad modulo Maestro - Financiera, colocando el Nombre en el filtro, ","",IF(BA117=1,"Agregar un registro","")," hacer clic en el boton ",IF(BB117=1,"Modificar, ","")," ",IF(BC117=1,"Eliminar ",""),"confirmar cambios, luego presionar ",IF(BH117=1,"Exportar Documento Excel",""), ,IF(A117=1,"Link Nombre Distribuidor",""),"",IF(FZ131=1,$FZ$4,"")," ")</f>
        <v xml:space="preserve">Acceder al sistema Gemma con usuario y perfil activo para la funcionalidad modulo Maestro - Financiera, colocando el Nombre en el filtro,  hacer clic en el boton  Eliminar confirmar cambios, luego presionar Exportar Documento Excel </v>
      </c>
      <c r="CO117" s="310" t="str">
        <f>CONCATENATE(" Validar funcionalidad  Financiera ",IF(BA117=1,$BA$3,"")," ",IF(BB117=1,$BB$3,""),"",IF(BC117=1,$BC$3,"")," ",IF(BD117=1,$BD$4,"")," ",IF(BE117=1,$BE$4,""), " en el filtro ",IF(BF117=1,$BF$2,"")," ", IF(BH117=1,$BH$2,"Sin Exportar Excel"),)</f>
        <v xml:space="preserve"> Validar funcionalidad  Financiera  Eliminar Con Valores  en el filtro Agregar Icono Exportar Excel </v>
      </c>
      <c r="CP117" s="267" t="s">
        <v>1333</v>
      </c>
    </row>
    <row r="118" spans="2:94" x14ac:dyDescent="0.25">
      <c r="B118" s="18"/>
      <c r="C118" s="13"/>
      <c r="D118" s="13"/>
      <c r="E118" s="13"/>
      <c r="F118" s="13"/>
      <c r="G118" s="13"/>
      <c r="H118" s="18"/>
      <c r="I118" s="13"/>
      <c r="J118" s="13"/>
      <c r="K118" s="13"/>
      <c r="L118" s="13"/>
      <c r="M118" s="98"/>
      <c r="N118" s="18"/>
      <c r="O118" s="13"/>
      <c r="P118" s="13"/>
      <c r="Q118" s="13"/>
      <c r="R118" s="13"/>
      <c r="S118" s="98"/>
      <c r="T118" s="18"/>
      <c r="U118" s="13"/>
      <c r="V118" s="13"/>
      <c r="W118" s="13"/>
      <c r="X118" s="13"/>
      <c r="Y118" s="13"/>
      <c r="Z118" s="98"/>
      <c r="AA118" s="18"/>
      <c r="AB118" s="13"/>
      <c r="AC118" s="13"/>
      <c r="AD118" s="13"/>
      <c r="AE118" s="13"/>
      <c r="AF118" s="98"/>
      <c r="AG118" s="18"/>
      <c r="AH118" s="13"/>
      <c r="AI118" s="13"/>
      <c r="AJ118" s="13"/>
      <c r="AK118" s="13"/>
      <c r="AL118" s="98"/>
      <c r="AM118" s="18"/>
      <c r="AN118" s="13"/>
      <c r="AO118" s="13"/>
      <c r="AP118" s="13"/>
      <c r="AQ118" s="13"/>
      <c r="AR118" s="98"/>
      <c r="AS118" s="98"/>
      <c r="AT118" s="18"/>
      <c r="AU118" s="13"/>
      <c r="AV118" s="13"/>
      <c r="AW118" s="13"/>
      <c r="AX118" s="13"/>
      <c r="AY118" s="98"/>
      <c r="AZ118" s="98"/>
      <c r="BA118" s="20"/>
      <c r="BB118" s="13"/>
      <c r="BC118" s="13">
        <v>1</v>
      </c>
      <c r="BD118" s="13">
        <v>1</v>
      </c>
      <c r="BE118" s="111"/>
      <c r="BF118" s="101">
        <v>1</v>
      </c>
      <c r="BG118" s="98">
        <v>1</v>
      </c>
      <c r="BH118" s="280"/>
      <c r="BI118" s="18"/>
      <c r="BJ118" s="13"/>
      <c r="BK118" s="13"/>
      <c r="BL118" s="13"/>
      <c r="BM118" s="13"/>
      <c r="BN118" s="13"/>
      <c r="BO118" s="98"/>
      <c r="BP118" s="278"/>
      <c r="BQ118" s="18"/>
      <c r="BR118" s="13"/>
      <c r="BS118" s="13"/>
      <c r="BT118" s="13"/>
      <c r="BU118" s="13"/>
      <c r="BV118" s="13"/>
      <c r="BW118" s="278"/>
      <c r="BX118" s="18"/>
      <c r="BY118" s="13"/>
      <c r="BZ118" s="13"/>
      <c r="CA118" s="13"/>
      <c r="CB118" s="13"/>
      <c r="CC118" s="101"/>
      <c r="CD118" s="278"/>
      <c r="CE118" s="18"/>
      <c r="CF118" s="13"/>
      <c r="CG118" s="13"/>
      <c r="CH118" s="13"/>
      <c r="CI118" s="13"/>
      <c r="CJ118" s="98"/>
      <c r="CK118" s="101"/>
      <c r="CL118" s="278"/>
      <c r="CM118" s="266" t="s">
        <v>633</v>
      </c>
      <c r="CN118" s="266" t="str">
        <f>CONCATENATE("Acceder al sistema Gemma con usuario y perfil activo para la funcionalidad modulo Maestro - Financieras, ","",IF(BA118=1,"Agregar un registro","")," colocando el Nombre en el filtro, hacer clic en el ", IF(BG118=1,"Link Nombre","")," y Modificar el Registro, Regresar a la Pantalla y hacer clic en el boton ",IF(BB118=1,"Modificar, ","")," ",IF(BC118=1,"Eliminar","")," y luego Confirmar. ",IF(AZ118=1,"Exportar Documento Excel",""),"")</f>
        <v xml:space="preserve">Acceder al sistema Gemma con usuario y perfil activo para la funcionalidad modulo Maestro - Financieras,  colocando el Nombre en el filtro, hacer clic en el Link Nombre y Modificar el Registro, Regresar a la Pantalla y hacer clic en el boton  Eliminar y luego Confirmar. </v>
      </c>
      <c r="CO118" s="310" t="str">
        <f>CONCATENATE(" Validar funcionalidad  Financiera ",IF(BA118=1,$BA$3,"")," ",IF(BB118=1,$BB$3,""),"",IF(BC118=1,$BC$3,"")," ",IF(BD118=1,$BD$4,"")," ",IF(BE118=1,$BE$4,""), " en el filtro ",IF(BF118=1,$BF$2,"")," ", IF(BH118=1,$BH$2,"Sin Exportar Excel"),)</f>
        <v xml:space="preserve"> Validar funcionalidad  Financiera  Eliminar Con Valores  en el filtro Agregar Icono Sin Exportar Excel</v>
      </c>
      <c r="CP118" s="267" t="s">
        <v>1333</v>
      </c>
    </row>
    <row r="119" spans="2:94" x14ac:dyDescent="0.25">
      <c r="B119" s="271"/>
      <c r="C119" s="272"/>
      <c r="D119" s="272"/>
      <c r="E119" s="272"/>
      <c r="F119" s="272"/>
      <c r="G119" s="272"/>
      <c r="H119" s="271"/>
      <c r="I119" s="272"/>
      <c r="J119" s="272"/>
      <c r="K119" s="272"/>
      <c r="L119" s="272"/>
      <c r="M119" s="326"/>
      <c r="N119" s="271"/>
      <c r="O119" s="272"/>
      <c r="P119" s="272"/>
      <c r="Q119" s="272"/>
      <c r="R119" s="272"/>
      <c r="S119" s="326"/>
      <c r="T119" s="271"/>
      <c r="U119" s="272"/>
      <c r="V119" s="272"/>
      <c r="W119" s="272"/>
      <c r="X119" s="272"/>
      <c r="Y119" s="272"/>
      <c r="Z119" s="326"/>
      <c r="AA119" s="271"/>
      <c r="AB119" s="272"/>
      <c r="AC119" s="272"/>
      <c r="AD119" s="272"/>
      <c r="AE119" s="272"/>
      <c r="AF119" s="326"/>
      <c r="AG119" s="271"/>
      <c r="AH119" s="272"/>
      <c r="AI119" s="272"/>
      <c r="AJ119" s="272"/>
      <c r="AK119" s="272"/>
      <c r="AL119" s="326"/>
      <c r="AM119" s="271"/>
      <c r="AN119" s="272"/>
      <c r="AO119" s="272"/>
      <c r="AP119" s="272"/>
      <c r="AQ119" s="272"/>
      <c r="AR119" s="326"/>
      <c r="AS119" s="326"/>
      <c r="AT119" s="271"/>
      <c r="AU119" s="272"/>
      <c r="AV119" s="272"/>
      <c r="AW119" s="272"/>
      <c r="AX119" s="272"/>
      <c r="AY119" s="326"/>
      <c r="AZ119" s="326"/>
      <c r="BA119" s="291"/>
      <c r="BB119" s="272"/>
      <c r="BC119" s="272">
        <v>1</v>
      </c>
      <c r="BD119" s="272"/>
      <c r="BE119" s="273">
        <v>1</v>
      </c>
      <c r="BF119" s="297"/>
      <c r="BG119" s="326"/>
      <c r="BH119" s="316"/>
      <c r="BI119" s="271"/>
      <c r="BJ119" s="272"/>
      <c r="BK119" s="272"/>
      <c r="BL119" s="272"/>
      <c r="BM119" s="272"/>
      <c r="BN119" s="272"/>
      <c r="BO119" s="326"/>
      <c r="BP119" s="341"/>
      <c r="BQ119" s="271"/>
      <c r="BR119" s="272"/>
      <c r="BS119" s="272"/>
      <c r="BT119" s="272"/>
      <c r="BU119" s="272"/>
      <c r="BV119" s="272"/>
      <c r="BW119" s="341"/>
      <c r="BX119" s="271"/>
      <c r="BY119" s="272"/>
      <c r="BZ119" s="272"/>
      <c r="CA119" s="272"/>
      <c r="CB119" s="272"/>
      <c r="CC119" s="297"/>
      <c r="CD119" s="341"/>
      <c r="CE119" s="271"/>
      <c r="CF119" s="272"/>
      <c r="CG119" s="272"/>
      <c r="CH119" s="272"/>
      <c r="CI119" s="272"/>
      <c r="CJ119" s="326"/>
      <c r="CK119" s="297"/>
      <c r="CL119" s="341"/>
      <c r="CM119" s="266" t="s">
        <v>634</v>
      </c>
      <c r="CN119" s="266" t="str">
        <f>CONCATENATE("Acceder al sistema Gemma con usuario y perfil activo para la funcionalidad modulo Maestro - Financiera, ","",IF(BA119=1,"Agregar un registro","")," seleccionando el registro de la tabla consulta, hacer clic en el boton ",IF(BB119=1,"Modificar","")," ",IF(BC119=1,"Eliminar","")," ",IF(AF119=1,"Exportar Documento Excel",""), ,IF(A119=1,"Link Nombre Distribuidor",""),"presionar el boton Confirmar.",IF(FZ133=1,$FZ$4,"")," ")</f>
        <v xml:space="preserve">Acceder al sistema Gemma con usuario y perfil activo para la funcionalidad modulo Maestro - Financiera,  seleccionando el registro de la tabla consulta, hacer clic en el boton  Eliminar presionar el boton Confirmar. </v>
      </c>
      <c r="CO119" s="310" t="str">
        <f>CONCATENATE(" Validar funcionalidad  Financiera ",IF(BA119=1,$BA$3,"")," ",IF(BB119=1,$BB$3,""),"",IF(BC119=1,$BC$3,"")," ",IF(BD119=1,$BD$4,"")," ",IF(BE119=1,$BE$4,""), " en el filtro ",IF(BF119=1,$BF$2,""),"", IF(BH119=1,$BH$2,"Sin Exportar Excel"),)</f>
        <v xml:space="preserve"> Validar funcionalidad  Financiera  Eliminar  Sin Valores en el filtro Sin Exportar Excel</v>
      </c>
      <c r="CP119" s="267" t="s">
        <v>1333</v>
      </c>
    </row>
    <row r="120" spans="2:94" ht="15.75" thickBot="1" x14ac:dyDescent="0.3">
      <c r="B120" s="271"/>
      <c r="C120" s="272"/>
      <c r="D120" s="272"/>
      <c r="E120" s="272"/>
      <c r="F120" s="272"/>
      <c r="G120" s="272"/>
      <c r="H120" s="271"/>
      <c r="I120" s="272"/>
      <c r="J120" s="272"/>
      <c r="K120" s="272"/>
      <c r="L120" s="272"/>
      <c r="M120" s="326"/>
      <c r="N120" s="271"/>
      <c r="O120" s="272"/>
      <c r="P120" s="272"/>
      <c r="Q120" s="272"/>
      <c r="R120" s="272"/>
      <c r="S120" s="326"/>
      <c r="T120" s="271"/>
      <c r="U120" s="272"/>
      <c r="V120" s="272"/>
      <c r="W120" s="272"/>
      <c r="X120" s="272"/>
      <c r="Y120" s="272"/>
      <c r="Z120" s="326"/>
      <c r="AA120" s="271"/>
      <c r="AB120" s="272"/>
      <c r="AC120" s="272"/>
      <c r="AD120" s="272"/>
      <c r="AE120" s="272"/>
      <c r="AF120" s="326"/>
      <c r="AG120" s="271"/>
      <c r="AH120" s="272"/>
      <c r="AI120" s="272"/>
      <c r="AJ120" s="272"/>
      <c r="AK120" s="272"/>
      <c r="AL120" s="326"/>
      <c r="AM120" s="271"/>
      <c r="AN120" s="272"/>
      <c r="AO120" s="272"/>
      <c r="AP120" s="272"/>
      <c r="AQ120" s="272"/>
      <c r="AR120" s="326"/>
      <c r="AS120" s="326"/>
      <c r="AT120" s="271"/>
      <c r="AU120" s="272"/>
      <c r="AV120" s="272"/>
      <c r="AW120" s="272"/>
      <c r="AX120" s="272"/>
      <c r="AY120" s="326"/>
      <c r="AZ120" s="326"/>
      <c r="BA120" s="291"/>
      <c r="BB120" s="272"/>
      <c r="BC120" s="272"/>
      <c r="BD120" s="272"/>
      <c r="BE120" s="273"/>
      <c r="BF120" s="297"/>
      <c r="BG120" s="326"/>
      <c r="BH120" s="316">
        <v>1</v>
      </c>
      <c r="BI120" s="271"/>
      <c r="BJ120" s="272"/>
      <c r="BK120" s="272"/>
      <c r="BL120" s="272"/>
      <c r="BM120" s="272"/>
      <c r="BN120" s="272"/>
      <c r="BO120" s="326"/>
      <c r="BP120" s="341"/>
      <c r="BQ120" s="271"/>
      <c r="BR120" s="272"/>
      <c r="BS120" s="272"/>
      <c r="BT120" s="272"/>
      <c r="BU120" s="272"/>
      <c r="BV120" s="272"/>
      <c r="BW120" s="341"/>
      <c r="BX120" s="271"/>
      <c r="BY120" s="272"/>
      <c r="BZ120" s="272"/>
      <c r="CA120" s="272"/>
      <c r="CB120" s="272"/>
      <c r="CC120" s="297"/>
      <c r="CD120" s="341"/>
      <c r="CE120" s="271"/>
      <c r="CF120" s="272"/>
      <c r="CG120" s="272"/>
      <c r="CH120" s="272"/>
      <c r="CI120" s="272"/>
      <c r="CJ120" s="326"/>
      <c r="CK120" s="297"/>
      <c r="CL120" s="341"/>
      <c r="CM120" s="266" t="s">
        <v>635</v>
      </c>
      <c r="CN120" s="266" t="str">
        <f>CONCATENATE("Acceder al sistema Gemma con usuario y perfil activo para la funcionalidad modulo Maestro - Financiera, ","",IF(H120=1,"Agregar un registro","")," sin datos en el filtro, presionar ",IF(I120=1,"Modificar","")," ",IF(J120=1,"Eliminar","")," ",IF(BH120=1,"Exportar Documento Excel",""), ,IF(A120=1,"Link Nombre Distribuidor",""),"")</f>
        <v>Acceder al sistema Gemma con usuario y perfil activo para la funcionalidad modulo Maestro - Financiera,  sin datos en el filtro, presionar   Exportar Documento Excel</v>
      </c>
      <c r="CO120" s="310" t="str">
        <f>CONCATENATE(" Validar funcionalidad  Financiera ",IF(BA120=1,$BA$3,""),"",IF(BB120=1,$BB$3,""),"",IF(BC120=1,$BC$3,""),"",IF(BD120=1,$BD$4,"")," ",IF(BE120=1,$BE$4,""), "",IF(BF120=1,$BF$2,""),"", IF(BH120=1,$BH$2,""),)</f>
        <v xml:space="preserve"> Validar funcionalidad  Financiera  Exportar Excel </v>
      </c>
      <c r="CP120" s="267" t="s">
        <v>1342</v>
      </c>
    </row>
    <row r="121" spans="2:94" ht="15.75" thickTop="1" x14ac:dyDescent="0.25">
      <c r="B121" s="327"/>
      <c r="C121" s="293"/>
      <c r="D121" s="293"/>
      <c r="E121" s="293"/>
      <c r="F121" s="293"/>
      <c r="G121" s="293"/>
      <c r="H121" s="327"/>
      <c r="I121" s="293"/>
      <c r="J121" s="293"/>
      <c r="K121" s="293"/>
      <c r="L121" s="293"/>
      <c r="M121" s="328"/>
      <c r="N121" s="327"/>
      <c r="O121" s="293"/>
      <c r="P121" s="293"/>
      <c r="Q121" s="293"/>
      <c r="R121" s="293"/>
      <c r="S121" s="328"/>
      <c r="T121" s="327"/>
      <c r="U121" s="293"/>
      <c r="V121" s="293"/>
      <c r="W121" s="293"/>
      <c r="X121" s="293"/>
      <c r="Y121" s="293"/>
      <c r="Z121" s="328"/>
      <c r="AA121" s="327"/>
      <c r="AB121" s="293"/>
      <c r="AC121" s="293"/>
      <c r="AD121" s="293"/>
      <c r="AE121" s="293"/>
      <c r="AF121" s="328"/>
      <c r="AG121" s="327"/>
      <c r="AH121" s="293"/>
      <c r="AI121" s="293"/>
      <c r="AJ121" s="293"/>
      <c r="AK121" s="293"/>
      <c r="AL121" s="328"/>
      <c r="AM121" s="327"/>
      <c r="AN121" s="293"/>
      <c r="AO121" s="293"/>
      <c r="AP121" s="293"/>
      <c r="AQ121" s="293"/>
      <c r="AR121" s="328"/>
      <c r="AS121" s="328"/>
      <c r="AT121" s="327"/>
      <c r="AU121" s="293"/>
      <c r="AV121" s="293"/>
      <c r="AW121" s="293"/>
      <c r="AX121" s="293"/>
      <c r="AY121" s="328"/>
      <c r="AZ121" s="328"/>
      <c r="BA121" s="292">
        <v>1</v>
      </c>
      <c r="BB121" s="293"/>
      <c r="BC121" s="293"/>
      <c r="BD121" s="293"/>
      <c r="BE121" s="106">
        <v>1</v>
      </c>
      <c r="BF121" s="329"/>
      <c r="BG121" s="328"/>
      <c r="BH121" s="294"/>
      <c r="BI121" s="327"/>
      <c r="BJ121" s="293"/>
      <c r="BK121" s="293"/>
      <c r="BL121" s="293"/>
      <c r="BM121" s="293"/>
      <c r="BN121" s="293"/>
      <c r="BO121" s="328"/>
      <c r="BP121" s="342"/>
      <c r="BQ121" s="327"/>
      <c r="BR121" s="293"/>
      <c r="BS121" s="293"/>
      <c r="BT121" s="293"/>
      <c r="BU121" s="293"/>
      <c r="BV121" s="293"/>
      <c r="BW121" s="342"/>
      <c r="BX121" s="327"/>
      <c r="BY121" s="293"/>
      <c r="BZ121" s="293"/>
      <c r="CA121" s="293"/>
      <c r="CB121" s="293"/>
      <c r="CC121" s="329"/>
      <c r="CD121" s="342"/>
      <c r="CE121" s="327"/>
      <c r="CF121" s="293"/>
      <c r="CG121" s="293"/>
      <c r="CH121" s="293"/>
      <c r="CI121" s="293"/>
      <c r="CJ121" s="328"/>
      <c r="CK121" s="329"/>
      <c r="CL121" s="342"/>
      <c r="CM121" s="266" t="s">
        <v>1416</v>
      </c>
      <c r="CN121" s="266" t="str">
        <f>CONCATENATE("Acceder al sistema Gemma con usuario y perfil activo para la funcionalidad modulo Maestro - Financiera, ","Agregar un registro ",IF(H121=1,"Agregar un registro","")," sin datos en el Nombre y presionar Confirmar.",IF(I121=1,"Modificar","")," ",IF(J121=1,"Eliminar","")," ",IF(M121=1,"Exportar Documento Excel",""), ,IF(A121=1,"Link Nombre Distribuidor",""),"",IF(FZ136=1,$FZ$4,"")," ")</f>
        <v xml:space="preserve">Acceder al sistema Gemma con usuario y perfil activo para la funcionalidad modulo Maestro - Financiera, Agregar un registro  sin datos en el Nombre y presionar Confirmar.   </v>
      </c>
      <c r="CO121" s="310" t="str">
        <f>CONCATENATE(" Validar funcionalidad  Financiera ",IF(BA121=1,$BA$3,""),"",IF(BB121=1,$BB$3,""),"",IF(BC121=1,$BC$3,""),"",IF(BD121=1,$BD$4,"")," ",IF(BE121=1,$BE$4,""), " en el campo Nombre",IF(BF121=1,$BF$2,""),"", IF(BH121=1,$BH$2,""),)</f>
        <v xml:space="preserve"> Validar funcionalidad  Financiera Agregar Sin Valores en el campo Nombre</v>
      </c>
      <c r="CP121" s="267" t="s">
        <v>1375</v>
      </c>
    </row>
    <row r="122" spans="2:94" x14ac:dyDescent="0.25">
      <c r="B122" s="322"/>
      <c r="C122" s="25"/>
      <c r="D122" s="25"/>
      <c r="E122" s="25"/>
      <c r="F122" s="25"/>
      <c r="G122" s="25"/>
      <c r="H122" s="322"/>
      <c r="I122" s="25"/>
      <c r="J122" s="25"/>
      <c r="K122" s="25"/>
      <c r="L122" s="25"/>
      <c r="M122" s="285"/>
      <c r="N122" s="322"/>
      <c r="O122" s="25"/>
      <c r="P122" s="25"/>
      <c r="Q122" s="25"/>
      <c r="R122" s="25"/>
      <c r="S122" s="285"/>
      <c r="T122" s="322"/>
      <c r="U122" s="25"/>
      <c r="V122" s="25"/>
      <c r="W122" s="25"/>
      <c r="X122" s="25"/>
      <c r="Y122" s="25"/>
      <c r="Z122" s="285"/>
      <c r="AA122" s="322"/>
      <c r="AB122" s="25"/>
      <c r="AC122" s="25"/>
      <c r="AD122" s="25"/>
      <c r="AE122" s="25"/>
      <c r="AF122" s="285"/>
      <c r="AG122" s="322"/>
      <c r="AH122" s="25"/>
      <c r="AI122" s="25"/>
      <c r="AJ122" s="25"/>
      <c r="AK122" s="25"/>
      <c r="AL122" s="285"/>
      <c r="AM122" s="322"/>
      <c r="AN122" s="25"/>
      <c r="AO122" s="25"/>
      <c r="AP122" s="25"/>
      <c r="AQ122" s="25"/>
      <c r="AR122" s="285"/>
      <c r="AS122" s="285"/>
      <c r="AT122" s="322"/>
      <c r="AU122" s="25"/>
      <c r="AV122" s="25"/>
      <c r="AW122" s="25"/>
      <c r="AX122" s="25"/>
      <c r="AY122" s="285"/>
      <c r="AZ122" s="285"/>
      <c r="BA122" s="105"/>
      <c r="BB122" s="25"/>
      <c r="BC122" s="25"/>
      <c r="BD122" s="25">
        <v>1</v>
      </c>
      <c r="BE122" s="24"/>
      <c r="BF122" s="100"/>
      <c r="BG122" s="285"/>
      <c r="BH122" s="279"/>
      <c r="BI122" s="322"/>
      <c r="BJ122" s="25"/>
      <c r="BK122" s="25"/>
      <c r="BL122" s="25"/>
      <c r="BM122" s="25"/>
      <c r="BN122" s="25"/>
      <c r="BO122" s="285"/>
      <c r="BP122" s="340"/>
      <c r="BQ122" s="322"/>
      <c r="BR122" s="25"/>
      <c r="BS122" s="25"/>
      <c r="BT122" s="25"/>
      <c r="BU122" s="25"/>
      <c r="BV122" s="25"/>
      <c r="BW122" s="340"/>
      <c r="BX122" s="322"/>
      <c r="BY122" s="25"/>
      <c r="BZ122" s="25"/>
      <c r="CA122" s="25"/>
      <c r="CB122" s="25"/>
      <c r="CC122" s="100"/>
      <c r="CD122" s="340"/>
      <c r="CE122" s="322"/>
      <c r="CF122" s="25"/>
      <c r="CG122" s="25"/>
      <c r="CH122" s="25"/>
      <c r="CI122" s="25"/>
      <c r="CJ122" s="285"/>
      <c r="CK122" s="100"/>
      <c r="CL122" s="340"/>
      <c r="CM122" s="266" t="s">
        <v>1418</v>
      </c>
      <c r="CN122" s="266" t="s">
        <v>1413</v>
      </c>
      <c r="CO122" s="310" t="str">
        <f>CONCATENATE(" Validar funcionalidad  Financiera ",IF(BA122=1,$BA$3,""),"",IF(BB122=1,$BB$3,""),"",IF(BC122=1,$BC$3,""),"",IF(BD122=1,$BD$4,"")," ",IF(BE122=1,$BE$4,""), "",IF(BF122=1,$BF$2,""),"Nombre Invalido en el filtro", IF(BH122=1,$BH$2,""),)</f>
        <v xml:space="preserve"> Validar funcionalidad  Financiera Con Valores Nombre Invalido en el filtro</v>
      </c>
      <c r="CP122" s="267" t="s">
        <v>1344</v>
      </c>
    </row>
    <row r="123" spans="2:94" x14ac:dyDescent="0.25">
      <c r="B123" s="18"/>
      <c r="C123" s="13"/>
      <c r="D123" s="13"/>
      <c r="E123" s="13"/>
      <c r="F123" s="13"/>
      <c r="G123" s="13"/>
      <c r="H123" s="18"/>
      <c r="I123" s="13"/>
      <c r="J123" s="13"/>
      <c r="K123" s="13"/>
      <c r="L123" s="13"/>
      <c r="M123" s="98"/>
      <c r="N123" s="18"/>
      <c r="O123" s="13"/>
      <c r="P123" s="13"/>
      <c r="Q123" s="13"/>
      <c r="R123" s="13"/>
      <c r="S123" s="98"/>
      <c r="T123" s="18"/>
      <c r="U123" s="13"/>
      <c r="V123" s="13"/>
      <c r="W123" s="13"/>
      <c r="X123" s="13"/>
      <c r="Y123" s="13"/>
      <c r="Z123" s="98"/>
      <c r="AA123" s="18"/>
      <c r="AB123" s="13"/>
      <c r="AC123" s="13"/>
      <c r="AD123" s="13"/>
      <c r="AE123" s="13"/>
      <c r="AF123" s="98"/>
      <c r="AG123" s="18"/>
      <c r="AH123" s="13"/>
      <c r="AI123" s="13"/>
      <c r="AJ123" s="13"/>
      <c r="AK123" s="13"/>
      <c r="AL123" s="98"/>
      <c r="AM123" s="18"/>
      <c r="AN123" s="13"/>
      <c r="AO123" s="13"/>
      <c r="AP123" s="13"/>
      <c r="AQ123" s="13"/>
      <c r="AR123" s="98"/>
      <c r="AS123" s="98"/>
      <c r="AT123" s="18"/>
      <c r="AU123" s="13"/>
      <c r="AV123" s="13"/>
      <c r="AW123" s="13"/>
      <c r="AX123" s="13"/>
      <c r="AY123" s="98"/>
      <c r="AZ123" s="98"/>
      <c r="BA123" s="20"/>
      <c r="BB123" s="13">
        <v>1</v>
      </c>
      <c r="BC123" s="13"/>
      <c r="BD123" s="13"/>
      <c r="BE123" s="111">
        <v>1</v>
      </c>
      <c r="BF123" s="101"/>
      <c r="BG123" s="98"/>
      <c r="BH123" s="280"/>
      <c r="BI123" s="18"/>
      <c r="BJ123" s="13"/>
      <c r="BK123" s="13"/>
      <c r="BL123" s="13"/>
      <c r="BM123" s="13"/>
      <c r="BN123" s="13"/>
      <c r="BO123" s="98"/>
      <c r="BP123" s="278"/>
      <c r="BQ123" s="18"/>
      <c r="BR123" s="13"/>
      <c r="BS123" s="13"/>
      <c r="BT123" s="13"/>
      <c r="BU123" s="13"/>
      <c r="BV123" s="13"/>
      <c r="BW123" s="278"/>
      <c r="BX123" s="18"/>
      <c r="BY123" s="13"/>
      <c r="BZ123" s="13"/>
      <c r="CA123" s="13"/>
      <c r="CB123" s="13"/>
      <c r="CC123" s="101"/>
      <c r="CD123" s="278"/>
      <c r="CE123" s="18"/>
      <c r="CF123" s="13"/>
      <c r="CG123" s="13"/>
      <c r="CH123" s="13"/>
      <c r="CI123" s="13"/>
      <c r="CJ123" s="98"/>
      <c r="CK123" s="101"/>
      <c r="CL123" s="278"/>
      <c r="CM123" s="266" t="s">
        <v>1420</v>
      </c>
      <c r="CN123" s="266" t="s">
        <v>1427</v>
      </c>
      <c r="CO123" s="310" t="str">
        <f>CONCATENATE(" Validar funcionalidad  Financiera ",IF(BA123=1,$BA$3,""),"",IF(BB123=1,$BB$3,""),"",IF(BC123=1,$BC$3,""),"",IF(BD123=1,$BD$4,"")," ",IF(BE123=1,$BE$4,""), "",IF(BF123=1,$BF$2,""),"en el campo Nombre", IF(BH123=1,$BH$2,""),)</f>
        <v xml:space="preserve"> Validar funcionalidad  Financiera Modificar Sin Valoresen el campo Nombre</v>
      </c>
      <c r="CP123" s="267" t="s">
        <v>1375</v>
      </c>
    </row>
    <row r="124" spans="2:94" ht="15.75" thickBot="1" x14ac:dyDescent="0.3">
      <c r="B124" s="323"/>
      <c r="C124" s="281"/>
      <c r="D124" s="281"/>
      <c r="E124" s="281"/>
      <c r="F124" s="281"/>
      <c r="G124" s="281"/>
      <c r="H124" s="323"/>
      <c r="I124" s="281"/>
      <c r="J124" s="281"/>
      <c r="K124" s="281"/>
      <c r="L124" s="281"/>
      <c r="M124" s="324"/>
      <c r="N124" s="323"/>
      <c r="O124" s="281"/>
      <c r="P124" s="281"/>
      <c r="Q124" s="281"/>
      <c r="R124" s="281"/>
      <c r="S124" s="324"/>
      <c r="T124" s="323"/>
      <c r="U124" s="281"/>
      <c r="V124" s="281"/>
      <c r="W124" s="281"/>
      <c r="X124" s="281"/>
      <c r="Y124" s="281"/>
      <c r="Z124" s="324"/>
      <c r="AA124" s="323"/>
      <c r="AB124" s="281"/>
      <c r="AC124" s="281"/>
      <c r="AD124" s="281"/>
      <c r="AE124" s="281"/>
      <c r="AF124" s="324"/>
      <c r="AG124" s="323"/>
      <c r="AH124" s="281"/>
      <c r="AI124" s="281"/>
      <c r="AJ124" s="281"/>
      <c r="AK124" s="281"/>
      <c r="AL124" s="324"/>
      <c r="AM124" s="323"/>
      <c r="AN124" s="281"/>
      <c r="AO124" s="281"/>
      <c r="AP124" s="281"/>
      <c r="AQ124" s="281"/>
      <c r="AR124" s="324"/>
      <c r="AS124" s="324"/>
      <c r="AT124" s="323"/>
      <c r="AU124" s="281"/>
      <c r="AV124" s="281"/>
      <c r="AW124" s="281"/>
      <c r="AX124" s="281"/>
      <c r="AY124" s="324"/>
      <c r="AZ124" s="324"/>
      <c r="BA124" s="303"/>
      <c r="BB124" s="282"/>
      <c r="BC124" s="281">
        <v>1</v>
      </c>
      <c r="BD124" s="317"/>
      <c r="BE124" s="317"/>
      <c r="BF124" s="330"/>
      <c r="BG124" s="324"/>
      <c r="BH124" s="302"/>
      <c r="BI124" s="323"/>
      <c r="BJ124" s="281"/>
      <c r="BK124" s="281"/>
      <c r="BL124" s="281"/>
      <c r="BM124" s="281"/>
      <c r="BN124" s="281"/>
      <c r="BO124" s="324"/>
      <c r="BP124" s="343"/>
      <c r="BQ124" s="323"/>
      <c r="BR124" s="281"/>
      <c r="BS124" s="281"/>
      <c r="BT124" s="281"/>
      <c r="BU124" s="281"/>
      <c r="BV124" s="281"/>
      <c r="BW124" s="343"/>
      <c r="BX124" s="323"/>
      <c r="BY124" s="281"/>
      <c r="BZ124" s="281"/>
      <c r="CA124" s="281"/>
      <c r="CB124" s="281"/>
      <c r="CC124" s="330"/>
      <c r="CD124" s="343"/>
      <c r="CE124" s="323"/>
      <c r="CF124" s="281"/>
      <c r="CG124" s="281"/>
      <c r="CH124" s="281"/>
      <c r="CI124" s="281"/>
      <c r="CJ124" s="324"/>
      <c r="CK124" s="330"/>
      <c r="CL124" s="343"/>
      <c r="CM124" s="266" t="s">
        <v>1422</v>
      </c>
      <c r="CN124" s="266" t="s">
        <v>1412</v>
      </c>
      <c r="CO124" s="310" t="str">
        <f>CONCATENATE(" Validar funcionalidad  Financiera ",IF(BA124=1,$BA$3,""),"",IF(BB124=1,$BB$3,""),"",IF(BC124=1,$BC$3,""),"",IF(BD124=1,$BD$4,"")," ",IF(BE124=1,$BE$4,""), "",IF(BF124=1,$BF$2,""),"un registro en uso", IF(BH124=1,$BH$2,""),)</f>
        <v xml:space="preserve"> Validar funcionalidad  Financiera Eliminar un registro en uso</v>
      </c>
      <c r="CP124" s="267" t="s">
        <v>1345</v>
      </c>
    </row>
    <row r="125" spans="2:94" s="109" customFormat="1" ht="15.75" thickTop="1" x14ac:dyDescent="0.25">
      <c r="B125" s="322"/>
      <c r="C125" s="25"/>
      <c r="D125" s="25"/>
      <c r="E125" s="25"/>
      <c r="F125" s="25"/>
      <c r="G125" s="25"/>
      <c r="H125" s="322"/>
      <c r="I125" s="25"/>
      <c r="J125" s="25"/>
      <c r="K125" s="25"/>
      <c r="L125" s="25"/>
      <c r="M125" s="285"/>
      <c r="N125" s="322"/>
      <c r="O125" s="25"/>
      <c r="P125" s="25"/>
      <c r="Q125" s="25"/>
      <c r="R125" s="25"/>
      <c r="S125" s="285"/>
      <c r="T125" s="322"/>
      <c r="U125" s="25"/>
      <c r="V125" s="25"/>
      <c r="W125" s="25"/>
      <c r="X125" s="25"/>
      <c r="Y125" s="25"/>
      <c r="Z125" s="285"/>
      <c r="AA125" s="322"/>
      <c r="AB125" s="25"/>
      <c r="AC125" s="25"/>
      <c r="AD125" s="25"/>
      <c r="AE125" s="25"/>
      <c r="AF125" s="285"/>
      <c r="AG125" s="322"/>
      <c r="AH125" s="25"/>
      <c r="AI125" s="25"/>
      <c r="AJ125" s="25"/>
      <c r="AK125" s="25"/>
      <c r="AL125" s="285"/>
      <c r="AM125" s="322"/>
      <c r="AN125" s="25"/>
      <c r="AO125" s="25"/>
      <c r="AP125" s="25"/>
      <c r="AQ125" s="25"/>
      <c r="AR125" s="285"/>
      <c r="AS125" s="285"/>
      <c r="AT125" s="322"/>
      <c r="AU125" s="25"/>
      <c r="AV125" s="25"/>
      <c r="AW125" s="25"/>
      <c r="AX125" s="25"/>
      <c r="AY125" s="285"/>
      <c r="AZ125" s="285"/>
      <c r="BA125" s="322"/>
      <c r="BB125" s="25"/>
      <c r="BC125" s="25"/>
      <c r="BD125" s="25"/>
      <c r="BE125" s="25"/>
      <c r="BF125" s="285"/>
      <c r="BG125" s="285"/>
      <c r="BH125" s="285"/>
      <c r="BI125" s="105">
        <v>1</v>
      </c>
      <c r="BJ125" s="24"/>
      <c r="BK125" s="24"/>
      <c r="BL125" s="24">
        <v>1</v>
      </c>
      <c r="BM125" s="24">
        <v>1</v>
      </c>
      <c r="BN125" s="24"/>
      <c r="BO125" s="100"/>
      <c r="BP125" s="279">
        <v>1</v>
      </c>
      <c r="BQ125" s="105"/>
      <c r="BR125" s="24"/>
      <c r="BS125" s="24"/>
      <c r="BT125" s="24"/>
      <c r="BU125" s="24"/>
      <c r="BV125" s="24"/>
      <c r="BW125" s="279"/>
      <c r="BX125" s="322"/>
      <c r="BY125" s="25"/>
      <c r="BZ125" s="25"/>
      <c r="CA125" s="25"/>
      <c r="CB125" s="25"/>
      <c r="CC125" s="285"/>
      <c r="CD125" s="340"/>
      <c r="CE125" s="322"/>
      <c r="CF125" s="25"/>
      <c r="CG125" s="25"/>
      <c r="CH125" s="25"/>
      <c r="CI125" s="25"/>
      <c r="CJ125" s="285"/>
      <c r="CK125" s="285"/>
      <c r="CL125" s="340"/>
      <c r="CM125" s="266" t="s">
        <v>636</v>
      </c>
      <c r="CN125" s="266" t="str">
        <f>CONCATENATE("Acceder al sistema Gemma con usuario y perfil activo para la funcionalidad modulo Maestro - Banco, hacer clic en el boton ","",IF(BI125=1,"Agregar","")," colocando campos obligatorios, ",IF(BJ125=1,"Modificar un registro","")," presionar el boton Confirmar y  ",IF(BK125=1,"Eliminar un registro",""),"luego presionar ",IF(BP125=1,"Exportar Documento Excel",""), ,IF(A125=1,"Link Nombre Distribuidor",""),"")</f>
        <v>Acceder al sistema Gemma con usuario y perfil activo para la funcionalidad modulo Maestro - Banco, hacer clic en el boton Agregar colocando campos obligatorios,  presionar el boton Confirmar y  luego presionar Exportar Documento Excel</v>
      </c>
      <c r="CO125" s="310" t="str">
        <f>CONCATENATE(" Validar funcionalidad  Banco ",IF(BI125=1,$BI$3,"")," ",IF(BJ125=1,$BJ$3,""),"",IF(BK125=1,$BK$3,"")," ",IF(BL125=1,$BL$3,"")," ",IF(BM125=1,$BM$4,""), " una vez confirmado ",IF(BN125=1,$BN$4,""),"", IF(BP125=1,$BP$2,"Sin Exportar Excel"),)</f>
        <v xml:space="preserve"> Validar funcionalidad  Banco Agregar  ID Con Valores una vez confirmado Exportar Excel </v>
      </c>
      <c r="CP125" s="267" t="s">
        <v>1321</v>
      </c>
    </row>
    <row r="126" spans="2:94" s="109" customFormat="1" x14ac:dyDescent="0.25">
      <c r="B126" s="18"/>
      <c r="C126" s="13"/>
      <c r="D126" s="13"/>
      <c r="E126" s="13"/>
      <c r="F126" s="13"/>
      <c r="G126" s="13"/>
      <c r="H126" s="18"/>
      <c r="I126" s="13"/>
      <c r="J126" s="13"/>
      <c r="K126" s="13"/>
      <c r="L126" s="13"/>
      <c r="M126" s="98"/>
      <c r="N126" s="18"/>
      <c r="O126" s="13"/>
      <c r="P126" s="13"/>
      <c r="Q126" s="13"/>
      <c r="R126" s="13"/>
      <c r="S126" s="98"/>
      <c r="T126" s="18"/>
      <c r="U126" s="13"/>
      <c r="V126" s="13"/>
      <c r="W126" s="13"/>
      <c r="X126" s="13"/>
      <c r="Y126" s="13"/>
      <c r="Z126" s="98"/>
      <c r="AA126" s="18"/>
      <c r="AB126" s="13"/>
      <c r="AC126" s="13"/>
      <c r="AD126" s="13"/>
      <c r="AE126" s="13"/>
      <c r="AF126" s="98"/>
      <c r="AG126" s="18"/>
      <c r="AH126" s="13"/>
      <c r="AI126" s="13"/>
      <c r="AJ126" s="13"/>
      <c r="AK126" s="13"/>
      <c r="AL126" s="98"/>
      <c r="AM126" s="18"/>
      <c r="AN126" s="13"/>
      <c r="AO126" s="13"/>
      <c r="AP126" s="13"/>
      <c r="AQ126" s="13"/>
      <c r="AR126" s="98"/>
      <c r="AS126" s="98"/>
      <c r="AT126" s="18"/>
      <c r="AU126" s="13"/>
      <c r="AV126" s="13"/>
      <c r="AW126" s="13"/>
      <c r="AX126" s="13"/>
      <c r="AY126" s="98"/>
      <c r="AZ126" s="98"/>
      <c r="BA126" s="18"/>
      <c r="BB126" s="13"/>
      <c r="BC126" s="13"/>
      <c r="BD126" s="13"/>
      <c r="BE126" s="13"/>
      <c r="BF126" s="98"/>
      <c r="BG126" s="98"/>
      <c r="BH126" s="98"/>
      <c r="BI126" s="20">
        <v>1</v>
      </c>
      <c r="BJ126" s="13"/>
      <c r="BK126" s="103"/>
      <c r="BL126" s="24">
        <v>1</v>
      </c>
      <c r="BM126" s="13">
        <v>1</v>
      </c>
      <c r="BN126" s="111"/>
      <c r="BO126" s="101"/>
      <c r="BP126" s="280"/>
      <c r="BQ126" s="20"/>
      <c r="BR126" s="13"/>
      <c r="BS126" s="103"/>
      <c r="BT126" s="103"/>
      <c r="BU126" s="13"/>
      <c r="BV126" s="111"/>
      <c r="BW126" s="280"/>
      <c r="BX126" s="18"/>
      <c r="BY126" s="13"/>
      <c r="BZ126" s="13"/>
      <c r="CA126" s="13"/>
      <c r="CB126" s="13"/>
      <c r="CC126" s="98"/>
      <c r="CD126" s="278"/>
      <c r="CE126" s="18"/>
      <c r="CF126" s="13"/>
      <c r="CG126" s="13"/>
      <c r="CH126" s="13"/>
      <c r="CI126" s="13"/>
      <c r="CJ126" s="98"/>
      <c r="CK126" s="98"/>
      <c r="CL126" s="278"/>
      <c r="CM126" s="266" t="s">
        <v>637</v>
      </c>
      <c r="CN126" s="266" t="str">
        <f>CONCATENATE("Acceder al sistema Gemma con usuario y perfil activo para la funcionalidad modulo Maestro - Banco, hacer clic en el boton ","",IF(BI126=1,"Agregar","")," colocando todos los campos, ",IF(BB126=1,"Modificar un registro","")," ",IF(BC126=1,"Eliminar un registro","")," ",IF(BH126=1,"Exportar Documento Excel",""), ,IF(A126=1,"Link Nombre Distribuidor",""),"presionar el boton Confirmar.",IF(FZ141=1,$FZ$4,"")," ")</f>
        <v xml:space="preserve">Acceder al sistema Gemma con usuario y perfil activo para la funcionalidad modulo Maestro - Banco, hacer clic en el boton Agregar colocando todos los campos,   presionar el boton Confirmar. </v>
      </c>
      <c r="CO126" s="310" t="str">
        <f>CONCATENATE(" Validar funcionalidad  Banco ",IF(BI126=1,$BI$3,"")," ",IF(BJ126=1,$BJ$3,""),"",IF(BK126=1,$BK$3,"")," ",IF(BL126=1,$BL$3,"")," ",IF(BM126=1,$BM$4,""), "",IF(BN126=1,$BN$4,""),"", IF(BP126=1,$BP$2,"Sin Exportar Excel"),)</f>
        <v xml:space="preserve"> Validar funcionalidad  Banco Agregar  ID Con ValoresSin Exportar Excel</v>
      </c>
      <c r="CP126" s="267" t="s">
        <v>1321</v>
      </c>
    </row>
    <row r="127" spans="2:94" s="109" customFormat="1" x14ac:dyDescent="0.25">
      <c r="B127" s="14"/>
      <c r="C127" s="110"/>
      <c r="D127" s="110"/>
      <c r="E127" s="110"/>
      <c r="F127" s="110"/>
      <c r="G127" s="110"/>
      <c r="H127" s="14"/>
      <c r="I127" s="110"/>
      <c r="J127" s="110"/>
      <c r="K127" s="110"/>
      <c r="L127" s="110"/>
      <c r="M127" s="99"/>
      <c r="N127" s="14"/>
      <c r="O127" s="110"/>
      <c r="P127" s="110"/>
      <c r="Q127" s="110"/>
      <c r="R127" s="110"/>
      <c r="S127" s="99"/>
      <c r="T127" s="14"/>
      <c r="U127" s="110"/>
      <c r="V127" s="110"/>
      <c r="W127" s="110"/>
      <c r="X127" s="110"/>
      <c r="Y127" s="110"/>
      <c r="Z127" s="99"/>
      <c r="AA127" s="14"/>
      <c r="AB127" s="110"/>
      <c r="AC127" s="110"/>
      <c r="AD127" s="110"/>
      <c r="AE127" s="110"/>
      <c r="AF127" s="99"/>
      <c r="AG127" s="14"/>
      <c r="AH127" s="110"/>
      <c r="AI127" s="110"/>
      <c r="AJ127" s="110"/>
      <c r="AK127" s="110"/>
      <c r="AL127" s="99"/>
      <c r="AM127" s="14"/>
      <c r="AN127" s="110"/>
      <c r="AO127" s="110"/>
      <c r="AP127" s="110"/>
      <c r="AQ127" s="110"/>
      <c r="AR127" s="99"/>
      <c r="AS127" s="99"/>
      <c r="AT127" s="14"/>
      <c r="AU127" s="110"/>
      <c r="AV127" s="110"/>
      <c r="AW127" s="110"/>
      <c r="AX127" s="110"/>
      <c r="AY127" s="99"/>
      <c r="AZ127" s="99"/>
      <c r="BA127" s="14"/>
      <c r="BB127" s="110"/>
      <c r="BC127" s="110"/>
      <c r="BD127" s="110"/>
      <c r="BE127" s="110"/>
      <c r="BF127" s="99"/>
      <c r="BG127" s="99"/>
      <c r="BH127" s="99"/>
      <c r="BI127" s="20"/>
      <c r="BJ127" s="13">
        <v>1</v>
      </c>
      <c r="BK127" s="103"/>
      <c r="BL127" s="24">
        <v>1</v>
      </c>
      <c r="BM127" s="13">
        <v>1</v>
      </c>
      <c r="BN127" s="111"/>
      <c r="BO127" s="101"/>
      <c r="BP127" s="280">
        <v>1</v>
      </c>
      <c r="BQ127" s="20"/>
      <c r="BR127" s="13"/>
      <c r="BS127" s="103"/>
      <c r="BT127" s="103"/>
      <c r="BU127" s="13"/>
      <c r="BV127" s="111"/>
      <c r="BW127" s="280"/>
      <c r="BX127" s="14"/>
      <c r="BY127" s="110"/>
      <c r="BZ127" s="110"/>
      <c r="CA127" s="110"/>
      <c r="CB127" s="110"/>
      <c r="CC127" s="99"/>
      <c r="CD127" s="17"/>
      <c r="CE127" s="14"/>
      <c r="CF127" s="110"/>
      <c r="CG127" s="110"/>
      <c r="CH127" s="110"/>
      <c r="CI127" s="110"/>
      <c r="CJ127" s="99"/>
      <c r="CK127" s="99"/>
      <c r="CL127" s="17"/>
      <c r="CM127" s="266" t="s">
        <v>1414</v>
      </c>
      <c r="CN127" s="266" t="str">
        <f>CONCATENATE("Acceder al sistema Gemma con usuario y perfil activo para la funcionalidad modulo Maestro - Banco, colocando el Nombre en el filtro, ","",IF(BI127=1,"Agregar un registro","")," hacer clic en el boton ",IF(BJ127=1,"Modificar, ","")," ",IF(BC127=1,"Eliminar un registro",""),"confirmar cambios, luego presionar ",IF(BP127=1,"Exportar Documento Excel",""), ,IF(A127=1,"Link Nombre Distribuidor",""),""," ")</f>
        <v xml:space="preserve">Acceder al sistema Gemma con usuario y perfil activo para la funcionalidad modulo Maestro - Banco, colocando el Nombre en el filtro,  hacer clic en el boton Modificar,  confirmar cambios, luego presionar Exportar Documento Excel </v>
      </c>
      <c r="CO127" s="310" t="str">
        <f>CONCATENATE(" Validar funcionalidad  Banco ",IF(BI127=1,$BI$3,"")," ",IF(BJ127=1,$BJ$3,"")," ",IF(BK127=1,$BK$3,""),"",IF(BM127=1,$BM$4,""), " en el filtro ",IF(BN127=1,$BN$4,""),"", IF(BP127=1,$BP$2,"Sin Exportar Excel"),)</f>
        <v xml:space="preserve"> Validar funcionalidad  Banco  Modificar Con Valores en el filtro Exportar Excel </v>
      </c>
      <c r="CP127" s="267" t="s">
        <v>1341</v>
      </c>
    </row>
    <row r="128" spans="2:94" s="109" customFormat="1" x14ac:dyDescent="0.25">
      <c r="B128" s="14"/>
      <c r="C128" s="110"/>
      <c r="D128" s="110"/>
      <c r="E128" s="110"/>
      <c r="F128" s="110"/>
      <c r="G128" s="110"/>
      <c r="H128" s="14"/>
      <c r="I128" s="110"/>
      <c r="J128" s="110"/>
      <c r="K128" s="110"/>
      <c r="L128" s="110"/>
      <c r="M128" s="99"/>
      <c r="N128" s="14"/>
      <c r="O128" s="110"/>
      <c r="P128" s="110"/>
      <c r="Q128" s="110"/>
      <c r="R128" s="110"/>
      <c r="S128" s="99"/>
      <c r="T128" s="14"/>
      <c r="U128" s="110"/>
      <c r="V128" s="110"/>
      <c r="W128" s="110"/>
      <c r="X128" s="110"/>
      <c r="Y128" s="110"/>
      <c r="Z128" s="99"/>
      <c r="AA128" s="14"/>
      <c r="AB128" s="110"/>
      <c r="AC128" s="110"/>
      <c r="AD128" s="110"/>
      <c r="AE128" s="110"/>
      <c r="AF128" s="99"/>
      <c r="AG128" s="14"/>
      <c r="AH128" s="110"/>
      <c r="AI128" s="110"/>
      <c r="AJ128" s="110"/>
      <c r="AK128" s="110"/>
      <c r="AL128" s="99"/>
      <c r="AM128" s="14"/>
      <c r="AN128" s="110"/>
      <c r="AO128" s="110"/>
      <c r="AP128" s="110"/>
      <c r="AQ128" s="110"/>
      <c r="AR128" s="99"/>
      <c r="AS128" s="99"/>
      <c r="AT128" s="14"/>
      <c r="AU128" s="110"/>
      <c r="AV128" s="110"/>
      <c r="AW128" s="110"/>
      <c r="AX128" s="110"/>
      <c r="AY128" s="99"/>
      <c r="AZ128" s="99"/>
      <c r="BA128" s="14"/>
      <c r="BB128" s="110"/>
      <c r="BC128" s="110"/>
      <c r="BD128" s="110"/>
      <c r="BE128" s="110"/>
      <c r="BF128" s="99"/>
      <c r="BG128" s="99"/>
      <c r="BH128" s="99"/>
      <c r="BI128" s="20"/>
      <c r="BJ128" s="13">
        <v>1</v>
      </c>
      <c r="BK128" s="103"/>
      <c r="BL128" s="24">
        <v>1</v>
      </c>
      <c r="BM128" s="13">
        <v>1</v>
      </c>
      <c r="BN128" s="111"/>
      <c r="BO128" s="101">
        <v>1</v>
      </c>
      <c r="BP128" s="280"/>
      <c r="BQ128" s="20"/>
      <c r="BR128" s="13"/>
      <c r="BS128" s="103"/>
      <c r="BT128" s="103"/>
      <c r="BU128" s="13"/>
      <c r="BV128" s="111"/>
      <c r="BW128" s="280"/>
      <c r="BX128" s="14"/>
      <c r="BY128" s="110"/>
      <c r="BZ128" s="110"/>
      <c r="CA128" s="110"/>
      <c r="CB128" s="110"/>
      <c r="CC128" s="99"/>
      <c r="CD128" s="17"/>
      <c r="CE128" s="14"/>
      <c r="CF128" s="110"/>
      <c r="CG128" s="110"/>
      <c r="CH128" s="110"/>
      <c r="CI128" s="110"/>
      <c r="CJ128" s="99"/>
      <c r="CK128" s="99"/>
      <c r="CL128" s="17"/>
      <c r="CM128" s="266" t="s">
        <v>638</v>
      </c>
      <c r="CN128" s="266" t="str">
        <f>CONCATENATE("Acceder al sistema Gemma con usuario y perfil activo para la funcionalidad modulo Maestro - Banco, ","",IF(BI128=1,"Agregar un registro","")," colocando el Nombre en el filtro, hacer clic en el boton ",IF(BJ128=1,"Modificar, ","")," ",IF(BK128=1,"Eliminar","")," y Confirmar el cambio. ",IF(BH128=1,"Exportar Documento Excel",""), "Luego seleccionar ",IF(BO128=1,"Link Nombre ","")," y Modificar el Registro, confirmar cambios.",IF(FZ144=1,$FZ$4,"")," ")</f>
        <v xml:space="preserve">Acceder al sistema Gemma con usuario y perfil activo para la funcionalidad modulo Maestro - Banco,  colocando el Nombre en el filtro, hacer clic en el boton Modificar,   y Confirmar el cambio. Luego seleccionar Link Nombre  y Modificar el Registro, confirmar cambios. </v>
      </c>
      <c r="CO128" s="310" t="str">
        <f>CONCATENATE(" Validar funcionalidad  Banco ",IF(BI128=1,$BI$3,"")," ",IF(BJ128=1,$BJ$3,"")," ",IF(BK128=1,$BK$3,"")," ",IF(BM128=1,$BM$4,""), " en el filtro ",IF(BN128=1,$BN$4,"")," ", IF(BP128=1,$BP$2,"Sin Exportar Excel"),)</f>
        <v xml:space="preserve"> Validar funcionalidad  Banco  Modificar  Con Valores en el filtro  Sin Exportar Excel</v>
      </c>
      <c r="CP128" s="267" t="s">
        <v>1341</v>
      </c>
    </row>
    <row r="129" spans="1:94" s="109" customFormat="1" x14ac:dyDescent="0.25">
      <c r="B129" s="14"/>
      <c r="C129" s="110"/>
      <c r="D129" s="110"/>
      <c r="E129" s="110"/>
      <c r="F129" s="110"/>
      <c r="G129" s="110"/>
      <c r="H129" s="14"/>
      <c r="I129" s="110"/>
      <c r="J129" s="110"/>
      <c r="K129" s="110"/>
      <c r="L129" s="110"/>
      <c r="M129" s="99"/>
      <c r="N129" s="14"/>
      <c r="O129" s="110"/>
      <c r="P129" s="110"/>
      <c r="Q129" s="110"/>
      <c r="R129" s="110"/>
      <c r="S129" s="99"/>
      <c r="T129" s="14"/>
      <c r="U129" s="110"/>
      <c r="V129" s="110"/>
      <c r="W129" s="110"/>
      <c r="X129" s="110"/>
      <c r="Y129" s="110"/>
      <c r="Z129" s="99"/>
      <c r="AA129" s="14"/>
      <c r="AB129" s="110"/>
      <c r="AC129" s="110"/>
      <c r="AD129" s="110"/>
      <c r="AE129" s="110"/>
      <c r="AF129" s="99"/>
      <c r="AG129" s="14"/>
      <c r="AH129" s="110"/>
      <c r="AI129" s="110"/>
      <c r="AJ129" s="110"/>
      <c r="AK129" s="110"/>
      <c r="AL129" s="99"/>
      <c r="AM129" s="14"/>
      <c r="AN129" s="110"/>
      <c r="AO129" s="110"/>
      <c r="AP129" s="110"/>
      <c r="AQ129" s="110"/>
      <c r="AR129" s="99"/>
      <c r="AS129" s="99"/>
      <c r="AT129" s="14"/>
      <c r="AU129" s="110"/>
      <c r="AV129" s="110"/>
      <c r="AW129" s="110"/>
      <c r="AX129" s="110"/>
      <c r="AY129" s="99"/>
      <c r="AZ129" s="99"/>
      <c r="BA129" s="14"/>
      <c r="BB129" s="110"/>
      <c r="BC129" s="110"/>
      <c r="BD129" s="110"/>
      <c r="BE129" s="110"/>
      <c r="BF129" s="99"/>
      <c r="BG129" s="99"/>
      <c r="BH129" s="99"/>
      <c r="BI129" s="20"/>
      <c r="BJ129" s="13">
        <v>1</v>
      </c>
      <c r="BK129" s="103"/>
      <c r="BL129" s="24">
        <v>1</v>
      </c>
      <c r="BM129" s="13"/>
      <c r="BN129" s="111">
        <v>1</v>
      </c>
      <c r="BO129" s="101">
        <v>1</v>
      </c>
      <c r="BP129" s="280"/>
      <c r="BQ129" s="20"/>
      <c r="BR129" s="13"/>
      <c r="BS129" s="103"/>
      <c r="BT129" s="103"/>
      <c r="BU129" s="13"/>
      <c r="BV129" s="111"/>
      <c r="BW129" s="280"/>
      <c r="BX129" s="14"/>
      <c r="BY129" s="110"/>
      <c r="BZ129" s="110"/>
      <c r="CA129" s="110"/>
      <c r="CB129" s="110"/>
      <c r="CC129" s="99"/>
      <c r="CD129" s="17"/>
      <c r="CE129" s="14"/>
      <c r="CF129" s="110"/>
      <c r="CG129" s="110"/>
      <c r="CH129" s="110"/>
      <c r="CI129" s="110"/>
      <c r="CJ129" s="99"/>
      <c r="CK129" s="99"/>
      <c r="CL129" s="17"/>
      <c r="CM129" s="266" t="s">
        <v>639</v>
      </c>
      <c r="CN129" s="266" t="str">
        <f>CONCATENATE("Acceder al sistema Gemma con usuario y perfil activo para la funcionalidad modulo Maestro - Banco, ","",IF(BI129=1,"Agregar un registro","")," seleccionando el registro de la tabla consulta, hacer clic en el boton ",IF(BJ129=1,"Modificar","")," ",IF(BK129=1,"Eliminar",""),"presionar el boton Confirmar. ",IF(AZ129=1,"Exportar Documento Excel","")," Luego presionar el ",IF(BO129=1,"Link Nombre ","")," y eliminar el registro, Confirmar"," ")</f>
        <v xml:space="preserve">Acceder al sistema Gemma con usuario y perfil activo para la funcionalidad modulo Maestro - Banco,  seleccionando el registro de la tabla consulta, hacer clic en el boton Modificar presionar el boton Confirmar.  Luego presionar el Link Nombre  y eliminar el registro, Confirmar </v>
      </c>
      <c r="CO129" s="310" t="str">
        <f>CONCATENATE(" Validar funcionalidad  Banco ",IF(BI129=1,$BI$3,"")," ",IF(BJ129=1,$BJ$3,""),"",IF(BK129=1,$BK$3,"")," ",IF(BM129=1,$BM$4,""), " ",IF(BN129=1,$BN$4,"")," en el filtro ", IF(BP129=1,$BP$2,"Sin Exportar Excel"),)</f>
        <v xml:space="preserve"> Validar funcionalidad  Banco  Modificar  Sin Valores en el filtro Sin Exportar Excel</v>
      </c>
      <c r="CP129" s="267" t="s">
        <v>1341</v>
      </c>
    </row>
    <row r="130" spans="1:94" s="109" customFormat="1" x14ac:dyDescent="0.25">
      <c r="B130" s="14"/>
      <c r="C130" s="110"/>
      <c r="D130" s="110"/>
      <c r="E130" s="110"/>
      <c r="F130" s="110"/>
      <c r="G130" s="110"/>
      <c r="H130" s="14"/>
      <c r="I130" s="110"/>
      <c r="J130" s="110"/>
      <c r="K130" s="110"/>
      <c r="L130" s="110"/>
      <c r="M130" s="99"/>
      <c r="N130" s="14"/>
      <c r="O130" s="110"/>
      <c r="P130" s="110"/>
      <c r="Q130" s="110"/>
      <c r="R130" s="110"/>
      <c r="S130" s="99"/>
      <c r="T130" s="14"/>
      <c r="U130" s="110"/>
      <c r="V130" s="110"/>
      <c r="W130" s="110"/>
      <c r="X130" s="110"/>
      <c r="Y130" s="110"/>
      <c r="Z130" s="99"/>
      <c r="AA130" s="14"/>
      <c r="AB130" s="110"/>
      <c r="AC130" s="110"/>
      <c r="AD130" s="110"/>
      <c r="AE130" s="110"/>
      <c r="AF130" s="99"/>
      <c r="AG130" s="14"/>
      <c r="AH130" s="110"/>
      <c r="AI130" s="110"/>
      <c r="AJ130" s="110"/>
      <c r="AK130" s="110"/>
      <c r="AL130" s="99"/>
      <c r="AM130" s="14"/>
      <c r="AN130" s="110"/>
      <c r="AO130" s="110"/>
      <c r="AP130" s="110"/>
      <c r="AQ130" s="110"/>
      <c r="AR130" s="99"/>
      <c r="AS130" s="99"/>
      <c r="AT130" s="14"/>
      <c r="AU130" s="110"/>
      <c r="AV130" s="110"/>
      <c r="AW130" s="110"/>
      <c r="AX130" s="110"/>
      <c r="AY130" s="99"/>
      <c r="AZ130" s="99"/>
      <c r="BA130" s="14"/>
      <c r="BB130" s="110"/>
      <c r="BC130" s="110"/>
      <c r="BD130" s="110"/>
      <c r="BE130" s="110"/>
      <c r="BF130" s="99"/>
      <c r="BG130" s="99"/>
      <c r="BH130" s="99"/>
      <c r="BI130" s="20"/>
      <c r="BJ130" s="13"/>
      <c r="BK130" s="13">
        <v>1</v>
      </c>
      <c r="BL130" s="24">
        <v>1</v>
      </c>
      <c r="BM130" s="13">
        <v>1</v>
      </c>
      <c r="BN130" s="111"/>
      <c r="BO130" s="101"/>
      <c r="BP130" s="280">
        <v>1</v>
      </c>
      <c r="BQ130" s="20"/>
      <c r="BR130" s="13"/>
      <c r="BS130" s="13"/>
      <c r="BT130" s="13"/>
      <c r="BU130" s="13"/>
      <c r="BV130" s="111"/>
      <c r="BW130" s="280"/>
      <c r="BX130" s="14"/>
      <c r="BY130" s="110"/>
      <c r="BZ130" s="110"/>
      <c r="CA130" s="110"/>
      <c r="CB130" s="110"/>
      <c r="CC130" s="99"/>
      <c r="CD130" s="17"/>
      <c r="CE130" s="14"/>
      <c r="CF130" s="110"/>
      <c r="CG130" s="110"/>
      <c r="CH130" s="110"/>
      <c r="CI130" s="110"/>
      <c r="CJ130" s="99"/>
      <c r="CK130" s="99"/>
      <c r="CL130" s="17"/>
      <c r="CM130" s="266" t="s">
        <v>1415</v>
      </c>
      <c r="CN130" s="266" t="str">
        <f>CONCATENATE("Acceder al sistema Gemma con usuario y perfil activo para la funcionalidad modulo Maestro - Banco, colocando el Nombre en el filtro, ","",IF(BI130=1,"Agregar un registro","")," hacer clic en el boton ",IF(BJ130=1,"Modificar, ","")," ",IF(BK130=1,"Eliminar ",""),"confirmar cambios, luego presionar ",IF(BP130=1,"Exportar Documento Excel",""), ,IF(A130=1,"Link Nombre Distribuidor",""),"",IF(FZ145=1,$FZ$4,"")," ")</f>
        <v xml:space="preserve">Acceder al sistema Gemma con usuario y perfil activo para la funcionalidad modulo Maestro - Banco, colocando el Nombre en el filtro,  hacer clic en el boton  Eliminar confirmar cambios, luego presionar Exportar Documento Excel </v>
      </c>
      <c r="CO130" s="310" t="str">
        <f>CONCATENATE(" Validar funcionalidad  Banco ",IF(BI130=1,$BI$3,"")," ",IF(BJ130=1,$BJ$3,""),"",IF(BK130=1,$BK$3,"")," ",IF(BL130=1,$BL$3,"")," ",IF(BM130=1,$BM$4,""), " en el filtro ",IF(BN130=1,$BN$4,"")," una vez confirmado ", IF(BP130=1,$BP$2,"Sin Exportar Excel"),)</f>
        <v xml:space="preserve"> Validar funcionalidad  Banco  Eliminar ID Con Valores en el filtro  una vez confirmado Exportar Excel </v>
      </c>
      <c r="CP130" s="267" t="s">
        <v>1333</v>
      </c>
    </row>
    <row r="131" spans="1:94" s="109" customFormat="1" x14ac:dyDescent="0.25">
      <c r="B131" s="14"/>
      <c r="C131" s="110"/>
      <c r="D131" s="110"/>
      <c r="E131" s="110"/>
      <c r="F131" s="110"/>
      <c r="G131" s="110"/>
      <c r="H131" s="14"/>
      <c r="I131" s="110"/>
      <c r="J131" s="110"/>
      <c r="K131" s="110"/>
      <c r="L131" s="110"/>
      <c r="M131" s="99"/>
      <c r="N131" s="14"/>
      <c r="O131" s="110"/>
      <c r="P131" s="110"/>
      <c r="Q131" s="110"/>
      <c r="R131" s="110"/>
      <c r="S131" s="99"/>
      <c r="T131" s="14"/>
      <c r="U131" s="110"/>
      <c r="V131" s="110"/>
      <c r="W131" s="110"/>
      <c r="X131" s="110"/>
      <c r="Y131" s="110"/>
      <c r="Z131" s="99"/>
      <c r="AA131" s="14"/>
      <c r="AB131" s="110"/>
      <c r="AC131" s="110"/>
      <c r="AD131" s="110"/>
      <c r="AE131" s="110"/>
      <c r="AF131" s="99"/>
      <c r="AG131" s="14"/>
      <c r="AH131" s="110"/>
      <c r="AI131" s="110"/>
      <c r="AJ131" s="110"/>
      <c r="AK131" s="110"/>
      <c r="AL131" s="99"/>
      <c r="AM131" s="14"/>
      <c r="AN131" s="110"/>
      <c r="AO131" s="110"/>
      <c r="AP131" s="110"/>
      <c r="AQ131" s="110"/>
      <c r="AR131" s="99"/>
      <c r="AS131" s="99"/>
      <c r="AT131" s="14"/>
      <c r="AU131" s="110"/>
      <c r="AV131" s="110"/>
      <c r="AW131" s="110"/>
      <c r="AX131" s="110"/>
      <c r="AY131" s="99"/>
      <c r="AZ131" s="99"/>
      <c r="BA131" s="14"/>
      <c r="BB131" s="110"/>
      <c r="BC131" s="110"/>
      <c r="BD131" s="110"/>
      <c r="BE131" s="110"/>
      <c r="BF131" s="99"/>
      <c r="BG131" s="99"/>
      <c r="BH131" s="99"/>
      <c r="BI131" s="20"/>
      <c r="BJ131" s="13"/>
      <c r="BK131" s="13">
        <v>1</v>
      </c>
      <c r="BL131" s="24">
        <v>1</v>
      </c>
      <c r="BM131" s="13">
        <v>1</v>
      </c>
      <c r="BN131" s="111"/>
      <c r="BO131" s="101">
        <v>1</v>
      </c>
      <c r="BP131" s="280"/>
      <c r="BQ131" s="20"/>
      <c r="BR131" s="13"/>
      <c r="BS131" s="13"/>
      <c r="BT131" s="13"/>
      <c r="BU131" s="13"/>
      <c r="BV131" s="111"/>
      <c r="BW131" s="280"/>
      <c r="BX131" s="14"/>
      <c r="BY131" s="110"/>
      <c r="BZ131" s="110"/>
      <c r="CA131" s="110"/>
      <c r="CB131" s="110"/>
      <c r="CC131" s="99"/>
      <c r="CD131" s="17"/>
      <c r="CE131" s="14"/>
      <c r="CF131" s="110"/>
      <c r="CG131" s="110"/>
      <c r="CH131" s="110"/>
      <c r="CI131" s="110"/>
      <c r="CJ131" s="99"/>
      <c r="CK131" s="99"/>
      <c r="CL131" s="17"/>
      <c r="CM131" s="266" t="s">
        <v>640</v>
      </c>
      <c r="CN131" s="266" t="str">
        <f>CONCATENATE("Acceder al sistema Gemma con usuario y perfil activo para la funcionalidad modulo Maestro - Bancos, ","",IF(BA131=1,"Agregar un registro","")," colocando el Nombre en el filtro, hacer clic en el ", IF(BO131=1,"Link Nombre","")," y Modificar el Registro, Regresar a la Pantalla y hacer clic en el boton ",IF(BB131=1,"Modificar, ","")," ",IF(BK131=1,"Eliminar","")," y luego Confirmar. ",IF(AZ131=1,"Exportar Documento Excel",""),"")</f>
        <v xml:space="preserve">Acceder al sistema Gemma con usuario y perfil activo para la funcionalidad modulo Maestro - Bancos,  colocando el Nombre en el filtro, hacer clic en el Link Nombre y Modificar el Registro, Regresar a la Pantalla y hacer clic en el boton  Eliminar y luego Confirmar. </v>
      </c>
      <c r="CO131" s="310" t="str">
        <f>CONCATENATE(" Validar funcionalidad  Banco ",IF(BI131=1,$BI$3,"")," ",IF(BJ131=1,$BJ$3,""),"",IF(BK131=1,$BK$3,"")," ",IF(BL131=1,$BL$3,"")," ",IF(BM131=1,$BM$4,""), " en el filtro ",IF(BN131=1,$BN$4,"")," ", IF(BP131=1,$BP$2,"Sin Exportar Excel"),)</f>
        <v xml:space="preserve"> Validar funcionalidad  Banco  Eliminar ID Con Valores en el filtro  Sin Exportar Excel</v>
      </c>
      <c r="CP131" s="267" t="s">
        <v>1333</v>
      </c>
    </row>
    <row r="132" spans="1:94" s="109" customFormat="1" x14ac:dyDescent="0.25">
      <c r="B132" s="15"/>
      <c r="C132" s="16"/>
      <c r="D132" s="16"/>
      <c r="E132" s="16"/>
      <c r="F132" s="16"/>
      <c r="G132" s="16"/>
      <c r="H132" s="15"/>
      <c r="I132" s="16"/>
      <c r="J132" s="16"/>
      <c r="K132" s="16"/>
      <c r="L132" s="16"/>
      <c r="M132" s="102"/>
      <c r="N132" s="15"/>
      <c r="O132" s="16"/>
      <c r="P132" s="16"/>
      <c r="Q132" s="16"/>
      <c r="R132" s="16"/>
      <c r="S132" s="102"/>
      <c r="T132" s="15"/>
      <c r="U132" s="16"/>
      <c r="V132" s="16"/>
      <c r="W132" s="16"/>
      <c r="X132" s="16"/>
      <c r="Y132" s="16"/>
      <c r="Z132" s="102"/>
      <c r="AA132" s="15"/>
      <c r="AB132" s="16"/>
      <c r="AC132" s="16"/>
      <c r="AD132" s="16"/>
      <c r="AE132" s="16"/>
      <c r="AF132" s="102"/>
      <c r="AG132" s="15"/>
      <c r="AH132" s="16"/>
      <c r="AI132" s="16"/>
      <c r="AJ132" s="16"/>
      <c r="AK132" s="16"/>
      <c r="AL132" s="102"/>
      <c r="AM132" s="15"/>
      <c r="AN132" s="16"/>
      <c r="AO132" s="16"/>
      <c r="AP132" s="16"/>
      <c r="AQ132" s="16"/>
      <c r="AR132" s="102"/>
      <c r="AS132" s="102"/>
      <c r="AT132" s="15"/>
      <c r="AU132" s="16"/>
      <c r="AV132" s="16"/>
      <c r="AW132" s="16"/>
      <c r="AX132" s="16"/>
      <c r="AY132" s="102"/>
      <c r="AZ132" s="102"/>
      <c r="BA132" s="15"/>
      <c r="BB132" s="16"/>
      <c r="BC132" s="16"/>
      <c r="BD132" s="16"/>
      <c r="BE132" s="16"/>
      <c r="BF132" s="102"/>
      <c r="BG132" s="102"/>
      <c r="BH132" s="102"/>
      <c r="BI132" s="291"/>
      <c r="BJ132" s="272"/>
      <c r="BK132" s="272">
        <v>1</v>
      </c>
      <c r="BL132" s="306">
        <v>1</v>
      </c>
      <c r="BM132" s="272"/>
      <c r="BN132" s="273">
        <v>1</v>
      </c>
      <c r="BO132" s="297"/>
      <c r="BP132" s="316"/>
      <c r="BQ132" s="291"/>
      <c r="BR132" s="272"/>
      <c r="BS132" s="272"/>
      <c r="BT132" s="272"/>
      <c r="BU132" s="272"/>
      <c r="BV132" s="273"/>
      <c r="BW132" s="316"/>
      <c r="BX132" s="15"/>
      <c r="BY132" s="16"/>
      <c r="BZ132" s="16"/>
      <c r="CA132" s="16"/>
      <c r="CB132" s="16"/>
      <c r="CC132" s="102"/>
      <c r="CD132" s="19"/>
      <c r="CE132" s="15"/>
      <c r="CF132" s="16"/>
      <c r="CG132" s="16"/>
      <c r="CH132" s="16"/>
      <c r="CI132" s="16"/>
      <c r="CJ132" s="102"/>
      <c r="CK132" s="102"/>
      <c r="CL132" s="19"/>
      <c r="CM132" s="266" t="s">
        <v>641</v>
      </c>
      <c r="CN132" s="266" t="str">
        <f>CONCATENATE("Acceder al sistema Gemma con usuario y perfil activo para la funcionalidad modulo Maestro - Banco, ","",IF(BA132=1,"Agregar un registro","")," seleccionando el registro de la tabla consulta, hacer clic en el boton ",IF(BB132=1,"Modificar","")," ",IF(BK132=1,"Eliminar","")," ",IF(AF132=1,"Exportar Documento Excel",""), ,IF(A132=1,"Link Nombre Distribuidor",""),"presionar el boton Confirmar.",IF(FZ147=1,$FZ$4,"")," ")</f>
        <v xml:space="preserve">Acceder al sistema Gemma con usuario y perfil activo para la funcionalidad modulo Maestro - Banco,  seleccionando el registro de la tabla consulta, hacer clic en el boton  Eliminar presionar el boton Confirmar. </v>
      </c>
      <c r="CO132" s="310" t="str">
        <f>CONCATENATE(" Validar funcionalidad  Banco ",IF(BI132=1,$BI$3,"")," ",IF(BJ132=1,$BJ$3,""),"",IF(BK132=1,$BK$3,"")," ",IF(BL132=1,$BL$3,"")," ",IF(BM132=1,$BM$4,""), "",IF(BN132=1,$BN$4,"")," en el filtro  ", IF(BP132=1,$BP$2,"Sin Exportar Excel"),)</f>
        <v xml:space="preserve"> Validar funcionalidad  Banco  Eliminar ID Sin Valores en el filtro  Sin Exportar Excel</v>
      </c>
      <c r="CP132" s="267" t="s">
        <v>1333</v>
      </c>
    </row>
    <row r="133" spans="1:94" s="109" customFormat="1" ht="15.75" thickBot="1" x14ac:dyDescent="0.3">
      <c r="B133" s="15"/>
      <c r="C133" s="16"/>
      <c r="D133" s="16"/>
      <c r="E133" s="16"/>
      <c r="F133" s="16"/>
      <c r="G133" s="16"/>
      <c r="H133" s="15"/>
      <c r="I133" s="16"/>
      <c r="J133" s="16"/>
      <c r="K133" s="16"/>
      <c r="L133" s="16"/>
      <c r="M133" s="102"/>
      <c r="N133" s="15"/>
      <c r="O133" s="16"/>
      <c r="P133" s="16"/>
      <c r="Q133" s="16"/>
      <c r="R133" s="16"/>
      <c r="S133" s="102"/>
      <c r="T133" s="15"/>
      <c r="U133" s="16"/>
      <c r="V133" s="16"/>
      <c r="W133" s="16"/>
      <c r="X133" s="16"/>
      <c r="Y133" s="16"/>
      <c r="Z133" s="102"/>
      <c r="AA133" s="15"/>
      <c r="AB133" s="16"/>
      <c r="AC133" s="16"/>
      <c r="AD133" s="16"/>
      <c r="AE133" s="16"/>
      <c r="AF133" s="102"/>
      <c r="AG133" s="15"/>
      <c r="AH133" s="16"/>
      <c r="AI133" s="16"/>
      <c r="AJ133" s="16"/>
      <c r="AK133" s="16"/>
      <c r="AL133" s="102"/>
      <c r="AM133" s="15"/>
      <c r="AN133" s="16"/>
      <c r="AO133" s="16"/>
      <c r="AP133" s="16"/>
      <c r="AQ133" s="16"/>
      <c r="AR133" s="102"/>
      <c r="AS133" s="102"/>
      <c r="AT133" s="15"/>
      <c r="AU133" s="16"/>
      <c r="AV133" s="16"/>
      <c r="AW133" s="16"/>
      <c r="AX133" s="16"/>
      <c r="AY133" s="102"/>
      <c r="AZ133" s="102"/>
      <c r="BA133" s="15"/>
      <c r="BB133" s="16"/>
      <c r="BC133" s="16"/>
      <c r="BD133" s="16"/>
      <c r="BE133" s="16"/>
      <c r="BF133" s="102"/>
      <c r="BG133" s="102"/>
      <c r="BH133" s="102"/>
      <c r="BI133" s="291"/>
      <c r="BJ133" s="272"/>
      <c r="BK133" s="272"/>
      <c r="BL133" s="272"/>
      <c r="BM133" s="272"/>
      <c r="BN133" s="273"/>
      <c r="BO133" s="297"/>
      <c r="BP133" s="316">
        <v>1</v>
      </c>
      <c r="BQ133" s="291"/>
      <c r="BR133" s="272"/>
      <c r="BS133" s="272"/>
      <c r="BT133" s="272"/>
      <c r="BU133" s="272"/>
      <c r="BV133" s="273"/>
      <c r="BW133" s="316"/>
      <c r="BX133" s="15"/>
      <c r="BY133" s="16"/>
      <c r="BZ133" s="16"/>
      <c r="CA133" s="16"/>
      <c r="CB133" s="16"/>
      <c r="CC133" s="102"/>
      <c r="CD133" s="19"/>
      <c r="CE133" s="15"/>
      <c r="CF133" s="16"/>
      <c r="CG133" s="16"/>
      <c r="CH133" s="16"/>
      <c r="CI133" s="16"/>
      <c r="CJ133" s="102"/>
      <c r="CK133" s="102"/>
      <c r="CL133" s="19"/>
      <c r="CM133" s="266" t="s">
        <v>642</v>
      </c>
      <c r="CN133" s="266" t="str">
        <f>CONCATENATE("Acceder al sistema Gemma con usuario y perfil activo para la funcionalidad modulo Maestro - Banco, ","",IF(H133=1,"Agregar un registro","")," sin datos en el filtro, presionar ",IF(I133=1,"Modificar","")," ",IF(J133=1,"Eliminar","")," ",IF(BP133=1,"Exportar Documento Excel",""), ,IF(A133=1,"Link Nombre Distribuidor",""),"")</f>
        <v>Acceder al sistema Gemma con usuario y perfil activo para la funcionalidad modulo Maestro - Banco,  sin datos en el filtro, presionar   Exportar Documento Excel</v>
      </c>
      <c r="CO133" s="310" t="str">
        <f>CONCATENATE(" Validar funcionalidad  Banco ",IF(BI133=1,$BI$3,"")," ",IF(BJ133=1,$BJ$3,""),"",IF(BK133=1,$BK$3,"")," ",IF(BL133=1,$BL$3,"")," ",IF(BM133=1,$BM$4,""), "",IF(BN133=1,$BN$4,""),"", IF(BP133=1,$BP$2,"Sin Exportar Excel"),)</f>
        <v xml:space="preserve"> Validar funcionalidad  Banco    Exportar Excel </v>
      </c>
      <c r="CP133" s="267" t="s">
        <v>1342</v>
      </c>
    </row>
    <row r="134" spans="1:94" s="109" customFormat="1" ht="15.75" thickTop="1" x14ac:dyDescent="0.25">
      <c r="B134" s="325"/>
      <c r="C134" s="335"/>
      <c r="D134" s="335"/>
      <c r="E134" s="335"/>
      <c r="F134" s="335"/>
      <c r="G134" s="335"/>
      <c r="H134" s="325"/>
      <c r="I134" s="335"/>
      <c r="J134" s="335"/>
      <c r="K134" s="335"/>
      <c r="L134" s="335"/>
      <c r="M134" s="336"/>
      <c r="N134" s="325"/>
      <c r="O134" s="335"/>
      <c r="P134" s="335"/>
      <c r="Q134" s="335"/>
      <c r="R134" s="335"/>
      <c r="S134" s="336"/>
      <c r="T134" s="325"/>
      <c r="U134" s="335"/>
      <c r="V134" s="335"/>
      <c r="W134" s="335"/>
      <c r="X134" s="335"/>
      <c r="Y134" s="335"/>
      <c r="Z134" s="336"/>
      <c r="AA134" s="325"/>
      <c r="AB134" s="335"/>
      <c r="AC134" s="335"/>
      <c r="AD134" s="335"/>
      <c r="AE134" s="335"/>
      <c r="AF134" s="336"/>
      <c r="AG134" s="325"/>
      <c r="AH134" s="335"/>
      <c r="AI134" s="335"/>
      <c r="AJ134" s="335"/>
      <c r="AK134" s="335"/>
      <c r="AL134" s="336"/>
      <c r="AM134" s="325"/>
      <c r="AN134" s="335"/>
      <c r="AO134" s="335"/>
      <c r="AP134" s="335"/>
      <c r="AQ134" s="335"/>
      <c r="AR134" s="336"/>
      <c r="AS134" s="336"/>
      <c r="AT134" s="325"/>
      <c r="AU134" s="335"/>
      <c r="AV134" s="335"/>
      <c r="AW134" s="335"/>
      <c r="AX134" s="335"/>
      <c r="AY134" s="336"/>
      <c r="AZ134" s="336"/>
      <c r="BA134" s="325"/>
      <c r="BB134" s="335"/>
      <c r="BC134" s="335"/>
      <c r="BD134" s="335"/>
      <c r="BE134" s="335"/>
      <c r="BF134" s="336"/>
      <c r="BG134" s="336"/>
      <c r="BH134" s="336"/>
      <c r="BI134" s="292">
        <v>1</v>
      </c>
      <c r="BJ134" s="293"/>
      <c r="BK134" s="293"/>
      <c r="BL134" s="293">
        <v>1</v>
      </c>
      <c r="BM134" s="293">
        <v>1</v>
      </c>
      <c r="BN134" s="106"/>
      <c r="BO134" s="329"/>
      <c r="BP134" s="294"/>
      <c r="BQ134" s="292"/>
      <c r="BR134" s="293"/>
      <c r="BS134" s="293"/>
      <c r="BT134" s="293"/>
      <c r="BU134" s="293"/>
      <c r="BV134" s="106"/>
      <c r="BW134" s="294"/>
      <c r="BX134" s="325"/>
      <c r="BY134" s="335"/>
      <c r="BZ134" s="335"/>
      <c r="CA134" s="335"/>
      <c r="CB134" s="335"/>
      <c r="CC134" s="336"/>
      <c r="CD134" s="337"/>
      <c r="CE134" s="325"/>
      <c r="CF134" s="335"/>
      <c r="CG134" s="335"/>
      <c r="CH134" s="335"/>
      <c r="CI134" s="335"/>
      <c r="CJ134" s="336"/>
      <c r="CK134" s="336"/>
      <c r="CL134" s="337"/>
      <c r="CM134" s="266" t="s">
        <v>1417</v>
      </c>
      <c r="CN134" s="266" t="str">
        <f>CONCATENATE("Acceder al sistema Gemma con usuario y perfil activo para la funcionalidad modulo Maestro - Banco, ","",IF(BI134=1,"Agregar un registro","")," sin datos en el Nombre y presionar Confirmar.",IF(I134=1,"Modificar","")," ",IF(J134=1,"Eliminar","")," ",IF(M134=1,"Exportar Documento Excel",""), ,IF(A134=1,"Link Nombre Distribuidor",""),"",IF(FZ150=1,$FZ$4,"")," ")</f>
        <v xml:space="preserve">Acceder al sistema Gemma con usuario y perfil activo para la funcionalidad modulo Maestro - Banco, Agregar un registro sin datos en el Nombre y presionar Confirmar.   </v>
      </c>
      <c r="CO134" s="310" t="str">
        <f>CONCATENATE(" Validar funcionalidad  Banco ",IF(BI134=1,$BI$3,"")," ",IF(BJ134=1,$BJ$3,""),"",IF(BK134=1,$BK$3,"")," ",IF(BL134=1,$BL$3,"")," ",IF(BM134=1,$BM$4,""), " y confirmar ",IF(BN134=1,$BN$4,""),"", IF(BP134=1,$BP$2,""),)</f>
        <v xml:space="preserve"> Validar funcionalidad  Banco Agregar  ID Con Valores y confirmar </v>
      </c>
      <c r="CP134" s="267" t="s">
        <v>1375</v>
      </c>
    </row>
    <row r="135" spans="1:94" s="109" customFormat="1" x14ac:dyDescent="0.25">
      <c r="A135" s="23"/>
      <c r="B135" s="105"/>
      <c r="C135" s="25"/>
      <c r="D135" s="25"/>
      <c r="E135" s="25"/>
      <c r="F135" s="24"/>
      <c r="G135" s="279"/>
      <c r="H135" s="105"/>
      <c r="I135" s="25"/>
      <c r="J135" s="345"/>
      <c r="K135" s="345"/>
      <c r="L135" s="24"/>
      <c r="M135" s="100"/>
      <c r="N135" s="105"/>
      <c r="O135" s="25"/>
      <c r="P135" s="25"/>
      <c r="Q135" s="25"/>
      <c r="R135" s="24"/>
      <c r="S135" s="279"/>
      <c r="T135" s="105"/>
      <c r="U135" s="25"/>
      <c r="V135" s="345"/>
      <c r="W135" s="345"/>
      <c r="X135" s="24"/>
      <c r="Y135" s="24"/>
      <c r="Z135" s="279"/>
      <c r="AA135" s="105"/>
      <c r="AB135" s="25"/>
      <c r="AC135" s="25"/>
      <c r="AD135" s="25"/>
      <c r="AE135" s="24"/>
      <c r="AF135" s="279"/>
      <c r="AG135" s="105"/>
      <c r="AH135" s="25"/>
      <c r="AI135" s="25"/>
      <c r="AJ135" s="25"/>
      <c r="AK135" s="24"/>
      <c r="AL135" s="279"/>
      <c r="AM135" s="105"/>
      <c r="AN135" s="25"/>
      <c r="AO135" s="345"/>
      <c r="AP135" s="345"/>
      <c r="AQ135" s="24"/>
      <c r="AR135" s="100"/>
      <c r="AS135" s="279"/>
      <c r="AT135" s="105"/>
      <c r="AU135" s="25"/>
      <c r="AV135" s="25"/>
      <c r="AW135" s="25"/>
      <c r="AX135" s="24"/>
      <c r="AY135" s="100"/>
      <c r="AZ135" s="279"/>
      <c r="BA135" s="105"/>
      <c r="BB135" s="25"/>
      <c r="BC135" s="345"/>
      <c r="BD135" s="345"/>
      <c r="BE135" s="24"/>
      <c r="BF135" s="100"/>
      <c r="BG135" s="100"/>
      <c r="BH135" s="279"/>
      <c r="BI135" s="105">
        <v>1</v>
      </c>
      <c r="BJ135" s="25"/>
      <c r="BK135" s="491"/>
      <c r="BL135" s="111">
        <v>1</v>
      </c>
      <c r="BM135" s="345"/>
      <c r="BN135" s="24"/>
      <c r="BO135" s="100"/>
      <c r="BP135" s="279"/>
      <c r="BQ135" s="105"/>
      <c r="BR135" s="25"/>
      <c r="BS135" s="345"/>
      <c r="BT135" s="345"/>
      <c r="BU135" s="345"/>
      <c r="BV135" s="24"/>
      <c r="BW135" s="279"/>
      <c r="BX135" s="105"/>
      <c r="BY135" s="25"/>
      <c r="BZ135" s="25"/>
      <c r="CA135" s="25"/>
      <c r="CB135" s="24"/>
      <c r="CC135" s="100"/>
      <c r="CD135" s="279"/>
      <c r="CE135" s="105"/>
      <c r="CF135" s="25"/>
      <c r="CG135" s="25"/>
      <c r="CH135" s="25"/>
      <c r="CI135" s="24"/>
      <c r="CJ135" s="100"/>
      <c r="CK135" s="100"/>
      <c r="CL135" s="279"/>
      <c r="CM135" s="266" t="s">
        <v>1409</v>
      </c>
      <c r="CN135" s="266" t="str">
        <f>CONCATENATE("Acceder al sistema Gemma con usuario y perfil activo para la funcionalidad modulo Maestro - Motivos Rechazos, ","",IF(H135=1,"Agregar un registro","")," colocando Rechazo Id existente, Confirmar.",IF(I135=1,"Modificar","")," ",IF(J135=1,"Eliminar","")," ",IF(M135=1,"Exportar Documento Excel",""), ,IF(A135=1,"Link Nombre Distribuidor",""),"",IF(FZ151=1,$FZ$4,"")," ")</f>
        <v xml:space="preserve">Acceder al sistema Gemma con usuario y perfil activo para la funcionalidad modulo Maestro - Motivos Rechazos,  colocando Rechazo Id existente, Confirmar.   </v>
      </c>
      <c r="CO135" s="310" t="str">
        <f>CONCATENATE(" Validar funcionalidad  Banco ",IF(AT135=1,$AT$3,""),"",IF(AU135=1,$AU$3,""),"",IF(AV135=1,$AV$3,"")," ",IF(AW135=1,$AW$4,"")," ",IF(AX135=1,$AX$4,""), " de ID Repetidos.", IF(AZ135=1,$AZ$2,""),)</f>
        <v xml:space="preserve"> Validar funcionalidad  Banco    de ID Repetidos.</v>
      </c>
      <c r="CP135" s="267" t="s">
        <v>1408</v>
      </c>
    </row>
    <row r="136" spans="1:94" s="109" customFormat="1" x14ac:dyDescent="0.25">
      <c r="B136" s="299"/>
      <c r="C136" s="284"/>
      <c r="D136" s="284"/>
      <c r="E136" s="284"/>
      <c r="F136" s="284"/>
      <c r="G136" s="284"/>
      <c r="H136" s="299"/>
      <c r="I136" s="284"/>
      <c r="J136" s="284"/>
      <c r="K136" s="284"/>
      <c r="L136" s="284"/>
      <c r="M136" s="333"/>
      <c r="N136" s="299"/>
      <c r="O136" s="284"/>
      <c r="P136" s="284"/>
      <c r="Q136" s="284"/>
      <c r="R136" s="284"/>
      <c r="S136" s="333"/>
      <c r="T136" s="299"/>
      <c r="U136" s="284"/>
      <c r="V136" s="284"/>
      <c r="W136" s="284"/>
      <c r="X136" s="284"/>
      <c r="Y136" s="284"/>
      <c r="Z136" s="333"/>
      <c r="AA136" s="299"/>
      <c r="AB136" s="284"/>
      <c r="AC136" s="284"/>
      <c r="AD136" s="284"/>
      <c r="AE136" s="284"/>
      <c r="AF136" s="333"/>
      <c r="AG136" s="299"/>
      <c r="AH136" s="284"/>
      <c r="AI136" s="284"/>
      <c r="AJ136" s="284"/>
      <c r="AK136" s="284"/>
      <c r="AL136" s="333"/>
      <c r="AM136" s="299"/>
      <c r="AN136" s="284"/>
      <c r="AO136" s="284"/>
      <c r="AP136" s="284"/>
      <c r="AQ136" s="284"/>
      <c r="AR136" s="333"/>
      <c r="AS136" s="333"/>
      <c r="AT136" s="299"/>
      <c r="AU136" s="284"/>
      <c r="AV136" s="284"/>
      <c r="AW136" s="284"/>
      <c r="AX136" s="284"/>
      <c r="AY136" s="333"/>
      <c r="AZ136" s="333"/>
      <c r="BA136" s="299"/>
      <c r="BB136" s="284"/>
      <c r="BC136" s="284"/>
      <c r="BD136" s="284"/>
      <c r="BE136" s="284"/>
      <c r="BF136" s="333"/>
      <c r="BG136" s="333"/>
      <c r="BH136" s="333"/>
      <c r="BI136" s="105"/>
      <c r="BJ136" s="25"/>
      <c r="BK136" s="25"/>
      <c r="BL136" s="25"/>
      <c r="BM136" s="25">
        <v>1</v>
      </c>
      <c r="BN136" s="24"/>
      <c r="BO136" s="100"/>
      <c r="BP136" s="279"/>
      <c r="BQ136" s="105"/>
      <c r="BR136" s="25"/>
      <c r="BS136" s="25"/>
      <c r="BT136" s="25"/>
      <c r="BU136" s="25"/>
      <c r="BV136" s="24"/>
      <c r="BW136" s="279"/>
      <c r="BX136" s="299"/>
      <c r="BY136" s="284"/>
      <c r="BZ136" s="284"/>
      <c r="CA136" s="284"/>
      <c r="CB136" s="284"/>
      <c r="CC136" s="333"/>
      <c r="CD136" s="334"/>
      <c r="CE136" s="299"/>
      <c r="CF136" s="284"/>
      <c r="CG136" s="284"/>
      <c r="CH136" s="284"/>
      <c r="CI136" s="284"/>
      <c r="CJ136" s="333"/>
      <c r="CK136" s="333"/>
      <c r="CL136" s="334"/>
      <c r="CM136" s="266" t="s">
        <v>1419</v>
      </c>
      <c r="CN136" s="266" t="s">
        <v>1424</v>
      </c>
      <c r="CO136" s="310" t="str">
        <f>CONCATENATE(" Validar funcionalidad  Banco ",IF(BI136=1,$BI$3,"")," ",IF(BJ136=1,$BJ$3,""),"",IF(BK136=1,$BK$3,"")," ",IF(BL136=1,$BL$3,"")," colocar un Nombre invalido en el filtro ",IF(BM136=1,$BM$4,""), "",IF(BN136=1,$BN$4,""),"", IF(BP136=1,$BP$2,""),)</f>
        <v xml:space="preserve"> Validar funcionalidad  Banco    colocar un Nombre invalido en el filtro Con Valores</v>
      </c>
      <c r="CP136" s="267" t="s">
        <v>1344</v>
      </c>
    </row>
    <row r="137" spans="1:94" s="109" customFormat="1" x14ac:dyDescent="0.25">
      <c r="B137" s="14"/>
      <c r="C137" s="110"/>
      <c r="D137" s="110"/>
      <c r="E137" s="110"/>
      <c r="F137" s="110"/>
      <c r="G137" s="110"/>
      <c r="H137" s="14"/>
      <c r="I137" s="110"/>
      <c r="J137" s="110"/>
      <c r="K137" s="110"/>
      <c r="L137" s="110"/>
      <c r="M137" s="99"/>
      <c r="N137" s="14"/>
      <c r="O137" s="110"/>
      <c r="P137" s="110"/>
      <c r="Q137" s="110"/>
      <c r="R137" s="110"/>
      <c r="S137" s="99"/>
      <c r="T137" s="14"/>
      <c r="U137" s="110"/>
      <c r="V137" s="110"/>
      <c r="W137" s="110"/>
      <c r="X137" s="110"/>
      <c r="Y137" s="110"/>
      <c r="Z137" s="99"/>
      <c r="AA137" s="14"/>
      <c r="AB137" s="110"/>
      <c r="AC137" s="110"/>
      <c r="AD137" s="110"/>
      <c r="AE137" s="110"/>
      <c r="AF137" s="99"/>
      <c r="AG137" s="14"/>
      <c r="AH137" s="110"/>
      <c r="AI137" s="110"/>
      <c r="AJ137" s="110"/>
      <c r="AK137" s="110"/>
      <c r="AL137" s="99"/>
      <c r="AM137" s="14"/>
      <c r="AN137" s="110"/>
      <c r="AO137" s="110"/>
      <c r="AP137" s="110"/>
      <c r="AQ137" s="110"/>
      <c r="AR137" s="99"/>
      <c r="AS137" s="99"/>
      <c r="AT137" s="14"/>
      <c r="AU137" s="110"/>
      <c r="AV137" s="110"/>
      <c r="AW137" s="110"/>
      <c r="AX137" s="110"/>
      <c r="AY137" s="99"/>
      <c r="AZ137" s="99"/>
      <c r="BA137" s="14"/>
      <c r="BB137" s="110"/>
      <c r="BC137" s="110"/>
      <c r="BD137" s="110"/>
      <c r="BE137" s="110"/>
      <c r="BF137" s="99"/>
      <c r="BG137" s="99"/>
      <c r="BH137" s="99"/>
      <c r="BI137" s="20"/>
      <c r="BJ137" s="13">
        <v>1</v>
      </c>
      <c r="BK137" s="13"/>
      <c r="BL137" s="13"/>
      <c r="BM137" s="13"/>
      <c r="BN137" s="111"/>
      <c r="BO137" s="101"/>
      <c r="BP137" s="280"/>
      <c r="BQ137" s="20"/>
      <c r="BR137" s="13"/>
      <c r="BS137" s="13"/>
      <c r="BT137" s="13"/>
      <c r="BU137" s="13"/>
      <c r="BV137" s="111"/>
      <c r="BW137" s="280"/>
      <c r="BX137" s="14"/>
      <c r="BY137" s="110"/>
      <c r="BZ137" s="110"/>
      <c r="CA137" s="110"/>
      <c r="CB137" s="110"/>
      <c r="CC137" s="99"/>
      <c r="CD137" s="17"/>
      <c r="CE137" s="14"/>
      <c r="CF137" s="110"/>
      <c r="CG137" s="110"/>
      <c r="CH137" s="110"/>
      <c r="CI137" s="110"/>
      <c r="CJ137" s="99"/>
      <c r="CK137" s="99"/>
      <c r="CL137" s="17"/>
      <c r="CM137" s="266" t="s">
        <v>1421</v>
      </c>
      <c r="CN137" s="266" t="s">
        <v>1426</v>
      </c>
      <c r="CO137" s="310" t="str">
        <f>CONCATENATE(" Validar funcionalidad  Banco ",IF(BI137=1,$BI$3,"")," ",IF(BJ137=1,$BJ$3,""),"",IF(BK137=1,$BK$3,"")," ",IF(BL137=1,$BL$3,"")," ",IF(BM137=1,$BM$4,""), "",IF(BN137=1,$BN$4,""),"y dejar campos obligatorios vacios", IF(BP137=1,$BP$2,""),)</f>
        <v xml:space="preserve"> Validar funcionalidad  Banco  Modificar  y dejar campos obligatorios vacios</v>
      </c>
      <c r="CP137" s="267" t="s">
        <v>1375</v>
      </c>
    </row>
    <row r="138" spans="1:94" s="109" customFormat="1" ht="15.75" thickBot="1" x14ac:dyDescent="0.3">
      <c r="B138" s="303"/>
      <c r="C138" s="304"/>
      <c r="D138" s="304"/>
      <c r="E138" s="304"/>
      <c r="F138" s="304"/>
      <c r="G138" s="304"/>
      <c r="H138" s="303"/>
      <c r="I138" s="304"/>
      <c r="J138" s="304"/>
      <c r="K138" s="304"/>
      <c r="L138" s="304"/>
      <c r="M138" s="313"/>
      <c r="N138" s="303"/>
      <c r="O138" s="304"/>
      <c r="P138" s="304"/>
      <c r="Q138" s="304"/>
      <c r="R138" s="304"/>
      <c r="S138" s="313"/>
      <c r="T138" s="303"/>
      <c r="U138" s="304"/>
      <c r="V138" s="304"/>
      <c r="W138" s="304"/>
      <c r="X138" s="304"/>
      <c r="Y138" s="304"/>
      <c r="Z138" s="313"/>
      <c r="AA138" s="303"/>
      <c r="AB138" s="304"/>
      <c r="AC138" s="304"/>
      <c r="AD138" s="304"/>
      <c r="AE138" s="304"/>
      <c r="AF138" s="313"/>
      <c r="AG138" s="303"/>
      <c r="AH138" s="304"/>
      <c r="AI138" s="304"/>
      <c r="AJ138" s="304"/>
      <c r="AK138" s="304"/>
      <c r="AL138" s="313"/>
      <c r="AM138" s="303"/>
      <c r="AN138" s="304"/>
      <c r="AO138" s="304"/>
      <c r="AP138" s="304"/>
      <c r="AQ138" s="304"/>
      <c r="AR138" s="313"/>
      <c r="AS138" s="313"/>
      <c r="AT138" s="303"/>
      <c r="AU138" s="304"/>
      <c r="AV138" s="304"/>
      <c r="AW138" s="304"/>
      <c r="AX138" s="304"/>
      <c r="AY138" s="313"/>
      <c r="AZ138" s="313"/>
      <c r="BA138" s="303"/>
      <c r="BB138" s="304"/>
      <c r="BC138" s="304"/>
      <c r="BD138" s="304"/>
      <c r="BE138" s="304"/>
      <c r="BF138" s="313"/>
      <c r="BG138" s="313"/>
      <c r="BH138" s="313"/>
      <c r="BI138" s="303"/>
      <c r="BJ138" s="282"/>
      <c r="BK138" s="281">
        <v>1</v>
      </c>
      <c r="BL138" s="281"/>
      <c r="BM138" s="317"/>
      <c r="BN138" s="317"/>
      <c r="BO138" s="330"/>
      <c r="BP138" s="302"/>
      <c r="BQ138" s="303"/>
      <c r="BR138" s="282"/>
      <c r="BS138" s="281"/>
      <c r="BT138" s="281"/>
      <c r="BU138" s="317"/>
      <c r="BV138" s="317"/>
      <c r="BW138" s="302"/>
      <c r="BX138" s="303"/>
      <c r="BY138" s="304"/>
      <c r="BZ138" s="304"/>
      <c r="CA138" s="304"/>
      <c r="CB138" s="304"/>
      <c r="CC138" s="313"/>
      <c r="CD138" s="338"/>
      <c r="CE138" s="303"/>
      <c r="CF138" s="304"/>
      <c r="CG138" s="304"/>
      <c r="CH138" s="304"/>
      <c r="CI138" s="304"/>
      <c r="CJ138" s="313"/>
      <c r="CK138" s="313"/>
      <c r="CL138" s="338"/>
      <c r="CM138" s="266" t="s">
        <v>1423</v>
      </c>
      <c r="CN138" s="266" t="s">
        <v>1425</v>
      </c>
      <c r="CO138" s="310" t="str">
        <f>CONCATENATE(" Validar funcionalidad  Banco ",IF(BI138=1,$BI$3,"")," ",IF(BJ138=1,$BJ$3,""),"",IF(BK138=1,$BK$3,"")," ",IF(BL138=1,$BL$3,"")," ",IF(BM138=1,$BM$4,""), "",IF(BN138=1,$BN$4,""),"un registro en uso", IF(BP138=1,$BP$2,""),)</f>
        <v xml:space="preserve"> Validar funcionalidad  Banco  Eliminar  un registro en uso</v>
      </c>
      <c r="CP138" s="267" t="s">
        <v>1345</v>
      </c>
    </row>
    <row r="139" spans="1:94" s="109" customFormat="1" ht="15.75" thickTop="1" x14ac:dyDescent="0.25">
      <c r="B139" s="322"/>
      <c r="C139" s="25"/>
      <c r="D139" s="25"/>
      <c r="E139" s="25"/>
      <c r="F139" s="25"/>
      <c r="G139" s="25"/>
      <c r="H139" s="322"/>
      <c r="I139" s="25"/>
      <c r="J139" s="25"/>
      <c r="K139" s="25"/>
      <c r="L139" s="25"/>
      <c r="M139" s="285"/>
      <c r="N139" s="322"/>
      <c r="O139" s="25"/>
      <c r="P139" s="25"/>
      <c r="Q139" s="25"/>
      <c r="R139" s="25"/>
      <c r="S139" s="285"/>
      <c r="T139" s="322"/>
      <c r="U139" s="25"/>
      <c r="V139" s="25"/>
      <c r="W139" s="25"/>
      <c r="X139" s="25"/>
      <c r="Y139" s="25"/>
      <c r="Z139" s="285"/>
      <c r="AA139" s="322"/>
      <c r="AB139" s="25"/>
      <c r="AC139" s="25"/>
      <c r="AD139" s="25"/>
      <c r="AE139" s="25"/>
      <c r="AF139" s="285"/>
      <c r="AG139" s="322"/>
      <c r="AH139" s="25"/>
      <c r="AI139" s="25"/>
      <c r="AJ139" s="25"/>
      <c r="AK139" s="25"/>
      <c r="AL139" s="285"/>
      <c r="AM139" s="322"/>
      <c r="AN139" s="25"/>
      <c r="AO139" s="25"/>
      <c r="AP139" s="25"/>
      <c r="AQ139" s="25"/>
      <c r="AR139" s="285"/>
      <c r="AS139" s="285"/>
      <c r="AT139" s="322"/>
      <c r="AU139" s="25"/>
      <c r="AV139" s="25"/>
      <c r="AW139" s="25"/>
      <c r="AX139" s="25"/>
      <c r="AY139" s="285"/>
      <c r="AZ139" s="285"/>
      <c r="BA139" s="322"/>
      <c r="BB139" s="25"/>
      <c r="BC139" s="25"/>
      <c r="BD139" s="25"/>
      <c r="BE139" s="25"/>
      <c r="BF139" s="285"/>
      <c r="BG139" s="285"/>
      <c r="BH139" s="285"/>
      <c r="BI139" s="105"/>
      <c r="BJ139" s="24"/>
      <c r="BK139" s="24"/>
      <c r="BL139" s="24"/>
      <c r="BM139" s="24"/>
      <c r="BN139" s="24"/>
      <c r="BO139" s="100"/>
      <c r="BP139" s="279"/>
      <c r="BQ139" s="105">
        <v>1</v>
      </c>
      <c r="BR139" s="24"/>
      <c r="BS139" s="24"/>
      <c r="BT139" s="24">
        <v>1</v>
      </c>
      <c r="BU139" s="24">
        <v>1</v>
      </c>
      <c r="BV139" s="24"/>
      <c r="BW139" s="279">
        <v>1</v>
      </c>
      <c r="BX139" s="322"/>
      <c r="BY139" s="25"/>
      <c r="BZ139" s="25"/>
      <c r="CA139" s="25"/>
      <c r="CB139" s="25"/>
      <c r="CC139" s="285"/>
      <c r="CD139" s="340"/>
      <c r="CE139" s="322"/>
      <c r="CF139" s="25"/>
      <c r="CG139" s="25"/>
      <c r="CH139" s="25"/>
      <c r="CI139" s="25"/>
      <c r="CJ139" s="285"/>
      <c r="CK139" s="285"/>
      <c r="CL139" s="340"/>
      <c r="CM139" s="266" t="s">
        <v>644</v>
      </c>
      <c r="CN139" s="266" t="str">
        <f>CONCATENATE("Acceder al sistema Gemma con usuario y perfil activo para la funcionalidad modulo Maestro - Zonas, hacer clic en el boton ","",IF(BQ139=1,"Agregar","")," colocando los campos obligatorios, ",IF(AH139=1,"Modificar un registro","")," presionar el boton Confirmar y  ",IF(AI139=1,"Eliminar un registro",""),"luego presionar ",IF(BW139=1,"Exportar Documento Excel",""), ,IF(A139=1,"Link Nombre Distribuidor","")," ")</f>
        <v xml:space="preserve">Acceder al sistema Gemma con usuario y perfil activo para la funcionalidad modulo Maestro - Zonas, hacer clic en el boton Agregar colocando los campos obligatorios,  presionar el boton Confirmar y  luego presionar Exportar Documento Excel </v>
      </c>
      <c r="CO139" s="310" t="str">
        <f>CONCATENATE(" Validar funcionalidad  Zonas ",IF(BQ139=1,$BQ$3,"")," ",IF(BR139=1,$BR$3,""),"",IF(BS139=1,$BS$3,"")," ",IF(BT139=1,$BT$3,"")," ",IF(BU139=1,$BU$4,""), "",IF(BV139=1,$BV$4,""),", una vez confirmado ", IF(BW139=1,$BW$2,"Sin Exportar Excel"),)</f>
        <v xml:space="preserve"> Validar funcionalidad  Zonas Agregar  Código Con Valores, una vez confirmado Exportar Excel </v>
      </c>
      <c r="CP139" s="267" t="s">
        <v>1321</v>
      </c>
    </row>
    <row r="140" spans="1:94" s="109" customFormat="1" x14ac:dyDescent="0.25">
      <c r="B140" s="18"/>
      <c r="C140" s="13"/>
      <c r="D140" s="13"/>
      <c r="E140" s="13"/>
      <c r="F140" s="13"/>
      <c r="G140" s="13"/>
      <c r="H140" s="18"/>
      <c r="I140" s="13"/>
      <c r="J140" s="13"/>
      <c r="K140" s="13"/>
      <c r="L140" s="13"/>
      <c r="M140" s="98"/>
      <c r="N140" s="18"/>
      <c r="O140" s="13"/>
      <c r="P140" s="13"/>
      <c r="Q140" s="13"/>
      <c r="R140" s="13"/>
      <c r="S140" s="98"/>
      <c r="T140" s="18"/>
      <c r="U140" s="13"/>
      <c r="V140" s="13"/>
      <c r="W140" s="13"/>
      <c r="X140" s="13"/>
      <c r="Y140" s="13"/>
      <c r="Z140" s="98"/>
      <c r="AA140" s="18"/>
      <c r="AB140" s="13"/>
      <c r="AC140" s="13"/>
      <c r="AD140" s="13"/>
      <c r="AE140" s="13"/>
      <c r="AF140" s="98"/>
      <c r="AG140" s="18"/>
      <c r="AH140" s="13"/>
      <c r="AI140" s="13"/>
      <c r="AJ140" s="13"/>
      <c r="AK140" s="13"/>
      <c r="AL140" s="98"/>
      <c r="AM140" s="18"/>
      <c r="AN140" s="13"/>
      <c r="AO140" s="13"/>
      <c r="AP140" s="13"/>
      <c r="AQ140" s="13"/>
      <c r="AR140" s="98"/>
      <c r="AS140" s="98"/>
      <c r="AT140" s="18"/>
      <c r="AU140" s="13"/>
      <c r="AV140" s="13"/>
      <c r="AW140" s="13"/>
      <c r="AX140" s="13"/>
      <c r="AY140" s="98"/>
      <c r="AZ140" s="98"/>
      <c r="BA140" s="18"/>
      <c r="BB140" s="13"/>
      <c r="BC140" s="13"/>
      <c r="BD140" s="13"/>
      <c r="BE140" s="13"/>
      <c r="BF140" s="98"/>
      <c r="BG140" s="98"/>
      <c r="BH140" s="98"/>
      <c r="BI140" s="20"/>
      <c r="BJ140" s="13"/>
      <c r="BK140" s="103"/>
      <c r="BL140" s="24"/>
      <c r="BM140" s="13"/>
      <c r="BN140" s="111"/>
      <c r="BO140" s="101"/>
      <c r="BP140" s="280"/>
      <c r="BQ140" s="20">
        <v>1</v>
      </c>
      <c r="BR140" s="13"/>
      <c r="BS140" s="103"/>
      <c r="BT140" s="24">
        <v>1</v>
      </c>
      <c r="BU140" s="13">
        <v>1</v>
      </c>
      <c r="BV140" s="111"/>
      <c r="BW140" s="280"/>
      <c r="BX140" s="18"/>
      <c r="BY140" s="13"/>
      <c r="BZ140" s="13"/>
      <c r="CA140" s="13"/>
      <c r="CB140" s="13"/>
      <c r="CC140" s="98"/>
      <c r="CD140" s="278"/>
      <c r="CE140" s="18"/>
      <c r="CF140" s="13"/>
      <c r="CG140" s="13"/>
      <c r="CH140" s="13"/>
      <c r="CI140" s="13"/>
      <c r="CJ140" s="98"/>
      <c r="CK140" s="98"/>
      <c r="CL140" s="278"/>
      <c r="CM140" s="266" t="s">
        <v>645</v>
      </c>
      <c r="CN140" s="266" t="str">
        <f>CONCATENATE("Acceder al sistema Gemma con usuario y perfil activo para la funcionalidad modulo Maestro - Zonas, hacer clic en el boton ","",IF(BQ140=1,"Agregar","")," colocando todos los datos, ",IF(AH140=1,"Modificar un registro","")," ",IF(AI140=1,"Eliminar un registro","")," ",IF(AL140=1,"Exportar Documento Excel",""), ,IF(A140=1,"Link Nombre Distribuidor",""),"presionar el boton Confirmar. ")</f>
        <v xml:space="preserve">Acceder al sistema Gemma con usuario y perfil activo para la funcionalidad modulo Maestro - Zonas, hacer clic en el boton Agregar colocando todos los datos,   presionar el boton Confirmar. </v>
      </c>
      <c r="CO140" s="310" t="str">
        <f>CONCATENATE(" Validar funcionalidad  Zonas ",IF(BQ140=1,$BQ$3,"")," ",IF(BR140=1,$BR$3,""),"",IF(BS140=1,$BS$3,"")," ",IF(BT140=1,$BT$3,"")," ",IF(BU140=1,$BU$4,""), "",IF(BV140=1,$BV$4,"")," ", IF(BW140=1,$BW$2,"Sin Exportar Excel"),)</f>
        <v xml:space="preserve"> Validar funcionalidad  Zonas Agregar  Código Con Valores Sin Exportar Excel</v>
      </c>
      <c r="CP140" s="267" t="s">
        <v>1321</v>
      </c>
    </row>
    <row r="141" spans="1:94" s="109" customFormat="1" x14ac:dyDescent="0.25">
      <c r="B141" s="14"/>
      <c r="C141" s="110"/>
      <c r="D141" s="110"/>
      <c r="E141" s="110"/>
      <c r="F141" s="110"/>
      <c r="G141" s="110"/>
      <c r="H141" s="14"/>
      <c r="I141" s="110"/>
      <c r="J141" s="110"/>
      <c r="K141" s="110"/>
      <c r="L141" s="110"/>
      <c r="M141" s="99"/>
      <c r="N141" s="14"/>
      <c r="O141" s="110"/>
      <c r="P141" s="110"/>
      <c r="Q141" s="110"/>
      <c r="R141" s="110"/>
      <c r="S141" s="99"/>
      <c r="T141" s="14"/>
      <c r="U141" s="110"/>
      <c r="V141" s="110"/>
      <c r="W141" s="110"/>
      <c r="X141" s="110"/>
      <c r="Y141" s="110"/>
      <c r="Z141" s="99"/>
      <c r="AA141" s="14"/>
      <c r="AB141" s="110"/>
      <c r="AC141" s="110"/>
      <c r="AD141" s="110"/>
      <c r="AE141" s="110"/>
      <c r="AF141" s="99"/>
      <c r="AG141" s="14"/>
      <c r="AH141" s="110"/>
      <c r="AI141" s="110"/>
      <c r="AJ141" s="110"/>
      <c r="AK141" s="110"/>
      <c r="AL141" s="99"/>
      <c r="AM141" s="14"/>
      <c r="AN141" s="110"/>
      <c r="AO141" s="110"/>
      <c r="AP141" s="110"/>
      <c r="AQ141" s="110"/>
      <c r="AR141" s="99"/>
      <c r="AS141" s="99"/>
      <c r="AT141" s="14"/>
      <c r="AU141" s="110"/>
      <c r="AV141" s="110"/>
      <c r="AW141" s="110"/>
      <c r="AX141" s="110"/>
      <c r="AY141" s="99"/>
      <c r="AZ141" s="99"/>
      <c r="BA141" s="14"/>
      <c r="BB141" s="110"/>
      <c r="BC141" s="110"/>
      <c r="BD141" s="110"/>
      <c r="BE141" s="110"/>
      <c r="BF141" s="99"/>
      <c r="BG141" s="99"/>
      <c r="BH141" s="99"/>
      <c r="BI141" s="20"/>
      <c r="BJ141" s="13"/>
      <c r="BK141" s="103"/>
      <c r="BL141" s="24"/>
      <c r="BM141" s="13"/>
      <c r="BN141" s="111"/>
      <c r="BO141" s="101"/>
      <c r="BP141" s="280"/>
      <c r="BQ141" s="20"/>
      <c r="BR141" s="13">
        <v>1</v>
      </c>
      <c r="BS141" s="103"/>
      <c r="BT141" s="24">
        <v>1</v>
      </c>
      <c r="BU141" s="13">
        <v>1</v>
      </c>
      <c r="BV141" s="111"/>
      <c r="BW141" s="280">
        <v>1</v>
      </c>
      <c r="BX141" s="14"/>
      <c r="BY141" s="110"/>
      <c r="BZ141" s="110"/>
      <c r="CA141" s="110"/>
      <c r="CB141" s="110"/>
      <c r="CC141" s="99"/>
      <c r="CD141" s="17"/>
      <c r="CE141" s="14"/>
      <c r="CF141" s="110"/>
      <c r="CG141" s="110"/>
      <c r="CH141" s="110"/>
      <c r="CI141" s="110"/>
      <c r="CJ141" s="99"/>
      <c r="CK141" s="99"/>
      <c r="CL141" s="17"/>
      <c r="CM141" s="266" t="s">
        <v>1436</v>
      </c>
      <c r="CN141" s="266" t="str">
        <f>CONCATENATE("Acceder al sistema Gemma con usuario y perfil activo para la funcionalidad modulo Maestro - Zonas, colocando Descripcion en el filtro, ","",IF(AG141=1,"Agregar un registro","")," hacer clic en el boton ",IF(BR141=1,"Modificar, ","")," ",IF(AI141=1,"Eliminar un registro",""),"confirmar cambios, luego presionar ",IF(BW141=1,"Exportar Documento Excel",""), ,IF(A141=1,"Link Nombre Distribuidor",""),""," ")</f>
        <v xml:space="preserve">Acceder al sistema Gemma con usuario y perfil activo para la funcionalidad modulo Maestro - Zonas, colocando Descripcion en el filtro,  hacer clic en el boton Modificar,  confirmar cambios, luego presionar Exportar Documento Excel </v>
      </c>
      <c r="CO141" s="310" t="str">
        <f>CONCATENATE(" Validar funcionalidad  Zonas ",IF(BQ141=1,$BQ$3,"")," ",IF(BR141=1,$BR$3,"")," ",IF(BS141=1,$BS$3,""),"",IF(BU141=1,$BU$4,""), "",IF(BV141=1,$BV$4,"")," en el filtro, una vez confirmado ", IF(BW141=1,$BW$2,"Sin Exportar Excel"),)</f>
        <v xml:space="preserve"> Validar funcionalidad  Zonas  Modificar Con Valores en el filtro, una vez confirmado Exportar Excel </v>
      </c>
      <c r="CP141" s="267" t="s">
        <v>1341</v>
      </c>
    </row>
    <row r="142" spans="1:94" s="109" customFormat="1" x14ac:dyDescent="0.25">
      <c r="B142" s="14"/>
      <c r="C142" s="110"/>
      <c r="D142" s="110"/>
      <c r="E142" s="110"/>
      <c r="F142" s="110"/>
      <c r="G142" s="110"/>
      <c r="H142" s="14"/>
      <c r="I142" s="110"/>
      <c r="J142" s="110"/>
      <c r="K142" s="110"/>
      <c r="L142" s="110"/>
      <c r="M142" s="99"/>
      <c r="N142" s="14"/>
      <c r="O142" s="110"/>
      <c r="P142" s="110"/>
      <c r="Q142" s="110"/>
      <c r="R142" s="110"/>
      <c r="S142" s="99"/>
      <c r="T142" s="14"/>
      <c r="U142" s="110"/>
      <c r="V142" s="110"/>
      <c r="W142" s="110"/>
      <c r="X142" s="110"/>
      <c r="Y142" s="110"/>
      <c r="Z142" s="99"/>
      <c r="AA142" s="14"/>
      <c r="AB142" s="110"/>
      <c r="AC142" s="110"/>
      <c r="AD142" s="110"/>
      <c r="AE142" s="110"/>
      <c r="AF142" s="99"/>
      <c r="AG142" s="14"/>
      <c r="AH142" s="110"/>
      <c r="AI142" s="110"/>
      <c r="AJ142" s="110"/>
      <c r="AK142" s="110"/>
      <c r="AL142" s="99"/>
      <c r="AM142" s="14"/>
      <c r="AN142" s="110"/>
      <c r="AO142" s="110"/>
      <c r="AP142" s="110"/>
      <c r="AQ142" s="110"/>
      <c r="AR142" s="99"/>
      <c r="AS142" s="99"/>
      <c r="AT142" s="14"/>
      <c r="AU142" s="110"/>
      <c r="AV142" s="110"/>
      <c r="AW142" s="110"/>
      <c r="AX142" s="110"/>
      <c r="AY142" s="99"/>
      <c r="AZ142" s="99"/>
      <c r="BA142" s="14"/>
      <c r="BB142" s="110"/>
      <c r="BC142" s="110"/>
      <c r="BD142" s="110"/>
      <c r="BE142" s="110"/>
      <c r="BF142" s="99"/>
      <c r="BG142" s="99"/>
      <c r="BH142" s="99"/>
      <c r="BI142" s="20"/>
      <c r="BJ142" s="13"/>
      <c r="BK142" s="103"/>
      <c r="BL142" s="24"/>
      <c r="BM142" s="13"/>
      <c r="BN142" s="111"/>
      <c r="BO142" s="101"/>
      <c r="BP142" s="280"/>
      <c r="BQ142" s="20"/>
      <c r="BR142" s="13">
        <v>1</v>
      </c>
      <c r="BS142" s="103"/>
      <c r="BT142" s="24">
        <v>1</v>
      </c>
      <c r="BU142" s="13">
        <v>1</v>
      </c>
      <c r="BV142" s="111"/>
      <c r="BW142" s="280"/>
      <c r="BX142" s="14"/>
      <c r="BY142" s="110"/>
      <c r="BZ142" s="110"/>
      <c r="CA142" s="110"/>
      <c r="CB142" s="110"/>
      <c r="CC142" s="99"/>
      <c r="CD142" s="17"/>
      <c r="CE142" s="14"/>
      <c r="CF142" s="110"/>
      <c r="CG142" s="110"/>
      <c r="CH142" s="110"/>
      <c r="CI142" s="110"/>
      <c r="CJ142" s="99"/>
      <c r="CK142" s="99"/>
      <c r="CL142" s="17"/>
      <c r="CM142" s="266" t="s">
        <v>646</v>
      </c>
      <c r="CN142" s="266" t="str">
        <f>CONCATENATE("Acceder al sistema Gemma con usuario y perfil activo para la funcionalidad modulo Maestro - Zonas, ","",IF(AG142=1,"Agregar un registro","")," colocando la Descripcion en el filtro, hacer clic en el boton ",IF(BR142=1,"Modificar, ","")," ",IF(AI142=1,"Eliminar","")," ",IF(AL142=1,"Exportar Documento Excel",""), ,IF(A142=1,"Link Nombre Distribuidor",""),"y luego Confirmar el cambio.",IF(FZ157=1,$FZ$4,"")," ")</f>
        <v xml:space="preserve">Acceder al sistema Gemma con usuario y perfil activo para la funcionalidad modulo Maestro - Zonas,  colocando la Descripcion en el filtro, hacer clic en el boton Modificar,   y luego Confirmar el cambio. </v>
      </c>
      <c r="CO142" s="310" t="str">
        <f>CONCATENATE(" Validar funcionalidad  Zonas ",IF(BQ142=1,$BQ$3,"")," ",IF(BR142=1,$BR$3,""),"",IF(BS142=1,$BS$3,"")," ",IF(BU142=1,$BU$4,""), "",IF(BV142=1,$BV$4,"")," en el filtro,  ", IF(BW142=1,$BW$2,"Sin Exportar Excel"),)</f>
        <v xml:space="preserve"> Validar funcionalidad  Zonas  Modificar Con Valores en el filtro,  Sin Exportar Excel</v>
      </c>
      <c r="CP142" s="267" t="s">
        <v>1341</v>
      </c>
    </row>
    <row r="143" spans="1:94" s="109" customFormat="1" x14ac:dyDescent="0.25">
      <c r="B143" s="14"/>
      <c r="C143" s="110"/>
      <c r="D143" s="110"/>
      <c r="E143" s="110"/>
      <c r="F143" s="110"/>
      <c r="G143" s="110"/>
      <c r="H143" s="14"/>
      <c r="I143" s="110"/>
      <c r="J143" s="110"/>
      <c r="K143" s="110"/>
      <c r="L143" s="110"/>
      <c r="M143" s="99"/>
      <c r="N143" s="14"/>
      <c r="O143" s="110"/>
      <c r="P143" s="110"/>
      <c r="Q143" s="110"/>
      <c r="R143" s="110"/>
      <c r="S143" s="99"/>
      <c r="T143" s="14"/>
      <c r="U143" s="110"/>
      <c r="V143" s="110"/>
      <c r="W143" s="110"/>
      <c r="X143" s="110"/>
      <c r="Y143" s="110"/>
      <c r="Z143" s="99"/>
      <c r="AA143" s="14"/>
      <c r="AB143" s="110"/>
      <c r="AC143" s="110"/>
      <c r="AD143" s="110"/>
      <c r="AE143" s="110"/>
      <c r="AF143" s="99"/>
      <c r="AG143" s="14"/>
      <c r="AH143" s="110"/>
      <c r="AI143" s="110"/>
      <c r="AJ143" s="110"/>
      <c r="AK143" s="110"/>
      <c r="AL143" s="99"/>
      <c r="AM143" s="14"/>
      <c r="AN143" s="110"/>
      <c r="AO143" s="110"/>
      <c r="AP143" s="110"/>
      <c r="AQ143" s="110"/>
      <c r="AR143" s="99"/>
      <c r="AS143" s="99"/>
      <c r="AT143" s="14"/>
      <c r="AU143" s="110"/>
      <c r="AV143" s="110"/>
      <c r="AW143" s="110"/>
      <c r="AX143" s="110"/>
      <c r="AY143" s="99"/>
      <c r="AZ143" s="99"/>
      <c r="BA143" s="14"/>
      <c r="BB143" s="110"/>
      <c r="BC143" s="110"/>
      <c r="BD143" s="110"/>
      <c r="BE143" s="110"/>
      <c r="BF143" s="99"/>
      <c r="BG143" s="99"/>
      <c r="BH143" s="99"/>
      <c r="BI143" s="20"/>
      <c r="BJ143" s="13"/>
      <c r="BK143" s="103"/>
      <c r="BL143" s="24"/>
      <c r="BM143" s="13"/>
      <c r="BN143" s="111"/>
      <c r="BO143" s="101"/>
      <c r="BP143" s="280"/>
      <c r="BQ143" s="20"/>
      <c r="BR143" s="13">
        <v>1</v>
      </c>
      <c r="BS143" s="103"/>
      <c r="BT143" s="24">
        <v>1</v>
      </c>
      <c r="BU143" s="13"/>
      <c r="BV143" s="111">
        <v>1</v>
      </c>
      <c r="BW143" s="280"/>
      <c r="BX143" s="14"/>
      <c r="BY143" s="110"/>
      <c r="BZ143" s="110"/>
      <c r="CA143" s="110"/>
      <c r="CB143" s="110"/>
      <c r="CC143" s="99"/>
      <c r="CD143" s="17"/>
      <c r="CE143" s="14"/>
      <c r="CF143" s="110"/>
      <c r="CG143" s="110"/>
      <c r="CH143" s="110"/>
      <c r="CI143" s="110"/>
      <c r="CJ143" s="99"/>
      <c r="CK143" s="99"/>
      <c r="CL143" s="17"/>
      <c r="CM143" s="266" t="s">
        <v>647</v>
      </c>
      <c r="CN143" s="266" t="str">
        <f>CONCATENATE("Acceder al sistema Gemma con usuario y perfil activo para la funcionalidad modulo Maestro - Zonas, ","",IF(AG143=1,"Agregar un registro","")," seleccionando el registro de la tabla consulta, hacer clic en el boton ",IF(BR143=1,"Modificar","")," ",IF(AI143=1,"Eliminar","")," ",IF(AL143=1,"Exportar Documento Excel",""), ,IF(A143=1,"Link Nombre Distribuidor",""),"presionar el boton Confirmar.",IF(FZ158=1,$FZ$4,"")," ")</f>
        <v xml:space="preserve">Acceder al sistema Gemma con usuario y perfil activo para la funcionalidad modulo Maestro - Zonas,  seleccionando el registro de la tabla consulta, hacer clic en el boton Modificar  presionar el boton Confirmar. </v>
      </c>
      <c r="CO143" s="310" t="str">
        <f>CONCATENATE(" Validar funcionalidad  Zonas ",IF(BQ143=1,$BQ$3,"")," ",IF(BR143=1,$BR$3,""),"",IF(BS143=1,$BS$3,"")," ",IF(BU143=1,$BU$4,""), "",IF(BV143=1,$BV$4,"")," en el filtro,  ", IF(BW143=1,$BW$2,"Sin Exportar Excel"),)</f>
        <v xml:space="preserve"> Validar funcionalidad  Zonas  Modificar Sin Valores en el filtro,  Sin Exportar Excel</v>
      </c>
      <c r="CP143" s="267" t="s">
        <v>1341</v>
      </c>
    </row>
    <row r="144" spans="1:94" s="109" customFormat="1" x14ac:dyDescent="0.25">
      <c r="B144" s="14"/>
      <c r="C144" s="110"/>
      <c r="D144" s="110"/>
      <c r="E144" s="110"/>
      <c r="F144" s="110"/>
      <c r="G144" s="110"/>
      <c r="H144" s="14"/>
      <c r="I144" s="110"/>
      <c r="J144" s="110"/>
      <c r="K144" s="110"/>
      <c r="L144" s="110"/>
      <c r="M144" s="99"/>
      <c r="N144" s="14"/>
      <c r="O144" s="110"/>
      <c r="P144" s="110"/>
      <c r="Q144" s="110"/>
      <c r="R144" s="110"/>
      <c r="S144" s="99"/>
      <c r="T144" s="14"/>
      <c r="U144" s="110"/>
      <c r="V144" s="110"/>
      <c r="W144" s="110"/>
      <c r="X144" s="110"/>
      <c r="Y144" s="110"/>
      <c r="Z144" s="99"/>
      <c r="AA144" s="14"/>
      <c r="AB144" s="110"/>
      <c r="AC144" s="110"/>
      <c r="AD144" s="110"/>
      <c r="AE144" s="110"/>
      <c r="AF144" s="99"/>
      <c r="AG144" s="14"/>
      <c r="AH144" s="110"/>
      <c r="AI144" s="110"/>
      <c r="AJ144" s="110"/>
      <c r="AK144" s="110"/>
      <c r="AL144" s="99"/>
      <c r="AM144" s="14"/>
      <c r="AN144" s="110"/>
      <c r="AO144" s="110"/>
      <c r="AP144" s="110"/>
      <c r="AQ144" s="110"/>
      <c r="AR144" s="99"/>
      <c r="AS144" s="99"/>
      <c r="AT144" s="14"/>
      <c r="AU144" s="110"/>
      <c r="AV144" s="110"/>
      <c r="AW144" s="110"/>
      <c r="AX144" s="110"/>
      <c r="AY144" s="99"/>
      <c r="AZ144" s="99"/>
      <c r="BA144" s="14"/>
      <c r="BB144" s="110"/>
      <c r="BC144" s="110"/>
      <c r="BD144" s="110"/>
      <c r="BE144" s="110"/>
      <c r="BF144" s="99"/>
      <c r="BG144" s="99"/>
      <c r="BH144" s="99"/>
      <c r="BI144" s="20"/>
      <c r="BJ144" s="13"/>
      <c r="BK144" s="13"/>
      <c r="BL144" s="24"/>
      <c r="BM144" s="13"/>
      <c r="BN144" s="111"/>
      <c r="BO144" s="101"/>
      <c r="BP144" s="280"/>
      <c r="BQ144" s="20"/>
      <c r="BR144" s="13"/>
      <c r="BS144" s="13">
        <v>1</v>
      </c>
      <c r="BT144" s="24">
        <v>1</v>
      </c>
      <c r="BU144" s="13">
        <v>1</v>
      </c>
      <c r="BV144" s="111"/>
      <c r="BW144" s="280">
        <v>1</v>
      </c>
      <c r="BX144" s="14"/>
      <c r="BY144" s="110"/>
      <c r="BZ144" s="110"/>
      <c r="CA144" s="110"/>
      <c r="CB144" s="110"/>
      <c r="CC144" s="99"/>
      <c r="CD144" s="17"/>
      <c r="CE144" s="14"/>
      <c r="CF144" s="110"/>
      <c r="CG144" s="110"/>
      <c r="CH144" s="110"/>
      <c r="CI144" s="110"/>
      <c r="CJ144" s="99"/>
      <c r="CK144" s="99"/>
      <c r="CL144" s="17"/>
      <c r="CM144" s="266" t="s">
        <v>1437</v>
      </c>
      <c r="CN144" s="266" t="str">
        <f>CONCATENATE("Acceder al sistema Gemma con usuario y perfil activo para la funcionalidad modulo Maestro - Zonas, colocando la descripcion en el filtro, ","",IF(AG144=1,"Agregar un registro","")," hacer clic en el boton ",IF(AH144=1,"Modificar, ","")," ",IF(BS144=1,"Eliminar ",""),"confirmar cambios, luego presionar ",IF(BW144=1,"Exportar Documento Excel",""), ,IF(A144=1,"Link Nombre Distribuidor",""),"",IF(FZ159=1,$FZ$4,"")," ")</f>
        <v xml:space="preserve">Acceder al sistema Gemma con usuario y perfil activo para la funcionalidad modulo Maestro - Zonas, colocando la descripcion en el filtro,  hacer clic en el boton  Eliminar confirmar cambios, luego presionar Exportar Documento Excel </v>
      </c>
      <c r="CO144" s="310" t="str">
        <f>CONCATENATE(" Validar funcionalidad  Zonas ",IF(BQ144=1,$BQ$3,"")," ",IF(BR144=1,$BR$3,""),"",IF(BS144=1,$BS$3,"")," ",IF(BT144=1,$BT$3,"")," ",IF(BU144=1,$BU$4,""), "",IF(BV144=1,$BV$4,"")," en el filtro, una vez confirmado ", IF(BW144=1,$BW$2,"Sin Exportar Excel"),)</f>
        <v xml:space="preserve"> Validar funcionalidad  Zonas  Eliminar Código Con Valores en el filtro, una vez confirmado Exportar Excel </v>
      </c>
      <c r="CP144" s="267" t="s">
        <v>1333</v>
      </c>
    </row>
    <row r="145" spans="1:94" s="109" customFormat="1" x14ac:dyDescent="0.25">
      <c r="B145" s="14"/>
      <c r="C145" s="110"/>
      <c r="D145" s="110"/>
      <c r="E145" s="110"/>
      <c r="F145" s="110"/>
      <c r="G145" s="110"/>
      <c r="H145" s="14"/>
      <c r="I145" s="110"/>
      <c r="J145" s="110"/>
      <c r="K145" s="110"/>
      <c r="L145" s="110"/>
      <c r="M145" s="99"/>
      <c r="N145" s="14"/>
      <c r="O145" s="110"/>
      <c r="P145" s="110"/>
      <c r="Q145" s="110"/>
      <c r="R145" s="110"/>
      <c r="S145" s="99"/>
      <c r="T145" s="14"/>
      <c r="U145" s="110"/>
      <c r="V145" s="110"/>
      <c r="W145" s="110"/>
      <c r="X145" s="110"/>
      <c r="Y145" s="110"/>
      <c r="Z145" s="99"/>
      <c r="AA145" s="14"/>
      <c r="AB145" s="110"/>
      <c r="AC145" s="110"/>
      <c r="AD145" s="110"/>
      <c r="AE145" s="110"/>
      <c r="AF145" s="99"/>
      <c r="AG145" s="14"/>
      <c r="AH145" s="110"/>
      <c r="AI145" s="110"/>
      <c r="AJ145" s="110"/>
      <c r="AK145" s="110"/>
      <c r="AL145" s="99"/>
      <c r="AM145" s="14"/>
      <c r="AN145" s="110"/>
      <c r="AO145" s="110"/>
      <c r="AP145" s="110"/>
      <c r="AQ145" s="110"/>
      <c r="AR145" s="99"/>
      <c r="AS145" s="99"/>
      <c r="AT145" s="14"/>
      <c r="AU145" s="110"/>
      <c r="AV145" s="110"/>
      <c r="AW145" s="110"/>
      <c r="AX145" s="110"/>
      <c r="AY145" s="99"/>
      <c r="AZ145" s="99"/>
      <c r="BA145" s="14"/>
      <c r="BB145" s="110"/>
      <c r="BC145" s="110"/>
      <c r="BD145" s="110"/>
      <c r="BE145" s="110"/>
      <c r="BF145" s="99"/>
      <c r="BG145" s="99"/>
      <c r="BH145" s="99"/>
      <c r="BI145" s="20"/>
      <c r="BJ145" s="13"/>
      <c r="BK145" s="13"/>
      <c r="BL145" s="24"/>
      <c r="BM145" s="13"/>
      <c r="BN145" s="111"/>
      <c r="BO145" s="101"/>
      <c r="BP145" s="280"/>
      <c r="BQ145" s="20"/>
      <c r="BR145" s="13"/>
      <c r="BS145" s="13">
        <v>1</v>
      </c>
      <c r="BT145" s="24">
        <v>1</v>
      </c>
      <c r="BU145" s="13">
        <v>1</v>
      </c>
      <c r="BV145" s="111"/>
      <c r="BW145" s="280"/>
      <c r="BX145" s="14"/>
      <c r="BY145" s="110"/>
      <c r="BZ145" s="110"/>
      <c r="CA145" s="110"/>
      <c r="CB145" s="110"/>
      <c r="CC145" s="99"/>
      <c r="CD145" s="17"/>
      <c r="CE145" s="14"/>
      <c r="CF145" s="110"/>
      <c r="CG145" s="110"/>
      <c r="CH145" s="110"/>
      <c r="CI145" s="110"/>
      <c r="CJ145" s="99"/>
      <c r="CK145" s="99"/>
      <c r="CL145" s="17"/>
      <c r="CM145" s="266" t="s">
        <v>648</v>
      </c>
      <c r="CN145" s="266" t="str">
        <f>CONCATENATE("Acceder al sistema Gemma con usuario y perfil activo para la funcionalidad modulo Maestro - Zonas, ","",IF(AA145=1,"Agregar un registro","")," colocando la descripcion  en el filtro, hacer clic en el boton ",IF(AB145=1,"Modificar, ","")," ",IF(BS145=1,"Eliminar","")," ",IF(AF145=1,"Exportar Documento Excel",""), ,IF(A145=1,"Link Nombre Distribuidor",""),"y luego Confirmar el cambio.",IF(FZ160=1,$FZ$4,"")," ")</f>
        <v xml:space="preserve">Acceder al sistema Gemma con usuario y perfil activo para la funcionalidad modulo Maestro - Zonas,  colocando la descripcion  en el filtro, hacer clic en el boton  Eliminar y luego Confirmar el cambio. </v>
      </c>
      <c r="CO145" s="310" t="str">
        <f>CONCATENATE(" Validar funcionalidad  Zonas ",IF(BQ145=1,$BQ$3,"")," ",IF(BR145=1,$BR$3,""),"",IF(BS145=1,$BS$3,"")," ",IF(BT145=1,$BT$3,"")," ",IF(BU145=1,$BU$4,""), "",IF(BV145=1,$BV$4,"")," en el filtro,  ", IF(BW145=1,$BW$2,"Sin Exportar Excel"),)</f>
        <v xml:space="preserve"> Validar funcionalidad  Zonas  Eliminar Código Con Valores en el filtro,  Sin Exportar Excel</v>
      </c>
      <c r="CP145" s="267" t="s">
        <v>1333</v>
      </c>
    </row>
    <row r="146" spans="1:94" s="109" customFormat="1" x14ac:dyDescent="0.25">
      <c r="B146" s="15"/>
      <c r="C146" s="16"/>
      <c r="D146" s="16"/>
      <c r="E146" s="16"/>
      <c r="F146" s="16"/>
      <c r="G146" s="16"/>
      <c r="H146" s="15"/>
      <c r="I146" s="16"/>
      <c r="J146" s="16"/>
      <c r="K146" s="16"/>
      <c r="L146" s="16"/>
      <c r="M146" s="102"/>
      <c r="N146" s="15"/>
      <c r="O146" s="16"/>
      <c r="P146" s="16"/>
      <c r="Q146" s="16"/>
      <c r="R146" s="16"/>
      <c r="S146" s="102"/>
      <c r="T146" s="15"/>
      <c r="U146" s="16"/>
      <c r="V146" s="16"/>
      <c r="W146" s="16"/>
      <c r="X146" s="16"/>
      <c r="Y146" s="16"/>
      <c r="Z146" s="102"/>
      <c r="AA146" s="15"/>
      <c r="AB146" s="16"/>
      <c r="AC146" s="16"/>
      <c r="AD146" s="16"/>
      <c r="AE146" s="16"/>
      <c r="AF146" s="102"/>
      <c r="AG146" s="15"/>
      <c r="AH146" s="16"/>
      <c r="AI146" s="16"/>
      <c r="AJ146" s="16"/>
      <c r="AK146" s="16"/>
      <c r="AL146" s="102"/>
      <c r="AM146" s="15"/>
      <c r="AN146" s="16"/>
      <c r="AO146" s="16"/>
      <c r="AP146" s="16"/>
      <c r="AQ146" s="16"/>
      <c r="AR146" s="102"/>
      <c r="AS146" s="102"/>
      <c r="AT146" s="15"/>
      <c r="AU146" s="16"/>
      <c r="AV146" s="16"/>
      <c r="AW146" s="16"/>
      <c r="AX146" s="16"/>
      <c r="AY146" s="102"/>
      <c r="AZ146" s="102"/>
      <c r="BA146" s="15"/>
      <c r="BB146" s="16"/>
      <c r="BC146" s="16"/>
      <c r="BD146" s="16"/>
      <c r="BE146" s="16"/>
      <c r="BF146" s="102"/>
      <c r="BG146" s="102"/>
      <c r="BH146" s="102"/>
      <c r="BI146" s="291"/>
      <c r="BJ146" s="272"/>
      <c r="BK146" s="272"/>
      <c r="BL146" s="306"/>
      <c r="BM146" s="272"/>
      <c r="BN146" s="273"/>
      <c r="BO146" s="297"/>
      <c r="BP146" s="316"/>
      <c r="BQ146" s="291"/>
      <c r="BR146" s="272"/>
      <c r="BS146" s="272">
        <v>1</v>
      </c>
      <c r="BT146" s="306">
        <v>1</v>
      </c>
      <c r="BU146" s="272"/>
      <c r="BV146" s="273">
        <v>1</v>
      </c>
      <c r="BW146" s="316"/>
      <c r="BX146" s="15"/>
      <c r="BY146" s="16"/>
      <c r="BZ146" s="16"/>
      <c r="CA146" s="16"/>
      <c r="CB146" s="16"/>
      <c r="CC146" s="102"/>
      <c r="CD146" s="19"/>
      <c r="CE146" s="15"/>
      <c r="CF146" s="16"/>
      <c r="CG146" s="16"/>
      <c r="CH146" s="16"/>
      <c r="CI146" s="16"/>
      <c r="CJ146" s="102"/>
      <c r="CK146" s="102"/>
      <c r="CL146" s="19"/>
      <c r="CM146" s="266" t="s">
        <v>649</v>
      </c>
      <c r="CN146" s="266" t="str">
        <f>CONCATENATE("Acceder al sistema Gemma con usuario y perfil activo para la funcionalidad modulo Maestro - Zonas, ","",IF(AA146=1,"Agregar un registro","")," seleccionando el registro de la tabla consulta, hacer clic en el boton ",IF(AB146=1,"Modificar","")," ",IF(BS146=1,"Eliminar","")," ",IF(AF146=1,"Exportar Documento Excel",""), ,IF(A146=1,"Link Nombre Distribuidor",""),"presionar el boton Confirmar.",IF(FZ161=1,$FZ$4,"")," ")</f>
        <v xml:space="preserve">Acceder al sistema Gemma con usuario y perfil activo para la funcionalidad modulo Maestro - Zonas,  seleccionando el registro de la tabla consulta, hacer clic en el boton  Eliminar presionar el boton Confirmar. </v>
      </c>
      <c r="CO146" s="310" t="str">
        <f>CONCATENATE(" Validar funcionalidad  Zonas ",IF(BQ146=1,$BQ$3,"")," ",IF(BR146=1,$BR$3,""),"",IF(BS146=1,$BS$3,"")," ",IF(BT146=1,$BT$3,"")," ",IF(BU146=1,$BU$4,""), "",IF(BV146=1,$BV$4,"")," en el filtro,  ", IF(BW146=1,$BW$2,"Sin Exportar Excel"),)</f>
        <v xml:space="preserve"> Validar funcionalidad  Zonas  Eliminar Código Sin Valores en el filtro,  Sin Exportar Excel</v>
      </c>
      <c r="CP146" s="267" t="s">
        <v>1333</v>
      </c>
    </row>
    <row r="147" spans="1:94" s="109" customFormat="1" ht="15.75" thickBot="1" x14ac:dyDescent="0.3">
      <c r="B147" s="15"/>
      <c r="C147" s="16"/>
      <c r="D147" s="16"/>
      <c r="E147" s="16"/>
      <c r="F147" s="16"/>
      <c r="G147" s="16"/>
      <c r="H147" s="15"/>
      <c r="I147" s="16"/>
      <c r="J147" s="16"/>
      <c r="K147" s="16"/>
      <c r="L147" s="16"/>
      <c r="M147" s="102"/>
      <c r="N147" s="15"/>
      <c r="O147" s="16"/>
      <c r="P147" s="16"/>
      <c r="Q147" s="16"/>
      <c r="R147" s="16"/>
      <c r="S147" s="102"/>
      <c r="T147" s="15"/>
      <c r="U147" s="16"/>
      <c r="V147" s="16"/>
      <c r="W147" s="16"/>
      <c r="X147" s="16"/>
      <c r="Y147" s="16"/>
      <c r="Z147" s="102"/>
      <c r="AA147" s="15"/>
      <c r="AB147" s="16"/>
      <c r="AC147" s="16"/>
      <c r="AD147" s="16"/>
      <c r="AE147" s="16"/>
      <c r="AF147" s="102"/>
      <c r="AG147" s="15"/>
      <c r="AH147" s="16"/>
      <c r="AI147" s="16"/>
      <c r="AJ147" s="16"/>
      <c r="AK147" s="16"/>
      <c r="AL147" s="102"/>
      <c r="AM147" s="15"/>
      <c r="AN147" s="16"/>
      <c r="AO147" s="16"/>
      <c r="AP147" s="16"/>
      <c r="AQ147" s="16"/>
      <c r="AR147" s="102"/>
      <c r="AS147" s="102"/>
      <c r="AT147" s="15"/>
      <c r="AU147" s="16"/>
      <c r="AV147" s="16"/>
      <c r="AW147" s="16"/>
      <c r="AX147" s="16"/>
      <c r="AY147" s="102"/>
      <c r="AZ147" s="102"/>
      <c r="BA147" s="15"/>
      <c r="BB147" s="16"/>
      <c r="BC147" s="16"/>
      <c r="BD147" s="16"/>
      <c r="BE147" s="16"/>
      <c r="BF147" s="102"/>
      <c r="BG147" s="102"/>
      <c r="BH147" s="102"/>
      <c r="BI147" s="291"/>
      <c r="BJ147" s="272"/>
      <c r="BK147" s="272"/>
      <c r="BL147" s="272"/>
      <c r="BM147" s="272"/>
      <c r="BN147" s="273"/>
      <c r="BO147" s="297"/>
      <c r="BP147" s="316"/>
      <c r="BQ147" s="291"/>
      <c r="BR147" s="272"/>
      <c r="BS147" s="272"/>
      <c r="BT147" s="272"/>
      <c r="BU147" s="272"/>
      <c r="BV147" s="273"/>
      <c r="BW147" s="316">
        <v>1</v>
      </c>
      <c r="BX147" s="15"/>
      <c r="BY147" s="16"/>
      <c r="BZ147" s="16"/>
      <c r="CA147" s="16"/>
      <c r="CB147" s="16"/>
      <c r="CC147" s="102"/>
      <c r="CD147" s="19"/>
      <c r="CE147" s="15"/>
      <c r="CF147" s="16"/>
      <c r="CG147" s="16"/>
      <c r="CH147" s="16"/>
      <c r="CI147" s="16"/>
      <c r="CJ147" s="102"/>
      <c r="CK147" s="102"/>
      <c r="CL147" s="19"/>
      <c r="CM147" s="266" t="s">
        <v>650</v>
      </c>
      <c r="CN147" s="266" t="str">
        <f>CONCATENATE("Acceder al sistema Gemma con usuario y perfil activo para la funcionalidad modulo Maestro - Zonas, ","",IF(AG147=1,"Agregar un registro","")," sin datos en el filtro, presionar ",IF(AH147=1,"Modificar","")," ",IF(AI147=1,"Eliminar","")," ",IF(BW147=1,"Exportar Documento Excel",""), ,IF(A147=1,"Link Nombre Distribuidor",""),"")</f>
        <v>Acceder al sistema Gemma con usuario y perfil activo para la funcionalidad modulo Maestro - Zonas,  sin datos en el filtro, presionar   Exportar Documento Excel</v>
      </c>
      <c r="CO147" s="310" t="str">
        <f>CONCATENATE(" Validar funcionalidad  Zonas ",IF(BQ147=1,$BQ$3,""),"",IF(BR147=1,$BR$3,""),"",IF(BS147=1,$BS$3,""),"",IF(BT147=1,$BT$3,"")," ",IF(BU147=1,$BU$4,""), "",IF(BV147=1,$BV$4,""),"", IF(BW147=1,$BW$2,""),)</f>
        <v xml:space="preserve"> Validar funcionalidad  Zonas  Exportar Excel </v>
      </c>
      <c r="CP147" s="267" t="s">
        <v>1342</v>
      </c>
    </row>
    <row r="148" spans="1:94" s="109" customFormat="1" ht="15.75" thickTop="1" x14ac:dyDescent="0.25">
      <c r="B148" s="325"/>
      <c r="C148" s="335"/>
      <c r="D148" s="335"/>
      <c r="E148" s="335"/>
      <c r="F148" s="335"/>
      <c r="G148" s="335"/>
      <c r="H148" s="325"/>
      <c r="I148" s="335"/>
      <c r="J148" s="335"/>
      <c r="K148" s="335"/>
      <c r="L148" s="335"/>
      <c r="M148" s="336"/>
      <c r="N148" s="325"/>
      <c r="O148" s="335"/>
      <c r="P148" s="335"/>
      <c r="Q148" s="335"/>
      <c r="R148" s="335"/>
      <c r="S148" s="336"/>
      <c r="T148" s="325"/>
      <c r="U148" s="335"/>
      <c r="V148" s="335"/>
      <c r="W148" s="335"/>
      <c r="X148" s="335"/>
      <c r="Y148" s="335"/>
      <c r="Z148" s="336"/>
      <c r="AA148" s="325"/>
      <c r="AB148" s="335"/>
      <c r="AC148" s="335"/>
      <c r="AD148" s="335"/>
      <c r="AE148" s="335"/>
      <c r="AF148" s="336"/>
      <c r="AG148" s="325"/>
      <c r="AH148" s="335"/>
      <c r="AI148" s="335"/>
      <c r="AJ148" s="335"/>
      <c r="AK148" s="335"/>
      <c r="AL148" s="336"/>
      <c r="AM148" s="325"/>
      <c r="AN148" s="335"/>
      <c r="AO148" s="335"/>
      <c r="AP148" s="335"/>
      <c r="AQ148" s="335"/>
      <c r="AR148" s="336"/>
      <c r="AS148" s="336"/>
      <c r="AT148" s="325"/>
      <c r="AU148" s="335"/>
      <c r="AV148" s="335"/>
      <c r="AW148" s="335"/>
      <c r="AX148" s="335"/>
      <c r="AY148" s="336"/>
      <c r="AZ148" s="336"/>
      <c r="BA148" s="325"/>
      <c r="BB148" s="335"/>
      <c r="BC148" s="335"/>
      <c r="BD148" s="335"/>
      <c r="BE148" s="335"/>
      <c r="BF148" s="336"/>
      <c r="BG148" s="336"/>
      <c r="BH148" s="336"/>
      <c r="BI148" s="292"/>
      <c r="BJ148" s="293"/>
      <c r="BK148" s="293"/>
      <c r="BL148" s="293"/>
      <c r="BM148" s="293"/>
      <c r="BN148" s="106"/>
      <c r="BO148" s="329"/>
      <c r="BP148" s="294"/>
      <c r="BQ148" s="292">
        <v>1</v>
      </c>
      <c r="BR148" s="293"/>
      <c r="BS148" s="293"/>
      <c r="BT148" s="293">
        <v>1</v>
      </c>
      <c r="BU148" s="293"/>
      <c r="BV148" s="106">
        <v>1</v>
      </c>
      <c r="BW148" s="294"/>
      <c r="BX148" s="325"/>
      <c r="BY148" s="335"/>
      <c r="BZ148" s="335"/>
      <c r="CA148" s="335"/>
      <c r="CB148" s="335"/>
      <c r="CC148" s="336"/>
      <c r="CD148" s="337"/>
      <c r="CE148" s="325"/>
      <c r="CF148" s="335"/>
      <c r="CG148" s="335"/>
      <c r="CH148" s="335"/>
      <c r="CI148" s="335"/>
      <c r="CJ148" s="336"/>
      <c r="CK148" s="336"/>
      <c r="CL148" s="337"/>
      <c r="CM148" s="266" t="s">
        <v>1438</v>
      </c>
      <c r="CN148" s="266" t="str">
        <f>CONCATENATE("Acceder al sistema Gemma con usuario y perfil activo para la funcionalidad modulo Maestro - Zonas, ","",IF(BQ148=1,"Agregar un registro","")," sin datos en la descripcion  y presionar Confirmar.",IF(I148=1,"Modificar","")," ",IF(J148=1,"Eliminar","")," ",IF(M148=1,"Exportar Documento Excel",""), ,IF(A148=1,"Link Nombre Distribuidor",""),"",IF(FZ163=1,$FZ$4,"")," ")</f>
        <v xml:space="preserve">Acceder al sistema Gemma con usuario y perfil activo para la funcionalidad modulo Maestro - Zonas, Agregar un registro sin datos en la descripcion  y presionar Confirmar.   </v>
      </c>
      <c r="CO148" s="310" t="str">
        <f t="shared" ref="CO148:CO152" si="3">CONCATENATE(" Validar funcionalidad  Zonas ",IF(BQ148=1,$BQ$3,""),"",IF(BR148=1,$BR$3,""),"",IF(BS148=1,$BS$3,""),"",IF(BT148=1,$BT$3,"")," ",IF(BU148=1,$BU$4,""), "",IF(BV148=1,$BV$4,""),"", IF(BW148=1,$BW$2,""),)</f>
        <v xml:space="preserve"> Validar funcionalidad  Zonas AgregarCódigo Sin Valores</v>
      </c>
      <c r="CP148" s="267" t="s">
        <v>1375</v>
      </c>
    </row>
    <row r="149" spans="1:94" s="109" customFormat="1" x14ac:dyDescent="0.25">
      <c r="A149" s="23"/>
      <c r="B149" s="105"/>
      <c r="C149" s="25"/>
      <c r="D149" s="25"/>
      <c r="E149" s="25"/>
      <c r="F149" s="24"/>
      <c r="G149" s="279"/>
      <c r="H149" s="105"/>
      <c r="I149" s="25"/>
      <c r="J149" s="345"/>
      <c r="K149" s="345"/>
      <c r="L149" s="24"/>
      <c r="M149" s="100"/>
      <c r="N149" s="105"/>
      <c r="O149" s="25"/>
      <c r="P149" s="25"/>
      <c r="Q149" s="25"/>
      <c r="R149" s="24"/>
      <c r="S149" s="279"/>
      <c r="T149" s="105"/>
      <c r="U149" s="25"/>
      <c r="V149" s="345"/>
      <c r="W149" s="345"/>
      <c r="X149" s="24"/>
      <c r="Y149" s="24"/>
      <c r="Z149" s="279"/>
      <c r="AA149" s="105"/>
      <c r="AB149" s="25"/>
      <c r="AC149" s="25"/>
      <c r="AD149" s="25"/>
      <c r="AE149" s="24"/>
      <c r="AF149" s="279"/>
      <c r="AG149" s="105"/>
      <c r="AH149" s="25"/>
      <c r="AI149" s="25"/>
      <c r="AJ149" s="25"/>
      <c r="AK149" s="24"/>
      <c r="AL149" s="279"/>
      <c r="AM149" s="105"/>
      <c r="AN149" s="25"/>
      <c r="AO149" s="345"/>
      <c r="AP149" s="345"/>
      <c r="AQ149" s="24"/>
      <c r="AR149" s="100"/>
      <c r="AS149" s="279"/>
      <c r="AT149" s="105"/>
      <c r="AU149" s="25"/>
      <c r="AV149" s="25"/>
      <c r="AW149" s="25"/>
      <c r="AX149" s="24"/>
      <c r="AY149" s="100"/>
      <c r="AZ149" s="279"/>
      <c r="BA149" s="105"/>
      <c r="BB149" s="25"/>
      <c r="BC149" s="345"/>
      <c r="BD149" s="345"/>
      <c r="BE149" s="24"/>
      <c r="BF149" s="100"/>
      <c r="BG149" s="100"/>
      <c r="BH149" s="279"/>
      <c r="BI149" s="105"/>
      <c r="BJ149" s="25"/>
      <c r="BK149" s="491"/>
      <c r="BL149" s="111"/>
      <c r="BM149" s="345"/>
      <c r="BN149" s="24"/>
      <c r="BO149" s="100"/>
      <c r="BP149" s="279"/>
      <c r="BQ149" s="105">
        <v>1</v>
      </c>
      <c r="BR149" s="25"/>
      <c r="BS149" s="345"/>
      <c r="BT149" s="25">
        <v>1</v>
      </c>
      <c r="BU149" s="25">
        <v>1</v>
      </c>
      <c r="BV149" s="24"/>
      <c r="BW149" s="279"/>
      <c r="BX149" s="105"/>
      <c r="BY149" s="25"/>
      <c r="BZ149" s="25"/>
      <c r="CA149" s="25"/>
      <c r="CB149" s="24"/>
      <c r="CC149" s="100"/>
      <c r="CD149" s="279"/>
      <c r="CE149" s="105"/>
      <c r="CF149" s="25"/>
      <c r="CG149" s="25"/>
      <c r="CH149" s="25"/>
      <c r="CI149" s="24"/>
      <c r="CJ149" s="100"/>
      <c r="CK149" s="100"/>
      <c r="CL149" s="279"/>
      <c r="CM149" s="266" t="s">
        <v>1461</v>
      </c>
      <c r="CN149" s="266" t="str">
        <f>CONCATENATE("Acceder al sistema Gemma con usuario y perfil activo para la funcionalidad modulo Maestro - Zonas, ","",IF(BQ149=1,"Agregar un registro","")," colocando el valor de un Codigo existente, Confirmar.",IF(I149=1,"Modificar","")," ",IF(J149=1,"Eliminar","")," ",IF(M149=1,"Exportar Documento Excel",""), ,IF(A149=1,"Link Nombre Distribuidor",""),"",IF(FZ165=1,$FZ$4,"")," ")</f>
        <v xml:space="preserve">Acceder al sistema Gemma con usuario y perfil activo para la funcionalidad modulo Maestro - Zonas, Agregar un registro colocando el valor de un Codigo existente, Confirmar.   </v>
      </c>
      <c r="CO149" s="310" t="str">
        <f t="shared" si="3"/>
        <v xml:space="preserve"> Validar funcionalidad  Zonas AgregarCódigo Con Valores</v>
      </c>
      <c r="CP149" s="267" t="s">
        <v>1445</v>
      </c>
    </row>
    <row r="150" spans="1:94" s="109" customFormat="1" x14ac:dyDescent="0.25">
      <c r="B150" s="299"/>
      <c r="C150" s="284"/>
      <c r="D150" s="284"/>
      <c r="E150" s="284"/>
      <c r="F150" s="284"/>
      <c r="G150" s="284"/>
      <c r="H150" s="299"/>
      <c r="I150" s="284"/>
      <c r="J150" s="284"/>
      <c r="K150" s="284"/>
      <c r="L150" s="284"/>
      <c r="M150" s="333"/>
      <c r="N150" s="299"/>
      <c r="O150" s="284"/>
      <c r="P150" s="284"/>
      <c r="Q150" s="284"/>
      <c r="R150" s="284"/>
      <c r="S150" s="333"/>
      <c r="T150" s="299"/>
      <c r="U150" s="284"/>
      <c r="V150" s="284"/>
      <c r="W150" s="284"/>
      <c r="X150" s="284"/>
      <c r="Y150" s="284"/>
      <c r="Z150" s="333"/>
      <c r="AA150" s="299"/>
      <c r="AB150" s="284"/>
      <c r="AC150" s="284"/>
      <c r="AD150" s="284"/>
      <c r="AE150" s="284"/>
      <c r="AF150" s="333"/>
      <c r="AG150" s="299"/>
      <c r="AH150" s="284"/>
      <c r="AI150" s="284"/>
      <c r="AJ150" s="284"/>
      <c r="AK150" s="284"/>
      <c r="AL150" s="333"/>
      <c r="AM150" s="299"/>
      <c r="AN150" s="284"/>
      <c r="AO150" s="284"/>
      <c r="AP150" s="284"/>
      <c r="AQ150" s="284"/>
      <c r="AR150" s="333"/>
      <c r="AS150" s="333"/>
      <c r="AT150" s="299"/>
      <c r="AU150" s="284"/>
      <c r="AV150" s="284"/>
      <c r="AW150" s="284"/>
      <c r="AX150" s="284"/>
      <c r="AY150" s="333"/>
      <c r="AZ150" s="333"/>
      <c r="BA150" s="299"/>
      <c r="BB150" s="284"/>
      <c r="BC150" s="284"/>
      <c r="BD150" s="284"/>
      <c r="BE150" s="284"/>
      <c r="BF150" s="333"/>
      <c r="BG150" s="333"/>
      <c r="BH150" s="333"/>
      <c r="BI150" s="105"/>
      <c r="BJ150" s="25"/>
      <c r="BK150" s="25"/>
      <c r="BL150" s="25"/>
      <c r="BM150" s="25"/>
      <c r="BN150" s="24"/>
      <c r="BO150" s="100"/>
      <c r="BP150" s="279"/>
      <c r="BQ150" s="105"/>
      <c r="BR150" s="25"/>
      <c r="BS150" s="25"/>
      <c r="BT150" s="25"/>
      <c r="BU150" s="25">
        <v>1</v>
      </c>
      <c r="BV150" s="24"/>
      <c r="BW150" s="279"/>
      <c r="BX150" s="299"/>
      <c r="BY150" s="284"/>
      <c r="BZ150" s="284"/>
      <c r="CA150" s="284"/>
      <c r="CB150" s="284"/>
      <c r="CC150" s="333"/>
      <c r="CD150" s="334"/>
      <c r="CE150" s="299"/>
      <c r="CF150" s="284"/>
      <c r="CG150" s="284"/>
      <c r="CH150" s="284"/>
      <c r="CI150" s="284"/>
      <c r="CJ150" s="333"/>
      <c r="CK150" s="333"/>
      <c r="CL150" s="334"/>
      <c r="CM150" s="266" t="s">
        <v>1439</v>
      </c>
      <c r="CN150" s="266" t="s">
        <v>1443</v>
      </c>
      <c r="CO150" s="310" t="str">
        <f t="shared" si="3"/>
        <v xml:space="preserve"> Validar funcionalidad  Zonas  Con Valores</v>
      </c>
      <c r="CP150" s="267" t="s">
        <v>1344</v>
      </c>
    </row>
    <row r="151" spans="1:94" s="109" customFormat="1" x14ac:dyDescent="0.25">
      <c r="B151" s="14"/>
      <c r="C151" s="110"/>
      <c r="D151" s="110"/>
      <c r="E151" s="110"/>
      <c r="F151" s="110"/>
      <c r="G151" s="110"/>
      <c r="H151" s="14"/>
      <c r="I151" s="110"/>
      <c r="J151" s="110"/>
      <c r="K151" s="110"/>
      <c r="L151" s="110"/>
      <c r="M151" s="99"/>
      <c r="N151" s="14"/>
      <c r="O151" s="110"/>
      <c r="P151" s="110"/>
      <c r="Q151" s="110"/>
      <c r="R151" s="110"/>
      <c r="S151" s="99"/>
      <c r="T151" s="14"/>
      <c r="U151" s="110"/>
      <c r="V151" s="110"/>
      <c r="W151" s="110"/>
      <c r="X151" s="110"/>
      <c r="Y151" s="110"/>
      <c r="Z151" s="99"/>
      <c r="AA151" s="14"/>
      <c r="AB151" s="110"/>
      <c r="AC151" s="110"/>
      <c r="AD151" s="110"/>
      <c r="AE151" s="110"/>
      <c r="AF151" s="99"/>
      <c r="AG151" s="14"/>
      <c r="AH151" s="110"/>
      <c r="AI151" s="110"/>
      <c r="AJ151" s="110"/>
      <c r="AK151" s="110"/>
      <c r="AL151" s="99"/>
      <c r="AM151" s="14"/>
      <c r="AN151" s="110"/>
      <c r="AO151" s="110"/>
      <c r="AP151" s="110"/>
      <c r="AQ151" s="110"/>
      <c r="AR151" s="99"/>
      <c r="AS151" s="99"/>
      <c r="AT151" s="14"/>
      <c r="AU151" s="110"/>
      <c r="AV151" s="110"/>
      <c r="AW151" s="110"/>
      <c r="AX151" s="110"/>
      <c r="AY151" s="99"/>
      <c r="AZ151" s="99"/>
      <c r="BA151" s="14"/>
      <c r="BB151" s="110"/>
      <c r="BC151" s="110"/>
      <c r="BD151" s="110"/>
      <c r="BE151" s="110"/>
      <c r="BF151" s="99"/>
      <c r="BG151" s="99"/>
      <c r="BH151" s="99"/>
      <c r="BI151" s="20"/>
      <c r="BJ151" s="13"/>
      <c r="BK151" s="13"/>
      <c r="BL151" s="13"/>
      <c r="BM151" s="13"/>
      <c r="BN151" s="111"/>
      <c r="BO151" s="101"/>
      <c r="BP151" s="280"/>
      <c r="BQ151" s="20"/>
      <c r="BR151" s="13">
        <v>1</v>
      </c>
      <c r="BS151" s="13"/>
      <c r="BT151" s="13"/>
      <c r="BU151" s="13"/>
      <c r="BV151" s="111">
        <v>1</v>
      </c>
      <c r="BW151" s="280"/>
      <c r="BX151" s="14"/>
      <c r="BY151" s="110"/>
      <c r="BZ151" s="110"/>
      <c r="CA151" s="110"/>
      <c r="CB151" s="110"/>
      <c r="CC151" s="99"/>
      <c r="CD151" s="17"/>
      <c r="CE151" s="14"/>
      <c r="CF151" s="110"/>
      <c r="CG151" s="110"/>
      <c r="CH151" s="110"/>
      <c r="CI151" s="110"/>
      <c r="CJ151" s="99"/>
      <c r="CK151" s="99"/>
      <c r="CL151" s="17"/>
      <c r="CM151" s="266" t="s">
        <v>1440</v>
      </c>
      <c r="CN151" s="266" t="s">
        <v>1444</v>
      </c>
      <c r="CO151" s="310" t="str">
        <f t="shared" si="3"/>
        <v xml:space="preserve"> Validar funcionalidad  Zonas Modificar Sin Valores</v>
      </c>
      <c r="CP151" s="267" t="s">
        <v>1375</v>
      </c>
    </row>
    <row r="152" spans="1:94" s="109" customFormat="1" ht="15.75" thickBot="1" x14ac:dyDescent="0.3">
      <c r="B152" s="303"/>
      <c r="C152" s="304"/>
      <c r="D152" s="304"/>
      <c r="E152" s="304"/>
      <c r="F152" s="304"/>
      <c r="G152" s="304"/>
      <c r="H152" s="303"/>
      <c r="I152" s="304"/>
      <c r="J152" s="304"/>
      <c r="K152" s="304"/>
      <c r="L152" s="304"/>
      <c r="M152" s="313"/>
      <c r="N152" s="303"/>
      <c r="O152" s="304"/>
      <c r="P152" s="304"/>
      <c r="Q152" s="304"/>
      <c r="R152" s="304"/>
      <c r="S152" s="313"/>
      <c r="T152" s="303"/>
      <c r="U152" s="304"/>
      <c r="V152" s="304"/>
      <c r="W152" s="304"/>
      <c r="X152" s="304"/>
      <c r="Y152" s="304"/>
      <c r="Z152" s="313"/>
      <c r="AA152" s="303"/>
      <c r="AB152" s="304"/>
      <c r="AC152" s="304"/>
      <c r="AD152" s="304"/>
      <c r="AE152" s="304"/>
      <c r="AF152" s="313"/>
      <c r="AG152" s="303"/>
      <c r="AH152" s="304"/>
      <c r="AI152" s="304"/>
      <c r="AJ152" s="304"/>
      <c r="AK152" s="304"/>
      <c r="AL152" s="313"/>
      <c r="AM152" s="303"/>
      <c r="AN152" s="304"/>
      <c r="AO152" s="304"/>
      <c r="AP152" s="304"/>
      <c r="AQ152" s="304"/>
      <c r="AR152" s="313"/>
      <c r="AS152" s="313"/>
      <c r="AT152" s="303"/>
      <c r="AU152" s="304"/>
      <c r="AV152" s="304"/>
      <c r="AW152" s="304"/>
      <c r="AX152" s="304"/>
      <c r="AY152" s="313"/>
      <c r="AZ152" s="313"/>
      <c r="BA152" s="303"/>
      <c r="BB152" s="304"/>
      <c r="BC152" s="304"/>
      <c r="BD152" s="304"/>
      <c r="BE152" s="304"/>
      <c r="BF152" s="313"/>
      <c r="BG152" s="313"/>
      <c r="BH152" s="313"/>
      <c r="BI152" s="303"/>
      <c r="BJ152" s="282"/>
      <c r="BK152" s="281"/>
      <c r="BL152" s="281"/>
      <c r="BM152" s="317"/>
      <c r="BN152" s="317"/>
      <c r="BO152" s="330"/>
      <c r="BP152" s="302"/>
      <c r="BQ152" s="303"/>
      <c r="BR152" s="282"/>
      <c r="BS152" s="281">
        <v>1</v>
      </c>
      <c r="BT152" s="281"/>
      <c r="BU152" s="317"/>
      <c r="BV152" s="317"/>
      <c r="BW152" s="302"/>
      <c r="BX152" s="303"/>
      <c r="BY152" s="304"/>
      <c r="BZ152" s="304"/>
      <c r="CA152" s="304"/>
      <c r="CB152" s="304"/>
      <c r="CC152" s="313"/>
      <c r="CD152" s="338"/>
      <c r="CE152" s="303"/>
      <c r="CF152" s="304"/>
      <c r="CG152" s="304"/>
      <c r="CH152" s="304"/>
      <c r="CI152" s="304"/>
      <c r="CJ152" s="313"/>
      <c r="CK152" s="313"/>
      <c r="CL152" s="338"/>
      <c r="CM152" s="266" t="s">
        <v>1441</v>
      </c>
      <c r="CN152" s="266" t="s">
        <v>1442</v>
      </c>
      <c r="CO152" s="310" t="str">
        <f t="shared" si="3"/>
        <v xml:space="preserve"> Validar funcionalidad  Zonas Eliminar </v>
      </c>
      <c r="CP152" s="267" t="s">
        <v>1345</v>
      </c>
    </row>
    <row r="153" spans="1:94" s="109" customFormat="1" ht="15.75" thickTop="1" x14ac:dyDescent="0.25">
      <c r="B153" s="322"/>
      <c r="C153" s="25"/>
      <c r="D153" s="25"/>
      <c r="E153" s="25"/>
      <c r="F153" s="25"/>
      <c r="G153" s="25"/>
      <c r="H153" s="322"/>
      <c r="I153" s="25"/>
      <c r="J153" s="25"/>
      <c r="K153" s="25"/>
      <c r="L153" s="25"/>
      <c r="M153" s="285"/>
      <c r="N153" s="322"/>
      <c r="O153" s="25"/>
      <c r="P153" s="25"/>
      <c r="Q153" s="25"/>
      <c r="R153" s="25"/>
      <c r="S153" s="285"/>
      <c r="T153" s="322"/>
      <c r="U153" s="25"/>
      <c r="V153" s="25"/>
      <c r="W153" s="25"/>
      <c r="X153" s="25"/>
      <c r="Y153" s="25"/>
      <c r="Z153" s="285"/>
      <c r="AA153" s="322"/>
      <c r="AB153" s="25"/>
      <c r="AC153" s="25"/>
      <c r="AD153" s="25"/>
      <c r="AE153" s="25"/>
      <c r="AF153" s="285"/>
      <c r="AG153" s="322"/>
      <c r="AH153" s="25"/>
      <c r="AI153" s="25"/>
      <c r="AJ153" s="25"/>
      <c r="AK153" s="25"/>
      <c r="AL153" s="285"/>
      <c r="AM153" s="322"/>
      <c r="AN153" s="25"/>
      <c r="AO153" s="25"/>
      <c r="AP153" s="25"/>
      <c r="AQ153" s="25"/>
      <c r="AR153" s="285"/>
      <c r="AS153" s="285"/>
      <c r="AT153" s="322"/>
      <c r="AU153" s="25"/>
      <c r="AV153" s="25"/>
      <c r="AW153" s="25"/>
      <c r="AX153" s="25"/>
      <c r="AY153" s="285"/>
      <c r="AZ153" s="285"/>
      <c r="BA153" s="322"/>
      <c r="BB153" s="25"/>
      <c r="BC153" s="25"/>
      <c r="BD153" s="25"/>
      <c r="BE153" s="25"/>
      <c r="BF153" s="285"/>
      <c r="BG153" s="285"/>
      <c r="BH153" s="285"/>
      <c r="BI153" s="322"/>
      <c r="BJ153" s="25"/>
      <c r="BK153" s="25"/>
      <c r="BL153" s="25"/>
      <c r="BM153" s="25"/>
      <c r="BN153" s="25"/>
      <c r="BO153" s="285"/>
      <c r="BP153" s="285"/>
      <c r="BQ153" s="322"/>
      <c r="BR153" s="25"/>
      <c r="BS153" s="25"/>
      <c r="BT153" s="25"/>
      <c r="BU153" s="25"/>
      <c r="BV153" s="25"/>
      <c r="BW153" s="285"/>
      <c r="BX153" s="105">
        <v>1</v>
      </c>
      <c r="BY153" s="25"/>
      <c r="BZ153" s="345"/>
      <c r="CA153" s="25">
        <v>1</v>
      </c>
      <c r="CB153" s="24"/>
      <c r="CC153" s="285"/>
      <c r="CD153" s="312">
        <v>1</v>
      </c>
      <c r="CE153" s="105"/>
      <c r="CF153" s="25"/>
      <c r="CG153" s="345"/>
      <c r="CH153" s="25"/>
      <c r="CI153" s="24"/>
      <c r="CJ153" s="100"/>
      <c r="CK153" s="285"/>
      <c r="CL153" s="312"/>
      <c r="CM153" s="266" t="s">
        <v>651</v>
      </c>
      <c r="CN153" s="266" t="str">
        <f>CONCATENATE("Acceder al sistema Gemma con usuario y perfil activo para la funcionalidad modulo Maestro - CIA de Seguro, hacer clic en el boton ","",IF(BX153=1,"Agregar","")," colocando los campos obligatorios, ",IF(AH153=1,"Modificar un registro","")," presionar el boton Confirmar y  ",IF(AI153=1,"Eliminar un registro",""),"luego presionar ",IF(CD153=1,"Exportar Documento Excel",""), ,IF(A153=1,"Link Nombre Distribuidor","")," ")</f>
        <v xml:space="preserve">Acceder al sistema Gemma con usuario y perfil activo para la funcionalidad modulo Maestro - CIA de Seguro, hacer clic en el boton Agregar colocando los campos obligatorios,  presionar el boton Confirmar y  luego presionar Exportar Documento Excel </v>
      </c>
      <c r="CO153" s="310" t="str">
        <f>CONCATENATE(" Validar funcionalidad  CIA de Seguro ",IF(BX153=1,$BX$3,"")," ",IF(BY153=1,$BY$3,""),"",IF(BZ153=1,$CA$3,""),"",IF(CA153=1,$CA$4,"")," ",IF(CB153=1,$CB$4,""), "",IF(CC153=1,$CC$2,""),", una vez confirmado ", IF(CD153=1,$CD$2,"Sin Exportar Excel"),)</f>
        <v xml:space="preserve"> Validar funcionalidad  CIA de Seguro Agregar Con Valores , una vez confirmado Exportar Excel </v>
      </c>
      <c r="CP153" s="267" t="s">
        <v>1321</v>
      </c>
    </row>
    <row r="154" spans="1:94" s="109" customFormat="1" x14ac:dyDescent="0.25">
      <c r="B154" s="18"/>
      <c r="C154" s="13"/>
      <c r="D154" s="13"/>
      <c r="E154" s="13"/>
      <c r="F154" s="13"/>
      <c r="G154" s="13"/>
      <c r="H154" s="18"/>
      <c r="I154" s="13"/>
      <c r="J154" s="13"/>
      <c r="K154" s="13"/>
      <c r="L154" s="13"/>
      <c r="M154" s="98"/>
      <c r="N154" s="18"/>
      <c r="O154" s="13"/>
      <c r="P154" s="13"/>
      <c r="Q154" s="13"/>
      <c r="R154" s="13"/>
      <c r="S154" s="98"/>
      <c r="T154" s="18"/>
      <c r="U154" s="13"/>
      <c r="V154" s="13"/>
      <c r="W154" s="13"/>
      <c r="X154" s="13"/>
      <c r="Y154" s="13"/>
      <c r="Z154" s="98"/>
      <c r="AA154" s="18"/>
      <c r="AB154" s="13"/>
      <c r="AC154" s="13"/>
      <c r="AD154" s="13"/>
      <c r="AE154" s="13"/>
      <c r="AF154" s="98"/>
      <c r="AG154" s="18"/>
      <c r="AH154" s="13"/>
      <c r="AI154" s="13"/>
      <c r="AJ154" s="13"/>
      <c r="AK154" s="13"/>
      <c r="AL154" s="98"/>
      <c r="AM154" s="18"/>
      <c r="AN154" s="13"/>
      <c r="AO154" s="13"/>
      <c r="AP154" s="13"/>
      <c r="AQ154" s="13"/>
      <c r="AR154" s="98"/>
      <c r="AS154" s="98"/>
      <c r="AT154" s="18"/>
      <c r="AU154" s="13"/>
      <c r="AV154" s="13"/>
      <c r="AW154" s="13"/>
      <c r="AX154" s="13"/>
      <c r="AY154" s="98"/>
      <c r="AZ154" s="98"/>
      <c r="BA154" s="18"/>
      <c r="BB154" s="13"/>
      <c r="BC154" s="13"/>
      <c r="BD154" s="13"/>
      <c r="BE154" s="13"/>
      <c r="BF154" s="98"/>
      <c r="BG154" s="98"/>
      <c r="BH154" s="98"/>
      <c r="BI154" s="18"/>
      <c r="BJ154" s="13"/>
      <c r="BK154" s="13"/>
      <c r="BL154" s="13"/>
      <c r="BM154" s="13"/>
      <c r="BN154" s="13"/>
      <c r="BO154" s="98"/>
      <c r="BP154" s="98"/>
      <c r="BQ154" s="18"/>
      <c r="BR154" s="13"/>
      <c r="BS154" s="13"/>
      <c r="BT154" s="13"/>
      <c r="BU154" s="13"/>
      <c r="BV154" s="13"/>
      <c r="BW154" s="98"/>
      <c r="BX154" s="20">
        <v>1</v>
      </c>
      <c r="BY154" s="13"/>
      <c r="BZ154" s="103"/>
      <c r="CA154" s="13">
        <v>1</v>
      </c>
      <c r="CB154" s="111"/>
      <c r="CC154" s="98"/>
      <c r="CD154" s="280"/>
      <c r="CE154" s="20"/>
      <c r="CF154" s="13"/>
      <c r="CG154" s="103"/>
      <c r="CH154" s="13"/>
      <c r="CI154" s="111"/>
      <c r="CJ154" s="101"/>
      <c r="CK154" s="98"/>
      <c r="CL154" s="280"/>
      <c r="CM154" s="266" t="s">
        <v>652</v>
      </c>
      <c r="CN154" s="266" t="str">
        <f>CONCATENATE("Acceder al sistema Gemma con usuario y perfil activo para la funcionalidad modulo Maestro - CIA de Seguro, hacer clic en el boton ","",IF(BX154=1,"Agregar","")," colocando todos los datos, ",IF(AH154=1,"Modificar un registro","")," ",IF(AI154=1,"Eliminar un registro","")," ",IF(AL154=1,"Exportar Documento Excel",""), ,IF(A154=1,"Link Nombre Distribuidor",""),"presionar el boton Confirmar. ")</f>
        <v xml:space="preserve">Acceder al sistema Gemma con usuario y perfil activo para la funcionalidad modulo Maestro - CIA de Seguro, hacer clic en el boton Agregar colocando todos los datos,   presionar el boton Confirmar. </v>
      </c>
      <c r="CO154" s="310" t="str">
        <f t="shared" ref="CO154" si="4">CONCATENATE(" Validar funcionalidad  CIA de Seguro ",IF(BX154=1,$BX$3,"")," ",IF(BY154=1,$BY$3,""),"",IF(BZ154=1,$CA$3,""),"",IF(CA154=1,$CA$4,"")," ",IF(CB154=1,$CB$4,""), "",IF(CC154=1,$CC$2,""),", una vez confirmado ", IF(CD154=1,$CD$2,"Sin Exportar Excel"),)</f>
        <v xml:space="preserve"> Validar funcionalidad  CIA de Seguro Agregar Con Valores , una vez confirmado Sin Exportar Excel</v>
      </c>
      <c r="CP154" s="267" t="s">
        <v>1321</v>
      </c>
    </row>
    <row r="155" spans="1:94" s="109" customFormat="1" x14ac:dyDescent="0.25">
      <c r="B155" s="18"/>
      <c r="C155" s="13"/>
      <c r="D155" s="13"/>
      <c r="E155" s="13"/>
      <c r="F155" s="13"/>
      <c r="G155" s="13"/>
      <c r="H155" s="18"/>
      <c r="I155" s="13"/>
      <c r="J155" s="13"/>
      <c r="K155" s="13"/>
      <c r="L155" s="13"/>
      <c r="M155" s="98"/>
      <c r="N155" s="18"/>
      <c r="O155" s="13"/>
      <c r="P155" s="13"/>
      <c r="Q155" s="13"/>
      <c r="R155" s="13"/>
      <c r="S155" s="98"/>
      <c r="T155" s="18"/>
      <c r="U155" s="13"/>
      <c r="V155" s="13"/>
      <c r="W155" s="13"/>
      <c r="X155" s="13"/>
      <c r="Y155" s="13"/>
      <c r="Z155" s="98"/>
      <c r="AA155" s="18"/>
      <c r="AB155" s="13"/>
      <c r="AC155" s="13"/>
      <c r="AD155" s="13"/>
      <c r="AE155" s="13"/>
      <c r="AF155" s="98"/>
      <c r="AG155" s="18"/>
      <c r="AH155" s="13"/>
      <c r="AI155" s="13"/>
      <c r="AJ155" s="13"/>
      <c r="AK155" s="13"/>
      <c r="AL155" s="98"/>
      <c r="AM155" s="18"/>
      <c r="AN155" s="13"/>
      <c r="AO155" s="13"/>
      <c r="AP155" s="13"/>
      <c r="AQ155" s="13"/>
      <c r="AR155" s="98"/>
      <c r="AS155" s="98"/>
      <c r="AT155" s="18"/>
      <c r="AU155" s="13"/>
      <c r="AV155" s="13"/>
      <c r="AW155" s="13"/>
      <c r="AX155" s="13"/>
      <c r="AY155" s="98"/>
      <c r="AZ155" s="98"/>
      <c r="BA155" s="18"/>
      <c r="BB155" s="13"/>
      <c r="BC155" s="13"/>
      <c r="BD155" s="13"/>
      <c r="BE155" s="13"/>
      <c r="BF155" s="98"/>
      <c r="BG155" s="98"/>
      <c r="BH155" s="98"/>
      <c r="BI155" s="18"/>
      <c r="BJ155" s="13"/>
      <c r="BK155" s="13"/>
      <c r="BL155" s="13"/>
      <c r="BM155" s="13"/>
      <c r="BN155" s="13"/>
      <c r="BO155" s="98"/>
      <c r="BP155" s="98"/>
      <c r="BQ155" s="18"/>
      <c r="BR155" s="13"/>
      <c r="BS155" s="13"/>
      <c r="BT155" s="13"/>
      <c r="BU155" s="13"/>
      <c r="BV155" s="13"/>
      <c r="BW155" s="98"/>
      <c r="BX155" s="20"/>
      <c r="BY155" s="13">
        <v>1</v>
      </c>
      <c r="BZ155" s="103"/>
      <c r="CA155" s="13">
        <v>1</v>
      </c>
      <c r="CB155" s="111"/>
      <c r="CC155" s="98"/>
      <c r="CD155" s="280">
        <v>1</v>
      </c>
      <c r="CE155" s="20"/>
      <c r="CF155" s="13"/>
      <c r="CG155" s="103"/>
      <c r="CH155" s="13"/>
      <c r="CI155" s="111"/>
      <c r="CJ155" s="101"/>
      <c r="CK155" s="98"/>
      <c r="CL155" s="280"/>
      <c r="CM155" s="266" t="s">
        <v>1446</v>
      </c>
      <c r="CN155" s="266" t="str">
        <f>CONCATENATE("Acceder al sistema Gemma con usuario y perfil activo para la funcionalidad modulo Maestro - CIA de Seguro, colocando el Nombre en el filtro, ","",IF(AG155=1,"Agregar un registro","")," hacer clic en el boton ",IF(BY155=1,"Modificar, ","")," ",IF(AI155=1,"Eliminar un registro",""),"confirmar cambios, luego presionar ",IF(CD155=1,"Exportar Documento Excel",""), ,IF(A155=1,"Link Nombre Distribuidor",""),""," ")</f>
        <v xml:space="preserve">Acceder al sistema Gemma con usuario y perfil activo para la funcionalidad modulo Maestro - CIA de Seguro, colocando el Nombre en el filtro,  hacer clic en el boton Modificar,  confirmar cambios, luego presionar Exportar Documento Excel </v>
      </c>
      <c r="CO155" s="310" t="str">
        <f>CONCATENATE(" Validar funcionalidad  CIA de Seguro ",IF(BX155=1,$BX$3,"")," ",IF(BY155=1,$BY$3,""),"",IF(BZ155=1,$CA$3,"")," ",IF(CA155=1,$CA$4,"")," ",IF(CB155=1,$CB$4,""), "",IF(CC155=1,$CC$2,""),", una vez confirmado ", IF(CD155=1,$CD$2,"Sin Exportar Excel"),)</f>
        <v xml:space="preserve"> Validar funcionalidad  CIA de Seguro  Modificar Con Valores , una vez confirmado Exportar Excel </v>
      </c>
      <c r="CP155" s="267" t="s">
        <v>1341</v>
      </c>
    </row>
    <row r="156" spans="1:94" s="109" customFormat="1" x14ac:dyDescent="0.25">
      <c r="B156" s="18"/>
      <c r="C156" s="13"/>
      <c r="D156" s="13"/>
      <c r="E156" s="13"/>
      <c r="F156" s="13"/>
      <c r="G156" s="13"/>
      <c r="H156" s="18"/>
      <c r="I156" s="13"/>
      <c r="J156" s="13"/>
      <c r="K156" s="13"/>
      <c r="L156" s="13"/>
      <c r="M156" s="98"/>
      <c r="N156" s="18"/>
      <c r="O156" s="13"/>
      <c r="P156" s="13"/>
      <c r="Q156" s="13"/>
      <c r="R156" s="13"/>
      <c r="S156" s="98"/>
      <c r="T156" s="18"/>
      <c r="U156" s="13"/>
      <c r="V156" s="13"/>
      <c r="W156" s="13"/>
      <c r="X156" s="13"/>
      <c r="Y156" s="13"/>
      <c r="Z156" s="98"/>
      <c r="AA156" s="18"/>
      <c r="AB156" s="13"/>
      <c r="AC156" s="13"/>
      <c r="AD156" s="13"/>
      <c r="AE156" s="13"/>
      <c r="AF156" s="98"/>
      <c r="AG156" s="18"/>
      <c r="AH156" s="13"/>
      <c r="AI156" s="13"/>
      <c r="AJ156" s="13"/>
      <c r="AK156" s="13"/>
      <c r="AL156" s="98"/>
      <c r="AM156" s="18"/>
      <c r="AN156" s="13"/>
      <c r="AO156" s="13"/>
      <c r="AP156" s="13"/>
      <c r="AQ156" s="13"/>
      <c r="AR156" s="98"/>
      <c r="AS156" s="98"/>
      <c r="AT156" s="18"/>
      <c r="AU156" s="13"/>
      <c r="AV156" s="13"/>
      <c r="AW156" s="13"/>
      <c r="AX156" s="13"/>
      <c r="AY156" s="98"/>
      <c r="AZ156" s="98"/>
      <c r="BA156" s="18"/>
      <c r="BB156" s="13"/>
      <c r="BC156" s="13"/>
      <c r="BD156" s="13"/>
      <c r="BE156" s="13"/>
      <c r="BF156" s="98"/>
      <c r="BG156" s="98"/>
      <c r="BH156" s="98"/>
      <c r="BI156" s="18"/>
      <c r="BJ156" s="13"/>
      <c r="BK156" s="13"/>
      <c r="BL156" s="13"/>
      <c r="BM156" s="13"/>
      <c r="BN156" s="13"/>
      <c r="BO156" s="98"/>
      <c r="BP156" s="98"/>
      <c r="BQ156" s="18"/>
      <c r="BR156" s="13"/>
      <c r="BS156" s="13"/>
      <c r="BT156" s="13"/>
      <c r="BU156" s="13"/>
      <c r="BV156" s="13"/>
      <c r="BW156" s="98"/>
      <c r="BX156" s="20"/>
      <c r="BY156" s="13">
        <v>1</v>
      </c>
      <c r="BZ156" s="103"/>
      <c r="CA156" s="13">
        <v>1</v>
      </c>
      <c r="CB156" s="111"/>
      <c r="CC156" s="98"/>
      <c r="CD156" s="280"/>
      <c r="CE156" s="20"/>
      <c r="CF156" s="13"/>
      <c r="CG156" s="103"/>
      <c r="CH156" s="13"/>
      <c r="CI156" s="111"/>
      <c r="CJ156" s="101"/>
      <c r="CK156" s="98"/>
      <c r="CL156" s="280"/>
      <c r="CM156" s="266" t="s">
        <v>653</v>
      </c>
      <c r="CN156" s="266" t="str">
        <f>CONCATENATE("Acceder al sistema Gemma con usuario y perfil activo para la funcionalidad modulo Maestro - CIA de Seguro, ","",IF(AG156=1,"Agregar un registro","")," colocando el Nombre en el filtro, hacer clic en el boton ",IF(BY156=1,"Modificar, ","")," ",IF(AI156=1,"Eliminar","")," ",IF(AL156=1,"Exportar Documento Excel",""), ,IF(A156=1,"Link Nombre Distribuidor",""),"y luego Confirmar el cambio.",IF(FZ171=1,$FZ$4,"")," ")</f>
        <v xml:space="preserve">Acceder al sistema Gemma con usuario y perfil activo para la funcionalidad modulo Maestro - CIA de Seguro,  colocando el Nombre en el filtro, hacer clic en el boton Modificar,   y luego Confirmar el cambio. </v>
      </c>
      <c r="CO156" s="310" t="str">
        <f>CONCATENATE(" Validar funcionalidad  CIA de Seguro ",IF(BX156=1,$BX$3,"")," ",IF(BY156=1,$BY$3,""),"",IF(BZ156=1,$CA$3,"")," ",IF(CA156=1,$CA$4,"")," ",IF(CB156=1,$CB$4,""), "",IF(CC156=1,$CC$2,""),", una vez confirmado ", IF(CD156=1,$CD$2,"Sin Exportar Excel"),)</f>
        <v xml:space="preserve"> Validar funcionalidad  CIA de Seguro  Modificar Con Valores , una vez confirmado Sin Exportar Excel</v>
      </c>
      <c r="CP156" s="267" t="s">
        <v>1341</v>
      </c>
    </row>
    <row r="157" spans="1:94" s="109" customFormat="1" x14ac:dyDescent="0.25">
      <c r="B157" s="18"/>
      <c r="C157" s="13"/>
      <c r="D157" s="13"/>
      <c r="E157" s="13"/>
      <c r="F157" s="13"/>
      <c r="G157" s="13"/>
      <c r="H157" s="18"/>
      <c r="I157" s="13"/>
      <c r="J157" s="13"/>
      <c r="K157" s="13"/>
      <c r="L157" s="13"/>
      <c r="M157" s="98"/>
      <c r="N157" s="18"/>
      <c r="O157" s="13"/>
      <c r="P157" s="13"/>
      <c r="Q157" s="13"/>
      <c r="R157" s="13"/>
      <c r="S157" s="98"/>
      <c r="T157" s="18"/>
      <c r="U157" s="13"/>
      <c r="V157" s="13"/>
      <c r="W157" s="13"/>
      <c r="X157" s="13"/>
      <c r="Y157" s="13"/>
      <c r="Z157" s="98"/>
      <c r="AA157" s="18"/>
      <c r="AB157" s="13"/>
      <c r="AC157" s="13"/>
      <c r="AD157" s="13"/>
      <c r="AE157" s="13"/>
      <c r="AF157" s="98"/>
      <c r="AG157" s="18"/>
      <c r="AH157" s="13"/>
      <c r="AI157" s="13"/>
      <c r="AJ157" s="13"/>
      <c r="AK157" s="13"/>
      <c r="AL157" s="98"/>
      <c r="AM157" s="18"/>
      <c r="AN157" s="13"/>
      <c r="AO157" s="13"/>
      <c r="AP157" s="13"/>
      <c r="AQ157" s="13"/>
      <c r="AR157" s="98"/>
      <c r="AS157" s="98"/>
      <c r="AT157" s="18"/>
      <c r="AU157" s="13"/>
      <c r="AV157" s="13"/>
      <c r="AW157" s="13"/>
      <c r="AX157" s="13"/>
      <c r="AY157" s="98"/>
      <c r="AZ157" s="98"/>
      <c r="BA157" s="18"/>
      <c r="BB157" s="13"/>
      <c r="BC157" s="13"/>
      <c r="BD157" s="13"/>
      <c r="BE157" s="13"/>
      <c r="BF157" s="98"/>
      <c r="BG157" s="98"/>
      <c r="BH157" s="98"/>
      <c r="BI157" s="18"/>
      <c r="BJ157" s="13"/>
      <c r="BK157" s="13"/>
      <c r="BL157" s="13"/>
      <c r="BM157" s="13"/>
      <c r="BN157" s="13"/>
      <c r="BO157" s="98"/>
      <c r="BP157" s="98"/>
      <c r="BQ157" s="18"/>
      <c r="BR157" s="13"/>
      <c r="BS157" s="13"/>
      <c r="BT157" s="13"/>
      <c r="BU157" s="13"/>
      <c r="BV157" s="13"/>
      <c r="BW157" s="98"/>
      <c r="BX157" s="20"/>
      <c r="BY157" s="13">
        <v>1</v>
      </c>
      <c r="BZ157" s="103"/>
      <c r="CA157" s="13"/>
      <c r="CB157" s="111">
        <v>1</v>
      </c>
      <c r="CC157" s="98"/>
      <c r="CD157" s="280"/>
      <c r="CE157" s="20"/>
      <c r="CF157" s="13"/>
      <c r="CG157" s="103"/>
      <c r="CH157" s="13"/>
      <c r="CI157" s="111"/>
      <c r="CJ157" s="101"/>
      <c r="CK157" s="98"/>
      <c r="CL157" s="280"/>
      <c r="CM157" s="266" t="s">
        <v>654</v>
      </c>
      <c r="CN157" s="266" t="str">
        <f>CONCATENATE("Acceder al sistema Gemma con usuario y perfil activo para la funcionalidad modulo Maestro - CIA de Seguro, ","",IF(AG157=1,"Agregar un registro","")," seleccionando el registro de la tabla consulta, hacer clic en el boton ",IF(BY157=1,"Modificar","")," ",IF(AI157=1,"Eliminar","")," ",IF(AL157=1,"Exportar Documento Excel",""), ,IF(A157=1,"Link Nombre Distribuidor",""),"presionar el boton Confirmar.",IF(FZ172=1,$FZ$4,"")," ")</f>
        <v xml:space="preserve">Acceder al sistema Gemma con usuario y perfil activo para la funcionalidad modulo Maestro - CIA de Seguro,  seleccionando el registro de la tabla consulta, hacer clic en el boton Modificar  presionar el boton Confirmar. </v>
      </c>
      <c r="CO157" s="310" t="str">
        <f>CONCATENATE(" Validar funcionalidad  CIA de Seguro ",IF(BX157=1,$BX$3,"")," ",IF(BY157=1,$BY$3,""),"",IF(BZ157=1,$CA$3,"")," ",IF(CA157=1,$CA$4,"")," ",IF(CB157=1,$CB$4,""), "",IF(CC157=1,$CC$2,""),", una vez confirmado ", IF(CD157=1,$CD$2,"Sin Exportar Excel"),)</f>
        <v xml:space="preserve"> Validar funcionalidad  CIA de Seguro  Modificar  Sin Valores, una vez confirmado Sin Exportar Excel</v>
      </c>
      <c r="CP157" s="267" t="s">
        <v>1341</v>
      </c>
    </row>
    <row r="158" spans="1:94" s="109" customFormat="1" x14ac:dyDescent="0.25">
      <c r="B158" s="18"/>
      <c r="C158" s="13"/>
      <c r="D158" s="13"/>
      <c r="E158" s="13"/>
      <c r="F158" s="13"/>
      <c r="G158" s="13"/>
      <c r="H158" s="18"/>
      <c r="I158" s="13"/>
      <c r="J158" s="13"/>
      <c r="K158" s="13"/>
      <c r="L158" s="13"/>
      <c r="M158" s="98"/>
      <c r="N158" s="18"/>
      <c r="O158" s="13"/>
      <c r="P158" s="13"/>
      <c r="Q158" s="13"/>
      <c r="R158" s="13"/>
      <c r="S158" s="98"/>
      <c r="T158" s="18"/>
      <c r="U158" s="13"/>
      <c r="V158" s="13"/>
      <c r="W158" s="13"/>
      <c r="X158" s="13"/>
      <c r="Y158" s="13"/>
      <c r="Z158" s="98"/>
      <c r="AA158" s="18"/>
      <c r="AB158" s="13"/>
      <c r="AC158" s="13"/>
      <c r="AD158" s="13"/>
      <c r="AE158" s="13"/>
      <c r="AF158" s="98"/>
      <c r="AG158" s="18"/>
      <c r="AH158" s="13"/>
      <c r="AI158" s="13"/>
      <c r="AJ158" s="13"/>
      <c r="AK158" s="13"/>
      <c r="AL158" s="98"/>
      <c r="AM158" s="18"/>
      <c r="AN158" s="13"/>
      <c r="AO158" s="13"/>
      <c r="AP158" s="13"/>
      <c r="AQ158" s="13"/>
      <c r="AR158" s="98"/>
      <c r="AS158" s="98"/>
      <c r="AT158" s="18"/>
      <c r="AU158" s="13"/>
      <c r="AV158" s="13"/>
      <c r="AW158" s="13"/>
      <c r="AX158" s="13"/>
      <c r="AY158" s="98"/>
      <c r="AZ158" s="98"/>
      <c r="BA158" s="18"/>
      <c r="BB158" s="13"/>
      <c r="BC158" s="13"/>
      <c r="BD158" s="13"/>
      <c r="BE158" s="13"/>
      <c r="BF158" s="98"/>
      <c r="BG158" s="98"/>
      <c r="BH158" s="98"/>
      <c r="BI158" s="18"/>
      <c r="BJ158" s="13"/>
      <c r="BK158" s="13"/>
      <c r="BL158" s="13"/>
      <c r="BM158" s="13"/>
      <c r="BN158" s="13"/>
      <c r="BO158" s="98"/>
      <c r="BP158" s="98"/>
      <c r="BQ158" s="18"/>
      <c r="BR158" s="13"/>
      <c r="BS158" s="13"/>
      <c r="BT158" s="13"/>
      <c r="BU158" s="13"/>
      <c r="BV158" s="13"/>
      <c r="BW158" s="98"/>
      <c r="BX158" s="20"/>
      <c r="BY158" s="13"/>
      <c r="BZ158" s="13">
        <v>1</v>
      </c>
      <c r="CA158" s="13">
        <v>1</v>
      </c>
      <c r="CB158" s="111"/>
      <c r="CC158" s="98"/>
      <c r="CD158" s="280">
        <v>1</v>
      </c>
      <c r="CE158" s="20"/>
      <c r="CF158" s="13"/>
      <c r="CG158" s="13"/>
      <c r="CH158" s="13"/>
      <c r="CI158" s="111"/>
      <c r="CJ158" s="101"/>
      <c r="CK158" s="98"/>
      <c r="CL158" s="280"/>
      <c r="CM158" s="266" t="s">
        <v>1447</v>
      </c>
      <c r="CN158" s="266" t="str">
        <f>CONCATENATE("Acceder al sistema Gemma con usuario y perfil activo para la funcionalidad modulo Maestro - CIA de Seguro, colocando el Nombre en el filtro, ","",IF(AG158=1,"Agregar un registro","")," hacer clic en el boton ",IF(AH158=1,"Modificar, ","")," ",IF(BZ158=1,"Eliminar ",""),"confirmar cambios, luego presionar ",IF(CD158=1,"Exportar Documento Excel",""), ,IF(A158=1,"Link Nombre Distribuidor",""),"",IF(FZ173=1,$FZ$4,"")," ")</f>
        <v xml:space="preserve">Acceder al sistema Gemma con usuario y perfil activo para la funcionalidad modulo Maestro - CIA de Seguro, colocando el Nombre en el filtro,  hacer clic en el boton  Eliminar confirmar cambios, luego presionar Exportar Documento Excel </v>
      </c>
      <c r="CO158" s="310" t="str">
        <f>CONCATENATE(" Validar funcionalidad  CIA de Seguro ",IF(BX158=1,$BX$3,"")," ",IF(BY158=1,$BY$3,""),"",IF(BZ158=1,$BZ$3,"")," ",IF(CA158=1,$CA$4,"")," ",IF(CB158=1,$CB$4,""), "",IF(CC158=1,$CC$2,""),", una vez confirmado ", IF(CD158=1,$CD$2,"Sin Exportar Excel"),)</f>
        <v xml:space="preserve"> Validar funcionalidad  CIA de Seguro  Eliminar Con Valores , una vez confirmado Exportar Excel </v>
      </c>
      <c r="CP158" s="267" t="s">
        <v>1333</v>
      </c>
    </row>
    <row r="159" spans="1:94" s="109" customFormat="1" x14ac:dyDescent="0.25">
      <c r="B159" s="18"/>
      <c r="C159" s="13"/>
      <c r="D159" s="13"/>
      <c r="E159" s="13"/>
      <c r="F159" s="13"/>
      <c r="G159" s="13"/>
      <c r="H159" s="18"/>
      <c r="I159" s="13"/>
      <c r="J159" s="13"/>
      <c r="K159" s="13"/>
      <c r="L159" s="13"/>
      <c r="M159" s="98"/>
      <c r="N159" s="18"/>
      <c r="O159" s="13"/>
      <c r="P159" s="13"/>
      <c r="Q159" s="13"/>
      <c r="R159" s="13"/>
      <c r="S159" s="98"/>
      <c r="T159" s="18"/>
      <c r="U159" s="13"/>
      <c r="V159" s="13"/>
      <c r="W159" s="13"/>
      <c r="X159" s="13"/>
      <c r="Y159" s="13"/>
      <c r="Z159" s="98"/>
      <c r="AA159" s="18"/>
      <c r="AB159" s="13"/>
      <c r="AC159" s="13"/>
      <c r="AD159" s="13"/>
      <c r="AE159" s="13"/>
      <c r="AF159" s="98"/>
      <c r="AG159" s="18"/>
      <c r="AH159" s="13"/>
      <c r="AI159" s="13"/>
      <c r="AJ159" s="13"/>
      <c r="AK159" s="13"/>
      <c r="AL159" s="98"/>
      <c r="AM159" s="18"/>
      <c r="AN159" s="13"/>
      <c r="AO159" s="13"/>
      <c r="AP159" s="13"/>
      <c r="AQ159" s="13"/>
      <c r="AR159" s="98"/>
      <c r="AS159" s="98"/>
      <c r="AT159" s="18"/>
      <c r="AU159" s="13"/>
      <c r="AV159" s="13"/>
      <c r="AW159" s="13"/>
      <c r="AX159" s="13"/>
      <c r="AY159" s="98"/>
      <c r="AZ159" s="98"/>
      <c r="BA159" s="18"/>
      <c r="BB159" s="13"/>
      <c r="BC159" s="13"/>
      <c r="BD159" s="13"/>
      <c r="BE159" s="13"/>
      <c r="BF159" s="98"/>
      <c r="BG159" s="98"/>
      <c r="BH159" s="98"/>
      <c r="BI159" s="18"/>
      <c r="BJ159" s="13"/>
      <c r="BK159" s="13"/>
      <c r="BL159" s="13"/>
      <c r="BM159" s="13"/>
      <c r="BN159" s="13"/>
      <c r="BO159" s="98"/>
      <c r="BP159" s="98"/>
      <c r="BQ159" s="18"/>
      <c r="BR159" s="13"/>
      <c r="BS159" s="13"/>
      <c r="BT159" s="13"/>
      <c r="BU159" s="13"/>
      <c r="BV159" s="13"/>
      <c r="BW159" s="98"/>
      <c r="BX159" s="20"/>
      <c r="BY159" s="13"/>
      <c r="BZ159" s="13">
        <v>1</v>
      </c>
      <c r="CA159" s="13">
        <v>1</v>
      </c>
      <c r="CB159" s="111"/>
      <c r="CC159" s="98"/>
      <c r="CD159" s="280"/>
      <c r="CE159" s="20"/>
      <c r="CF159" s="13"/>
      <c r="CG159" s="13"/>
      <c r="CH159" s="13"/>
      <c r="CI159" s="111"/>
      <c r="CJ159" s="101"/>
      <c r="CK159" s="98"/>
      <c r="CL159" s="280"/>
      <c r="CM159" s="266" t="s">
        <v>655</v>
      </c>
      <c r="CN159" s="266" t="str">
        <f>CONCATENATE("Acceder al sistema Gemma con usuario y perfil activo para la funcionalidad modulo Maestro - CIA de Seguro, ","",IF(AA159=1,"Agregar un registro","")," colocando el Nombre en el filtro, hacer clic en el boton ",IF(AB159=1,"Modificar, ","")," ",IF(BZ159=1,"Eliminar","")," ",IF(AF159=1,"Exportar Documento Excel",""), ,IF(A159=1,"Link Nombre Distribuidor",""),"y luego Confirmar el cambio.",IF(FZ174=1,$FZ$4,"")," ")</f>
        <v xml:space="preserve">Acceder al sistema Gemma con usuario y perfil activo para la funcionalidad modulo Maestro - CIA de Seguro,  colocando el Nombre en el filtro, hacer clic en el boton  Eliminar y luego Confirmar el cambio. </v>
      </c>
      <c r="CO159" s="310" t="str">
        <f t="shared" ref="CO159:CO160" si="5">CONCATENATE(" Validar funcionalidad  CIA de Seguro ",IF(BX159=1,$BX$3,"")," ",IF(BY159=1,$BY$3,""),"",IF(BZ159=1,$BZ$3,"")," ",IF(CA159=1,$CA$4,"")," ",IF(CB159=1,$CB$4,""), "",IF(CC159=1,$CC$2,""),", una vez confirmado ", IF(CD159=1,$CD$2,"Sin Exportar Excel"),)</f>
        <v xml:space="preserve"> Validar funcionalidad  CIA de Seguro  Eliminar Con Valores , una vez confirmado Sin Exportar Excel</v>
      </c>
      <c r="CP159" s="267" t="s">
        <v>1333</v>
      </c>
    </row>
    <row r="160" spans="1:94" s="109" customFormat="1" x14ac:dyDescent="0.25">
      <c r="B160" s="18"/>
      <c r="C160" s="13"/>
      <c r="D160" s="13"/>
      <c r="E160" s="13"/>
      <c r="F160" s="13"/>
      <c r="G160" s="13"/>
      <c r="H160" s="18"/>
      <c r="I160" s="13"/>
      <c r="J160" s="13"/>
      <c r="K160" s="13"/>
      <c r="L160" s="13"/>
      <c r="M160" s="98"/>
      <c r="N160" s="18"/>
      <c r="O160" s="13"/>
      <c r="P160" s="13"/>
      <c r="Q160" s="13"/>
      <c r="R160" s="13"/>
      <c r="S160" s="98"/>
      <c r="T160" s="18"/>
      <c r="U160" s="13"/>
      <c r="V160" s="13"/>
      <c r="W160" s="13"/>
      <c r="X160" s="13"/>
      <c r="Y160" s="13"/>
      <c r="Z160" s="98"/>
      <c r="AA160" s="18"/>
      <c r="AB160" s="13"/>
      <c r="AC160" s="13"/>
      <c r="AD160" s="13"/>
      <c r="AE160" s="13"/>
      <c r="AF160" s="98"/>
      <c r="AG160" s="18"/>
      <c r="AH160" s="13"/>
      <c r="AI160" s="13"/>
      <c r="AJ160" s="13"/>
      <c r="AK160" s="13"/>
      <c r="AL160" s="98"/>
      <c r="AM160" s="18"/>
      <c r="AN160" s="13"/>
      <c r="AO160" s="13"/>
      <c r="AP160" s="13"/>
      <c r="AQ160" s="13"/>
      <c r="AR160" s="98"/>
      <c r="AS160" s="98"/>
      <c r="AT160" s="18"/>
      <c r="AU160" s="13"/>
      <c r="AV160" s="13"/>
      <c r="AW160" s="13"/>
      <c r="AX160" s="13"/>
      <c r="AY160" s="98"/>
      <c r="AZ160" s="98"/>
      <c r="BA160" s="18"/>
      <c r="BB160" s="13"/>
      <c r="BC160" s="13"/>
      <c r="BD160" s="13"/>
      <c r="BE160" s="13"/>
      <c r="BF160" s="98"/>
      <c r="BG160" s="98"/>
      <c r="BH160" s="98"/>
      <c r="BI160" s="18"/>
      <c r="BJ160" s="13"/>
      <c r="BK160" s="13"/>
      <c r="BL160" s="13"/>
      <c r="BM160" s="13"/>
      <c r="BN160" s="13"/>
      <c r="BO160" s="98"/>
      <c r="BP160" s="98"/>
      <c r="BQ160" s="18"/>
      <c r="BR160" s="13"/>
      <c r="BS160" s="13"/>
      <c r="BT160" s="13"/>
      <c r="BU160" s="13"/>
      <c r="BV160" s="13"/>
      <c r="BW160" s="98"/>
      <c r="BX160" s="291"/>
      <c r="BY160" s="272"/>
      <c r="BZ160" s="272">
        <v>1</v>
      </c>
      <c r="CA160" s="272"/>
      <c r="CB160" s="273">
        <v>1</v>
      </c>
      <c r="CC160" s="98"/>
      <c r="CD160" s="316"/>
      <c r="CE160" s="291"/>
      <c r="CF160" s="272"/>
      <c r="CG160" s="272"/>
      <c r="CH160" s="272"/>
      <c r="CI160" s="273"/>
      <c r="CJ160" s="297"/>
      <c r="CK160" s="98"/>
      <c r="CL160" s="316"/>
      <c r="CM160" s="266" t="s">
        <v>656</v>
      </c>
      <c r="CN160" s="266" t="str">
        <f>CONCATENATE("Acceder al sistema Gemma con usuario y perfil activo para la funcionalidad modulo Maestro - CIA de Seguro, ","",IF(AA160=1,"Agregar un registro","")," seleccionando el registro de la tabla consulta, hacer clic en el boton ",IF(AB160=1,"Modificar","")," ",IF(BZ160=1,"Eliminar","")," ",IF(AF160=1,"Exportar Documento Excel",""), ,IF(A160=1,"Link Nombre Distribuidor",""),"presionar el boton Confirmar.",IF(FZ175=1,$FZ$4,"")," ")</f>
        <v xml:space="preserve">Acceder al sistema Gemma con usuario y perfil activo para la funcionalidad modulo Maestro - CIA de Seguro,  seleccionando el registro de la tabla consulta, hacer clic en el boton  Eliminar presionar el boton Confirmar. </v>
      </c>
      <c r="CO160" s="310" t="str">
        <f t="shared" si="5"/>
        <v xml:space="preserve"> Validar funcionalidad  CIA de Seguro  Eliminar  Sin Valores, una vez confirmado Sin Exportar Excel</v>
      </c>
      <c r="CP160" s="267" t="s">
        <v>1333</v>
      </c>
    </row>
    <row r="161" spans="1:94" s="109" customFormat="1" ht="15.75" thickBot="1" x14ac:dyDescent="0.3">
      <c r="B161" s="18"/>
      <c r="C161" s="13"/>
      <c r="D161" s="13"/>
      <c r="E161" s="13"/>
      <c r="F161" s="13"/>
      <c r="G161" s="13"/>
      <c r="H161" s="18"/>
      <c r="I161" s="13"/>
      <c r="J161" s="13"/>
      <c r="K161" s="13"/>
      <c r="L161" s="13"/>
      <c r="M161" s="98"/>
      <c r="N161" s="18"/>
      <c r="O161" s="13"/>
      <c r="P161" s="13"/>
      <c r="Q161" s="13"/>
      <c r="R161" s="13"/>
      <c r="S161" s="98"/>
      <c r="T161" s="18"/>
      <c r="U161" s="13"/>
      <c r="V161" s="13"/>
      <c r="W161" s="13"/>
      <c r="X161" s="13"/>
      <c r="Y161" s="13"/>
      <c r="Z161" s="98"/>
      <c r="AA161" s="18"/>
      <c r="AB161" s="13"/>
      <c r="AC161" s="13"/>
      <c r="AD161" s="13"/>
      <c r="AE161" s="13"/>
      <c r="AF161" s="98"/>
      <c r="AG161" s="18"/>
      <c r="AH161" s="13"/>
      <c r="AI161" s="13"/>
      <c r="AJ161" s="13"/>
      <c r="AK161" s="13"/>
      <c r="AL161" s="98"/>
      <c r="AM161" s="18"/>
      <c r="AN161" s="13"/>
      <c r="AO161" s="13"/>
      <c r="AP161" s="13"/>
      <c r="AQ161" s="13"/>
      <c r="AR161" s="98"/>
      <c r="AS161" s="98"/>
      <c r="AT161" s="18"/>
      <c r="AU161" s="13"/>
      <c r="AV161" s="13"/>
      <c r="AW161" s="13"/>
      <c r="AX161" s="13"/>
      <c r="AY161" s="98"/>
      <c r="AZ161" s="98"/>
      <c r="BA161" s="18"/>
      <c r="BB161" s="13"/>
      <c r="BC161" s="13"/>
      <c r="BD161" s="13"/>
      <c r="BE161" s="13"/>
      <c r="BF161" s="98"/>
      <c r="BG161" s="98"/>
      <c r="BH161" s="98"/>
      <c r="BI161" s="18"/>
      <c r="BJ161" s="13"/>
      <c r="BK161" s="13"/>
      <c r="BL161" s="13"/>
      <c r="BM161" s="13"/>
      <c r="BN161" s="13"/>
      <c r="BO161" s="98"/>
      <c r="BP161" s="98"/>
      <c r="BQ161" s="18"/>
      <c r="BR161" s="13"/>
      <c r="BS161" s="13"/>
      <c r="BT161" s="13"/>
      <c r="BU161" s="13"/>
      <c r="BV161" s="13"/>
      <c r="BW161" s="98"/>
      <c r="BX161" s="346"/>
      <c r="BY161" s="27"/>
      <c r="BZ161" s="27"/>
      <c r="CA161" s="27"/>
      <c r="CB161" s="26"/>
      <c r="CC161" s="26"/>
      <c r="CD161" s="347">
        <v>1</v>
      </c>
      <c r="CE161" s="346"/>
      <c r="CF161" s="27"/>
      <c r="CG161" s="27"/>
      <c r="CH161" s="27"/>
      <c r="CI161" s="26"/>
      <c r="CJ161" s="26"/>
      <c r="CK161" s="26"/>
      <c r="CL161" s="347"/>
      <c r="CM161" s="266" t="s">
        <v>657</v>
      </c>
      <c r="CN161" s="266" t="str">
        <f>CONCATENATE("Acceder al sistema Gemma con usuario y perfil activo para la funcionalidad modulo Maestro - CIA de Seguro, ","",IF(AG161=1,"Agregar un registro","")," sin datos en el filtro, presionar ",IF(AH161=1,"Modificar","")," ",IF(AI161=1,"Eliminar","")," ",IF(CD161=1,"Exportar Documento Excel",""), ,IF(A161=1,"Link Nombre Distribuidor",""),"")</f>
        <v>Acceder al sistema Gemma con usuario y perfil activo para la funcionalidad modulo Maestro - CIA de Seguro,  sin datos en el filtro, presionar   Exportar Documento Excel</v>
      </c>
      <c r="CO161" s="310" t="str">
        <f>CONCATENATE(" Validar funcionalidad  CIA de Seguro ",IF(BX161=1,$BX$3,"")," ",IF(BY161=1,$BY$3,""),"",IF(BZ161=1,$BZ$3,"")," ",IF(CA161=1,$CA$4,"")," ",IF(CB161=1,$CB$4,""), "",IF(CC161=1,$CC$2,""),"", IF(CD161=1,$CD$2,"Sin Exportar Excel"),)</f>
        <v xml:space="preserve"> Validar funcionalidad  CIA de Seguro    Exportar Excel </v>
      </c>
      <c r="CP161" s="267" t="s">
        <v>1342</v>
      </c>
    </row>
    <row r="162" spans="1:94" s="109" customFormat="1" ht="15.75" thickTop="1" x14ac:dyDescent="0.25">
      <c r="B162" s="18"/>
      <c r="C162" s="13"/>
      <c r="D162" s="13"/>
      <c r="E162" s="13"/>
      <c r="F162" s="13"/>
      <c r="G162" s="13"/>
      <c r="H162" s="18"/>
      <c r="I162" s="13"/>
      <c r="J162" s="13"/>
      <c r="K162" s="13"/>
      <c r="L162" s="13"/>
      <c r="M162" s="98"/>
      <c r="N162" s="18"/>
      <c r="O162" s="13"/>
      <c r="P162" s="13"/>
      <c r="Q162" s="13"/>
      <c r="R162" s="13"/>
      <c r="S162" s="98"/>
      <c r="T162" s="18"/>
      <c r="U162" s="13"/>
      <c r="V162" s="13"/>
      <c r="W162" s="13"/>
      <c r="X162" s="13"/>
      <c r="Y162" s="13"/>
      <c r="Z162" s="98"/>
      <c r="AA162" s="18"/>
      <c r="AB162" s="13"/>
      <c r="AC162" s="13"/>
      <c r="AD162" s="13"/>
      <c r="AE162" s="13"/>
      <c r="AF162" s="98"/>
      <c r="AG162" s="18"/>
      <c r="AH162" s="13"/>
      <c r="AI162" s="13"/>
      <c r="AJ162" s="13"/>
      <c r="AK162" s="13"/>
      <c r="AL162" s="98"/>
      <c r="AM162" s="18"/>
      <c r="AN162" s="13"/>
      <c r="AO162" s="13"/>
      <c r="AP162" s="13"/>
      <c r="AQ162" s="13"/>
      <c r="AR162" s="98"/>
      <c r="AS162" s="98"/>
      <c r="AT162" s="18"/>
      <c r="AU162" s="13"/>
      <c r="AV162" s="13"/>
      <c r="AW162" s="13"/>
      <c r="AX162" s="13"/>
      <c r="AY162" s="98"/>
      <c r="AZ162" s="98"/>
      <c r="BA162" s="18"/>
      <c r="BB162" s="13"/>
      <c r="BC162" s="13"/>
      <c r="BD162" s="13"/>
      <c r="BE162" s="13"/>
      <c r="BF162" s="98"/>
      <c r="BG162" s="98"/>
      <c r="BH162" s="98"/>
      <c r="BI162" s="18"/>
      <c r="BJ162" s="13"/>
      <c r="BK162" s="13"/>
      <c r="BL162" s="13"/>
      <c r="BM162" s="13"/>
      <c r="BN162" s="13"/>
      <c r="BO162" s="98"/>
      <c r="BP162" s="98"/>
      <c r="BQ162" s="18"/>
      <c r="BR162" s="13"/>
      <c r="BS162" s="13"/>
      <c r="BT162" s="13"/>
      <c r="BU162" s="13"/>
      <c r="BV162" s="13"/>
      <c r="BW162" s="98"/>
      <c r="BX162" s="105">
        <v>1</v>
      </c>
      <c r="BY162" s="25"/>
      <c r="BZ162" s="25"/>
      <c r="CA162" s="25"/>
      <c r="CB162" s="24">
        <v>1</v>
      </c>
      <c r="CC162" s="98"/>
      <c r="CD162" s="279"/>
      <c r="CE162" s="105"/>
      <c r="CF162" s="25"/>
      <c r="CG162" s="25"/>
      <c r="CH162" s="25"/>
      <c r="CI162" s="24"/>
      <c r="CJ162" s="100"/>
      <c r="CK162" s="98"/>
      <c r="CL162" s="279"/>
      <c r="CM162" s="266" t="s">
        <v>1448</v>
      </c>
      <c r="CN162" s="266" t="str">
        <f>CONCATENATE("Acceder al sistema Gemma con usuario y perfil activo para la funcionalidad modulo Maestro - CIA de Seguro, ","",IF(BX162=1,"Agregar un registro","")," sin datos en la descripcion  y presionar Confirmar.",IF(I162=1,"Modificar","")," ",IF(J162=1,"Eliminar","")," ",IF(M162=1,"Exportar Documento Excel",""), ,IF(A162=1,"Link Nombre Distribuidor",""),"",IF(FZ178=1,$FZ$4,"")," ")</f>
        <v xml:space="preserve">Acceder al sistema Gemma con usuario y perfil activo para la funcionalidad modulo Maestro - CIA de Seguro, Agregar un registro sin datos en la descripcion  y presionar Confirmar.   </v>
      </c>
      <c r="CO162" s="310" t="str">
        <f>CONCATENATE(" Validar funcionalidad  CIA de Seguro ",IF(BX162=1,$BX$3,"")," ",IF(BY162=1,$BY$3,""),"",IF(BZ162=1,$CA$3,""),"",IF(CA162=1,$CA$4,"")," ",IF(CB162=1,$CB$4,""), "",IF(CC162=1,$CC$2,""),"registro en blanco  luego confirmar", IF(CD162=1,$CD$2,""),)</f>
        <v xml:space="preserve"> Validar funcionalidad  CIA de Seguro Agregar  Sin Valoresregistro en blanco  luego confirmar</v>
      </c>
      <c r="CP162" s="267" t="s">
        <v>1375</v>
      </c>
    </row>
    <row r="163" spans="1:94" s="109" customFormat="1" x14ac:dyDescent="0.25">
      <c r="B163" s="18"/>
      <c r="C163" s="13"/>
      <c r="D163" s="13"/>
      <c r="E163" s="13"/>
      <c r="F163" s="13"/>
      <c r="G163" s="13"/>
      <c r="H163" s="18"/>
      <c r="I163" s="13"/>
      <c r="J163" s="13"/>
      <c r="K163" s="13"/>
      <c r="L163" s="13"/>
      <c r="M163" s="98"/>
      <c r="N163" s="18"/>
      <c r="O163" s="13"/>
      <c r="P163" s="13"/>
      <c r="Q163" s="13"/>
      <c r="R163" s="13"/>
      <c r="S163" s="98"/>
      <c r="T163" s="18"/>
      <c r="U163" s="13"/>
      <c r="V163" s="13"/>
      <c r="W163" s="13"/>
      <c r="X163" s="13"/>
      <c r="Y163" s="13"/>
      <c r="Z163" s="98"/>
      <c r="AA163" s="18"/>
      <c r="AB163" s="13"/>
      <c r="AC163" s="13"/>
      <c r="AD163" s="13"/>
      <c r="AE163" s="13"/>
      <c r="AF163" s="98"/>
      <c r="AG163" s="18"/>
      <c r="AH163" s="13"/>
      <c r="AI163" s="13"/>
      <c r="AJ163" s="13"/>
      <c r="AK163" s="13"/>
      <c r="AL163" s="98"/>
      <c r="AM163" s="18"/>
      <c r="AN163" s="13"/>
      <c r="AO163" s="13"/>
      <c r="AP163" s="13"/>
      <c r="AQ163" s="13"/>
      <c r="AR163" s="98"/>
      <c r="AS163" s="98"/>
      <c r="AT163" s="18"/>
      <c r="AU163" s="13"/>
      <c r="AV163" s="13"/>
      <c r="AW163" s="13"/>
      <c r="AX163" s="13"/>
      <c r="AY163" s="98"/>
      <c r="AZ163" s="98"/>
      <c r="BA163" s="18"/>
      <c r="BB163" s="13"/>
      <c r="BC163" s="13"/>
      <c r="BD163" s="13"/>
      <c r="BE163" s="13"/>
      <c r="BF163" s="98"/>
      <c r="BG163" s="98"/>
      <c r="BH163" s="98"/>
      <c r="BI163" s="18"/>
      <c r="BJ163" s="13"/>
      <c r="BK163" s="13"/>
      <c r="BL163" s="13"/>
      <c r="BM163" s="13"/>
      <c r="BN163" s="13"/>
      <c r="BO163" s="98"/>
      <c r="BP163" s="98"/>
      <c r="BQ163" s="18"/>
      <c r="BR163" s="13"/>
      <c r="BS163" s="13"/>
      <c r="BT163" s="13"/>
      <c r="BU163" s="13"/>
      <c r="BV163" s="13"/>
      <c r="BW163" s="98"/>
      <c r="BX163" s="105"/>
      <c r="BY163" s="25"/>
      <c r="BZ163" s="25"/>
      <c r="CA163" s="25">
        <v>1</v>
      </c>
      <c r="CB163" s="24"/>
      <c r="CC163" s="98"/>
      <c r="CD163" s="279"/>
      <c r="CE163" s="105"/>
      <c r="CF163" s="25"/>
      <c r="CG163" s="25"/>
      <c r="CH163" s="25"/>
      <c r="CI163" s="24"/>
      <c r="CJ163" s="100"/>
      <c r="CK163" s="98"/>
      <c r="CL163" s="279"/>
      <c r="CM163" s="266" t="s">
        <v>1449</v>
      </c>
      <c r="CN163" s="266" t="s">
        <v>1454</v>
      </c>
      <c r="CO163" s="310" t="str">
        <f>CONCATENATE(" Validar funcionalidad  CIA de Seguro ",IF(BX163=1,$BX$3,"")," ",IF(BY163=1,$BY$3,""),"",IF(BZ163=1,$CA$3,""),"Nombre ",IF(CA163=1,$CA$4,"")," invalido ",IF(CB163=1,$CB$4,""), "",IF(CC163=1,$CC$2,""),", en el filtro", IF(CD163=1,$CD$2,""),)</f>
        <v xml:space="preserve"> Validar funcionalidad  CIA de Seguro  Nombre Con Valores invalido , en el filtro</v>
      </c>
      <c r="CP163" s="267" t="s">
        <v>1344</v>
      </c>
    </row>
    <row r="164" spans="1:94" s="109" customFormat="1" x14ac:dyDescent="0.25">
      <c r="B164" s="18"/>
      <c r="C164" s="13"/>
      <c r="D164" s="13"/>
      <c r="E164" s="13"/>
      <c r="F164" s="13"/>
      <c r="G164" s="13"/>
      <c r="H164" s="18"/>
      <c r="I164" s="13"/>
      <c r="J164" s="13"/>
      <c r="K164" s="13"/>
      <c r="L164" s="13"/>
      <c r="M164" s="98"/>
      <c r="N164" s="18"/>
      <c r="O164" s="13"/>
      <c r="P164" s="13"/>
      <c r="Q164" s="13"/>
      <c r="R164" s="13"/>
      <c r="S164" s="98"/>
      <c r="T164" s="18"/>
      <c r="U164" s="13"/>
      <c r="V164" s="13"/>
      <c r="W164" s="13"/>
      <c r="X164" s="13"/>
      <c r="Y164" s="13"/>
      <c r="Z164" s="98"/>
      <c r="AA164" s="18"/>
      <c r="AB164" s="13"/>
      <c r="AC164" s="13"/>
      <c r="AD164" s="13"/>
      <c r="AE164" s="13"/>
      <c r="AF164" s="98"/>
      <c r="AG164" s="18"/>
      <c r="AH164" s="13"/>
      <c r="AI164" s="13"/>
      <c r="AJ164" s="13"/>
      <c r="AK164" s="13"/>
      <c r="AL164" s="98"/>
      <c r="AM164" s="18"/>
      <c r="AN164" s="13"/>
      <c r="AO164" s="13"/>
      <c r="AP164" s="13"/>
      <c r="AQ164" s="13"/>
      <c r="AR164" s="98"/>
      <c r="AS164" s="98"/>
      <c r="AT164" s="18"/>
      <c r="AU164" s="13"/>
      <c r="AV164" s="13"/>
      <c r="AW164" s="13"/>
      <c r="AX164" s="13"/>
      <c r="AY164" s="98"/>
      <c r="AZ164" s="98"/>
      <c r="BA164" s="18"/>
      <c r="BB164" s="13"/>
      <c r="BC164" s="13"/>
      <c r="BD164" s="13"/>
      <c r="BE164" s="13"/>
      <c r="BF164" s="98"/>
      <c r="BG164" s="98"/>
      <c r="BH164" s="98"/>
      <c r="BI164" s="18"/>
      <c r="BJ164" s="13"/>
      <c r="BK164" s="13"/>
      <c r="BL164" s="13"/>
      <c r="BM164" s="13"/>
      <c r="BN164" s="13"/>
      <c r="BO164" s="98"/>
      <c r="BP164" s="98"/>
      <c r="BQ164" s="18"/>
      <c r="BR164" s="13"/>
      <c r="BS164" s="13"/>
      <c r="BT164" s="13"/>
      <c r="BU164" s="13"/>
      <c r="BV164" s="13"/>
      <c r="BW164" s="98"/>
      <c r="BX164" s="20"/>
      <c r="BY164" s="13">
        <v>1</v>
      </c>
      <c r="BZ164" s="13"/>
      <c r="CA164" s="13"/>
      <c r="CB164" s="111">
        <v>1</v>
      </c>
      <c r="CC164" s="98"/>
      <c r="CD164" s="280"/>
      <c r="CE164" s="20"/>
      <c r="CF164" s="13"/>
      <c r="CG164" s="13"/>
      <c r="CH164" s="13"/>
      <c r="CI164" s="111"/>
      <c r="CJ164" s="101"/>
      <c r="CK164" s="98"/>
      <c r="CL164" s="280"/>
      <c r="CM164" s="266" t="s">
        <v>1450</v>
      </c>
      <c r="CN164" s="266" t="s">
        <v>1452</v>
      </c>
      <c r="CO164" s="310" t="str">
        <f>CONCATENATE(" Validar funcionalidad  CIA de Seguro ",IF(BX164=1,$BX$3,"")," ",IF(BY164=1,$BY$3,""),"",IF(BZ164=1,$CA$3,""),"",IF(CA164=1,$CA$4,"")," ",IF(CB164=1,$CB$4,""), "",IF(CC164=1,$CC$2,""),"en el Nombre y confirmar ", IF(CD164=1,$CD$2,""),)</f>
        <v xml:space="preserve"> Validar funcionalidad  CIA de Seguro  Modificar Sin Valoresen el Nombre y confirmar </v>
      </c>
      <c r="CP164" s="267" t="s">
        <v>1375</v>
      </c>
    </row>
    <row r="165" spans="1:94" s="109" customFormat="1" ht="15.75" thickBot="1" x14ac:dyDescent="0.3">
      <c r="B165" s="323"/>
      <c r="C165" s="281"/>
      <c r="D165" s="281"/>
      <c r="E165" s="281"/>
      <c r="F165" s="281"/>
      <c r="G165" s="281"/>
      <c r="H165" s="323"/>
      <c r="I165" s="281"/>
      <c r="J165" s="281"/>
      <c r="K165" s="281"/>
      <c r="L165" s="281"/>
      <c r="M165" s="324"/>
      <c r="N165" s="323"/>
      <c r="O165" s="281"/>
      <c r="P165" s="281"/>
      <c r="Q165" s="281"/>
      <c r="R165" s="281"/>
      <c r="S165" s="324"/>
      <c r="T165" s="323"/>
      <c r="U165" s="281"/>
      <c r="V165" s="281"/>
      <c r="W165" s="281"/>
      <c r="X165" s="281"/>
      <c r="Y165" s="281"/>
      <c r="Z165" s="324"/>
      <c r="AA165" s="323"/>
      <c r="AB165" s="281"/>
      <c r="AC165" s="281"/>
      <c r="AD165" s="281"/>
      <c r="AE165" s="281"/>
      <c r="AF165" s="324"/>
      <c r="AG165" s="323"/>
      <c r="AH165" s="281"/>
      <c r="AI165" s="281"/>
      <c r="AJ165" s="281"/>
      <c r="AK165" s="281"/>
      <c r="AL165" s="324"/>
      <c r="AM165" s="323"/>
      <c r="AN165" s="281"/>
      <c r="AO165" s="281"/>
      <c r="AP165" s="281"/>
      <c r="AQ165" s="281"/>
      <c r="AR165" s="324"/>
      <c r="AS165" s="324"/>
      <c r="AT165" s="323"/>
      <c r="AU165" s="281"/>
      <c r="AV165" s="281"/>
      <c r="AW165" s="281"/>
      <c r="AX165" s="281"/>
      <c r="AY165" s="324"/>
      <c r="AZ165" s="324"/>
      <c r="BA165" s="323"/>
      <c r="BB165" s="281"/>
      <c r="BC165" s="281"/>
      <c r="BD165" s="281"/>
      <c r="BE165" s="281"/>
      <c r="BF165" s="324"/>
      <c r="BG165" s="324"/>
      <c r="BH165" s="324"/>
      <c r="BI165" s="323"/>
      <c r="BJ165" s="281"/>
      <c r="BK165" s="281"/>
      <c r="BL165" s="281"/>
      <c r="BM165" s="281"/>
      <c r="BN165" s="281"/>
      <c r="BO165" s="324"/>
      <c r="BP165" s="324"/>
      <c r="BQ165" s="323"/>
      <c r="BR165" s="281"/>
      <c r="BS165" s="281"/>
      <c r="BT165" s="281"/>
      <c r="BU165" s="281"/>
      <c r="BV165" s="281"/>
      <c r="BW165" s="324"/>
      <c r="BX165" s="301"/>
      <c r="BY165" s="281"/>
      <c r="BZ165" s="317">
        <v>1</v>
      </c>
      <c r="CA165" s="317">
        <v>1</v>
      </c>
      <c r="CB165" s="282"/>
      <c r="CC165" s="324"/>
      <c r="CD165" s="302"/>
      <c r="CE165" s="301"/>
      <c r="CF165" s="281"/>
      <c r="CG165" s="317"/>
      <c r="CH165" s="317"/>
      <c r="CI165" s="282"/>
      <c r="CJ165" s="351"/>
      <c r="CK165" s="324"/>
      <c r="CL165" s="302"/>
      <c r="CM165" s="266" t="s">
        <v>1451</v>
      </c>
      <c r="CN165" s="266" t="s">
        <v>1453</v>
      </c>
      <c r="CO165" s="310" t="str">
        <f>CONCATENATE(" Validar funcionalidad  CIA de Seguro ",IF(BX165=1,$BX$3,"")," ",IF(BY165=1,$BY$3,"")," ",IF(BZ165=1,$BZ$3,"")," ",IF(CB165=1,$CB$4,""), "",IF(CC165=1,$CC$2,""),", registro en uso. ", IF(CD165=1,$CD$2," "),)</f>
        <v xml:space="preserve"> Validar funcionalidad  CIA de Seguro   Eliminar , registro en uso.  </v>
      </c>
      <c r="CP165" s="267" t="s">
        <v>1345</v>
      </c>
    </row>
    <row r="166" spans="1:94" s="109" customFormat="1" ht="15.75" thickTop="1" x14ac:dyDescent="0.25">
      <c r="B166" s="322"/>
      <c r="C166" s="25"/>
      <c r="D166" s="25"/>
      <c r="E166" s="25"/>
      <c r="F166" s="25"/>
      <c r="G166" s="25"/>
      <c r="H166" s="322"/>
      <c r="I166" s="25"/>
      <c r="J166" s="25"/>
      <c r="K166" s="25"/>
      <c r="L166" s="25"/>
      <c r="M166" s="285"/>
      <c r="N166" s="322"/>
      <c r="O166" s="25"/>
      <c r="P166" s="25"/>
      <c r="Q166" s="25"/>
      <c r="R166" s="25"/>
      <c r="S166" s="285"/>
      <c r="T166" s="322"/>
      <c r="U166" s="25"/>
      <c r="V166" s="25"/>
      <c r="W166" s="25"/>
      <c r="X166" s="25"/>
      <c r="Y166" s="25"/>
      <c r="Z166" s="285"/>
      <c r="AA166" s="322"/>
      <c r="AB166" s="25"/>
      <c r="AC166" s="25"/>
      <c r="AD166" s="25"/>
      <c r="AE166" s="25"/>
      <c r="AF166" s="285"/>
      <c r="AG166" s="322"/>
      <c r="AH166" s="25"/>
      <c r="AI166" s="25"/>
      <c r="AJ166" s="25"/>
      <c r="AK166" s="25"/>
      <c r="AL166" s="285"/>
      <c r="AM166" s="322"/>
      <c r="AN166" s="25"/>
      <c r="AO166" s="25"/>
      <c r="AP166" s="25"/>
      <c r="AQ166" s="25"/>
      <c r="AR166" s="285"/>
      <c r="AS166" s="285"/>
      <c r="AT166" s="322"/>
      <c r="AU166" s="25"/>
      <c r="AV166" s="25"/>
      <c r="AW166" s="25"/>
      <c r="AX166" s="25"/>
      <c r="AY166" s="285"/>
      <c r="AZ166" s="285"/>
      <c r="BA166" s="322"/>
      <c r="BB166" s="25"/>
      <c r="BC166" s="25"/>
      <c r="BD166" s="25"/>
      <c r="BE166" s="25"/>
      <c r="BF166" s="285"/>
      <c r="BG166" s="285"/>
      <c r="BH166" s="285"/>
      <c r="BI166" s="322"/>
      <c r="BJ166" s="25"/>
      <c r="BK166" s="25"/>
      <c r="BL166" s="25"/>
      <c r="BM166" s="25"/>
      <c r="BN166" s="25"/>
      <c r="BO166" s="285"/>
      <c r="BP166" s="285"/>
      <c r="BQ166" s="322"/>
      <c r="BR166" s="25"/>
      <c r="BS166" s="25"/>
      <c r="BT166" s="25"/>
      <c r="BU166" s="25"/>
      <c r="BV166" s="25"/>
      <c r="BW166" s="285"/>
      <c r="BX166" s="105"/>
      <c r="BY166" s="25"/>
      <c r="BZ166" s="345"/>
      <c r="CA166" s="25"/>
      <c r="CB166" s="24"/>
      <c r="CC166" s="285"/>
      <c r="CD166" s="312"/>
      <c r="CE166" s="20">
        <v>1</v>
      </c>
      <c r="CF166" s="13"/>
      <c r="CG166" s="353"/>
      <c r="CH166" s="111">
        <v>1</v>
      </c>
      <c r="CI166" s="111"/>
      <c r="CJ166" s="101">
        <v>1</v>
      </c>
      <c r="CK166" s="101"/>
      <c r="CL166" s="312">
        <v>1</v>
      </c>
      <c r="CM166" s="266" t="s">
        <v>697</v>
      </c>
      <c r="CN166" s="266" t="str">
        <f>CONCATENATE("Acceder al sistema Gemma con usuario y perfil activo para la funcionalidad modulo Maestro - Caracteristicas, hacer clic en el boton ","",IF(CE166=1,"Agregar","")," colocando los campos obligatorios, ",IF(AH166=1,"Modificar un registro","")," presionar el boton Confirmar y  ",IF(AI166=1,"Eliminar un registro",""),"luego presionar ",IF(CL166=1,"Exportar Documento Excel",""), ,IF(A166=1,"Link Nombre Distribuidor","")," ")</f>
        <v xml:space="preserve">Acceder al sistema Gemma con usuario y perfil activo para la funcionalidad modulo Maestro - Caracteristicas, hacer clic en el boton Agregar colocando los campos obligatorios,  presionar el boton Confirmar y  luego presionar Exportar Documento Excel </v>
      </c>
      <c r="CO166" s="310" t="str">
        <f>CONCATENATE(" Validar funcionalidad  Características ",IF(CE166=1,$CE$3,"")," ",IF(CF166=1,$CF$3,""),"",IF(CG166=1,$CG$3,""),"",IF(CH166=1,CH3,"")," ",IF(CH166=1,$CH$4,"")," ",IF(CI166=1,$CI$4,""), "",IF(CJ166=1,CJ2,"")," ", IF(CK166=1,$CK$3,"Sin Exportar Excel"),)</f>
        <v xml:space="preserve"> Validar funcionalidad  Características Agregar Nro Con Valores Ciudad Sin Exportar Excel</v>
      </c>
      <c r="CP166" s="267" t="s">
        <v>1321</v>
      </c>
    </row>
    <row r="167" spans="1:94" s="109" customFormat="1" x14ac:dyDescent="0.25">
      <c r="B167" s="18"/>
      <c r="C167" s="13"/>
      <c r="D167" s="13"/>
      <c r="E167" s="13"/>
      <c r="F167" s="13"/>
      <c r="G167" s="13"/>
      <c r="H167" s="18"/>
      <c r="I167" s="13"/>
      <c r="J167" s="13"/>
      <c r="K167" s="13"/>
      <c r="L167" s="13"/>
      <c r="M167" s="98"/>
      <c r="N167" s="18"/>
      <c r="O167" s="13"/>
      <c r="P167" s="13"/>
      <c r="Q167" s="13"/>
      <c r="R167" s="13"/>
      <c r="S167" s="98"/>
      <c r="T167" s="18"/>
      <c r="U167" s="13"/>
      <c r="V167" s="13"/>
      <c r="W167" s="13"/>
      <c r="X167" s="13"/>
      <c r="Y167" s="13"/>
      <c r="Z167" s="98"/>
      <c r="AA167" s="18"/>
      <c r="AB167" s="13"/>
      <c r="AC167" s="13"/>
      <c r="AD167" s="13"/>
      <c r="AE167" s="13"/>
      <c r="AF167" s="98"/>
      <c r="AG167" s="18"/>
      <c r="AH167" s="13"/>
      <c r="AI167" s="13"/>
      <c r="AJ167" s="13"/>
      <c r="AK167" s="13"/>
      <c r="AL167" s="98"/>
      <c r="AM167" s="18"/>
      <c r="AN167" s="13"/>
      <c r="AO167" s="13"/>
      <c r="AP167" s="13"/>
      <c r="AQ167" s="13"/>
      <c r="AR167" s="98"/>
      <c r="AS167" s="98"/>
      <c r="AT167" s="18"/>
      <c r="AU167" s="13"/>
      <c r="AV167" s="13"/>
      <c r="AW167" s="13"/>
      <c r="AX167" s="13"/>
      <c r="AY167" s="98"/>
      <c r="AZ167" s="98"/>
      <c r="BA167" s="18"/>
      <c r="BB167" s="13"/>
      <c r="BC167" s="13"/>
      <c r="BD167" s="13"/>
      <c r="BE167" s="13"/>
      <c r="BF167" s="98"/>
      <c r="BG167" s="98"/>
      <c r="BH167" s="98"/>
      <c r="BI167" s="18"/>
      <c r="BJ167" s="13"/>
      <c r="BK167" s="13"/>
      <c r="BL167" s="13"/>
      <c r="BM167" s="13"/>
      <c r="BN167" s="13"/>
      <c r="BO167" s="98"/>
      <c r="BP167" s="98"/>
      <c r="BQ167" s="18"/>
      <c r="BR167" s="13"/>
      <c r="BS167" s="13"/>
      <c r="BT167" s="13"/>
      <c r="BU167" s="13"/>
      <c r="BV167" s="13"/>
      <c r="BW167" s="98"/>
      <c r="BX167" s="20"/>
      <c r="BY167" s="13"/>
      <c r="BZ167" s="103"/>
      <c r="CA167" s="13"/>
      <c r="CB167" s="111"/>
      <c r="CC167" s="98"/>
      <c r="CD167" s="280"/>
      <c r="CE167" s="20">
        <v>1</v>
      </c>
      <c r="CF167" s="13"/>
      <c r="CG167" s="103"/>
      <c r="CH167" s="111">
        <v>1</v>
      </c>
      <c r="CI167" s="111"/>
      <c r="CJ167" s="101"/>
      <c r="CK167" s="101">
        <v>1</v>
      </c>
      <c r="CL167" s="280"/>
      <c r="CM167" s="266" t="s">
        <v>698</v>
      </c>
      <c r="CN167" s="266" t="str">
        <f>CONCATENATE("Acceder al sistema Gemma con usuario y perfil activo para la funcionalidad modulo Maestro - Caracteristicas, hacer clic en el boton ","",IF(CE167=1,"Agregar","")," colocando todos los datos, ",IF(AH167=1,"Modificar un registro","")," ",IF(AI167=1,"Eliminar un registro","")," ",IF(AL167=1,"Exportar Documento Excel",""), ,IF(A167=1,"Link Nombre Distribuidor",""),"presionar el boton Confirmar. ")</f>
        <v xml:space="preserve">Acceder al sistema Gemma con usuario y perfil activo para la funcionalidad modulo Maestro - Caracteristicas, hacer clic en el boton Agregar colocando todos los datos,   presionar el boton Confirmar. </v>
      </c>
      <c r="CO167" s="310" t="str">
        <f>CONCATENATE(" Validar funcionalidad  Características ",IF(CE167=1,$CE$3,"")," ",IF(CF167=1,$CF$3,""),"",IF(CG167=1,$CG$3,""),"",IF(CH167=1,CH4,"")," ",IF(CH167=1,$CH$4,"")," ",IF(CI167=1,$CI$4,""), "",IF(CJ167=1,CJ3,""),"en los campos ", IF(CK167=1,$CK$3,"Sin Exportar Excel"),)</f>
        <v xml:space="preserve"> Validar funcionalidad  Características Agregar Con Valores Con Valores en los campos Sin Valores</v>
      </c>
      <c r="CP167" s="267" t="s">
        <v>1321</v>
      </c>
    </row>
    <row r="168" spans="1:94" s="109" customFormat="1" x14ac:dyDescent="0.25">
      <c r="B168" s="18"/>
      <c r="C168" s="13"/>
      <c r="D168" s="13"/>
      <c r="E168" s="13"/>
      <c r="F168" s="13"/>
      <c r="G168" s="13"/>
      <c r="H168" s="18"/>
      <c r="I168" s="13"/>
      <c r="J168" s="13"/>
      <c r="K168" s="13"/>
      <c r="L168" s="13"/>
      <c r="M168" s="98"/>
      <c r="N168" s="18"/>
      <c r="O168" s="13"/>
      <c r="P168" s="13"/>
      <c r="Q168" s="13"/>
      <c r="R168" s="13"/>
      <c r="S168" s="98"/>
      <c r="T168" s="18"/>
      <c r="U168" s="13"/>
      <c r="V168" s="13"/>
      <c r="W168" s="13"/>
      <c r="X168" s="13"/>
      <c r="Y168" s="13"/>
      <c r="Z168" s="98"/>
      <c r="AA168" s="18"/>
      <c r="AB168" s="13"/>
      <c r="AC168" s="13"/>
      <c r="AD168" s="13"/>
      <c r="AE168" s="13"/>
      <c r="AF168" s="98"/>
      <c r="AG168" s="18"/>
      <c r="AH168" s="13"/>
      <c r="AI168" s="13"/>
      <c r="AJ168" s="13"/>
      <c r="AK168" s="13"/>
      <c r="AL168" s="98"/>
      <c r="AM168" s="18"/>
      <c r="AN168" s="13"/>
      <c r="AO168" s="13"/>
      <c r="AP168" s="13"/>
      <c r="AQ168" s="13"/>
      <c r="AR168" s="98"/>
      <c r="AS168" s="98"/>
      <c r="AT168" s="18"/>
      <c r="AU168" s="13"/>
      <c r="AV168" s="13"/>
      <c r="AW168" s="13"/>
      <c r="AX168" s="13"/>
      <c r="AY168" s="98"/>
      <c r="AZ168" s="98"/>
      <c r="BA168" s="18"/>
      <c r="BB168" s="13"/>
      <c r="BC168" s="13"/>
      <c r="BD168" s="13"/>
      <c r="BE168" s="13"/>
      <c r="BF168" s="98"/>
      <c r="BG168" s="98"/>
      <c r="BH168" s="98"/>
      <c r="BI168" s="18"/>
      <c r="BJ168" s="13"/>
      <c r="BK168" s="13"/>
      <c r="BL168" s="13"/>
      <c r="BM168" s="13"/>
      <c r="BN168" s="13"/>
      <c r="BO168" s="98"/>
      <c r="BP168" s="98"/>
      <c r="BQ168" s="18"/>
      <c r="BR168" s="13"/>
      <c r="BS168" s="13"/>
      <c r="BT168" s="13"/>
      <c r="BU168" s="13"/>
      <c r="BV168" s="13"/>
      <c r="BW168" s="98"/>
      <c r="BX168" s="20"/>
      <c r="BY168" s="13"/>
      <c r="BZ168" s="103"/>
      <c r="CA168" s="13"/>
      <c r="CB168" s="111"/>
      <c r="CC168" s="98"/>
      <c r="CD168" s="280"/>
      <c r="CE168" s="20"/>
      <c r="CF168" s="13">
        <v>1</v>
      </c>
      <c r="CG168" s="103"/>
      <c r="CH168" s="13">
        <v>1</v>
      </c>
      <c r="CI168" s="111"/>
      <c r="CJ168" s="101">
        <v>1</v>
      </c>
      <c r="CK168" s="98"/>
      <c r="CL168" s="280">
        <v>1</v>
      </c>
      <c r="CM168" s="266" t="s">
        <v>1455</v>
      </c>
      <c r="CN168" s="266" t="str">
        <f>CONCATENATE("Acceder al sistema Gemma con usuario y perfil activo para la funcionalidad modulo Maestro - Caracteristicas, colocando el Numero en el filtro, ","",IF(AG168=1,"Agregar un registro","")," hacer clic en el boton ",IF(CF168=1,"Modificar, ","")," ",IF(AI168=1,"Eliminar un registro",""),"confirmar cambios, luego presionar ",IF(CL168=1,"Exportar Documento Excel",""), ,IF(A168=1,"Link Nombre Distribuidor",""),""," ")</f>
        <v xml:space="preserve">Acceder al sistema Gemma con usuario y perfil activo para la funcionalidad modulo Maestro - Caracteristicas, colocando el Numero en el filtro,  hacer clic en el boton Modificar,  confirmar cambios, luego presionar Exportar Documento Excel </v>
      </c>
      <c r="CO168" s="310" t="str">
        <f>CONCATENATE(" Validar funcionalidad  Características ",IF(CE168=1,$CE$3,"")," ",IF(CF168=1,$CF$3,""),"",IF(CG168=1,$CG$3,""),"",IF(CH168=1,CH5,"")," ",IF(CH168=1,$CH$4,""),"  en el filtro ",IF(CI168=1,$CI$4,""), "",IF(CJ168=1,CJ4,"")," ", IF(CK168=1,$CK$3,"Sin Exportar Excel"),)</f>
        <v xml:space="preserve"> Validar funcionalidad  Características  Modificar Con Valores  en el filtro  Sin Exportar Excel</v>
      </c>
      <c r="CP168" s="267" t="s">
        <v>1341</v>
      </c>
    </row>
    <row r="169" spans="1:94" s="109" customFormat="1" x14ac:dyDescent="0.25">
      <c r="B169" s="18"/>
      <c r="C169" s="13"/>
      <c r="D169" s="13"/>
      <c r="E169" s="13"/>
      <c r="F169" s="13"/>
      <c r="G169" s="13"/>
      <c r="H169" s="18"/>
      <c r="I169" s="13"/>
      <c r="J169" s="13"/>
      <c r="K169" s="13"/>
      <c r="L169" s="13"/>
      <c r="M169" s="98"/>
      <c r="N169" s="18"/>
      <c r="O169" s="13"/>
      <c r="P169" s="13"/>
      <c r="Q169" s="13"/>
      <c r="R169" s="13"/>
      <c r="S169" s="98"/>
      <c r="T169" s="18"/>
      <c r="U169" s="13"/>
      <c r="V169" s="13"/>
      <c r="W169" s="13"/>
      <c r="X169" s="13"/>
      <c r="Y169" s="13"/>
      <c r="Z169" s="98"/>
      <c r="AA169" s="18"/>
      <c r="AB169" s="13"/>
      <c r="AC169" s="13"/>
      <c r="AD169" s="13"/>
      <c r="AE169" s="13"/>
      <c r="AF169" s="98"/>
      <c r="AG169" s="18"/>
      <c r="AH169" s="13"/>
      <c r="AI169" s="13"/>
      <c r="AJ169" s="13"/>
      <c r="AK169" s="13"/>
      <c r="AL169" s="98"/>
      <c r="AM169" s="18"/>
      <c r="AN169" s="13"/>
      <c r="AO169" s="13"/>
      <c r="AP169" s="13"/>
      <c r="AQ169" s="13"/>
      <c r="AR169" s="98"/>
      <c r="AS169" s="98"/>
      <c r="AT169" s="18"/>
      <c r="AU169" s="13"/>
      <c r="AV169" s="13"/>
      <c r="AW169" s="13"/>
      <c r="AX169" s="13"/>
      <c r="AY169" s="98"/>
      <c r="AZ169" s="98"/>
      <c r="BA169" s="18"/>
      <c r="BB169" s="13"/>
      <c r="BC169" s="13"/>
      <c r="BD169" s="13"/>
      <c r="BE169" s="13"/>
      <c r="BF169" s="98"/>
      <c r="BG169" s="98"/>
      <c r="BH169" s="98"/>
      <c r="BI169" s="18"/>
      <c r="BJ169" s="13"/>
      <c r="BK169" s="13"/>
      <c r="BL169" s="13"/>
      <c r="BM169" s="13"/>
      <c r="BN169" s="13"/>
      <c r="BO169" s="98"/>
      <c r="BP169" s="98"/>
      <c r="BQ169" s="18"/>
      <c r="BR169" s="13"/>
      <c r="BS169" s="13"/>
      <c r="BT169" s="13"/>
      <c r="BU169" s="13"/>
      <c r="BV169" s="13"/>
      <c r="BW169" s="98"/>
      <c r="BX169" s="20"/>
      <c r="BY169" s="13"/>
      <c r="BZ169" s="103"/>
      <c r="CA169" s="13"/>
      <c r="CB169" s="111"/>
      <c r="CC169" s="98"/>
      <c r="CD169" s="280"/>
      <c r="CE169" s="20"/>
      <c r="CF169" s="13">
        <v>1</v>
      </c>
      <c r="CG169" s="103"/>
      <c r="CH169" s="13">
        <v>1</v>
      </c>
      <c r="CI169" s="111"/>
      <c r="CJ169" s="101"/>
      <c r="CK169" s="98">
        <v>1</v>
      </c>
      <c r="CL169" s="280"/>
      <c r="CM169" s="266" t="s">
        <v>699</v>
      </c>
      <c r="CN169" s="266" t="str">
        <f>CONCATENATE("Acceder al sistema Gemma con usuario y perfil activo para la funcionalidad modulo Maestro - Caracteristicas, ","",IF(AG169=1,"Agregar un registro","")," colocando el Numero en el filtro, hacer clic en el boton ",IF(CF169=1,"Modificar, ","")," ",IF(AI169=1,"Eliminar","")," ",IF(AL169=1,"Exportar Documento Excel",""), ,IF(A169=1,"Link Nombre Distribuidor",""),"y luego Confirmar el cambio.",IF(FZ184=1,$FZ$4,"")," ")</f>
        <v xml:space="preserve">Acceder al sistema Gemma con usuario y perfil activo para la funcionalidad modulo Maestro - Caracteristicas,  colocando el Numero en el filtro, hacer clic en el boton Modificar,   y luego Confirmar el cambio. </v>
      </c>
      <c r="CO169" s="310" t="str">
        <f>CONCATENATE(" Validar funcionalidad  Características ",IF(CE169=1,$CE$3,"")," ",IF(CF169=1,$CF$3,""),"",IF(CG169=1,$CG$3,""),"",IF(CH169=1,CH6,"")," ",IF(CH169=1,$CH$4,"")," en el filtro ",IF(CI169=1,$CI$4,""), "",IF(CJ169=1,CJ5,"")," ", IF(CK169=1,$CK$3,"Sin Exportar Excel"),)</f>
        <v xml:space="preserve"> Validar funcionalidad  Características  Modificar Con Valores en el filtro  Sin Valores</v>
      </c>
      <c r="CP169" s="267" t="s">
        <v>1341</v>
      </c>
    </row>
    <row r="170" spans="1:94" s="109" customFormat="1" x14ac:dyDescent="0.25">
      <c r="B170" s="18"/>
      <c r="C170" s="13"/>
      <c r="D170" s="13"/>
      <c r="E170" s="13"/>
      <c r="F170" s="13"/>
      <c r="G170" s="13"/>
      <c r="H170" s="18"/>
      <c r="I170" s="13"/>
      <c r="J170" s="13"/>
      <c r="K170" s="13"/>
      <c r="L170" s="13"/>
      <c r="M170" s="98"/>
      <c r="N170" s="18"/>
      <c r="O170" s="13"/>
      <c r="P170" s="13"/>
      <c r="Q170" s="13"/>
      <c r="R170" s="13"/>
      <c r="S170" s="98"/>
      <c r="T170" s="18"/>
      <c r="U170" s="13"/>
      <c r="V170" s="13"/>
      <c r="W170" s="13"/>
      <c r="X170" s="13"/>
      <c r="Y170" s="13"/>
      <c r="Z170" s="98"/>
      <c r="AA170" s="18"/>
      <c r="AB170" s="13"/>
      <c r="AC170" s="13"/>
      <c r="AD170" s="13"/>
      <c r="AE170" s="13"/>
      <c r="AF170" s="98"/>
      <c r="AG170" s="18"/>
      <c r="AH170" s="13"/>
      <c r="AI170" s="13"/>
      <c r="AJ170" s="13"/>
      <c r="AK170" s="13"/>
      <c r="AL170" s="98"/>
      <c r="AM170" s="18"/>
      <c r="AN170" s="13"/>
      <c r="AO170" s="13"/>
      <c r="AP170" s="13"/>
      <c r="AQ170" s="13"/>
      <c r="AR170" s="98"/>
      <c r="AS170" s="98"/>
      <c r="AT170" s="18"/>
      <c r="AU170" s="13"/>
      <c r="AV170" s="13"/>
      <c r="AW170" s="13"/>
      <c r="AX170" s="13"/>
      <c r="AY170" s="98"/>
      <c r="AZ170" s="98"/>
      <c r="BA170" s="18"/>
      <c r="BB170" s="13"/>
      <c r="BC170" s="13"/>
      <c r="BD170" s="13"/>
      <c r="BE170" s="13"/>
      <c r="BF170" s="98"/>
      <c r="BG170" s="98"/>
      <c r="BH170" s="98"/>
      <c r="BI170" s="18"/>
      <c r="BJ170" s="13"/>
      <c r="BK170" s="13"/>
      <c r="BL170" s="13"/>
      <c r="BM170" s="13"/>
      <c r="BN170" s="13"/>
      <c r="BO170" s="98"/>
      <c r="BP170" s="98"/>
      <c r="BQ170" s="18"/>
      <c r="BR170" s="13"/>
      <c r="BS170" s="13"/>
      <c r="BT170" s="13"/>
      <c r="BU170" s="13"/>
      <c r="BV170" s="13"/>
      <c r="BW170" s="98"/>
      <c r="BX170" s="20"/>
      <c r="BY170" s="13"/>
      <c r="BZ170" s="103"/>
      <c r="CA170" s="13"/>
      <c r="CB170" s="111"/>
      <c r="CC170" s="98"/>
      <c r="CD170" s="280"/>
      <c r="CE170" s="20"/>
      <c r="CF170" s="13">
        <v>1</v>
      </c>
      <c r="CG170" s="103"/>
      <c r="CH170" s="13"/>
      <c r="CI170" s="111">
        <v>1</v>
      </c>
      <c r="CJ170" s="101">
        <v>1</v>
      </c>
      <c r="CK170" s="98"/>
      <c r="CL170" s="280"/>
      <c r="CM170" s="266" t="s">
        <v>700</v>
      </c>
      <c r="CN170" s="266" t="str">
        <f>CONCATENATE("Acceder al sistema Gemma con usuario y perfil activo para la funcionalidad modulo Maestro - Caracteristicas, ","",IF(AG170=1,"Agregar un registro","")," seleccionando el registro de la tabla consulta, hacer clic en el boton ",IF(CF170=1,"Modificar","")," ",IF(AI170=1,"Eliminar","")," ",IF(AL170=1,"Exportar Documento Excel",""), ,IF(A170=1,"Link Nombre Distribuidor",""),"presionar el boton Confirmar.",IF(FZ185=1,$FZ$4,"")," ")</f>
        <v xml:space="preserve">Acceder al sistema Gemma con usuario y perfil activo para la funcionalidad modulo Maestro - Caracteristicas,  seleccionando el registro de la tabla consulta, hacer clic en el boton Modificar  presionar el boton Confirmar. </v>
      </c>
      <c r="CO170" s="310" t="str">
        <f>CONCATENATE(" Validar funcionalidad  Características ",IF(CE170=1,$CE$3,"")," ",IF(CF170=1,$CF$3,""),"",IF(CG170=1,$CG$3,""),"",IF(CH170=1,CH7,"")," ",IF(CH170=1,$CH$4,"")," ",IF(CI170=1,$CI$4,""), " en el filtro ",IF(CJ170=1,CJ6,"")," ", IF(CK170=1,$CK$3,"Sin Exportar Excel"),)</f>
        <v xml:space="preserve"> Validar funcionalidad  Características  Modificar  Sin Valores en el filtro  Sin Exportar Excel</v>
      </c>
      <c r="CP170" s="267" t="s">
        <v>1341</v>
      </c>
    </row>
    <row r="171" spans="1:94" s="109" customFormat="1" x14ac:dyDescent="0.25">
      <c r="B171" s="18"/>
      <c r="C171" s="13"/>
      <c r="D171" s="13"/>
      <c r="E171" s="13"/>
      <c r="F171" s="13"/>
      <c r="G171" s="13"/>
      <c r="H171" s="18"/>
      <c r="I171" s="13"/>
      <c r="J171" s="13"/>
      <c r="K171" s="13"/>
      <c r="L171" s="13"/>
      <c r="M171" s="98"/>
      <c r="N171" s="18"/>
      <c r="O171" s="13"/>
      <c r="P171" s="13"/>
      <c r="Q171" s="13"/>
      <c r="R171" s="13"/>
      <c r="S171" s="98"/>
      <c r="T171" s="18"/>
      <c r="U171" s="13"/>
      <c r="V171" s="13"/>
      <c r="W171" s="13"/>
      <c r="X171" s="13"/>
      <c r="Y171" s="13"/>
      <c r="Z171" s="98"/>
      <c r="AA171" s="18"/>
      <c r="AB171" s="13"/>
      <c r="AC171" s="13"/>
      <c r="AD171" s="13"/>
      <c r="AE171" s="13"/>
      <c r="AF171" s="98"/>
      <c r="AG171" s="18"/>
      <c r="AH171" s="13"/>
      <c r="AI171" s="13"/>
      <c r="AJ171" s="13"/>
      <c r="AK171" s="13"/>
      <c r="AL171" s="98"/>
      <c r="AM171" s="18"/>
      <c r="AN171" s="13"/>
      <c r="AO171" s="13"/>
      <c r="AP171" s="13"/>
      <c r="AQ171" s="13"/>
      <c r="AR171" s="98"/>
      <c r="AS171" s="98"/>
      <c r="AT171" s="18"/>
      <c r="AU171" s="13"/>
      <c r="AV171" s="13"/>
      <c r="AW171" s="13"/>
      <c r="AX171" s="13"/>
      <c r="AY171" s="98"/>
      <c r="AZ171" s="98"/>
      <c r="BA171" s="18"/>
      <c r="BB171" s="13"/>
      <c r="BC171" s="13"/>
      <c r="BD171" s="13"/>
      <c r="BE171" s="13"/>
      <c r="BF171" s="98"/>
      <c r="BG171" s="98"/>
      <c r="BH171" s="98"/>
      <c r="BI171" s="18"/>
      <c r="BJ171" s="13"/>
      <c r="BK171" s="13"/>
      <c r="BL171" s="13"/>
      <c r="BM171" s="13"/>
      <c r="BN171" s="13"/>
      <c r="BO171" s="98"/>
      <c r="BP171" s="98"/>
      <c r="BQ171" s="18"/>
      <c r="BR171" s="13"/>
      <c r="BS171" s="13"/>
      <c r="BT171" s="13"/>
      <c r="BU171" s="13"/>
      <c r="BV171" s="13"/>
      <c r="BW171" s="98"/>
      <c r="BX171" s="20"/>
      <c r="BY171" s="13"/>
      <c r="BZ171" s="13"/>
      <c r="CA171" s="13"/>
      <c r="CB171" s="111"/>
      <c r="CC171" s="98"/>
      <c r="CD171" s="280"/>
      <c r="CE171" s="20"/>
      <c r="CF171" s="13"/>
      <c r="CG171" s="13">
        <v>1</v>
      </c>
      <c r="CH171" s="13">
        <v>1</v>
      </c>
      <c r="CI171" s="111"/>
      <c r="CJ171" s="101">
        <v>1</v>
      </c>
      <c r="CK171" s="98"/>
      <c r="CL171" s="280">
        <v>1</v>
      </c>
      <c r="CM171" s="266" t="s">
        <v>1456</v>
      </c>
      <c r="CN171" s="266" t="str">
        <f>CONCATENATE("Acceder al sistema Gemma con usuario y perfil activo para la funcionalidad modulo Maestro - Caracteristicas, colocando el Numero en el filtro, ","",IF(AG171=1,"Agregar un registro","")," hacer clic en el boton ",IF(AH171=1,"Modificar, ","")," ",IF(CG171=1,"Eliminar ",""),"confirmar cambios, luego presionar ",IF(CL171=1,"Exportar Documento Excel",""), ,IF(A171=1,"Link Nombre Distribuidor",""),"",IF(FZ186=1,$FZ$4,"")," ")</f>
        <v xml:space="preserve">Acceder al sistema Gemma con usuario y perfil activo para la funcionalidad modulo Maestro - Caracteristicas, colocando el Numero en el filtro,  hacer clic en el boton  Eliminar confirmar cambios, luego presionar Exportar Documento Excel </v>
      </c>
      <c r="CO171" s="310" t="str">
        <f>CONCATENATE(" Validar funcionalidad  Características ",IF(CE171=1,$CE$3,"")," ",IF(CF171=1,$CF$3,""),"",IF(CG171=1,$CG$3,""),"",IF(CH171=1,CH8,"")," ",IF(CH171=1,$CH$4,"")," en el filtro ",IF(CI171=1,$CI$4,""), "",IF(CJ171=1,CJ7,"")," ", IF(CK171=1,$CK$3,"Sin Exportar Excel"),)</f>
        <v xml:space="preserve"> Validar funcionalidad  Características  Eliminar Con Valores en el filtro  Sin Exportar Excel</v>
      </c>
      <c r="CP171" s="267" t="s">
        <v>1333</v>
      </c>
    </row>
    <row r="172" spans="1:94" s="109" customFormat="1" x14ac:dyDescent="0.25">
      <c r="B172" s="18"/>
      <c r="C172" s="13"/>
      <c r="D172" s="13"/>
      <c r="E172" s="13"/>
      <c r="F172" s="13"/>
      <c r="G172" s="13"/>
      <c r="H172" s="18"/>
      <c r="I172" s="13"/>
      <c r="J172" s="13"/>
      <c r="K172" s="13"/>
      <c r="L172" s="13"/>
      <c r="M172" s="98"/>
      <c r="N172" s="18"/>
      <c r="O172" s="13"/>
      <c r="P172" s="13"/>
      <c r="Q172" s="13"/>
      <c r="R172" s="13"/>
      <c r="S172" s="98"/>
      <c r="T172" s="18"/>
      <c r="U172" s="13"/>
      <c r="V172" s="13"/>
      <c r="W172" s="13"/>
      <c r="X172" s="13"/>
      <c r="Y172" s="13"/>
      <c r="Z172" s="98"/>
      <c r="AA172" s="18"/>
      <c r="AB172" s="13"/>
      <c r="AC172" s="13"/>
      <c r="AD172" s="13"/>
      <c r="AE172" s="13"/>
      <c r="AF172" s="98"/>
      <c r="AG172" s="18"/>
      <c r="AH172" s="13"/>
      <c r="AI172" s="13"/>
      <c r="AJ172" s="13"/>
      <c r="AK172" s="13"/>
      <c r="AL172" s="98"/>
      <c r="AM172" s="18"/>
      <c r="AN172" s="13"/>
      <c r="AO172" s="13"/>
      <c r="AP172" s="13"/>
      <c r="AQ172" s="13"/>
      <c r="AR172" s="98"/>
      <c r="AS172" s="98"/>
      <c r="AT172" s="18"/>
      <c r="AU172" s="13"/>
      <c r="AV172" s="13"/>
      <c r="AW172" s="13"/>
      <c r="AX172" s="13"/>
      <c r="AY172" s="98"/>
      <c r="AZ172" s="98"/>
      <c r="BA172" s="18"/>
      <c r="BB172" s="13"/>
      <c r="BC172" s="13"/>
      <c r="BD172" s="13"/>
      <c r="BE172" s="13"/>
      <c r="BF172" s="98"/>
      <c r="BG172" s="98"/>
      <c r="BH172" s="98"/>
      <c r="BI172" s="18"/>
      <c r="BJ172" s="13"/>
      <c r="BK172" s="13"/>
      <c r="BL172" s="13"/>
      <c r="BM172" s="13"/>
      <c r="BN172" s="13"/>
      <c r="BO172" s="98"/>
      <c r="BP172" s="98"/>
      <c r="BQ172" s="18"/>
      <c r="BR172" s="13"/>
      <c r="BS172" s="13"/>
      <c r="BT172" s="13"/>
      <c r="BU172" s="13"/>
      <c r="BV172" s="13"/>
      <c r="BW172" s="98"/>
      <c r="BX172" s="20"/>
      <c r="BY172" s="13"/>
      <c r="BZ172" s="13"/>
      <c r="CA172" s="13"/>
      <c r="CB172" s="111"/>
      <c r="CC172" s="98"/>
      <c r="CD172" s="280"/>
      <c r="CE172" s="20"/>
      <c r="CF172" s="13"/>
      <c r="CG172" s="13">
        <v>1</v>
      </c>
      <c r="CH172" s="13">
        <v>1</v>
      </c>
      <c r="CI172" s="111"/>
      <c r="CJ172" s="101"/>
      <c r="CK172" s="98"/>
      <c r="CL172" s="280"/>
      <c r="CM172" s="266" t="s">
        <v>701</v>
      </c>
      <c r="CN172" s="266" t="str">
        <f>CONCATENATE("Acceder al sistema Gemma con usuario y perfil activo para la funcionalidad modulo Maestro - Caracteristicas, ","",IF(AA172=1,"Agregar un registro","")," colocando el Numero en el filtro, hacer clic en el boton ",IF(AB172=1,"Modificar, ","")," ",IF(CG172=1,"Eliminar","")," ",IF(AF172=1,"Exportar Documento Excel",""), ,IF(A172=1,"Link Nombre Distribuidor",""),"y luego Confirmar el cambio.",IF(FZ187=1,$FZ$4,"")," ")</f>
        <v xml:space="preserve">Acceder al sistema Gemma con usuario y perfil activo para la funcionalidad modulo Maestro - Caracteristicas,  colocando el Numero en el filtro, hacer clic en el boton  Eliminar y luego Confirmar el cambio. </v>
      </c>
      <c r="CO172" s="310" t="str">
        <f>CONCATENATE(" Validar funcionalidad  Características ",IF(CE172=1,$CE$3,"")," ",IF(CF172=1,$CF$3,""),"",IF(CG172=1,$CG$3,""),"",IF(CH172=1,CH9,"")," ",IF(CH172=1,$CH$4,"")," en el filtro ",IF(CI172=1,$CI$4,""), "",IF(CJ172=1,CJ8,"")," ", IF(CK172=1,$CK$3,"Sin Exportar Excel"),)</f>
        <v xml:space="preserve"> Validar funcionalidad  Características  Eliminar Con Valores en el filtro  Sin Exportar Excel</v>
      </c>
      <c r="CP172" s="267" t="s">
        <v>1333</v>
      </c>
    </row>
    <row r="173" spans="1:94" s="109" customFormat="1" x14ac:dyDescent="0.25">
      <c r="B173" s="18"/>
      <c r="C173" s="13"/>
      <c r="D173" s="13"/>
      <c r="E173" s="13"/>
      <c r="F173" s="13"/>
      <c r="G173" s="13"/>
      <c r="H173" s="18"/>
      <c r="I173" s="13"/>
      <c r="J173" s="13"/>
      <c r="K173" s="13"/>
      <c r="L173" s="13"/>
      <c r="M173" s="98"/>
      <c r="N173" s="18"/>
      <c r="O173" s="13"/>
      <c r="P173" s="13"/>
      <c r="Q173" s="13"/>
      <c r="R173" s="13"/>
      <c r="S173" s="98"/>
      <c r="T173" s="18"/>
      <c r="U173" s="13"/>
      <c r="V173" s="13"/>
      <c r="W173" s="13"/>
      <c r="X173" s="13"/>
      <c r="Y173" s="13"/>
      <c r="Z173" s="98"/>
      <c r="AA173" s="18"/>
      <c r="AB173" s="13"/>
      <c r="AC173" s="13"/>
      <c r="AD173" s="13"/>
      <c r="AE173" s="13"/>
      <c r="AF173" s="98"/>
      <c r="AG173" s="18"/>
      <c r="AH173" s="13"/>
      <c r="AI173" s="13"/>
      <c r="AJ173" s="13"/>
      <c r="AK173" s="13"/>
      <c r="AL173" s="98"/>
      <c r="AM173" s="18"/>
      <c r="AN173" s="13"/>
      <c r="AO173" s="13"/>
      <c r="AP173" s="13"/>
      <c r="AQ173" s="13"/>
      <c r="AR173" s="98"/>
      <c r="AS173" s="98"/>
      <c r="AT173" s="18"/>
      <c r="AU173" s="13"/>
      <c r="AV173" s="13"/>
      <c r="AW173" s="13"/>
      <c r="AX173" s="13"/>
      <c r="AY173" s="98"/>
      <c r="AZ173" s="98"/>
      <c r="BA173" s="18"/>
      <c r="BB173" s="13"/>
      <c r="BC173" s="13"/>
      <c r="BD173" s="13"/>
      <c r="BE173" s="13"/>
      <c r="BF173" s="98"/>
      <c r="BG173" s="98"/>
      <c r="BH173" s="98"/>
      <c r="BI173" s="18"/>
      <c r="BJ173" s="13"/>
      <c r="BK173" s="13"/>
      <c r="BL173" s="13"/>
      <c r="BM173" s="13"/>
      <c r="BN173" s="13"/>
      <c r="BO173" s="98"/>
      <c r="BP173" s="98"/>
      <c r="BQ173" s="18"/>
      <c r="BR173" s="13"/>
      <c r="BS173" s="13"/>
      <c r="BT173" s="13"/>
      <c r="BU173" s="13"/>
      <c r="BV173" s="13"/>
      <c r="BW173" s="98"/>
      <c r="BX173" s="291"/>
      <c r="BY173" s="272"/>
      <c r="BZ173" s="272"/>
      <c r="CA173" s="272"/>
      <c r="CB173" s="273"/>
      <c r="CC173" s="98"/>
      <c r="CD173" s="316"/>
      <c r="CE173" s="291"/>
      <c r="CF173" s="272"/>
      <c r="CG173" s="272">
        <v>1</v>
      </c>
      <c r="CH173" s="272"/>
      <c r="CI173" s="273">
        <v>1</v>
      </c>
      <c r="CJ173" s="297">
        <v>1</v>
      </c>
      <c r="CK173" s="98"/>
      <c r="CL173" s="316"/>
      <c r="CM173" s="266" t="s">
        <v>702</v>
      </c>
      <c r="CN173" s="266" t="str">
        <f>CONCATENATE("Acceder al sistema Gemma con usuario y perfil activo para la funcionalidad modulo Maestro - Caracteristicas, ","",IF(AA173=1,"Agregar un registro","")," seleccionando el registro de la tabla consulta, hacer clic en el boton ",IF(AB173=1,"Modificar","")," ",IF(CG173=1,"Eliminar","")," ",IF(AF173=1,"Exportar Documento Excel",""), ,IF(A173=1,"Link Nombre Distribuidor",""),"presionar el boton Confirmar.",IF(FZ188=1,$FZ$4,"")," ")</f>
        <v xml:space="preserve">Acceder al sistema Gemma con usuario y perfil activo para la funcionalidad modulo Maestro - Caracteristicas,  seleccionando el registro de la tabla consulta, hacer clic en el boton  Eliminar presionar el boton Confirmar. </v>
      </c>
      <c r="CO173" s="310" t="str">
        <f>CONCATENATE(" Validar funcionalidad  Características ",IF(CE173=1,$CE$3,"")," ",IF(CF173=1,$CF$3,""),"",IF(CG173=1,$CG$3,""),"",IF(CH173=1,CH10,"")," ",IF(CH173=1,$CH$4,"")," ",IF(CI173=1,$CI$4,""), " en el filtro ",IF(CJ173=1,CJ9,"")," ", IF(CK173=1,$CK$3,"Sin Exportar Excel"),)</f>
        <v xml:space="preserve"> Validar funcionalidad  Características  Eliminar  Sin Valores en el filtro  Sin Exportar Excel</v>
      </c>
      <c r="CP173" s="267" t="s">
        <v>1333</v>
      </c>
    </row>
    <row r="174" spans="1:94" s="109" customFormat="1" ht="15.75" thickBot="1" x14ac:dyDescent="0.3">
      <c r="B174" s="18"/>
      <c r="C174" s="13"/>
      <c r="D174" s="13"/>
      <c r="E174" s="13"/>
      <c r="F174" s="13"/>
      <c r="G174" s="13"/>
      <c r="H174" s="18"/>
      <c r="I174" s="13"/>
      <c r="J174" s="13"/>
      <c r="K174" s="13"/>
      <c r="L174" s="13"/>
      <c r="M174" s="98"/>
      <c r="N174" s="18"/>
      <c r="O174" s="13"/>
      <c r="P174" s="13"/>
      <c r="Q174" s="13"/>
      <c r="R174" s="13"/>
      <c r="S174" s="98"/>
      <c r="T174" s="18"/>
      <c r="U174" s="13"/>
      <c r="V174" s="13"/>
      <c r="W174" s="13"/>
      <c r="X174" s="13"/>
      <c r="Y174" s="13"/>
      <c r="Z174" s="98"/>
      <c r="AA174" s="18"/>
      <c r="AB174" s="13"/>
      <c r="AC174" s="13"/>
      <c r="AD174" s="13"/>
      <c r="AE174" s="13"/>
      <c r="AF174" s="98"/>
      <c r="AG174" s="18"/>
      <c r="AH174" s="13"/>
      <c r="AI174" s="13"/>
      <c r="AJ174" s="13"/>
      <c r="AK174" s="13"/>
      <c r="AL174" s="98"/>
      <c r="AM174" s="18"/>
      <c r="AN174" s="13"/>
      <c r="AO174" s="13"/>
      <c r="AP174" s="13"/>
      <c r="AQ174" s="13"/>
      <c r="AR174" s="98"/>
      <c r="AS174" s="98"/>
      <c r="AT174" s="18"/>
      <c r="AU174" s="13"/>
      <c r="AV174" s="13"/>
      <c r="AW174" s="13"/>
      <c r="AX174" s="13"/>
      <c r="AY174" s="98"/>
      <c r="AZ174" s="98"/>
      <c r="BA174" s="18"/>
      <c r="BB174" s="13"/>
      <c r="BC174" s="13"/>
      <c r="BD174" s="13"/>
      <c r="BE174" s="13"/>
      <c r="BF174" s="98"/>
      <c r="BG174" s="98"/>
      <c r="BH174" s="98"/>
      <c r="BI174" s="18"/>
      <c r="BJ174" s="13"/>
      <c r="BK174" s="13"/>
      <c r="BL174" s="13"/>
      <c r="BM174" s="13"/>
      <c r="BN174" s="13"/>
      <c r="BO174" s="98"/>
      <c r="BP174" s="98"/>
      <c r="BQ174" s="18"/>
      <c r="BR174" s="13"/>
      <c r="BS174" s="13"/>
      <c r="BT174" s="13"/>
      <c r="BU174" s="13"/>
      <c r="BV174" s="13"/>
      <c r="BW174" s="98"/>
      <c r="BX174" s="346"/>
      <c r="BY174" s="27"/>
      <c r="BZ174" s="27"/>
      <c r="CA174" s="27"/>
      <c r="CB174" s="26"/>
      <c r="CC174" s="26"/>
      <c r="CD174" s="347"/>
      <c r="CE174" s="346"/>
      <c r="CF174" s="27"/>
      <c r="CG174" s="27"/>
      <c r="CH174" s="27"/>
      <c r="CI174" s="26"/>
      <c r="CJ174" s="26"/>
      <c r="CK174" s="26"/>
      <c r="CL174" s="347">
        <v>1</v>
      </c>
      <c r="CM174" s="266" t="s">
        <v>703</v>
      </c>
      <c r="CN174" s="266" t="str">
        <f>CONCATENATE("Acceder al sistema Gemma con usuario y perfil activo para la funcionalidad modulo Maestro - Caracteristicas, ","",IF(AG174=1,"Agregar un registro","")," sin datos en el filtro, presionar ",IF(AH174=1,"Modificar","")," ",IF(AI174=1,"Eliminar","")," ",IF(CL174=1,"Exportar Documento Excel",""), ,IF(A174=1,"Link Nombre Distribuidor",""),"")</f>
        <v>Acceder al sistema Gemma con usuario y perfil activo para la funcionalidad modulo Maestro - Caracteristicas,  sin datos en el filtro, presionar   Exportar Documento Excel</v>
      </c>
      <c r="CO174" s="310" t="str">
        <f>CONCATENATE(" Validar funcionalidad  Características ",IF(CE174=1,$CE$3,"")," ",IF(CF174=1,$CF$3,""),"",IF(CG174=1,$CG$3,""),"",IF(CH174=1,CH11,"")," ",IF(CH174=1,$CH$4,"")," ",IF(CI174=1,$CI$4,""), "",IF(CJ174=1,CJ10,"")," ", IF(CL174=1,$CL$2,"Sin Exportar Excel"),)</f>
        <v xml:space="preserve"> Validar funcionalidad  Características     Exportar Excel </v>
      </c>
      <c r="CP174" s="267" t="s">
        <v>1342</v>
      </c>
    </row>
    <row r="175" spans="1:94" s="109" customFormat="1" ht="15.75" thickTop="1" x14ac:dyDescent="0.25">
      <c r="B175" s="18"/>
      <c r="C175" s="13"/>
      <c r="D175" s="13"/>
      <c r="E175" s="13"/>
      <c r="F175" s="13"/>
      <c r="G175" s="13"/>
      <c r="H175" s="18"/>
      <c r="I175" s="13"/>
      <c r="J175" s="13"/>
      <c r="K175" s="13"/>
      <c r="L175" s="13"/>
      <c r="M175" s="98"/>
      <c r="N175" s="18"/>
      <c r="O175" s="13"/>
      <c r="P175" s="13"/>
      <c r="Q175" s="13"/>
      <c r="R175" s="13"/>
      <c r="S175" s="98"/>
      <c r="T175" s="18"/>
      <c r="U175" s="13"/>
      <c r="V175" s="13"/>
      <c r="W175" s="13"/>
      <c r="X175" s="13"/>
      <c r="Y175" s="13"/>
      <c r="Z175" s="98"/>
      <c r="AA175" s="18"/>
      <c r="AB175" s="13"/>
      <c r="AC175" s="13"/>
      <c r="AD175" s="13"/>
      <c r="AE175" s="13"/>
      <c r="AF175" s="98"/>
      <c r="AG175" s="18"/>
      <c r="AH175" s="13"/>
      <c r="AI175" s="13"/>
      <c r="AJ175" s="13"/>
      <c r="AK175" s="13"/>
      <c r="AL175" s="98"/>
      <c r="AM175" s="18"/>
      <c r="AN175" s="13"/>
      <c r="AO175" s="13"/>
      <c r="AP175" s="13"/>
      <c r="AQ175" s="13"/>
      <c r="AR175" s="98"/>
      <c r="AS175" s="98"/>
      <c r="AT175" s="18"/>
      <c r="AU175" s="13"/>
      <c r="AV175" s="13"/>
      <c r="AW175" s="13"/>
      <c r="AX175" s="13"/>
      <c r="AY175" s="98"/>
      <c r="AZ175" s="98"/>
      <c r="BA175" s="18"/>
      <c r="BB175" s="13"/>
      <c r="BC175" s="13"/>
      <c r="BD175" s="13"/>
      <c r="BE175" s="13"/>
      <c r="BF175" s="98"/>
      <c r="BG175" s="98"/>
      <c r="BH175" s="98"/>
      <c r="BI175" s="18"/>
      <c r="BJ175" s="13"/>
      <c r="BK175" s="13"/>
      <c r="BL175" s="13"/>
      <c r="BM175" s="13"/>
      <c r="BN175" s="13"/>
      <c r="BO175" s="98"/>
      <c r="BP175" s="98"/>
      <c r="BQ175" s="18"/>
      <c r="BR175" s="13"/>
      <c r="BS175" s="13"/>
      <c r="BT175" s="13"/>
      <c r="BU175" s="13"/>
      <c r="BV175" s="13"/>
      <c r="BW175" s="98"/>
      <c r="BX175" s="105"/>
      <c r="BY175" s="25"/>
      <c r="BZ175" s="25"/>
      <c r="CA175" s="25"/>
      <c r="CB175" s="24"/>
      <c r="CC175" s="98"/>
      <c r="CD175" s="279"/>
      <c r="CE175" s="105">
        <v>1</v>
      </c>
      <c r="CF175" s="25"/>
      <c r="CG175" s="25"/>
      <c r="CH175" s="25">
        <v>1</v>
      </c>
      <c r="CI175" s="24"/>
      <c r="CJ175" s="100"/>
      <c r="CK175" s="98">
        <v>1</v>
      </c>
      <c r="CL175" s="279"/>
      <c r="CM175" s="266" t="s">
        <v>1457</v>
      </c>
      <c r="CN175" s="266" t="str">
        <f>CONCATENATE("Acceder al sistema Gemma con usuario y perfil activo para la funcionalidad modulo Maestro - Caracteristicas, ","",IF(CE175=1,"Agregar un registro","")," sin datos en la descripcion  y presionar Confirmar.",IF(I175=1,"Modificar","")," ",IF(J175=1,"Eliminar","")," ",IF(M175=1,"Exportar Documento Excel",""), ,IF(A175=1,"Link Nombre Distribuidor",""),"",IF(FZ191=1,$FZ$4,"")," ")</f>
        <v xml:space="preserve">Acceder al sistema Gemma con usuario y perfil activo para la funcionalidad modulo Maestro - Caracteristicas, Agregar un registro sin datos en la descripcion  y presionar Confirmar.   </v>
      </c>
      <c r="CO175" s="310" t="str">
        <f>CONCATENATE(" Validar funcionalidad  Características ",IF(CE175=1,$CE$3,"")," ",IF(CF175=1,$CF$3,""),"",IF(CG175=1,$CG$3,"")," Numero ",IF(CH175=1,CH12,"")," ",IF(CH175=1,$CH$4,"")," ",IF(CI175=1,$CI$4,""), "Nombre ",IF(CJ175=1,CJ11,"")," ", IF(CK175=1,$CK$3,"Sin Exportar Excel"),)</f>
        <v xml:space="preserve"> Validar funcionalidad  Características Agregar  Numero  Con Valores Nombre  Sin Valores</v>
      </c>
      <c r="CP175" s="267" t="s">
        <v>1375</v>
      </c>
    </row>
    <row r="176" spans="1:94" s="109" customFormat="1" x14ac:dyDescent="0.25">
      <c r="A176" s="23"/>
      <c r="B176" s="105"/>
      <c r="C176" s="25"/>
      <c r="D176" s="25"/>
      <c r="E176" s="25"/>
      <c r="F176" s="24"/>
      <c r="G176" s="279"/>
      <c r="H176" s="105"/>
      <c r="I176" s="25"/>
      <c r="J176" s="345"/>
      <c r="K176" s="345"/>
      <c r="L176" s="24"/>
      <c r="M176" s="100"/>
      <c r="N176" s="105"/>
      <c r="O176" s="25"/>
      <c r="P176" s="25"/>
      <c r="Q176" s="25"/>
      <c r="R176" s="24"/>
      <c r="S176" s="279"/>
      <c r="T176" s="105"/>
      <c r="U176" s="25"/>
      <c r="V176" s="345"/>
      <c r="W176" s="345"/>
      <c r="X176" s="24"/>
      <c r="Y176" s="24"/>
      <c r="Z176" s="279"/>
      <c r="AA176" s="105"/>
      <c r="AB176" s="25"/>
      <c r="AC176" s="25"/>
      <c r="AD176" s="25"/>
      <c r="AE176" s="24"/>
      <c r="AF176" s="279"/>
      <c r="AG176" s="105"/>
      <c r="AH176" s="25"/>
      <c r="AI176" s="25"/>
      <c r="AJ176" s="25"/>
      <c r="AK176" s="24"/>
      <c r="AL176" s="279"/>
      <c r="AM176" s="105"/>
      <c r="AN176" s="25"/>
      <c r="AO176" s="345"/>
      <c r="AP176" s="345"/>
      <c r="AQ176" s="24"/>
      <c r="AR176" s="100"/>
      <c r="AS176" s="279"/>
      <c r="AT176" s="105"/>
      <c r="AU176" s="25"/>
      <c r="AV176" s="25"/>
      <c r="AW176" s="25"/>
      <c r="AX176" s="24"/>
      <c r="AY176" s="100"/>
      <c r="AZ176" s="279"/>
      <c r="BA176" s="105"/>
      <c r="BB176" s="25"/>
      <c r="BC176" s="345"/>
      <c r="BD176" s="345"/>
      <c r="BE176" s="24"/>
      <c r="BF176" s="100"/>
      <c r="BG176" s="100"/>
      <c r="BH176" s="279"/>
      <c r="BI176" s="105"/>
      <c r="BJ176" s="25"/>
      <c r="BK176" s="491"/>
      <c r="BL176" s="111"/>
      <c r="BM176" s="345"/>
      <c r="BN176" s="24"/>
      <c r="BO176" s="100"/>
      <c r="BP176" s="279"/>
      <c r="BQ176" s="105">
        <v>1</v>
      </c>
      <c r="BR176" s="25"/>
      <c r="BS176" s="345"/>
      <c r="BT176" s="25">
        <v>1</v>
      </c>
      <c r="BU176" s="25">
        <v>1</v>
      </c>
      <c r="BV176" s="24"/>
      <c r="BW176" s="279"/>
      <c r="BX176" s="105"/>
      <c r="BY176" s="25"/>
      <c r="BZ176" s="25"/>
      <c r="CA176" s="25"/>
      <c r="CB176" s="24"/>
      <c r="CC176" s="100"/>
      <c r="CD176" s="279"/>
      <c r="CE176" s="105">
        <v>1</v>
      </c>
      <c r="CF176" s="25"/>
      <c r="CG176" s="25"/>
      <c r="CH176" s="25">
        <v>1</v>
      </c>
      <c r="CI176" s="24"/>
      <c r="CJ176" s="100"/>
      <c r="CK176" s="100"/>
      <c r="CL176" s="279"/>
      <c r="CM176" s="266" t="s">
        <v>1462</v>
      </c>
      <c r="CN176" s="266" t="str">
        <f>CONCATENATE("Acceder al sistema Gemma con usuario y perfil activo para la funcionalidad modulo Maestro - Caracteristicas, ","",IF(CE176=1,"Agregar un registro","")," colocando el valor de un Numero existente, Confirmar.",IF(I176=1,"Modificar","")," ",IF(J176=1,"Eliminar","")," ",IF(M176=1,"Exportar Documento Excel",""), ,IF(A176=1,"Link Nombre Distribuidor",""),"",IF(FZ192=1,$FZ$4,"")," ")</f>
        <v xml:space="preserve">Acceder al sistema Gemma con usuario y perfil activo para la funcionalidad modulo Maestro - Caracteristicas, Agregar un registro colocando el valor de un Numero existente, Confirmar.   </v>
      </c>
      <c r="CO176" s="310" t="str">
        <f>CONCATENATE(" Validar funcionalidad  Características ",IF(CE176=1,$CE$3,"")," ",IF(CF176=1,$CF$3,""),"",IF(CG176=1,$CG$3,""),"",IF(CH176=1,CH13,"")," ",IF(CH176=1,$CH$4,"")," ",IF(CI176=1,$CI$4,""), "del Numero existente",IF(CJ176=1,CJ12,"")," ", IF(CK176=1,$CK$3,""),)</f>
        <v xml:space="preserve"> Validar funcionalidad  Características Agregar  Con Valores del Numero existente </v>
      </c>
      <c r="CP176" s="267" t="s">
        <v>1466</v>
      </c>
    </row>
    <row r="177" spans="2:94" s="109" customFormat="1" x14ac:dyDescent="0.25">
      <c r="B177" s="18"/>
      <c r="C177" s="13"/>
      <c r="D177" s="13"/>
      <c r="E177" s="13"/>
      <c r="F177" s="13"/>
      <c r="G177" s="13"/>
      <c r="H177" s="18"/>
      <c r="I177" s="13"/>
      <c r="J177" s="13"/>
      <c r="K177" s="13"/>
      <c r="L177" s="13"/>
      <c r="M177" s="98"/>
      <c r="N177" s="18"/>
      <c r="O177" s="13"/>
      <c r="P177" s="13"/>
      <c r="Q177" s="13"/>
      <c r="R177" s="13"/>
      <c r="S177" s="98"/>
      <c r="T177" s="18"/>
      <c r="U177" s="13"/>
      <c r="V177" s="13"/>
      <c r="W177" s="13"/>
      <c r="X177" s="13"/>
      <c r="Y177" s="13"/>
      <c r="Z177" s="98"/>
      <c r="AA177" s="18"/>
      <c r="AB177" s="13"/>
      <c r="AC177" s="13"/>
      <c r="AD177" s="13"/>
      <c r="AE177" s="13"/>
      <c r="AF177" s="98"/>
      <c r="AG177" s="18"/>
      <c r="AH177" s="13"/>
      <c r="AI177" s="13"/>
      <c r="AJ177" s="13"/>
      <c r="AK177" s="13"/>
      <c r="AL177" s="98"/>
      <c r="AM177" s="18"/>
      <c r="AN177" s="13"/>
      <c r="AO177" s="13"/>
      <c r="AP177" s="13"/>
      <c r="AQ177" s="13"/>
      <c r="AR177" s="98"/>
      <c r="AS177" s="98"/>
      <c r="AT177" s="18"/>
      <c r="AU177" s="13"/>
      <c r="AV177" s="13"/>
      <c r="AW177" s="13"/>
      <c r="AX177" s="13"/>
      <c r="AY177" s="98"/>
      <c r="AZ177" s="98"/>
      <c r="BA177" s="18"/>
      <c r="BB177" s="13"/>
      <c r="BC177" s="13"/>
      <c r="BD177" s="13"/>
      <c r="BE177" s="13"/>
      <c r="BF177" s="98"/>
      <c r="BG177" s="98"/>
      <c r="BH177" s="98"/>
      <c r="BI177" s="18"/>
      <c r="BJ177" s="13"/>
      <c r="BK177" s="13"/>
      <c r="BL177" s="13"/>
      <c r="BM177" s="13"/>
      <c r="BN177" s="13"/>
      <c r="BO177" s="98"/>
      <c r="BP177" s="98"/>
      <c r="BQ177" s="18"/>
      <c r="BR177" s="13"/>
      <c r="BS177" s="13"/>
      <c r="BT177" s="13"/>
      <c r="BU177" s="13"/>
      <c r="BV177" s="13"/>
      <c r="BW177" s="98"/>
      <c r="BX177" s="105"/>
      <c r="BY177" s="25"/>
      <c r="BZ177" s="25"/>
      <c r="CA177" s="25"/>
      <c r="CB177" s="24"/>
      <c r="CC177" s="98"/>
      <c r="CD177" s="279"/>
      <c r="CE177" s="105"/>
      <c r="CF177" s="25"/>
      <c r="CG177" s="25"/>
      <c r="CH177" s="25">
        <v>1</v>
      </c>
      <c r="CI177" s="24"/>
      <c r="CJ177" s="100"/>
      <c r="CK177" s="98"/>
      <c r="CL177" s="279"/>
      <c r="CM177" s="266" t="s">
        <v>1458</v>
      </c>
      <c r="CN177" s="266" t="s">
        <v>1463</v>
      </c>
      <c r="CO177" s="310" t="str">
        <f>CONCATENATE(" Validar funcionalidad  Características ",IF(CE177=1,$CE$3,"")," ",IF(CF177=1,$CF$3,""),"",IF(CG177=1,$CG$3,""),"",IF(CH177=1,CH14,"")," ",IF(CH177=1,$CH$4,"")," ",IF(CI177=1,$CI$4,""), "",IF(CJ177=1,CJ13,""),"buscar Numero invalido en el filtro ", IF(CK177=1,$CK$3,""),)</f>
        <v xml:space="preserve"> Validar funcionalidad  Características   Con Valores buscar Numero invalido en el filtro </v>
      </c>
      <c r="CP177" s="267" t="s">
        <v>1344</v>
      </c>
    </row>
    <row r="178" spans="2:94" s="109" customFormat="1" x14ac:dyDescent="0.25">
      <c r="B178" s="18"/>
      <c r="C178" s="13"/>
      <c r="D178" s="13"/>
      <c r="E178" s="13"/>
      <c r="F178" s="13"/>
      <c r="G178" s="13"/>
      <c r="H178" s="18"/>
      <c r="I178" s="13"/>
      <c r="J178" s="13"/>
      <c r="K178" s="13"/>
      <c r="L178" s="13"/>
      <c r="M178" s="98"/>
      <c r="N178" s="18"/>
      <c r="O178" s="13"/>
      <c r="P178" s="13"/>
      <c r="Q178" s="13"/>
      <c r="R178" s="13"/>
      <c r="S178" s="98"/>
      <c r="T178" s="18"/>
      <c r="U178" s="13"/>
      <c r="V178" s="13"/>
      <c r="W178" s="13"/>
      <c r="X178" s="13"/>
      <c r="Y178" s="13"/>
      <c r="Z178" s="98"/>
      <c r="AA178" s="18"/>
      <c r="AB178" s="13"/>
      <c r="AC178" s="13"/>
      <c r="AD178" s="13"/>
      <c r="AE178" s="13"/>
      <c r="AF178" s="98"/>
      <c r="AG178" s="18"/>
      <c r="AH178" s="13"/>
      <c r="AI178" s="13"/>
      <c r="AJ178" s="13"/>
      <c r="AK178" s="13"/>
      <c r="AL178" s="98"/>
      <c r="AM178" s="18"/>
      <c r="AN178" s="13"/>
      <c r="AO178" s="13"/>
      <c r="AP178" s="13"/>
      <c r="AQ178" s="13"/>
      <c r="AR178" s="98"/>
      <c r="AS178" s="98"/>
      <c r="AT178" s="18"/>
      <c r="AU178" s="13"/>
      <c r="AV178" s="13"/>
      <c r="AW178" s="13"/>
      <c r="AX178" s="13"/>
      <c r="AY178" s="98"/>
      <c r="AZ178" s="98"/>
      <c r="BA178" s="18"/>
      <c r="BB178" s="13"/>
      <c r="BC178" s="13"/>
      <c r="BD178" s="13"/>
      <c r="BE178" s="13"/>
      <c r="BF178" s="98"/>
      <c r="BG178" s="98"/>
      <c r="BH178" s="98"/>
      <c r="BI178" s="18"/>
      <c r="BJ178" s="13"/>
      <c r="BK178" s="13"/>
      <c r="BL178" s="13"/>
      <c r="BM178" s="13"/>
      <c r="BN178" s="13"/>
      <c r="BO178" s="98"/>
      <c r="BP178" s="98"/>
      <c r="BQ178" s="18"/>
      <c r="BR178" s="13"/>
      <c r="BS178" s="13"/>
      <c r="BT178" s="13"/>
      <c r="BU178" s="13"/>
      <c r="BV178" s="13"/>
      <c r="BW178" s="98"/>
      <c r="BX178" s="20"/>
      <c r="BY178" s="13"/>
      <c r="BZ178" s="13"/>
      <c r="CA178" s="13"/>
      <c r="CB178" s="111"/>
      <c r="CC178" s="98"/>
      <c r="CD178" s="280"/>
      <c r="CE178" s="20"/>
      <c r="CF178" s="13">
        <v>1</v>
      </c>
      <c r="CG178" s="13"/>
      <c r="CH178" s="13"/>
      <c r="CI178" s="111"/>
      <c r="CJ178" s="101"/>
      <c r="CK178" s="98">
        <v>1</v>
      </c>
      <c r="CL178" s="280"/>
      <c r="CM178" s="266" t="s">
        <v>1459</v>
      </c>
      <c r="CN178" s="266" t="s">
        <v>1464</v>
      </c>
      <c r="CO178" s="310" t="str">
        <f>CONCATENATE(" Validar funcionalidad  Características ",IF(CE178=1,$CE$3,"")," ",IF(CF178=1,$CF$3,""),"",IF(CG178=1,$CG$3,""),"",IF(CH178=1,CH15,"")," ",IF(CH178=1,$CH$4,"")," ",IF(CI178=1,$CI$4,""), "en los campos ",IF(CJ178=1,CJ14,"")," ", IF(CK178=1,$CK$3,"Sin Exportar Excel"),)</f>
        <v xml:space="preserve"> Validar funcionalidad  Características  Modificar  en los campos  Sin Valores</v>
      </c>
      <c r="CP178" s="267" t="s">
        <v>1375</v>
      </c>
    </row>
    <row r="179" spans="2:94" s="109" customFormat="1" ht="15.75" thickBot="1" x14ac:dyDescent="0.3">
      <c r="B179" s="323"/>
      <c r="C179" s="281"/>
      <c r="D179" s="281"/>
      <c r="E179" s="281"/>
      <c r="F179" s="281"/>
      <c r="G179" s="281"/>
      <c r="H179" s="323"/>
      <c r="I179" s="281"/>
      <c r="J179" s="281"/>
      <c r="K179" s="281"/>
      <c r="L179" s="281"/>
      <c r="M179" s="324"/>
      <c r="N179" s="323"/>
      <c r="O179" s="281"/>
      <c r="P179" s="281"/>
      <c r="Q179" s="281"/>
      <c r="R179" s="281"/>
      <c r="S179" s="324"/>
      <c r="T179" s="323"/>
      <c r="U179" s="281"/>
      <c r="V179" s="281"/>
      <c r="W179" s="281"/>
      <c r="X179" s="281"/>
      <c r="Y179" s="281"/>
      <c r="Z179" s="324"/>
      <c r="AA179" s="323"/>
      <c r="AB179" s="281"/>
      <c r="AC179" s="281"/>
      <c r="AD179" s="281"/>
      <c r="AE179" s="281"/>
      <c r="AF179" s="324"/>
      <c r="AG179" s="323"/>
      <c r="AH179" s="281"/>
      <c r="AI179" s="281"/>
      <c r="AJ179" s="281"/>
      <c r="AK179" s="281"/>
      <c r="AL179" s="324"/>
      <c r="AM179" s="323"/>
      <c r="AN179" s="281"/>
      <c r="AO179" s="281"/>
      <c r="AP179" s="281"/>
      <c r="AQ179" s="281"/>
      <c r="AR179" s="324"/>
      <c r="AS179" s="324"/>
      <c r="AT179" s="323"/>
      <c r="AU179" s="281"/>
      <c r="AV179" s="281"/>
      <c r="AW179" s="281"/>
      <c r="AX179" s="281"/>
      <c r="AY179" s="324"/>
      <c r="AZ179" s="324"/>
      <c r="BA179" s="323"/>
      <c r="BB179" s="281"/>
      <c r="BC179" s="281"/>
      <c r="BD179" s="281"/>
      <c r="BE179" s="281"/>
      <c r="BF179" s="324"/>
      <c r="BG179" s="324"/>
      <c r="BH179" s="324"/>
      <c r="BI179" s="323"/>
      <c r="BJ179" s="281"/>
      <c r="BK179" s="281"/>
      <c r="BL179" s="281"/>
      <c r="BM179" s="281"/>
      <c r="BN179" s="281"/>
      <c r="BO179" s="324"/>
      <c r="BP179" s="324"/>
      <c r="BQ179" s="323"/>
      <c r="BR179" s="281"/>
      <c r="BS179" s="281"/>
      <c r="BT179" s="281"/>
      <c r="BU179" s="281"/>
      <c r="BV179" s="281"/>
      <c r="BW179" s="324"/>
      <c r="BX179" s="301"/>
      <c r="BY179" s="281"/>
      <c r="BZ179" s="317"/>
      <c r="CA179" s="317"/>
      <c r="CB179" s="282"/>
      <c r="CC179" s="324"/>
      <c r="CD179" s="302"/>
      <c r="CE179" s="301"/>
      <c r="CF179" s="281"/>
      <c r="CG179" s="317">
        <v>1</v>
      </c>
      <c r="CH179" s="317"/>
      <c r="CI179" s="282"/>
      <c r="CJ179" s="351"/>
      <c r="CK179" s="324"/>
      <c r="CL179" s="302"/>
      <c r="CM179" s="266" t="s">
        <v>1460</v>
      </c>
      <c r="CN179" s="266" t="s">
        <v>1465</v>
      </c>
      <c r="CO179" s="310" t="str">
        <f>CONCATENATE(" Validar funcionalidad  Características ",IF(CE179=1,$CE$3,"")," ",IF(CF179=1,$CF$3,""),"",IF(CG179=1,$CG$3,""),"",IF(CH179=1,CH16,"")," ",IF(CH179=1,$CH$4,"")," ",IF(CI179=1,$CI$4,""), "",IF(CJ179=1,CJ15,"")," registro en uso ", IF(CK179=1,$CK$3,""),)</f>
        <v xml:space="preserve"> Validar funcionalidad  Características  Eliminar   registro en uso </v>
      </c>
      <c r="CP179" s="267" t="s">
        <v>1345</v>
      </c>
    </row>
    <row r="180" spans="2:94" s="109" customFormat="1" ht="15.75" thickTop="1" x14ac:dyDescent="0.25">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270"/>
      <c r="CN180" s="270"/>
      <c r="CO180" s="270"/>
      <c r="CP180" s="267"/>
    </row>
    <row r="181" spans="2:94" s="109" customFormat="1" x14ac:dyDescent="0.25">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c r="AD181" s="108"/>
      <c r="AE181" s="108"/>
      <c r="AF181" s="108"/>
      <c r="AG181" s="108"/>
      <c r="AH181" s="108"/>
      <c r="AI181" s="108"/>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270"/>
      <c r="CN181" s="270"/>
      <c r="CO181" s="270"/>
      <c r="CP181" s="267"/>
    </row>
    <row r="182" spans="2:94" s="109" customFormat="1" x14ac:dyDescent="0.25">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c r="AH182" s="108"/>
      <c r="AI182" s="108"/>
      <c r="AJ182" s="108"/>
      <c r="AK182" s="108"/>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270"/>
      <c r="CN182" s="270"/>
      <c r="CO182" s="270"/>
      <c r="CP182" s="267"/>
    </row>
    <row r="183" spans="2:94" s="109" customFormat="1" x14ac:dyDescent="0.25">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c r="AD183" s="108"/>
      <c r="AE183" s="108"/>
      <c r="AF183" s="108"/>
      <c r="AG183" s="108"/>
      <c r="AH183" s="108"/>
      <c r="AI183" s="108"/>
      <c r="AJ183" s="108"/>
      <c r="AK183" s="108"/>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c r="CK183" s="108"/>
      <c r="CL183" s="108"/>
      <c r="CM183" s="270"/>
      <c r="CN183" s="270"/>
      <c r="CO183" s="270"/>
      <c r="CP183" s="267"/>
    </row>
    <row r="184" spans="2:94" s="109" customFormat="1" x14ac:dyDescent="0.25">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270"/>
      <c r="CN184" s="270"/>
      <c r="CO184" s="270"/>
      <c r="CP184" s="267"/>
    </row>
    <row r="185" spans="2:94" s="109" customFormat="1" x14ac:dyDescent="0.25">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c r="AD185" s="108"/>
      <c r="AE185" s="108"/>
      <c r="AF185" s="108"/>
      <c r="AG185" s="108"/>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270"/>
      <c r="CN185" s="270"/>
      <c r="CO185" s="270"/>
      <c r="CP185" s="267"/>
    </row>
    <row r="186" spans="2:94" s="109" customFormat="1" x14ac:dyDescent="0.25">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270"/>
      <c r="CN186" s="270"/>
      <c r="CO186" s="270"/>
      <c r="CP186" s="267"/>
    </row>
    <row r="187" spans="2:94" s="109" customFormat="1" x14ac:dyDescent="0.25">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c r="AI187" s="108"/>
      <c r="AJ187" s="108"/>
      <c r="AK187" s="108"/>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c r="CK187" s="108"/>
      <c r="CL187" s="108"/>
      <c r="CM187" s="270"/>
      <c r="CN187" s="270"/>
      <c r="CO187" s="270"/>
      <c r="CP187" s="267"/>
    </row>
    <row r="188" spans="2:94" s="109" customFormat="1" x14ac:dyDescent="0.25">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270"/>
      <c r="CN188" s="270"/>
      <c r="CO188" s="270"/>
      <c r="CP188" s="267"/>
    </row>
    <row r="189" spans="2:94" s="109" customFormat="1" x14ac:dyDescent="0.25">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c r="AE189" s="108"/>
      <c r="AF189" s="108"/>
      <c r="AG189" s="108"/>
      <c r="AH189" s="108"/>
      <c r="AI189" s="108"/>
      <c r="AJ189" s="108"/>
      <c r="AK189" s="108"/>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270"/>
      <c r="CN189" s="270"/>
      <c r="CO189" s="270"/>
      <c r="CP189" s="267"/>
    </row>
    <row r="190" spans="2:94" s="109" customFormat="1" x14ac:dyDescent="0.25">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270"/>
      <c r="CN190" s="270"/>
      <c r="CO190" s="270"/>
      <c r="CP190" s="267"/>
    </row>
    <row r="191" spans="2:94" s="109" customFormat="1" x14ac:dyDescent="0.25">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270"/>
      <c r="CN191" s="270"/>
      <c r="CO191" s="270"/>
      <c r="CP191" s="267"/>
    </row>
    <row r="192" spans="2:94" s="109" customFormat="1" x14ac:dyDescent="0.25">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c r="AE192" s="108"/>
      <c r="AF192" s="108"/>
      <c r="AG192" s="108"/>
      <c r="AH192" s="108"/>
      <c r="AI192" s="108"/>
      <c r="AJ192" s="108"/>
      <c r="AK192" s="108"/>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270"/>
      <c r="CN192" s="270"/>
      <c r="CO192" s="270"/>
      <c r="CP192" s="267"/>
    </row>
    <row r="193" spans="2:94" s="109" customFormat="1" x14ac:dyDescent="0.25">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270"/>
      <c r="CN193" s="270"/>
      <c r="CO193" s="270"/>
      <c r="CP193" s="267"/>
    </row>
    <row r="194" spans="2:94" s="109" customFormat="1" x14ac:dyDescent="0.25">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c r="AE194" s="108"/>
      <c r="AF194" s="108"/>
      <c r="AG194" s="108"/>
      <c r="AH194" s="108"/>
      <c r="AI194" s="108"/>
      <c r="AJ194" s="108"/>
      <c r="AK194" s="108"/>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c r="CK194" s="108"/>
      <c r="CL194" s="108"/>
      <c r="CM194" s="270"/>
      <c r="CN194" s="270"/>
      <c r="CO194" s="270"/>
      <c r="CP194" s="267"/>
    </row>
    <row r="195" spans="2:94" s="109" customFormat="1" x14ac:dyDescent="0.25">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8"/>
      <c r="AK195" s="108"/>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270"/>
      <c r="CN195" s="270"/>
      <c r="CO195" s="270"/>
      <c r="CP195" s="267"/>
    </row>
    <row r="196" spans="2:94" s="109" customFormat="1" x14ac:dyDescent="0.25">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c r="AD196" s="108"/>
      <c r="AE196" s="108"/>
      <c r="AF196" s="108"/>
      <c r="AG196" s="108"/>
      <c r="AH196" s="108"/>
      <c r="AI196" s="108"/>
      <c r="AJ196" s="108"/>
      <c r="AK196" s="108"/>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c r="CK196" s="108"/>
      <c r="CL196" s="108"/>
      <c r="CM196" s="270"/>
      <c r="CN196" s="270"/>
      <c r="CO196" s="270"/>
      <c r="CP196" s="267"/>
    </row>
    <row r="197" spans="2:94" s="109" customFormat="1" x14ac:dyDescent="0.25">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270"/>
      <c r="CN197" s="270"/>
      <c r="CO197" s="270"/>
      <c r="CP197" s="267"/>
    </row>
    <row r="198" spans="2:94" s="109" customFormat="1" x14ac:dyDescent="0.25">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270"/>
      <c r="CN198" s="270"/>
      <c r="CO198" s="270"/>
      <c r="CP198" s="267"/>
    </row>
    <row r="199" spans="2:94" s="109" customFormat="1" x14ac:dyDescent="0.25">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270"/>
      <c r="CN199" s="270"/>
      <c r="CO199" s="270"/>
      <c r="CP199" s="267"/>
    </row>
    <row r="200" spans="2:94" s="109" customFormat="1" x14ac:dyDescent="0.25">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270"/>
      <c r="CN200" s="270"/>
      <c r="CO200" s="270"/>
      <c r="CP200" s="267"/>
    </row>
    <row r="201" spans="2:94" s="109" customFormat="1" x14ac:dyDescent="0.25">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270"/>
      <c r="CN201" s="270"/>
      <c r="CO201" s="270"/>
      <c r="CP201" s="267"/>
    </row>
    <row r="202" spans="2:94" s="109" customFormat="1" x14ac:dyDescent="0.25">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270"/>
      <c r="CN202" s="270"/>
      <c r="CO202" s="270"/>
      <c r="CP202" s="267"/>
    </row>
    <row r="203" spans="2:94" s="109" customFormat="1" x14ac:dyDescent="0.25">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270"/>
      <c r="CN203" s="270"/>
      <c r="CO203" s="270"/>
      <c r="CP203" s="267"/>
    </row>
    <row r="204" spans="2:94" s="109" customFormat="1" x14ac:dyDescent="0.25">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270"/>
      <c r="CN204" s="270"/>
      <c r="CO204" s="270"/>
      <c r="CP204" s="267"/>
    </row>
    <row r="205" spans="2:94" s="109" customFormat="1" x14ac:dyDescent="0.25">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270"/>
      <c r="CN205" s="270"/>
      <c r="CO205" s="270"/>
      <c r="CP205" s="267"/>
    </row>
    <row r="206" spans="2:94" s="109" customFormat="1" x14ac:dyDescent="0.25">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270"/>
      <c r="CN206" s="270"/>
      <c r="CO206" s="270"/>
      <c r="CP206" s="267"/>
    </row>
    <row r="207" spans="2:94" s="109" customFormat="1" x14ac:dyDescent="0.25">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270"/>
      <c r="CN207" s="270"/>
      <c r="CO207" s="270"/>
      <c r="CP207" s="267"/>
    </row>
    <row r="208" spans="2:94" s="109" customFormat="1" x14ac:dyDescent="0.25">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270"/>
      <c r="CN208" s="270"/>
      <c r="CO208" s="270"/>
      <c r="CP208" s="267"/>
    </row>
    <row r="209" spans="2:94" s="109" customFormat="1" x14ac:dyDescent="0.25">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270"/>
      <c r="CN209" s="270"/>
      <c r="CO209" s="270"/>
      <c r="CP209" s="267"/>
    </row>
    <row r="210" spans="2:94" s="109" customFormat="1" x14ac:dyDescent="0.25">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270"/>
      <c r="CN210" s="270"/>
      <c r="CO210" s="270"/>
      <c r="CP210" s="267"/>
    </row>
    <row r="211" spans="2:94" s="109" customFormat="1" x14ac:dyDescent="0.25">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270"/>
      <c r="CN211" s="270"/>
      <c r="CO211" s="270"/>
      <c r="CP211" s="267"/>
    </row>
    <row r="212" spans="2:94" s="109" customFormat="1" x14ac:dyDescent="0.25">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270"/>
      <c r="CN212" s="270"/>
      <c r="CO212" s="270"/>
      <c r="CP212" s="267"/>
    </row>
    <row r="213" spans="2:94" s="109" customFormat="1" x14ac:dyDescent="0.25">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270"/>
      <c r="CN213" s="270"/>
      <c r="CO213" s="270"/>
      <c r="CP213" s="267"/>
    </row>
    <row r="214" spans="2:94" s="109" customFormat="1" x14ac:dyDescent="0.25">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270"/>
      <c r="CN214" s="270"/>
      <c r="CO214" s="270"/>
      <c r="CP214" s="267"/>
    </row>
    <row r="215" spans="2:94" s="109" customFormat="1" x14ac:dyDescent="0.25">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270"/>
      <c r="CN215" s="270"/>
      <c r="CO215" s="270"/>
      <c r="CP215" s="267"/>
    </row>
    <row r="216" spans="2:94" s="109" customFormat="1" x14ac:dyDescent="0.25">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270"/>
      <c r="CN216" s="270"/>
      <c r="CO216" s="270"/>
      <c r="CP216" s="267"/>
    </row>
    <row r="217" spans="2:94" s="109" customFormat="1" x14ac:dyDescent="0.25">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270"/>
      <c r="CN217" s="270"/>
      <c r="CO217" s="270"/>
      <c r="CP217" s="267"/>
    </row>
    <row r="218" spans="2:94" s="109" customFormat="1" x14ac:dyDescent="0.25">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270"/>
      <c r="CN218" s="270"/>
      <c r="CO218" s="270"/>
      <c r="CP218" s="267"/>
    </row>
    <row r="219" spans="2:94" s="109" customFormat="1" x14ac:dyDescent="0.25">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270"/>
      <c r="CN219" s="270"/>
      <c r="CO219" s="270"/>
      <c r="CP219" s="267"/>
    </row>
    <row r="220" spans="2:94" s="109" customFormat="1" x14ac:dyDescent="0.25">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270"/>
      <c r="CN220" s="270"/>
      <c r="CO220" s="270"/>
      <c r="CP220" s="267"/>
    </row>
    <row r="221" spans="2:94" s="109" customFormat="1" x14ac:dyDescent="0.25">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270"/>
      <c r="CN221" s="270"/>
      <c r="CO221" s="270"/>
      <c r="CP221" s="267"/>
    </row>
    <row r="222" spans="2:94" s="109" customFormat="1" x14ac:dyDescent="0.25">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270"/>
      <c r="CN222" s="270"/>
      <c r="CO222" s="270"/>
      <c r="CP222" s="267"/>
    </row>
    <row r="223" spans="2:94" s="109" customFormat="1" x14ac:dyDescent="0.25">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270"/>
      <c r="CN223" s="270"/>
      <c r="CO223" s="270"/>
      <c r="CP223" s="267"/>
    </row>
    <row r="224" spans="2:94" s="109" customFormat="1" x14ac:dyDescent="0.25">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270"/>
      <c r="CN224" s="270"/>
      <c r="CO224" s="270"/>
      <c r="CP224" s="267"/>
    </row>
    <row r="225" spans="2:94" s="109" customFormat="1" x14ac:dyDescent="0.25">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270"/>
      <c r="CN225" s="270"/>
      <c r="CO225" s="270"/>
      <c r="CP225" s="267"/>
    </row>
    <row r="226" spans="2:94" s="109" customFormat="1" x14ac:dyDescent="0.25">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270"/>
      <c r="CN226" s="270"/>
      <c r="CO226" s="270"/>
      <c r="CP226" s="267"/>
    </row>
    <row r="227" spans="2:94" s="109" customFormat="1" x14ac:dyDescent="0.25">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c r="AD227" s="108"/>
      <c r="AE227" s="108"/>
      <c r="AF227" s="108"/>
      <c r="AG227" s="108"/>
      <c r="AH227" s="108"/>
      <c r="AI227" s="108"/>
      <c r="AJ227" s="108"/>
      <c r="AK227" s="108"/>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270"/>
      <c r="CN227" s="270"/>
      <c r="CO227" s="270"/>
      <c r="CP227" s="267"/>
    </row>
    <row r="228" spans="2:94" s="109" customFormat="1" x14ac:dyDescent="0.25">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270"/>
      <c r="CN228" s="270"/>
      <c r="CO228" s="270"/>
      <c r="CP228" s="267"/>
    </row>
    <row r="229" spans="2:94" s="109" customFormat="1" x14ac:dyDescent="0.25">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c r="AB229" s="108"/>
      <c r="AC229" s="108"/>
      <c r="AD229" s="108"/>
      <c r="AE229" s="108"/>
      <c r="AF229" s="108"/>
      <c r="AG229" s="108"/>
      <c r="AH229" s="108"/>
      <c r="AI229" s="108"/>
      <c r="AJ229" s="108"/>
      <c r="AK229" s="108"/>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270"/>
      <c r="CN229" s="270"/>
      <c r="CO229" s="270"/>
      <c r="CP229" s="267"/>
    </row>
    <row r="230" spans="2:94" s="109" customFormat="1" x14ac:dyDescent="0.25">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270"/>
      <c r="CN230" s="270"/>
      <c r="CO230" s="270"/>
      <c r="CP230" s="267"/>
    </row>
    <row r="231" spans="2:94" s="109" customFormat="1" x14ac:dyDescent="0.25">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c r="AB231" s="108"/>
      <c r="AC231" s="108"/>
      <c r="AD231" s="108"/>
      <c r="AE231" s="108"/>
      <c r="AF231" s="108"/>
      <c r="AG231" s="108"/>
      <c r="AH231" s="108"/>
      <c r="AI231" s="108"/>
      <c r="AJ231" s="108"/>
      <c r="AK231" s="108"/>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c r="CK231" s="108"/>
      <c r="CL231" s="108"/>
      <c r="CM231" s="270"/>
      <c r="CN231" s="270"/>
      <c r="CO231" s="270"/>
      <c r="CP231" s="267"/>
    </row>
    <row r="232" spans="2:94" s="109" customFormat="1" x14ac:dyDescent="0.25">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270"/>
      <c r="CN232" s="270"/>
      <c r="CO232" s="270"/>
      <c r="CP232" s="267"/>
    </row>
    <row r="233" spans="2:94" s="109" customFormat="1" x14ac:dyDescent="0.25">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c r="AB233" s="108"/>
      <c r="AC233" s="108"/>
      <c r="AD233" s="108"/>
      <c r="AE233" s="108"/>
      <c r="AF233" s="108"/>
      <c r="AG233" s="108"/>
      <c r="AH233" s="108"/>
      <c r="AI233" s="108"/>
      <c r="AJ233" s="108"/>
      <c r="AK233" s="108"/>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270"/>
      <c r="CN233" s="270"/>
      <c r="CO233" s="270"/>
      <c r="CP233" s="267"/>
    </row>
    <row r="234" spans="2:94" s="109" customFormat="1" x14ac:dyDescent="0.25">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c r="AD234" s="108"/>
      <c r="AE234" s="108"/>
      <c r="AF234" s="108"/>
      <c r="AG234" s="108"/>
      <c r="AH234" s="108"/>
      <c r="AI234" s="108"/>
      <c r="AJ234" s="108"/>
      <c r="AK234" s="108"/>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c r="CK234" s="108"/>
      <c r="CL234" s="108"/>
      <c r="CM234" s="270"/>
      <c r="CN234" s="270"/>
      <c r="CO234" s="270"/>
      <c r="CP234" s="267"/>
    </row>
    <row r="235" spans="2:94" s="109" customFormat="1" x14ac:dyDescent="0.25">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108"/>
      <c r="AB235" s="108"/>
      <c r="AC235" s="108"/>
      <c r="AD235" s="108"/>
      <c r="AE235" s="108"/>
      <c r="AF235" s="108"/>
      <c r="AG235" s="108"/>
      <c r="AH235" s="108"/>
      <c r="AI235" s="108"/>
      <c r="AJ235" s="108"/>
      <c r="AK235" s="108"/>
      <c r="AL235" s="108"/>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c r="CG235" s="108"/>
      <c r="CH235" s="108"/>
      <c r="CI235" s="108"/>
      <c r="CJ235" s="108"/>
      <c r="CK235" s="108"/>
      <c r="CL235" s="108"/>
      <c r="CM235" s="270"/>
      <c r="CN235" s="270"/>
      <c r="CO235" s="270"/>
      <c r="CP235" s="267"/>
    </row>
    <row r="236" spans="2:94" s="109" customFormat="1" x14ac:dyDescent="0.25">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108"/>
      <c r="AB236" s="108"/>
      <c r="AC236" s="108"/>
      <c r="AD236" s="108"/>
      <c r="AE236" s="108"/>
      <c r="AF236" s="108"/>
      <c r="AG236" s="108"/>
      <c r="AH236" s="108"/>
      <c r="AI236" s="108"/>
      <c r="AJ236" s="108"/>
      <c r="AK236" s="108"/>
      <c r="AL236" s="108"/>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c r="CG236" s="108"/>
      <c r="CH236" s="108"/>
      <c r="CI236" s="108"/>
      <c r="CJ236" s="108"/>
      <c r="CK236" s="108"/>
      <c r="CL236" s="108"/>
      <c r="CM236" s="270"/>
      <c r="CN236" s="270"/>
      <c r="CO236" s="270"/>
      <c r="CP236" s="267"/>
    </row>
    <row r="237" spans="2:94" s="109" customFormat="1" x14ac:dyDescent="0.25">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108"/>
      <c r="AB237" s="108"/>
      <c r="AC237" s="108"/>
      <c r="AD237" s="108"/>
      <c r="AE237" s="108"/>
      <c r="AF237" s="108"/>
      <c r="AG237" s="108"/>
      <c r="AH237" s="108"/>
      <c r="AI237" s="108"/>
      <c r="AJ237" s="108"/>
      <c r="AK237" s="108"/>
      <c r="AL237" s="108"/>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c r="CG237" s="108"/>
      <c r="CH237" s="108"/>
      <c r="CI237" s="108"/>
      <c r="CJ237" s="108"/>
      <c r="CK237" s="108"/>
      <c r="CL237" s="108"/>
      <c r="CM237" s="270"/>
      <c r="CN237" s="270"/>
      <c r="CO237" s="270"/>
      <c r="CP237" s="267"/>
    </row>
    <row r="238" spans="2:94" s="109" customFormat="1" x14ac:dyDescent="0.25">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108"/>
      <c r="AB238" s="108"/>
      <c r="AC238" s="108"/>
      <c r="AD238" s="108"/>
      <c r="AE238" s="108"/>
      <c r="AF238" s="108"/>
      <c r="AG238" s="108"/>
      <c r="AH238" s="108"/>
      <c r="AI238" s="108"/>
      <c r="AJ238" s="108"/>
      <c r="AK238" s="108"/>
      <c r="AL238" s="108"/>
      <c r="AM238" s="108"/>
      <c r="AN238" s="108"/>
      <c r="AO238" s="108"/>
      <c r="AP238" s="108"/>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c r="CG238" s="108"/>
      <c r="CH238" s="108"/>
      <c r="CI238" s="108"/>
      <c r="CJ238" s="108"/>
      <c r="CK238" s="108"/>
      <c r="CL238" s="108"/>
      <c r="CM238" s="270"/>
      <c r="CN238" s="270"/>
      <c r="CO238" s="270"/>
      <c r="CP238" s="267"/>
    </row>
    <row r="239" spans="2:94" s="109" customFormat="1" x14ac:dyDescent="0.25">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108"/>
      <c r="AB239" s="108"/>
      <c r="AC239" s="108"/>
      <c r="AD239" s="108"/>
      <c r="AE239" s="108"/>
      <c r="AF239" s="108"/>
      <c r="AG239" s="108"/>
      <c r="AH239" s="108"/>
      <c r="AI239" s="108"/>
      <c r="AJ239" s="108"/>
      <c r="AK239" s="108"/>
      <c r="AL239" s="108"/>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c r="CJ239" s="108"/>
      <c r="CK239" s="108"/>
      <c r="CL239" s="108"/>
      <c r="CM239" s="270"/>
      <c r="CN239" s="270"/>
      <c r="CO239" s="270"/>
      <c r="CP239" s="267"/>
    </row>
    <row r="240" spans="2:94" s="109" customFormat="1" x14ac:dyDescent="0.25">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108"/>
      <c r="AB240" s="108"/>
      <c r="AC240" s="108"/>
      <c r="AD240" s="108"/>
      <c r="AE240" s="108"/>
      <c r="AF240" s="108"/>
      <c r="AG240" s="108"/>
      <c r="AH240" s="108"/>
      <c r="AI240" s="108"/>
      <c r="AJ240" s="108"/>
      <c r="AK240" s="108"/>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c r="CK240" s="108"/>
      <c r="CL240" s="108"/>
      <c r="CM240" s="270"/>
      <c r="CN240" s="270"/>
      <c r="CO240" s="270"/>
      <c r="CP240" s="267"/>
    </row>
    <row r="241" spans="2:94" s="109" customFormat="1" x14ac:dyDescent="0.25">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108"/>
      <c r="AB241" s="108"/>
      <c r="AC241" s="108"/>
      <c r="AD241" s="108"/>
      <c r="AE241" s="108"/>
      <c r="AF241" s="108"/>
      <c r="AG241" s="108"/>
      <c r="AH241" s="108"/>
      <c r="AI241" s="108"/>
      <c r="AJ241" s="108"/>
      <c r="AK241" s="108"/>
      <c r="AL241" s="108"/>
      <c r="AM241" s="108"/>
      <c r="AN241" s="108"/>
      <c r="AO241" s="108"/>
      <c r="AP241" s="108"/>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c r="CK241" s="108"/>
      <c r="CL241" s="108"/>
      <c r="CM241" s="270"/>
      <c r="CN241" s="270"/>
      <c r="CO241" s="270"/>
      <c r="CP241" s="267"/>
    </row>
    <row r="242" spans="2:94" s="109" customFormat="1" x14ac:dyDescent="0.25">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108"/>
      <c r="AB242" s="108"/>
      <c r="AC242" s="108"/>
      <c r="AD242" s="108"/>
      <c r="AE242" s="108"/>
      <c r="AF242" s="108"/>
      <c r="AG242" s="108"/>
      <c r="AH242" s="108"/>
      <c r="AI242" s="108"/>
      <c r="AJ242" s="108"/>
      <c r="AK242" s="108"/>
      <c r="AL242" s="108"/>
      <c r="AM242" s="108"/>
      <c r="AN242" s="108"/>
      <c r="AO242" s="108"/>
      <c r="AP242" s="108"/>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c r="CG242" s="108"/>
      <c r="CH242" s="108"/>
      <c r="CI242" s="108"/>
      <c r="CJ242" s="108"/>
      <c r="CK242" s="108"/>
      <c r="CL242" s="108"/>
      <c r="CM242" s="270"/>
      <c r="CN242" s="270"/>
      <c r="CO242" s="270"/>
      <c r="CP242" s="267"/>
    </row>
    <row r="243" spans="2:94" s="109" customFormat="1" x14ac:dyDescent="0.25">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c r="AD243" s="108"/>
      <c r="AE243" s="108"/>
      <c r="AF243" s="108"/>
      <c r="AG243" s="108"/>
      <c r="AH243" s="108"/>
      <c r="AI243" s="108"/>
      <c r="AJ243" s="108"/>
      <c r="AK243" s="108"/>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c r="CK243" s="108"/>
      <c r="CL243" s="108"/>
      <c r="CM243" s="270"/>
      <c r="CN243" s="270"/>
      <c r="CO243" s="270"/>
      <c r="CP243" s="267"/>
    </row>
    <row r="244" spans="2:94" s="109" customFormat="1" x14ac:dyDescent="0.25">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108"/>
      <c r="AB244" s="108"/>
      <c r="AC244" s="108"/>
      <c r="AD244" s="108"/>
      <c r="AE244" s="108"/>
      <c r="AF244" s="108"/>
      <c r="AG244" s="108"/>
      <c r="AH244" s="108"/>
      <c r="AI244" s="108"/>
      <c r="AJ244" s="108"/>
      <c r="AK244" s="108"/>
      <c r="AL244" s="108"/>
      <c r="AM244" s="108"/>
      <c r="AN244" s="108"/>
      <c r="AO244" s="108"/>
      <c r="AP244" s="108"/>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c r="CG244" s="108"/>
      <c r="CH244" s="108"/>
      <c r="CI244" s="108"/>
      <c r="CJ244" s="108"/>
      <c r="CK244" s="108"/>
      <c r="CL244" s="108"/>
      <c r="CM244" s="270"/>
      <c r="CN244" s="270"/>
      <c r="CO244" s="270"/>
      <c r="CP244" s="267"/>
    </row>
    <row r="245" spans="2:94" s="109" customFormat="1" x14ac:dyDescent="0.25">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108"/>
      <c r="AB245" s="108"/>
      <c r="AC245" s="108"/>
      <c r="AD245" s="108"/>
      <c r="AE245" s="108"/>
      <c r="AF245" s="108"/>
      <c r="AG245" s="108"/>
      <c r="AH245" s="108"/>
      <c r="AI245" s="108"/>
      <c r="AJ245" s="108"/>
      <c r="AK245" s="108"/>
      <c r="AL245" s="108"/>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c r="CK245" s="108"/>
      <c r="CL245" s="108"/>
      <c r="CM245" s="270"/>
      <c r="CN245" s="270"/>
      <c r="CO245" s="270"/>
      <c r="CP245" s="267"/>
    </row>
    <row r="246" spans="2:94" s="109" customFormat="1" x14ac:dyDescent="0.25">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c r="AB246" s="108"/>
      <c r="AC246" s="108"/>
      <c r="AD246" s="108"/>
      <c r="AE246" s="108"/>
      <c r="AF246" s="108"/>
      <c r="AG246" s="108"/>
      <c r="AH246" s="108"/>
      <c r="AI246" s="108"/>
      <c r="AJ246" s="108"/>
      <c r="AK246" s="108"/>
      <c r="AL246" s="108"/>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c r="CK246" s="108"/>
      <c r="CL246" s="108"/>
      <c r="CM246" s="270"/>
      <c r="CN246" s="270"/>
      <c r="CO246" s="270"/>
      <c r="CP246" s="267"/>
    </row>
    <row r="247" spans="2:94" x14ac:dyDescent="0.25">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108"/>
      <c r="AB247" s="108"/>
      <c r="AC247" s="108"/>
      <c r="AD247" s="108"/>
      <c r="AE247" s="108"/>
      <c r="AF247" s="108"/>
      <c r="AG247" s="108"/>
      <c r="AH247" s="108"/>
      <c r="AI247" s="108"/>
      <c r="AJ247" s="108"/>
      <c r="AK247" s="108"/>
      <c r="AL247" s="108"/>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c r="CG247" s="108"/>
      <c r="CH247" s="108"/>
      <c r="CI247" s="108"/>
      <c r="CJ247" s="108"/>
      <c r="CK247" s="108"/>
      <c r="CL247" s="108"/>
      <c r="CM247" s="270"/>
      <c r="CN247" s="270"/>
      <c r="CO247" s="270"/>
    </row>
    <row r="248" spans="2:94" x14ac:dyDescent="0.25">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108"/>
      <c r="AB248" s="108"/>
      <c r="AC248" s="108"/>
      <c r="AD248" s="108"/>
      <c r="AE248" s="108"/>
      <c r="AF248" s="108"/>
      <c r="AG248" s="108"/>
      <c r="AH248" s="108"/>
      <c r="AI248" s="108"/>
      <c r="AJ248" s="108"/>
      <c r="AK248" s="108"/>
      <c r="AL248" s="108"/>
      <c r="AM248" s="108"/>
      <c r="AN248" s="108"/>
      <c r="AO248" s="108"/>
      <c r="AP248" s="108"/>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c r="CG248" s="108"/>
      <c r="CH248" s="108"/>
      <c r="CI248" s="108"/>
      <c r="CJ248" s="108"/>
      <c r="CK248" s="108"/>
      <c r="CL248" s="108"/>
      <c r="CM248" s="270"/>
      <c r="CN248" s="270"/>
      <c r="CO248" s="270"/>
    </row>
    <row r="249" spans="2:94" x14ac:dyDescent="0.25">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108"/>
      <c r="AB249" s="108"/>
      <c r="AC249" s="108"/>
      <c r="AD249" s="108"/>
      <c r="AE249" s="108"/>
      <c r="AF249" s="108"/>
      <c r="AG249" s="108"/>
      <c r="AH249" s="108"/>
      <c r="AI249" s="108"/>
      <c r="AJ249" s="108"/>
      <c r="AK249" s="108"/>
      <c r="AL249" s="108"/>
      <c r="AM249" s="108"/>
      <c r="AN249" s="108"/>
      <c r="AO249" s="108"/>
      <c r="AP249" s="108"/>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c r="CG249" s="108"/>
      <c r="CH249" s="108"/>
      <c r="CI249" s="108"/>
      <c r="CJ249" s="108"/>
      <c r="CK249" s="108"/>
      <c r="CL249" s="108"/>
      <c r="CM249" s="270"/>
      <c r="CN249" s="270"/>
      <c r="CO249" s="270"/>
    </row>
    <row r="250" spans="2:94" x14ac:dyDescent="0.25">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c r="AD250" s="108"/>
      <c r="AE250" s="108"/>
      <c r="AF250" s="108"/>
      <c r="AG250" s="108"/>
      <c r="AH250" s="108"/>
      <c r="AI250" s="108"/>
      <c r="AJ250" s="108"/>
      <c r="AK250" s="108"/>
      <c r="AL250" s="108"/>
      <c r="AM250" s="108"/>
      <c r="AN250" s="108"/>
      <c r="AO250" s="108"/>
      <c r="AP250" s="108"/>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c r="CG250" s="108"/>
      <c r="CH250" s="108"/>
      <c r="CI250" s="108"/>
      <c r="CJ250" s="108"/>
      <c r="CK250" s="108"/>
      <c r="CL250" s="108"/>
      <c r="CM250" s="270"/>
      <c r="CN250" s="270"/>
      <c r="CO250" s="270"/>
    </row>
    <row r="251" spans="2:94" x14ac:dyDescent="0.25">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108"/>
      <c r="AB251" s="108"/>
      <c r="AC251" s="108"/>
      <c r="AD251" s="108"/>
      <c r="AE251" s="108"/>
      <c r="AF251" s="108"/>
      <c r="AG251" s="108"/>
      <c r="AH251" s="108"/>
      <c r="AI251" s="108"/>
      <c r="AJ251" s="108"/>
      <c r="AK251" s="108"/>
      <c r="AL251" s="108"/>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c r="CG251" s="108"/>
      <c r="CH251" s="108"/>
      <c r="CI251" s="108"/>
      <c r="CJ251" s="108"/>
      <c r="CK251" s="108"/>
      <c r="CL251" s="108"/>
      <c r="CM251" s="270"/>
      <c r="CN251" s="270"/>
      <c r="CO251" s="270"/>
    </row>
    <row r="252" spans="2:94" x14ac:dyDescent="0.25">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108"/>
      <c r="AB252" s="108"/>
      <c r="AC252" s="108"/>
      <c r="AD252" s="108"/>
      <c r="AE252" s="108"/>
      <c r="AF252" s="108"/>
      <c r="AG252" s="108"/>
      <c r="AH252" s="108"/>
      <c r="AI252" s="108"/>
      <c r="AJ252" s="108"/>
      <c r="AK252" s="108"/>
      <c r="AL252" s="108"/>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c r="CG252" s="108"/>
      <c r="CH252" s="108"/>
      <c r="CI252" s="108"/>
      <c r="CJ252" s="108"/>
      <c r="CK252" s="108"/>
      <c r="CL252" s="108"/>
      <c r="CM252" s="270"/>
      <c r="CN252" s="270"/>
      <c r="CO252" s="270"/>
    </row>
    <row r="253" spans="2:94" x14ac:dyDescent="0.25">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c r="AD253" s="108"/>
      <c r="AE253" s="108"/>
      <c r="AF253" s="108"/>
      <c r="AG253" s="108"/>
      <c r="AH253" s="108"/>
      <c r="AI253" s="108"/>
      <c r="AJ253" s="108"/>
      <c r="AK253" s="108"/>
      <c r="AL253" s="108"/>
      <c r="AM253" s="108"/>
      <c r="AN253" s="108"/>
      <c r="AO253" s="108"/>
      <c r="AP253" s="108"/>
      <c r="AQ253" s="108"/>
      <c r="AR253" s="108"/>
      <c r="AS253" s="108"/>
      <c r="AT253" s="108"/>
      <c r="AU253" s="108"/>
      <c r="AV253" s="108"/>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c r="CG253" s="108"/>
      <c r="CH253" s="108"/>
      <c r="CI253" s="108"/>
      <c r="CJ253" s="108"/>
      <c r="CK253" s="108"/>
      <c r="CL253" s="108"/>
      <c r="CM253" s="270"/>
      <c r="CN253" s="270"/>
      <c r="CO253" s="270"/>
    </row>
    <row r="254" spans="2:94" x14ac:dyDescent="0.25">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c r="AM254" s="108"/>
      <c r="AN254" s="108"/>
      <c r="AO254" s="108"/>
      <c r="AP254" s="108"/>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c r="CG254" s="108"/>
      <c r="CH254" s="108"/>
      <c r="CI254" s="108"/>
      <c r="CJ254" s="108"/>
      <c r="CK254" s="108"/>
      <c r="CL254" s="108"/>
      <c r="CM254" s="270"/>
      <c r="CN254" s="270"/>
      <c r="CO254" s="270"/>
    </row>
    <row r="255" spans="2:94" x14ac:dyDescent="0.25">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c r="CK255" s="108"/>
      <c r="CL255" s="108"/>
      <c r="CM255" s="270"/>
      <c r="CN255" s="270"/>
      <c r="CO255" s="270"/>
    </row>
    <row r="256" spans="2:94" x14ac:dyDescent="0.25">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108"/>
      <c r="AB256" s="108"/>
      <c r="AC256" s="108"/>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c r="CK256" s="108"/>
      <c r="CL256" s="108"/>
      <c r="CM256" s="270"/>
      <c r="CN256" s="270"/>
      <c r="CO256" s="270"/>
    </row>
    <row r="257" spans="1:93" x14ac:dyDescent="0.25">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c r="CK257" s="108"/>
      <c r="CL257" s="108"/>
      <c r="CM257" s="270"/>
      <c r="CN257" s="270"/>
      <c r="CO257" s="270"/>
    </row>
    <row r="258" spans="1:93" s="268" customFormat="1" x14ac:dyDescent="0.25">
      <c r="A258" s="107"/>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108"/>
      <c r="AB258" s="108"/>
      <c r="AC258" s="108"/>
      <c r="AD258" s="108"/>
      <c r="AE258" s="108"/>
      <c r="AF258" s="108"/>
      <c r="AG258" s="108"/>
      <c r="AH258" s="108"/>
      <c r="AI258" s="108"/>
      <c r="AJ258" s="108"/>
      <c r="AK258" s="108"/>
      <c r="AL258" s="108"/>
      <c r="AM258" s="108"/>
      <c r="AN258" s="108"/>
      <c r="AO258" s="108"/>
      <c r="AP258" s="108"/>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c r="CK258" s="108"/>
      <c r="CL258" s="108"/>
      <c r="CM258" s="270"/>
      <c r="CN258" s="270"/>
      <c r="CO258" s="270"/>
    </row>
    <row r="259" spans="1:93" s="268" customFormat="1" x14ac:dyDescent="0.25">
      <c r="A259" s="107"/>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108"/>
      <c r="AB259" s="108"/>
      <c r="AC259" s="108"/>
      <c r="AD259" s="108"/>
      <c r="AE259" s="108"/>
      <c r="AF259" s="108"/>
      <c r="AG259" s="108"/>
      <c r="AH259" s="108"/>
      <c r="AI259" s="108"/>
      <c r="AJ259" s="108"/>
      <c r="AK259" s="108"/>
      <c r="AL259" s="108"/>
      <c r="AM259" s="108"/>
      <c r="AN259" s="108"/>
      <c r="AO259" s="108"/>
      <c r="AP259" s="108"/>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c r="CG259" s="108"/>
      <c r="CH259" s="108"/>
      <c r="CI259" s="108"/>
      <c r="CJ259" s="108"/>
      <c r="CK259" s="108"/>
      <c r="CL259" s="108"/>
      <c r="CM259" s="270"/>
      <c r="CN259" s="270"/>
      <c r="CO259" s="270"/>
    </row>
    <row r="260" spans="1:93" s="268" customFormat="1" x14ac:dyDescent="0.25">
      <c r="A260" s="107"/>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108"/>
      <c r="AB260" s="108"/>
      <c r="AC260" s="108"/>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c r="CK260" s="108"/>
      <c r="CL260" s="108"/>
      <c r="CM260" s="270"/>
      <c r="CN260" s="270"/>
      <c r="CO260" s="270"/>
    </row>
    <row r="261" spans="1:93" s="268" customFormat="1" x14ac:dyDescent="0.25">
      <c r="A261" s="107"/>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108"/>
      <c r="AB261" s="108"/>
      <c r="AC261" s="108"/>
      <c r="AD261" s="108"/>
      <c r="AE261" s="108"/>
      <c r="AF261" s="108"/>
      <c r="AG261" s="108"/>
      <c r="AH261" s="108"/>
      <c r="AI261" s="108"/>
      <c r="AJ261" s="108"/>
      <c r="AK261" s="108"/>
      <c r="AL261" s="108"/>
      <c r="AM261" s="108"/>
      <c r="AN261" s="108"/>
      <c r="AO261" s="108"/>
      <c r="AP261" s="108"/>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c r="CG261" s="108"/>
      <c r="CH261" s="108"/>
      <c r="CI261" s="108"/>
      <c r="CJ261" s="108"/>
      <c r="CK261" s="108"/>
      <c r="CL261" s="108"/>
      <c r="CM261" s="270"/>
      <c r="CN261" s="270"/>
      <c r="CO261" s="270"/>
    </row>
    <row r="262" spans="1:93" s="268" customFormat="1" x14ac:dyDescent="0.25">
      <c r="A262" s="107"/>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108"/>
      <c r="AB262" s="108"/>
      <c r="AC262" s="108"/>
      <c r="AD262" s="108"/>
      <c r="AE262" s="108"/>
      <c r="AF262" s="108"/>
      <c r="AG262" s="108"/>
      <c r="AH262" s="108"/>
      <c r="AI262" s="108"/>
      <c r="AJ262" s="108"/>
      <c r="AK262" s="108"/>
      <c r="AL262" s="108"/>
      <c r="AM262" s="108"/>
      <c r="AN262" s="108"/>
      <c r="AO262" s="108"/>
      <c r="AP262" s="108"/>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c r="CK262" s="108"/>
      <c r="CL262" s="108"/>
      <c r="CM262" s="270"/>
      <c r="CN262" s="270"/>
      <c r="CO262" s="270"/>
    </row>
    <row r="263" spans="1:93" s="268" customFormat="1" x14ac:dyDescent="0.25">
      <c r="A263" s="107"/>
      <c r="B263" s="107"/>
      <c r="C263" s="9"/>
      <c r="D263" s="107"/>
      <c r="E263" s="107"/>
      <c r="F263" s="107"/>
      <c r="G263" s="107"/>
      <c r="H263" s="107"/>
      <c r="I263" s="9"/>
      <c r="J263" s="107"/>
      <c r="K263" s="107"/>
      <c r="L263" s="107"/>
      <c r="M263" s="107"/>
      <c r="N263" s="107"/>
      <c r="O263" s="9"/>
      <c r="P263" s="107"/>
      <c r="Q263" s="107"/>
      <c r="R263" s="107"/>
      <c r="S263" s="107"/>
      <c r="T263" s="107"/>
      <c r="U263" s="9"/>
      <c r="V263" s="107"/>
      <c r="W263" s="107"/>
      <c r="X263" s="107"/>
      <c r="Y263" s="107"/>
      <c r="Z263" s="107"/>
      <c r="AA263" s="107"/>
      <c r="AB263" s="9"/>
      <c r="AC263" s="107"/>
      <c r="AD263" s="107"/>
      <c r="AE263" s="107"/>
      <c r="AF263" s="107"/>
      <c r="AG263" s="107"/>
      <c r="AH263" s="9"/>
      <c r="AI263" s="107"/>
      <c r="AJ263" s="107"/>
      <c r="AK263" s="107"/>
      <c r="AL263" s="107"/>
      <c r="AM263" s="107"/>
      <c r="AN263" s="9"/>
      <c r="AO263" s="107"/>
      <c r="AP263" s="107"/>
      <c r="AQ263" s="107"/>
      <c r="AR263" s="107"/>
      <c r="AS263" s="107"/>
      <c r="AT263" s="107"/>
      <c r="AU263" s="9"/>
      <c r="AV263" s="107"/>
      <c r="AW263" s="107"/>
      <c r="AX263" s="107"/>
      <c r="AY263" s="107"/>
      <c r="AZ263" s="107"/>
      <c r="BA263" s="107"/>
      <c r="BB263" s="9"/>
      <c r="BC263" s="107"/>
      <c r="BD263" s="107"/>
      <c r="BE263" s="107"/>
      <c r="BF263" s="107"/>
      <c r="BG263" s="107"/>
      <c r="BH263" s="107"/>
      <c r="BI263" s="107"/>
      <c r="BJ263" s="9"/>
      <c r="BK263" s="107"/>
      <c r="BL263" s="107"/>
      <c r="BM263" s="107"/>
      <c r="BN263" s="107"/>
      <c r="BO263" s="107"/>
      <c r="BP263" s="107"/>
      <c r="BQ263" s="107"/>
      <c r="BR263" s="9"/>
      <c r="BS263" s="107"/>
      <c r="BT263" s="107"/>
      <c r="BU263" s="107"/>
      <c r="BV263" s="107"/>
      <c r="BW263" s="107"/>
      <c r="BX263" s="107"/>
      <c r="BY263" s="9"/>
      <c r="BZ263" s="107"/>
      <c r="CA263" s="107"/>
      <c r="CB263" s="107"/>
      <c r="CC263" s="107"/>
      <c r="CD263" s="107"/>
      <c r="CE263" s="107"/>
      <c r="CF263" s="9"/>
      <c r="CG263" s="107"/>
      <c r="CH263" s="107"/>
      <c r="CI263" s="107"/>
      <c r="CJ263" s="107"/>
      <c r="CK263" s="107"/>
      <c r="CL263" s="107"/>
    </row>
    <row r="264" spans="1:93" s="268" customFormat="1" x14ac:dyDescent="0.25">
      <c r="A264" s="107"/>
      <c r="B264" s="107"/>
      <c r="C264" s="9"/>
      <c r="D264" s="107"/>
      <c r="E264" s="107"/>
      <c r="F264" s="107"/>
      <c r="G264" s="107"/>
      <c r="H264" s="107"/>
      <c r="I264" s="9"/>
      <c r="J264" s="107"/>
      <c r="K264" s="107"/>
      <c r="L264" s="107"/>
      <c r="M264" s="107"/>
      <c r="N264" s="107"/>
      <c r="O264" s="9"/>
      <c r="P264" s="107"/>
      <c r="Q264" s="107"/>
      <c r="R264" s="107"/>
      <c r="S264" s="107"/>
      <c r="T264" s="107"/>
      <c r="U264" s="9"/>
      <c r="V264" s="107"/>
      <c r="W264" s="107"/>
      <c r="X264" s="107"/>
      <c r="Y264" s="107"/>
      <c r="Z264" s="107"/>
      <c r="AA264" s="107"/>
      <c r="AB264" s="9"/>
      <c r="AC264" s="107"/>
      <c r="AD264" s="107"/>
      <c r="AE264" s="107"/>
      <c r="AF264" s="107"/>
      <c r="AG264" s="107"/>
      <c r="AH264" s="9"/>
      <c r="AI264" s="107"/>
      <c r="AJ264" s="107"/>
      <c r="AK264" s="107"/>
      <c r="AL264" s="107"/>
      <c r="AM264" s="107"/>
      <c r="AN264" s="9"/>
      <c r="AO264" s="107"/>
      <c r="AP264" s="107"/>
      <c r="AQ264" s="107"/>
      <c r="AR264" s="107"/>
      <c r="AS264" s="107"/>
      <c r="AT264" s="107"/>
      <c r="AU264" s="9"/>
      <c r="AV264" s="107"/>
      <c r="AW264" s="107"/>
      <c r="AX264" s="107"/>
      <c r="AY264" s="107"/>
      <c r="AZ264" s="107"/>
      <c r="BA264" s="107"/>
      <c r="BB264" s="9"/>
      <c r="BC264" s="107"/>
      <c r="BD264" s="107"/>
      <c r="BE264" s="107"/>
      <c r="BF264" s="107"/>
      <c r="BG264" s="107"/>
      <c r="BH264" s="107"/>
      <c r="BI264" s="107"/>
      <c r="BJ264" s="9"/>
      <c r="BK264" s="107"/>
      <c r="BL264" s="107"/>
      <c r="BM264" s="107"/>
      <c r="BN264" s="107"/>
      <c r="BO264" s="107"/>
      <c r="BP264" s="107"/>
      <c r="BQ264" s="107"/>
      <c r="BR264" s="9"/>
      <c r="BS264" s="107"/>
      <c r="BT264" s="107"/>
      <c r="BU264" s="107"/>
      <c r="BV264" s="107"/>
      <c r="BW264" s="107"/>
      <c r="BX264" s="107"/>
      <c r="BY264" s="9"/>
      <c r="BZ264" s="107"/>
      <c r="CA264" s="107"/>
      <c r="CB264" s="107"/>
      <c r="CC264" s="107"/>
      <c r="CD264" s="107"/>
      <c r="CE264" s="107"/>
      <c r="CF264" s="9"/>
      <c r="CG264" s="107"/>
      <c r="CH264" s="107"/>
      <c r="CI264" s="107"/>
      <c r="CJ264" s="107"/>
      <c r="CK264" s="107"/>
      <c r="CL264" s="107"/>
    </row>
    <row r="265" spans="1:93" s="268" customFormat="1" x14ac:dyDescent="0.25">
      <c r="A265" s="107"/>
      <c r="B265" s="107"/>
      <c r="C265" s="9"/>
      <c r="D265" s="107"/>
      <c r="E265" s="107"/>
      <c r="F265" s="107"/>
      <c r="G265" s="107"/>
      <c r="H265" s="107"/>
      <c r="I265" s="9"/>
      <c r="J265" s="107"/>
      <c r="K265" s="107"/>
      <c r="L265" s="107"/>
      <c r="M265" s="107"/>
      <c r="N265" s="107"/>
      <c r="O265" s="9"/>
      <c r="P265" s="107"/>
      <c r="Q265" s="107"/>
      <c r="R265" s="107"/>
      <c r="S265" s="107"/>
      <c r="T265" s="107"/>
      <c r="U265" s="9"/>
      <c r="V265" s="107"/>
      <c r="W265" s="107"/>
      <c r="X265" s="107"/>
      <c r="Y265" s="107"/>
      <c r="Z265" s="107"/>
      <c r="AA265" s="107"/>
      <c r="AB265" s="9"/>
      <c r="AC265" s="107"/>
      <c r="AD265" s="107"/>
      <c r="AE265" s="107"/>
      <c r="AF265" s="107"/>
      <c r="AG265" s="107"/>
      <c r="AH265" s="9"/>
      <c r="AI265" s="107"/>
      <c r="AJ265" s="107"/>
      <c r="AK265" s="107"/>
      <c r="AL265" s="107"/>
      <c r="AM265" s="107"/>
      <c r="AN265" s="9"/>
      <c r="AO265" s="107"/>
      <c r="AP265" s="107"/>
      <c r="AQ265" s="107"/>
      <c r="AR265" s="107"/>
      <c r="AS265" s="107"/>
      <c r="AT265" s="107"/>
      <c r="AU265" s="9"/>
      <c r="AV265" s="107"/>
      <c r="AW265" s="107"/>
      <c r="AX265" s="107"/>
      <c r="AY265" s="107"/>
      <c r="AZ265" s="107"/>
      <c r="BA265" s="107"/>
      <c r="BB265" s="9"/>
      <c r="BC265" s="107"/>
      <c r="BD265" s="107"/>
      <c r="BE265" s="107"/>
      <c r="BF265" s="107"/>
      <c r="BG265" s="107"/>
      <c r="BH265" s="107"/>
      <c r="BI265" s="107"/>
      <c r="BJ265" s="9"/>
      <c r="BK265" s="107"/>
      <c r="BL265" s="107"/>
      <c r="BM265" s="107"/>
      <c r="BN265" s="107"/>
      <c r="BO265" s="107"/>
      <c r="BP265" s="107"/>
      <c r="BQ265" s="107"/>
      <c r="BR265" s="9"/>
      <c r="BS265" s="107"/>
      <c r="BT265" s="107"/>
      <c r="BU265" s="107"/>
      <c r="BV265" s="107"/>
      <c r="BW265" s="107"/>
      <c r="BX265" s="107"/>
      <c r="BY265" s="9"/>
      <c r="BZ265" s="107"/>
      <c r="CA265" s="107"/>
      <c r="CB265" s="107"/>
      <c r="CC265" s="107"/>
      <c r="CD265" s="107"/>
      <c r="CE265" s="107"/>
      <c r="CF265" s="9"/>
      <c r="CG265" s="107"/>
      <c r="CH265" s="107"/>
      <c r="CI265" s="107"/>
      <c r="CJ265" s="107"/>
      <c r="CK265" s="107"/>
      <c r="CL265" s="107"/>
    </row>
    <row r="266" spans="1:93" s="268" customFormat="1" x14ac:dyDescent="0.25">
      <c r="A266" s="107"/>
      <c r="B266" s="107"/>
      <c r="C266" s="9"/>
      <c r="D266" s="107"/>
      <c r="E266" s="107"/>
      <c r="F266" s="107"/>
      <c r="G266" s="107"/>
      <c r="H266" s="107"/>
      <c r="I266" s="9"/>
      <c r="J266" s="107"/>
      <c r="K266" s="107"/>
      <c r="L266" s="107"/>
      <c r="M266" s="107"/>
      <c r="N266" s="107"/>
      <c r="O266" s="9"/>
      <c r="P266" s="107"/>
      <c r="Q266" s="107"/>
      <c r="R266" s="107"/>
      <c r="S266" s="107"/>
      <c r="T266" s="107"/>
      <c r="U266" s="9"/>
      <c r="V266" s="107"/>
      <c r="W266" s="107"/>
      <c r="X266" s="107"/>
      <c r="Y266" s="107"/>
      <c r="Z266" s="107"/>
      <c r="AA266" s="107"/>
      <c r="AB266" s="9"/>
      <c r="AC266" s="107"/>
      <c r="AD266" s="107"/>
      <c r="AE266" s="107"/>
      <c r="AF266" s="107"/>
      <c r="AG266" s="107"/>
      <c r="AH266" s="9"/>
      <c r="AI266" s="107"/>
      <c r="AJ266" s="107"/>
      <c r="AK266" s="107"/>
      <c r="AL266" s="107"/>
      <c r="AM266" s="107"/>
      <c r="AN266" s="9"/>
      <c r="AO266" s="107"/>
      <c r="AP266" s="107"/>
      <c r="AQ266" s="107"/>
      <c r="AR266" s="107"/>
      <c r="AS266" s="107"/>
      <c r="AT266" s="107"/>
      <c r="AU266" s="9"/>
      <c r="AV266" s="107"/>
      <c r="AW266" s="107"/>
      <c r="AX266" s="107"/>
      <c r="AY266" s="107"/>
      <c r="AZ266" s="107"/>
      <c r="BA266" s="107"/>
      <c r="BB266" s="9"/>
      <c r="BC266" s="107"/>
      <c r="BD266" s="107"/>
      <c r="BE266" s="107"/>
      <c r="BF266" s="107"/>
      <c r="BG266" s="107"/>
      <c r="BH266" s="107"/>
      <c r="BI266" s="107"/>
      <c r="BJ266" s="9"/>
      <c r="BK266" s="107"/>
      <c r="BL266" s="107"/>
      <c r="BM266" s="107"/>
      <c r="BN266" s="107"/>
      <c r="BO266" s="107"/>
      <c r="BP266" s="107"/>
      <c r="BQ266" s="107"/>
      <c r="BR266" s="9"/>
      <c r="BS266" s="107"/>
      <c r="BT266" s="107"/>
      <c r="BU266" s="107"/>
      <c r="BV266" s="107"/>
      <c r="BW266" s="107"/>
      <c r="BX266" s="107"/>
      <c r="BY266" s="9"/>
      <c r="BZ266" s="107"/>
      <c r="CA266" s="107"/>
      <c r="CB266" s="107"/>
      <c r="CC266" s="107"/>
      <c r="CD266" s="107"/>
      <c r="CE266" s="107"/>
      <c r="CF266" s="9"/>
      <c r="CG266" s="107"/>
      <c r="CH266" s="107"/>
      <c r="CI266" s="107"/>
      <c r="CJ266" s="107"/>
      <c r="CK266" s="107"/>
      <c r="CL266" s="107"/>
    </row>
    <row r="267" spans="1:93" s="268" customFormat="1" x14ac:dyDescent="0.25">
      <c r="A267" s="107"/>
      <c r="B267" s="107"/>
      <c r="C267" s="9"/>
      <c r="D267" s="107"/>
      <c r="E267" s="107"/>
      <c r="F267" s="107"/>
      <c r="G267" s="107"/>
      <c r="H267" s="107"/>
      <c r="I267" s="9"/>
      <c r="J267" s="107"/>
      <c r="K267" s="107"/>
      <c r="L267" s="107"/>
      <c r="M267" s="107"/>
      <c r="N267" s="107"/>
      <c r="O267" s="9"/>
      <c r="P267" s="107"/>
      <c r="Q267" s="107"/>
      <c r="R267" s="107"/>
      <c r="S267" s="107"/>
      <c r="T267" s="107"/>
      <c r="U267" s="9"/>
      <c r="V267" s="107"/>
      <c r="W267" s="107"/>
      <c r="X267" s="107"/>
      <c r="Y267" s="107"/>
      <c r="Z267" s="107"/>
      <c r="AA267" s="107"/>
      <c r="AB267" s="9"/>
      <c r="AC267" s="107"/>
      <c r="AD267" s="107"/>
      <c r="AE267" s="107"/>
      <c r="AF267" s="107"/>
      <c r="AG267" s="107"/>
      <c r="AH267" s="9"/>
      <c r="AI267" s="107"/>
      <c r="AJ267" s="107"/>
      <c r="AK267" s="107"/>
      <c r="AL267" s="107"/>
      <c r="AM267" s="107"/>
      <c r="AN267" s="9"/>
      <c r="AO267" s="107"/>
      <c r="AP267" s="107"/>
      <c r="AQ267" s="107"/>
      <c r="AR267" s="107"/>
      <c r="AS267" s="107"/>
      <c r="AT267" s="107"/>
      <c r="AU267" s="9"/>
      <c r="AV267" s="107"/>
      <c r="AW267" s="107"/>
      <c r="AX267" s="107"/>
      <c r="AY267" s="107"/>
      <c r="AZ267" s="107"/>
      <c r="BA267" s="107"/>
      <c r="BB267" s="9"/>
      <c r="BC267" s="107"/>
      <c r="BD267" s="107"/>
      <c r="BE267" s="107"/>
      <c r="BF267" s="107"/>
      <c r="BG267" s="107"/>
      <c r="BH267" s="107"/>
      <c r="BI267" s="107"/>
      <c r="BJ267" s="9"/>
      <c r="BK267" s="107"/>
      <c r="BL267" s="107"/>
      <c r="BM267" s="107"/>
      <c r="BN267" s="107"/>
      <c r="BO267" s="107"/>
      <c r="BP267" s="107"/>
      <c r="BQ267" s="107"/>
      <c r="BR267" s="9"/>
      <c r="BS267" s="107"/>
      <c r="BT267" s="107"/>
      <c r="BU267" s="107"/>
      <c r="BV267" s="107"/>
      <c r="BW267" s="107"/>
      <c r="BX267" s="107"/>
      <c r="BY267" s="9"/>
      <c r="BZ267" s="107"/>
      <c r="CA267" s="107"/>
      <c r="CB267" s="107"/>
      <c r="CC267" s="107"/>
      <c r="CD267" s="107"/>
      <c r="CE267" s="107"/>
      <c r="CF267" s="9"/>
      <c r="CG267" s="107"/>
      <c r="CH267" s="107"/>
      <c r="CI267" s="107"/>
      <c r="CJ267" s="107"/>
      <c r="CK267" s="107"/>
      <c r="CL267" s="107"/>
    </row>
    <row r="268" spans="1:93" s="268" customFormat="1" x14ac:dyDescent="0.25">
      <c r="A268" s="107"/>
      <c r="B268" s="107"/>
      <c r="C268" s="9"/>
      <c r="D268" s="107"/>
      <c r="E268" s="107"/>
      <c r="F268" s="107"/>
      <c r="G268" s="107"/>
      <c r="H268" s="107"/>
      <c r="I268" s="9"/>
      <c r="J268" s="107"/>
      <c r="K268" s="107"/>
      <c r="L268" s="107"/>
      <c r="M268" s="107"/>
      <c r="N268" s="107"/>
      <c r="O268" s="9"/>
      <c r="P268" s="107"/>
      <c r="Q268" s="107"/>
      <c r="R268" s="107"/>
      <c r="S268" s="107"/>
      <c r="T268" s="107"/>
      <c r="U268" s="9"/>
      <c r="V268" s="107"/>
      <c r="W268" s="107"/>
      <c r="X268" s="107"/>
      <c r="Y268" s="107"/>
      <c r="Z268" s="107"/>
      <c r="AA268" s="107"/>
      <c r="AB268" s="9"/>
      <c r="AC268" s="107"/>
      <c r="AD268" s="107"/>
      <c r="AE268" s="107"/>
      <c r="AF268" s="107"/>
      <c r="AG268" s="107"/>
      <c r="AH268" s="9"/>
      <c r="AI268" s="107"/>
      <c r="AJ268" s="107"/>
      <c r="AK268" s="107"/>
      <c r="AL268" s="107"/>
      <c r="AM268" s="107"/>
      <c r="AN268" s="9"/>
      <c r="AO268" s="107"/>
      <c r="AP268" s="107"/>
      <c r="AQ268" s="107"/>
      <c r="AR268" s="107"/>
      <c r="AS268" s="107"/>
      <c r="AT268" s="107"/>
      <c r="AU268" s="9"/>
      <c r="AV268" s="107"/>
      <c r="AW268" s="107"/>
      <c r="AX268" s="107"/>
      <c r="AY268" s="107"/>
      <c r="AZ268" s="107"/>
      <c r="BA268" s="107"/>
      <c r="BB268" s="9"/>
      <c r="BC268" s="107"/>
      <c r="BD268" s="107"/>
      <c r="BE268" s="107"/>
      <c r="BF268" s="107"/>
      <c r="BG268" s="107"/>
      <c r="BH268" s="107"/>
      <c r="BI268" s="107"/>
      <c r="BJ268" s="9"/>
      <c r="BK268" s="107"/>
      <c r="BL268" s="107"/>
      <c r="BM268" s="107"/>
      <c r="BN268" s="107"/>
      <c r="BO268" s="107"/>
      <c r="BP268" s="107"/>
      <c r="BQ268" s="107"/>
      <c r="BR268" s="9"/>
      <c r="BS268" s="107"/>
      <c r="BT268" s="107"/>
      <c r="BU268" s="107"/>
      <c r="BV268" s="107"/>
      <c r="BW268" s="107"/>
      <c r="BX268" s="107"/>
      <c r="BY268" s="9"/>
      <c r="BZ268" s="107"/>
      <c r="CA268" s="107"/>
      <c r="CB268" s="107"/>
      <c r="CC268" s="107"/>
      <c r="CD268" s="107"/>
      <c r="CE268" s="107"/>
      <c r="CF268" s="9"/>
      <c r="CG268" s="107"/>
      <c r="CH268" s="107"/>
      <c r="CI268" s="107"/>
      <c r="CJ268" s="107"/>
      <c r="CK268" s="107"/>
      <c r="CL268" s="107"/>
    </row>
    <row r="269" spans="1:93" s="268" customFormat="1" x14ac:dyDescent="0.25">
      <c r="A269" s="107"/>
      <c r="B269" s="107"/>
      <c r="C269" s="9"/>
      <c r="D269" s="107"/>
      <c r="E269" s="107"/>
      <c r="F269" s="107"/>
      <c r="G269" s="107"/>
      <c r="H269" s="107"/>
      <c r="I269" s="9"/>
      <c r="J269" s="107"/>
      <c r="K269" s="107"/>
      <c r="L269" s="107"/>
      <c r="M269" s="107"/>
      <c r="N269" s="107"/>
      <c r="O269" s="9"/>
      <c r="P269" s="107"/>
      <c r="Q269" s="107"/>
      <c r="R269" s="107"/>
      <c r="S269" s="107"/>
      <c r="T269" s="107"/>
      <c r="U269" s="9"/>
      <c r="V269" s="107"/>
      <c r="W269" s="107"/>
      <c r="X269" s="107"/>
      <c r="Y269" s="107"/>
      <c r="Z269" s="107"/>
      <c r="AA269" s="107"/>
      <c r="AB269" s="9"/>
      <c r="AC269" s="107"/>
      <c r="AD269" s="107"/>
      <c r="AE269" s="107"/>
      <c r="AF269" s="107"/>
      <c r="AG269" s="107"/>
      <c r="AH269" s="9"/>
      <c r="AI269" s="107"/>
      <c r="AJ269" s="107"/>
      <c r="AK269" s="107"/>
      <c r="AL269" s="107"/>
      <c r="AM269" s="107"/>
      <c r="AN269" s="9"/>
      <c r="AO269" s="107"/>
      <c r="AP269" s="107"/>
      <c r="AQ269" s="107"/>
      <c r="AR269" s="107"/>
      <c r="AS269" s="107"/>
      <c r="AT269" s="107"/>
      <c r="AU269" s="9"/>
      <c r="AV269" s="107"/>
      <c r="AW269" s="107"/>
      <c r="AX269" s="107"/>
      <c r="AY269" s="107"/>
      <c r="AZ269" s="107"/>
      <c r="BA269" s="107"/>
      <c r="BB269" s="9"/>
      <c r="BC269" s="107"/>
      <c r="BD269" s="107"/>
      <c r="BE269" s="107"/>
      <c r="BF269" s="107"/>
      <c r="BG269" s="107"/>
      <c r="BH269" s="107"/>
      <c r="BI269" s="107"/>
      <c r="BJ269" s="9"/>
      <c r="BK269" s="107"/>
      <c r="BL269" s="107"/>
      <c r="BM269" s="107"/>
      <c r="BN269" s="107"/>
      <c r="BO269" s="107"/>
      <c r="BP269" s="107"/>
      <c r="BQ269" s="107"/>
      <c r="BR269" s="9"/>
      <c r="BS269" s="107"/>
      <c r="BT269" s="107"/>
      <c r="BU269" s="107"/>
      <c r="BV269" s="107"/>
      <c r="BW269" s="107"/>
      <c r="BX269" s="107"/>
      <c r="BY269" s="9"/>
      <c r="BZ269" s="107"/>
      <c r="CA269" s="107"/>
      <c r="CB269" s="107"/>
      <c r="CC269" s="107"/>
      <c r="CD269" s="107"/>
      <c r="CE269" s="107"/>
      <c r="CF269" s="9"/>
      <c r="CG269" s="107"/>
      <c r="CH269" s="107"/>
      <c r="CI269" s="107"/>
      <c r="CJ269" s="107"/>
      <c r="CK269" s="107"/>
      <c r="CL269" s="107"/>
    </row>
    <row r="270" spans="1:93" s="268" customFormat="1" x14ac:dyDescent="0.25">
      <c r="A270" s="107"/>
      <c r="B270" s="107"/>
      <c r="C270" s="9"/>
      <c r="D270" s="107"/>
      <c r="E270" s="107"/>
      <c r="F270" s="107"/>
      <c r="G270" s="107"/>
      <c r="H270" s="107"/>
      <c r="I270" s="9"/>
      <c r="J270" s="107"/>
      <c r="K270" s="107"/>
      <c r="L270" s="107"/>
      <c r="M270" s="107"/>
      <c r="N270" s="107"/>
      <c r="O270" s="9"/>
      <c r="P270" s="107"/>
      <c r="Q270" s="107"/>
      <c r="R270" s="107"/>
      <c r="S270" s="107"/>
      <c r="T270" s="107"/>
      <c r="U270" s="9"/>
      <c r="V270" s="107"/>
      <c r="W270" s="107"/>
      <c r="X270" s="107"/>
      <c r="Y270" s="107"/>
      <c r="Z270" s="107"/>
      <c r="AA270" s="107"/>
      <c r="AB270" s="9"/>
      <c r="AC270" s="107"/>
      <c r="AD270" s="107"/>
      <c r="AE270" s="107"/>
      <c r="AF270" s="107"/>
      <c r="AG270" s="107"/>
      <c r="AH270" s="9"/>
      <c r="AI270" s="107"/>
      <c r="AJ270" s="107"/>
      <c r="AK270" s="107"/>
      <c r="AL270" s="107"/>
      <c r="AM270" s="107"/>
      <c r="AN270" s="9"/>
      <c r="AO270" s="107"/>
      <c r="AP270" s="107"/>
      <c r="AQ270" s="107"/>
      <c r="AR270" s="107"/>
      <c r="AS270" s="107"/>
      <c r="AT270" s="107"/>
      <c r="AU270" s="9"/>
      <c r="AV270" s="107"/>
      <c r="AW270" s="107"/>
      <c r="AX270" s="107"/>
      <c r="AY270" s="107"/>
      <c r="AZ270" s="107"/>
      <c r="BA270" s="107"/>
      <c r="BB270" s="9"/>
      <c r="BC270" s="107"/>
      <c r="BD270" s="107"/>
      <c r="BE270" s="107"/>
      <c r="BF270" s="107"/>
      <c r="BG270" s="107"/>
      <c r="BH270" s="107"/>
      <c r="BI270" s="107"/>
      <c r="BJ270" s="9"/>
      <c r="BK270" s="107"/>
      <c r="BL270" s="107"/>
      <c r="BM270" s="107"/>
      <c r="BN270" s="107"/>
      <c r="BO270" s="107"/>
      <c r="BP270" s="107"/>
      <c r="BQ270" s="107"/>
      <c r="BR270" s="9"/>
      <c r="BS270" s="107"/>
      <c r="BT270" s="107"/>
      <c r="BU270" s="107"/>
      <c r="BV270" s="107"/>
      <c r="BW270" s="107"/>
      <c r="BX270" s="107"/>
      <c r="BY270" s="9"/>
      <c r="BZ270" s="107"/>
      <c r="CA270" s="107"/>
      <c r="CB270" s="107"/>
      <c r="CC270" s="107"/>
      <c r="CD270" s="107"/>
      <c r="CE270" s="107"/>
      <c r="CF270" s="9"/>
      <c r="CG270" s="107"/>
      <c r="CH270" s="107"/>
      <c r="CI270" s="107"/>
      <c r="CJ270" s="107"/>
      <c r="CK270" s="107"/>
      <c r="CL270" s="107"/>
    </row>
    <row r="271" spans="1:93" s="268" customFormat="1" x14ac:dyDescent="0.25">
      <c r="A271" s="107"/>
      <c r="B271" s="107"/>
      <c r="C271" s="9"/>
      <c r="D271" s="107"/>
      <c r="E271" s="107"/>
      <c r="F271" s="107"/>
      <c r="G271" s="107"/>
      <c r="H271" s="107"/>
      <c r="I271" s="9"/>
      <c r="J271" s="107"/>
      <c r="K271" s="107"/>
      <c r="L271" s="107"/>
      <c r="M271" s="107"/>
      <c r="N271" s="107"/>
      <c r="O271" s="9"/>
      <c r="P271" s="107"/>
      <c r="Q271" s="107"/>
      <c r="R271" s="107"/>
      <c r="S271" s="107"/>
      <c r="T271" s="107"/>
      <c r="U271" s="9"/>
      <c r="V271" s="107"/>
      <c r="W271" s="107"/>
      <c r="X271" s="107"/>
      <c r="Y271" s="107"/>
      <c r="Z271" s="107"/>
      <c r="AA271" s="107"/>
      <c r="AB271" s="9"/>
      <c r="AC271" s="107"/>
      <c r="AD271" s="107"/>
      <c r="AE271" s="107"/>
      <c r="AF271" s="107"/>
      <c r="AG271" s="107"/>
      <c r="AH271" s="9"/>
      <c r="AI271" s="107"/>
      <c r="AJ271" s="107"/>
      <c r="AK271" s="107"/>
      <c r="AL271" s="107"/>
      <c r="AM271" s="107"/>
      <c r="AN271" s="9"/>
      <c r="AO271" s="107"/>
      <c r="AP271" s="107"/>
      <c r="AQ271" s="107"/>
      <c r="AR271" s="107"/>
      <c r="AS271" s="107"/>
      <c r="AT271" s="107"/>
      <c r="AU271" s="9"/>
      <c r="AV271" s="107"/>
      <c r="AW271" s="107"/>
      <c r="AX271" s="107"/>
      <c r="AY271" s="107"/>
      <c r="AZ271" s="107"/>
      <c r="BA271" s="107"/>
      <c r="BB271" s="9"/>
      <c r="BC271" s="107"/>
      <c r="BD271" s="107"/>
      <c r="BE271" s="107"/>
      <c r="BF271" s="107"/>
      <c r="BG271" s="107"/>
      <c r="BH271" s="107"/>
      <c r="BI271" s="107"/>
      <c r="BJ271" s="9"/>
      <c r="BK271" s="107"/>
      <c r="BL271" s="107"/>
      <c r="BM271" s="107"/>
      <c r="BN271" s="107"/>
      <c r="BO271" s="107"/>
      <c r="BP271" s="107"/>
      <c r="BQ271" s="107"/>
      <c r="BR271" s="9"/>
      <c r="BS271" s="107"/>
      <c r="BT271" s="107"/>
      <c r="BU271" s="107"/>
      <c r="BV271" s="107"/>
      <c r="BW271" s="107"/>
      <c r="BX271" s="107"/>
      <c r="BY271" s="9"/>
      <c r="BZ271" s="107"/>
      <c r="CA271" s="107"/>
      <c r="CB271" s="107"/>
      <c r="CC271" s="107"/>
      <c r="CD271" s="107"/>
      <c r="CE271" s="107"/>
      <c r="CF271" s="9"/>
      <c r="CG271" s="107"/>
      <c r="CH271" s="107"/>
      <c r="CI271" s="107"/>
      <c r="CJ271" s="107"/>
      <c r="CK271" s="107"/>
      <c r="CL271" s="107"/>
    </row>
    <row r="272" spans="1:93" s="268" customFormat="1" x14ac:dyDescent="0.25">
      <c r="A272" s="107"/>
      <c r="B272" s="107"/>
      <c r="C272" s="9"/>
      <c r="D272" s="107"/>
      <c r="E272" s="107"/>
      <c r="F272" s="107"/>
      <c r="G272" s="107"/>
      <c r="H272" s="107"/>
      <c r="I272" s="9"/>
      <c r="J272" s="107"/>
      <c r="K272" s="107"/>
      <c r="L272" s="107"/>
      <c r="M272" s="107"/>
      <c r="N272" s="107"/>
      <c r="O272" s="9"/>
      <c r="P272" s="107"/>
      <c r="Q272" s="107"/>
      <c r="R272" s="107"/>
      <c r="S272" s="107"/>
      <c r="T272" s="107"/>
      <c r="U272" s="9"/>
      <c r="V272" s="107"/>
      <c r="W272" s="107"/>
      <c r="X272" s="107"/>
      <c r="Y272" s="107"/>
      <c r="Z272" s="107"/>
      <c r="AA272" s="107"/>
      <c r="AB272" s="9"/>
      <c r="AC272" s="107"/>
      <c r="AD272" s="107"/>
      <c r="AE272" s="107"/>
      <c r="AF272" s="107"/>
      <c r="AG272" s="107"/>
      <c r="AH272" s="9"/>
      <c r="AI272" s="107"/>
      <c r="AJ272" s="107"/>
      <c r="AK272" s="107"/>
      <c r="AL272" s="107"/>
      <c r="AM272" s="107"/>
      <c r="AN272" s="9"/>
      <c r="AO272" s="107"/>
      <c r="AP272" s="107"/>
      <c r="AQ272" s="107"/>
      <c r="AR272" s="107"/>
      <c r="AS272" s="107"/>
      <c r="AT272" s="107"/>
      <c r="AU272" s="9"/>
      <c r="AV272" s="107"/>
      <c r="AW272" s="107"/>
      <c r="AX272" s="107"/>
      <c r="AY272" s="107"/>
      <c r="AZ272" s="107"/>
      <c r="BA272" s="107"/>
      <c r="BB272" s="9"/>
      <c r="BC272" s="107"/>
      <c r="BD272" s="107"/>
      <c r="BE272" s="107"/>
      <c r="BF272" s="107"/>
      <c r="BG272" s="107"/>
      <c r="BH272" s="107"/>
      <c r="BI272" s="107"/>
      <c r="BJ272" s="9"/>
      <c r="BK272" s="107"/>
      <c r="BL272" s="107"/>
      <c r="BM272" s="107"/>
      <c r="BN272" s="107"/>
      <c r="BO272" s="107"/>
      <c r="BP272" s="107"/>
      <c r="BQ272" s="107"/>
      <c r="BR272" s="9"/>
      <c r="BS272" s="107"/>
      <c r="BT272" s="107"/>
      <c r="BU272" s="107"/>
      <c r="BV272" s="107"/>
      <c r="BW272" s="107"/>
      <c r="BX272" s="107"/>
      <c r="BY272" s="9"/>
      <c r="BZ272" s="107"/>
      <c r="CA272" s="107"/>
      <c r="CB272" s="107"/>
      <c r="CC272" s="107"/>
      <c r="CD272" s="107"/>
      <c r="CE272" s="107"/>
      <c r="CF272" s="9"/>
      <c r="CG272" s="107"/>
      <c r="CH272" s="107"/>
      <c r="CI272" s="107"/>
      <c r="CJ272" s="107"/>
      <c r="CK272" s="107"/>
      <c r="CL272" s="107"/>
    </row>
    <row r="273" spans="1:90" s="268" customFormat="1" x14ac:dyDescent="0.25">
      <c r="A273" s="107"/>
      <c r="B273" s="107"/>
      <c r="C273" s="9"/>
      <c r="D273" s="107"/>
      <c r="E273" s="107"/>
      <c r="F273" s="107"/>
      <c r="G273" s="107"/>
      <c r="H273" s="107"/>
      <c r="I273" s="9"/>
      <c r="J273" s="107"/>
      <c r="K273" s="107"/>
      <c r="L273" s="107"/>
      <c r="M273" s="107"/>
      <c r="N273" s="107"/>
      <c r="O273" s="9"/>
      <c r="P273" s="107"/>
      <c r="Q273" s="107"/>
      <c r="R273" s="107"/>
      <c r="S273" s="107"/>
      <c r="T273" s="107"/>
      <c r="U273" s="9"/>
      <c r="V273" s="107"/>
      <c r="W273" s="107"/>
      <c r="X273" s="107"/>
      <c r="Y273" s="107"/>
      <c r="Z273" s="107"/>
      <c r="AA273" s="107"/>
      <c r="AB273" s="9"/>
      <c r="AC273" s="107"/>
      <c r="AD273" s="107"/>
      <c r="AE273" s="107"/>
      <c r="AF273" s="107"/>
      <c r="AG273" s="107"/>
      <c r="AH273" s="9"/>
      <c r="AI273" s="107"/>
      <c r="AJ273" s="107"/>
      <c r="AK273" s="107"/>
      <c r="AL273" s="107"/>
      <c r="AM273" s="107"/>
      <c r="AN273" s="9"/>
      <c r="AO273" s="107"/>
      <c r="AP273" s="107"/>
      <c r="AQ273" s="107"/>
      <c r="AR273" s="107"/>
      <c r="AS273" s="107"/>
      <c r="AT273" s="107"/>
      <c r="AU273" s="9"/>
      <c r="AV273" s="107"/>
      <c r="AW273" s="107"/>
      <c r="AX273" s="107"/>
      <c r="AY273" s="107"/>
      <c r="AZ273" s="107"/>
      <c r="BA273" s="107"/>
      <c r="BB273" s="9"/>
      <c r="BC273" s="107"/>
      <c r="BD273" s="107"/>
      <c r="BE273" s="107"/>
      <c r="BF273" s="107"/>
      <c r="BG273" s="107"/>
      <c r="BH273" s="107"/>
      <c r="BI273" s="107"/>
      <c r="BJ273" s="9"/>
      <c r="BK273" s="107"/>
      <c r="BL273" s="107"/>
      <c r="BM273" s="107"/>
      <c r="BN273" s="107"/>
      <c r="BO273" s="107"/>
      <c r="BP273" s="107"/>
      <c r="BQ273" s="107"/>
      <c r="BR273" s="9"/>
      <c r="BS273" s="107"/>
      <c r="BT273" s="107"/>
      <c r="BU273" s="107"/>
      <c r="BV273" s="107"/>
      <c r="BW273" s="107"/>
      <c r="BX273" s="107"/>
      <c r="BY273" s="9"/>
      <c r="BZ273" s="107"/>
      <c r="CA273" s="107"/>
      <c r="CB273" s="107"/>
      <c r="CC273" s="107"/>
      <c r="CD273" s="107"/>
      <c r="CE273" s="107"/>
      <c r="CF273" s="9"/>
      <c r="CG273" s="107"/>
      <c r="CH273" s="107"/>
      <c r="CI273" s="107"/>
      <c r="CJ273" s="107"/>
      <c r="CK273" s="107"/>
      <c r="CL273" s="107"/>
    </row>
    <row r="274" spans="1:90" s="268" customFormat="1" x14ac:dyDescent="0.25">
      <c r="A274" s="107"/>
      <c r="B274" s="107"/>
      <c r="C274" s="9"/>
      <c r="D274" s="107"/>
      <c r="E274" s="107"/>
      <c r="F274" s="107"/>
      <c r="G274" s="107"/>
      <c r="H274" s="107"/>
      <c r="I274" s="9"/>
      <c r="J274" s="107"/>
      <c r="K274" s="107"/>
      <c r="L274" s="107"/>
      <c r="M274" s="107"/>
      <c r="N274" s="107"/>
      <c r="O274" s="9"/>
      <c r="P274" s="107"/>
      <c r="Q274" s="107"/>
      <c r="R274" s="107"/>
      <c r="S274" s="107"/>
      <c r="T274" s="107"/>
      <c r="U274" s="9"/>
      <c r="V274" s="107"/>
      <c r="W274" s="107"/>
      <c r="X274" s="107"/>
      <c r="Y274" s="107"/>
      <c r="Z274" s="107"/>
      <c r="AA274" s="107"/>
      <c r="AB274" s="9"/>
      <c r="AC274" s="107"/>
      <c r="AD274" s="107"/>
      <c r="AE274" s="107"/>
      <c r="AF274" s="107"/>
      <c r="AG274" s="107"/>
      <c r="AH274" s="9"/>
      <c r="AI274" s="107"/>
      <c r="AJ274" s="107"/>
      <c r="AK274" s="107"/>
      <c r="AL274" s="107"/>
      <c r="AM274" s="107"/>
      <c r="AN274" s="9"/>
      <c r="AO274" s="107"/>
      <c r="AP274" s="107"/>
      <c r="AQ274" s="107"/>
      <c r="AR274" s="107"/>
      <c r="AS274" s="107"/>
      <c r="AT274" s="107"/>
      <c r="AU274" s="9"/>
      <c r="AV274" s="107"/>
      <c r="AW274" s="107"/>
      <c r="AX274" s="107"/>
      <c r="AY274" s="107"/>
      <c r="AZ274" s="107"/>
      <c r="BA274" s="107"/>
      <c r="BB274" s="9"/>
      <c r="BC274" s="107"/>
      <c r="BD274" s="107"/>
      <c r="BE274" s="107"/>
      <c r="BF274" s="107"/>
      <c r="BG274" s="107"/>
      <c r="BH274" s="107"/>
      <c r="BI274" s="107"/>
      <c r="BJ274" s="9"/>
      <c r="BK274" s="107"/>
      <c r="BL274" s="107"/>
      <c r="BM274" s="107"/>
      <c r="BN274" s="107"/>
      <c r="BO274" s="107"/>
      <c r="BP274" s="107"/>
      <c r="BQ274" s="107"/>
      <c r="BR274" s="9"/>
      <c r="BS274" s="107"/>
      <c r="BT274" s="107"/>
      <c r="BU274" s="107"/>
      <c r="BV274" s="107"/>
      <c r="BW274" s="107"/>
      <c r="BX274" s="107"/>
      <c r="BY274" s="9"/>
      <c r="BZ274" s="107"/>
      <c r="CA274" s="107"/>
      <c r="CB274" s="107"/>
      <c r="CC274" s="107"/>
      <c r="CD274" s="107"/>
      <c r="CE274" s="107"/>
      <c r="CF274" s="9"/>
      <c r="CG274" s="107"/>
      <c r="CH274" s="107"/>
      <c r="CI274" s="107"/>
      <c r="CJ274" s="107"/>
      <c r="CK274" s="107"/>
      <c r="CL274" s="107"/>
    </row>
    <row r="275" spans="1:90" s="268" customFormat="1" x14ac:dyDescent="0.25">
      <c r="A275" s="107"/>
      <c r="B275" s="107"/>
      <c r="C275" s="9"/>
      <c r="D275" s="107"/>
      <c r="E275" s="107"/>
      <c r="F275" s="107"/>
      <c r="G275" s="107"/>
      <c r="H275" s="107"/>
      <c r="I275" s="9"/>
      <c r="J275" s="107"/>
      <c r="K275" s="107"/>
      <c r="L275" s="107"/>
      <c r="M275" s="107"/>
      <c r="N275" s="107"/>
      <c r="O275" s="9"/>
      <c r="P275" s="107"/>
      <c r="Q275" s="107"/>
      <c r="R275" s="107"/>
      <c r="S275" s="107"/>
      <c r="T275" s="107"/>
      <c r="U275" s="9"/>
      <c r="V275" s="107"/>
      <c r="W275" s="107"/>
      <c r="X275" s="107"/>
      <c r="Y275" s="107"/>
      <c r="Z275" s="107"/>
      <c r="AA275" s="107"/>
      <c r="AB275" s="9"/>
      <c r="AC275" s="107"/>
      <c r="AD275" s="107"/>
      <c r="AE275" s="107"/>
      <c r="AF275" s="107"/>
      <c r="AG275" s="107"/>
      <c r="AH275" s="9"/>
      <c r="AI275" s="107"/>
      <c r="AJ275" s="107"/>
      <c r="AK275" s="107"/>
      <c r="AL275" s="107"/>
      <c r="AM275" s="107"/>
      <c r="AN275" s="9"/>
      <c r="AO275" s="107"/>
      <c r="AP275" s="107"/>
      <c r="AQ275" s="107"/>
      <c r="AR275" s="107"/>
      <c r="AS275" s="107"/>
      <c r="AT275" s="107"/>
      <c r="AU275" s="9"/>
      <c r="AV275" s="107"/>
      <c r="AW275" s="107"/>
      <c r="AX275" s="107"/>
      <c r="AY275" s="107"/>
      <c r="AZ275" s="107"/>
      <c r="BA275" s="107"/>
      <c r="BB275" s="9"/>
      <c r="BC275" s="107"/>
      <c r="BD275" s="107"/>
      <c r="BE275" s="107"/>
      <c r="BF275" s="107"/>
      <c r="BG275" s="107"/>
      <c r="BH275" s="107"/>
      <c r="BI275" s="107"/>
      <c r="BJ275" s="9"/>
      <c r="BK275" s="107"/>
      <c r="BL275" s="107"/>
      <c r="BM275" s="107"/>
      <c r="BN275" s="107"/>
      <c r="BO275" s="107"/>
      <c r="BP275" s="107"/>
      <c r="BQ275" s="107"/>
      <c r="BR275" s="9"/>
      <c r="BS275" s="107"/>
      <c r="BT275" s="107"/>
      <c r="BU275" s="107"/>
      <c r="BV275" s="107"/>
      <c r="BW275" s="107"/>
      <c r="BX275" s="107"/>
      <c r="BY275" s="9"/>
      <c r="BZ275" s="107"/>
      <c r="CA275" s="107"/>
      <c r="CB275" s="107"/>
      <c r="CC275" s="107"/>
      <c r="CD275" s="107"/>
      <c r="CE275" s="107"/>
      <c r="CF275" s="9"/>
      <c r="CG275" s="107"/>
      <c r="CH275" s="107"/>
      <c r="CI275" s="107"/>
      <c r="CJ275" s="107"/>
      <c r="CK275" s="107"/>
      <c r="CL275" s="107"/>
    </row>
    <row r="276" spans="1:90" s="268" customFormat="1" x14ac:dyDescent="0.25">
      <c r="A276" s="107"/>
      <c r="B276" s="107"/>
      <c r="C276" s="9"/>
      <c r="D276" s="107"/>
      <c r="E276" s="107"/>
      <c r="F276" s="107"/>
      <c r="G276" s="107"/>
      <c r="H276" s="107"/>
      <c r="I276" s="9"/>
      <c r="J276" s="107"/>
      <c r="K276" s="107"/>
      <c r="L276" s="107"/>
      <c r="M276" s="107"/>
      <c r="N276" s="107"/>
      <c r="O276" s="9"/>
      <c r="P276" s="107"/>
      <c r="Q276" s="107"/>
      <c r="R276" s="107"/>
      <c r="S276" s="107"/>
      <c r="T276" s="107"/>
      <c r="U276" s="9"/>
      <c r="V276" s="107"/>
      <c r="W276" s="107"/>
      <c r="X276" s="107"/>
      <c r="Y276" s="107"/>
      <c r="Z276" s="107"/>
      <c r="AA276" s="107"/>
      <c r="AB276" s="9"/>
      <c r="AC276" s="107"/>
      <c r="AD276" s="107"/>
      <c r="AE276" s="107"/>
      <c r="AF276" s="107"/>
      <c r="AG276" s="107"/>
      <c r="AH276" s="9"/>
      <c r="AI276" s="107"/>
      <c r="AJ276" s="107"/>
      <c r="AK276" s="107"/>
      <c r="AL276" s="107"/>
      <c r="AM276" s="107"/>
      <c r="AN276" s="9"/>
      <c r="AO276" s="107"/>
      <c r="AP276" s="107"/>
      <c r="AQ276" s="107"/>
      <c r="AR276" s="107"/>
      <c r="AS276" s="107"/>
      <c r="AT276" s="107"/>
      <c r="AU276" s="9"/>
      <c r="AV276" s="107"/>
      <c r="AW276" s="107"/>
      <c r="AX276" s="107"/>
      <c r="AY276" s="107"/>
      <c r="AZ276" s="107"/>
      <c r="BA276" s="107"/>
      <c r="BB276" s="9"/>
      <c r="BC276" s="107"/>
      <c r="BD276" s="107"/>
      <c r="BE276" s="107"/>
      <c r="BF276" s="107"/>
      <c r="BG276" s="107"/>
      <c r="BH276" s="107"/>
      <c r="BI276" s="107"/>
      <c r="BJ276" s="9"/>
      <c r="BK276" s="107"/>
      <c r="BL276" s="107"/>
      <c r="BM276" s="107"/>
      <c r="BN276" s="107"/>
      <c r="BO276" s="107"/>
      <c r="BP276" s="107"/>
      <c r="BQ276" s="107"/>
      <c r="BR276" s="9"/>
      <c r="BS276" s="107"/>
      <c r="BT276" s="107"/>
      <c r="BU276" s="107"/>
      <c r="BV276" s="107"/>
      <c r="BW276" s="107"/>
      <c r="BX276" s="107"/>
      <c r="BY276" s="9"/>
      <c r="BZ276" s="107"/>
      <c r="CA276" s="107"/>
      <c r="CB276" s="107"/>
      <c r="CC276" s="107"/>
      <c r="CD276" s="107"/>
      <c r="CE276" s="107"/>
      <c r="CF276" s="9"/>
      <c r="CG276" s="107"/>
      <c r="CH276" s="107"/>
      <c r="CI276" s="107"/>
      <c r="CJ276" s="107"/>
      <c r="CK276" s="107"/>
      <c r="CL276" s="107"/>
    </row>
    <row r="277" spans="1:90" s="268" customFormat="1" x14ac:dyDescent="0.25">
      <c r="A277" s="107"/>
      <c r="B277" s="107"/>
      <c r="C277" s="9"/>
      <c r="D277" s="107"/>
      <c r="E277" s="107"/>
      <c r="F277" s="107"/>
      <c r="G277" s="107"/>
      <c r="H277" s="107"/>
      <c r="I277" s="9"/>
      <c r="J277" s="107"/>
      <c r="K277" s="107"/>
      <c r="L277" s="107"/>
      <c r="M277" s="107"/>
      <c r="N277" s="107"/>
      <c r="O277" s="9"/>
      <c r="P277" s="107"/>
      <c r="Q277" s="107"/>
      <c r="R277" s="107"/>
      <c r="S277" s="107"/>
      <c r="T277" s="107"/>
      <c r="U277" s="9"/>
      <c r="V277" s="107"/>
      <c r="W277" s="107"/>
      <c r="X277" s="107"/>
      <c r="Y277" s="107"/>
      <c r="Z277" s="107"/>
      <c r="AA277" s="107"/>
      <c r="AB277" s="9"/>
      <c r="AC277" s="107"/>
      <c r="AD277" s="107"/>
      <c r="AE277" s="107"/>
      <c r="AF277" s="107"/>
      <c r="AG277" s="107"/>
      <c r="AH277" s="9"/>
      <c r="AI277" s="107"/>
      <c r="AJ277" s="107"/>
      <c r="AK277" s="107"/>
      <c r="AL277" s="107"/>
      <c r="AM277" s="107"/>
      <c r="AN277" s="9"/>
      <c r="AO277" s="107"/>
      <c r="AP277" s="107"/>
      <c r="AQ277" s="107"/>
      <c r="AR277" s="107"/>
      <c r="AS277" s="107"/>
      <c r="AT277" s="107"/>
      <c r="AU277" s="9"/>
      <c r="AV277" s="107"/>
      <c r="AW277" s="107"/>
      <c r="AX277" s="107"/>
      <c r="AY277" s="107"/>
      <c r="AZ277" s="107"/>
      <c r="BA277" s="107"/>
      <c r="BB277" s="9"/>
      <c r="BC277" s="107"/>
      <c r="BD277" s="107"/>
      <c r="BE277" s="107"/>
      <c r="BF277" s="107"/>
      <c r="BG277" s="107"/>
      <c r="BH277" s="107"/>
      <c r="BI277" s="107"/>
      <c r="BJ277" s="9"/>
      <c r="BK277" s="107"/>
      <c r="BL277" s="107"/>
      <c r="BM277" s="107"/>
      <c r="BN277" s="107"/>
      <c r="BO277" s="107"/>
      <c r="BP277" s="107"/>
      <c r="BQ277" s="107"/>
      <c r="BR277" s="9"/>
      <c r="BS277" s="107"/>
      <c r="BT277" s="107"/>
      <c r="BU277" s="107"/>
      <c r="BV277" s="107"/>
      <c r="BW277" s="107"/>
      <c r="BX277" s="107"/>
      <c r="BY277" s="9"/>
      <c r="BZ277" s="107"/>
      <c r="CA277" s="107"/>
      <c r="CB277" s="107"/>
      <c r="CC277" s="107"/>
      <c r="CD277" s="107"/>
      <c r="CE277" s="107"/>
      <c r="CF277" s="9"/>
      <c r="CG277" s="107"/>
      <c r="CH277" s="107"/>
      <c r="CI277" s="107"/>
      <c r="CJ277" s="107"/>
      <c r="CK277" s="107"/>
      <c r="CL277" s="107"/>
    </row>
    <row r="278" spans="1:90" s="268" customFormat="1" x14ac:dyDescent="0.25">
      <c r="A278" s="107"/>
      <c r="B278" s="107"/>
      <c r="C278" s="9"/>
      <c r="D278" s="107"/>
      <c r="E278" s="107"/>
      <c r="F278" s="107"/>
      <c r="G278" s="107"/>
      <c r="H278" s="107"/>
      <c r="I278" s="9"/>
      <c r="J278" s="107"/>
      <c r="K278" s="107"/>
      <c r="L278" s="107"/>
      <c r="M278" s="107"/>
      <c r="N278" s="107"/>
      <c r="O278" s="9"/>
      <c r="P278" s="107"/>
      <c r="Q278" s="107"/>
      <c r="R278" s="107"/>
      <c r="S278" s="107"/>
      <c r="T278" s="107"/>
      <c r="U278" s="9"/>
      <c r="V278" s="107"/>
      <c r="W278" s="107"/>
      <c r="X278" s="107"/>
      <c r="Y278" s="107"/>
      <c r="Z278" s="107"/>
      <c r="AA278" s="107"/>
      <c r="AB278" s="9"/>
      <c r="AC278" s="107"/>
      <c r="AD278" s="107"/>
      <c r="AE278" s="107"/>
      <c r="AF278" s="107"/>
      <c r="AG278" s="107"/>
      <c r="AH278" s="9"/>
      <c r="AI278" s="107"/>
      <c r="AJ278" s="107"/>
      <c r="AK278" s="107"/>
      <c r="AL278" s="107"/>
      <c r="AM278" s="107"/>
      <c r="AN278" s="9"/>
      <c r="AO278" s="107"/>
      <c r="AP278" s="107"/>
      <c r="AQ278" s="107"/>
      <c r="AR278" s="107"/>
      <c r="AS278" s="107"/>
      <c r="AT278" s="107"/>
      <c r="AU278" s="9"/>
      <c r="AV278" s="107"/>
      <c r="AW278" s="107"/>
      <c r="AX278" s="107"/>
      <c r="AY278" s="107"/>
      <c r="AZ278" s="107"/>
      <c r="BA278" s="107"/>
      <c r="BB278" s="9"/>
      <c r="BC278" s="107"/>
      <c r="BD278" s="107"/>
      <c r="BE278" s="107"/>
      <c r="BF278" s="107"/>
      <c r="BG278" s="107"/>
      <c r="BH278" s="107"/>
      <c r="BI278" s="107"/>
      <c r="BJ278" s="9"/>
      <c r="BK278" s="107"/>
      <c r="BL278" s="107"/>
      <c r="BM278" s="107"/>
      <c r="BN278" s="107"/>
      <c r="BO278" s="107"/>
      <c r="BP278" s="107"/>
      <c r="BQ278" s="107"/>
      <c r="BR278" s="9"/>
      <c r="BS278" s="107"/>
      <c r="BT278" s="107"/>
      <c r="BU278" s="107"/>
      <c r="BV278" s="107"/>
      <c r="BW278" s="107"/>
      <c r="BX278" s="107"/>
      <c r="BY278" s="9"/>
      <c r="BZ278" s="107"/>
      <c r="CA278" s="107"/>
      <c r="CB278" s="107"/>
      <c r="CC278" s="107"/>
      <c r="CD278" s="107"/>
      <c r="CE278" s="107"/>
      <c r="CF278" s="9"/>
      <c r="CG278" s="107"/>
      <c r="CH278" s="107"/>
      <c r="CI278" s="107"/>
      <c r="CJ278" s="107"/>
      <c r="CK278" s="107"/>
      <c r="CL278" s="107"/>
    </row>
    <row r="279" spans="1:90" s="268" customFormat="1" x14ac:dyDescent="0.25">
      <c r="A279" s="107"/>
      <c r="B279" s="107"/>
      <c r="C279" s="9"/>
      <c r="D279" s="107"/>
      <c r="E279" s="107"/>
      <c r="F279" s="107"/>
      <c r="G279" s="107"/>
      <c r="H279" s="107"/>
      <c r="I279" s="9"/>
      <c r="J279" s="107"/>
      <c r="K279" s="107"/>
      <c r="L279" s="107"/>
      <c r="M279" s="107"/>
      <c r="N279" s="107"/>
      <c r="O279" s="9"/>
      <c r="P279" s="107"/>
      <c r="Q279" s="107"/>
      <c r="R279" s="107"/>
      <c r="S279" s="107"/>
      <c r="T279" s="107"/>
      <c r="U279" s="9"/>
      <c r="V279" s="107"/>
      <c r="W279" s="107"/>
      <c r="X279" s="107"/>
      <c r="Y279" s="107"/>
      <c r="Z279" s="107"/>
      <c r="AA279" s="107"/>
      <c r="AB279" s="9"/>
      <c r="AC279" s="107"/>
      <c r="AD279" s="107"/>
      <c r="AE279" s="107"/>
      <c r="AF279" s="107"/>
      <c r="AG279" s="107"/>
      <c r="AH279" s="9"/>
      <c r="AI279" s="107"/>
      <c r="AJ279" s="107"/>
      <c r="AK279" s="107"/>
      <c r="AL279" s="107"/>
      <c r="AM279" s="107"/>
      <c r="AN279" s="9"/>
      <c r="AO279" s="107"/>
      <c r="AP279" s="107"/>
      <c r="AQ279" s="107"/>
      <c r="AR279" s="107"/>
      <c r="AS279" s="107"/>
      <c r="AT279" s="107"/>
      <c r="AU279" s="9"/>
      <c r="AV279" s="107"/>
      <c r="AW279" s="107"/>
      <c r="AX279" s="107"/>
      <c r="AY279" s="107"/>
      <c r="AZ279" s="107"/>
      <c r="BA279" s="107"/>
      <c r="BB279" s="9"/>
      <c r="BC279" s="107"/>
      <c r="BD279" s="107"/>
      <c r="BE279" s="107"/>
      <c r="BF279" s="107"/>
      <c r="BG279" s="107"/>
      <c r="BH279" s="107"/>
      <c r="BI279" s="107"/>
      <c r="BJ279" s="9"/>
      <c r="BK279" s="107"/>
      <c r="BL279" s="107"/>
      <c r="BM279" s="107"/>
      <c r="BN279" s="107"/>
      <c r="BO279" s="107"/>
      <c r="BP279" s="107"/>
      <c r="BQ279" s="107"/>
      <c r="BR279" s="9"/>
      <c r="BS279" s="107"/>
      <c r="BT279" s="107"/>
      <c r="BU279" s="107"/>
      <c r="BV279" s="107"/>
      <c r="BW279" s="107"/>
      <c r="BX279" s="107"/>
      <c r="BY279" s="9"/>
      <c r="BZ279" s="107"/>
      <c r="CA279" s="107"/>
      <c r="CB279" s="107"/>
      <c r="CC279" s="107"/>
      <c r="CD279" s="107"/>
      <c r="CE279" s="107"/>
      <c r="CF279" s="9"/>
      <c r="CG279" s="107"/>
      <c r="CH279" s="107"/>
      <c r="CI279" s="107"/>
      <c r="CJ279" s="107"/>
      <c r="CK279" s="107"/>
      <c r="CL279" s="107"/>
    </row>
    <row r="280" spans="1:90" s="268" customFormat="1" x14ac:dyDescent="0.25">
      <c r="A280" s="107"/>
      <c r="B280" s="107"/>
      <c r="C280" s="9"/>
      <c r="D280" s="107"/>
      <c r="E280" s="107"/>
      <c r="F280" s="107"/>
      <c r="G280" s="107"/>
      <c r="H280" s="107"/>
      <c r="I280" s="9"/>
      <c r="J280" s="107"/>
      <c r="K280" s="107"/>
      <c r="L280" s="107"/>
      <c r="M280" s="107"/>
      <c r="N280" s="107"/>
      <c r="O280" s="9"/>
      <c r="P280" s="107"/>
      <c r="Q280" s="107"/>
      <c r="R280" s="107"/>
      <c r="S280" s="107"/>
      <c r="T280" s="107"/>
      <c r="U280" s="9"/>
      <c r="V280" s="107"/>
      <c r="W280" s="107"/>
      <c r="X280" s="107"/>
      <c r="Y280" s="107"/>
      <c r="Z280" s="107"/>
      <c r="AA280" s="107"/>
      <c r="AB280" s="9"/>
      <c r="AC280" s="107"/>
      <c r="AD280" s="107"/>
      <c r="AE280" s="107"/>
      <c r="AF280" s="107"/>
      <c r="AG280" s="107"/>
      <c r="AH280" s="9"/>
      <c r="AI280" s="107"/>
      <c r="AJ280" s="107"/>
      <c r="AK280" s="107"/>
      <c r="AL280" s="107"/>
      <c r="AM280" s="107"/>
      <c r="AN280" s="9"/>
      <c r="AO280" s="107"/>
      <c r="AP280" s="107"/>
      <c r="AQ280" s="107"/>
      <c r="AR280" s="107"/>
      <c r="AS280" s="107"/>
      <c r="AT280" s="107"/>
      <c r="AU280" s="9"/>
      <c r="AV280" s="107"/>
      <c r="AW280" s="107"/>
      <c r="AX280" s="107"/>
      <c r="AY280" s="107"/>
      <c r="AZ280" s="107"/>
      <c r="BA280" s="107"/>
      <c r="BB280" s="9"/>
      <c r="BC280" s="107"/>
      <c r="BD280" s="107"/>
      <c r="BE280" s="107"/>
      <c r="BF280" s="107"/>
      <c r="BG280" s="107"/>
      <c r="BH280" s="107"/>
      <c r="BI280" s="107"/>
      <c r="BJ280" s="9"/>
      <c r="BK280" s="107"/>
      <c r="BL280" s="107"/>
      <c r="BM280" s="107"/>
      <c r="BN280" s="107"/>
      <c r="BO280" s="107"/>
      <c r="BP280" s="107"/>
      <c r="BQ280" s="107"/>
      <c r="BR280" s="9"/>
      <c r="BS280" s="107"/>
      <c r="BT280" s="107"/>
      <c r="BU280" s="107"/>
      <c r="BV280" s="107"/>
      <c r="BW280" s="107"/>
      <c r="BX280" s="107"/>
      <c r="BY280" s="9"/>
      <c r="BZ280" s="107"/>
      <c r="CA280" s="107"/>
      <c r="CB280" s="107"/>
      <c r="CC280" s="107"/>
      <c r="CD280" s="107"/>
      <c r="CE280" s="107"/>
      <c r="CF280" s="9"/>
      <c r="CG280" s="107"/>
      <c r="CH280" s="107"/>
      <c r="CI280" s="107"/>
      <c r="CJ280" s="107"/>
      <c r="CK280" s="107"/>
      <c r="CL280" s="107"/>
    </row>
    <row r="281" spans="1:90" s="268" customFormat="1" x14ac:dyDescent="0.25">
      <c r="A281" s="107"/>
      <c r="B281" s="107"/>
      <c r="C281" s="9"/>
      <c r="D281" s="107"/>
      <c r="E281" s="107"/>
      <c r="F281" s="107"/>
      <c r="G281" s="107"/>
      <c r="H281" s="107"/>
      <c r="I281" s="9"/>
      <c r="J281" s="107"/>
      <c r="K281" s="107"/>
      <c r="L281" s="107"/>
      <c r="M281" s="107"/>
      <c r="N281" s="107"/>
      <c r="O281" s="9"/>
      <c r="P281" s="107"/>
      <c r="Q281" s="107"/>
      <c r="R281" s="107"/>
      <c r="S281" s="107"/>
      <c r="T281" s="107"/>
      <c r="U281" s="9"/>
      <c r="V281" s="107"/>
      <c r="W281" s="107"/>
      <c r="X281" s="107"/>
      <c r="Y281" s="107"/>
      <c r="Z281" s="107"/>
      <c r="AA281" s="107"/>
      <c r="AB281" s="9"/>
      <c r="AC281" s="107"/>
      <c r="AD281" s="107"/>
      <c r="AE281" s="107"/>
      <c r="AF281" s="107"/>
      <c r="AG281" s="107"/>
      <c r="AH281" s="9"/>
      <c r="AI281" s="107"/>
      <c r="AJ281" s="107"/>
      <c r="AK281" s="107"/>
      <c r="AL281" s="107"/>
      <c r="AM281" s="107"/>
      <c r="AN281" s="9"/>
      <c r="AO281" s="107"/>
      <c r="AP281" s="107"/>
      <c r="AQ281" s="107"/>
      <c r="AR281" s="107"/>
      <c r="AS281" s="107"/>
      <c r="AT281" s="107"/>
      <c r="AU281" s="9"/>
      <c r="AV281" s="107"/>
      <c r="AW281" s="107"/>
      <c r="AX281" s="107"/>
      <c r="AY281" s="107"/>
      <c r="AZ281" s="107"/>
      <c r="BA281" s="107"/>
      <c r="BB281" s="9"/>
      <c r="BC281" s="107"/>
      <c r="BD281" s="107"/>
      <c r="BE281" s="107"/>
      <c r="BF281" s="107"/>
      <c r="BG281" s="107"/>
      <c r="BH281" s="107"/>
      <c r="BI281" s="107"/>
      <c r="BJ281" s="9"/>
      <c r="BK281" s="107"/>
      <c r="BL281" s="107"/>
      <c r="BM281" s="107"/>
      <c r="BN281" s="107"/>
      <c r="BO281" s="107"/>
      <c r="BP281" s="107"/>
      <c r="BQ281" s="107"/>
      <c r="BR281" s="9"/>
      <c r="BS281" s="107"/>
      <c r="BT281" s="107"/>
      <c r="BU281" s="107"/>
      <c r="BV281" s="107"/>
      <c r="BW281" s="107"/>
      <c r="BX281" s="107"/>
      <c r="BY281" s="9"/>
      <c r="BZ281" s="107"/>
      <c r="CA281" s="107"/>
      <c r="CB281" s="107"/>
      <c r="CC281" s="107"/>
      <c r="CD281" s="107"/>
      <c r="CE281" s="107"/>
      <c r="CF281" s="9"/>
      <c r="CG281" s="107"/>
      <c r="CH281" s="107"/>
      <c r="CI281" s="107"/>
      <c r="CJ281" s="107"/>
      <c r="CK281" s="107"/>
      <c r="CL281" s="107"/>
    </row>
    <row r="282" spans="1:90" s="268" customFormat="1" x14ac:dyDescent="0.25">
      <c r="A282" s="107"/>
      <c r="B282" s="107"/>
      <c r="C282" s="9"/>
      <c r="D282" s="107"/>
      <c r="E282" s="107"/>
      <c r="F282" s="107"/>
      <c r="G282" s="107"/>
      <c r="H282" s="107"/>
      <c r="I282" s="9"/>
      <c r="J282" s="107"/>
      <c r="K282" s="107"/>
      <c r="L282" s="107"/>
      <c r="M282" s="107"/>
      <c r="N282" s="107"/>
      <c r="O282" s="9"/>
      <c r="P282" s="107"/>
      <c r="Q282" s="107"/>
      <c r="R282" s="107"/>
      <c r="S282" s="107"/>
      <c r="T282" s="107"/>
      <c r="U282" s="9"/>
      <c r="V282" s="107"/>
      <c r="W282" s="107"/>
      <c r="X282" s="107"/>
      <c r="Y282" s="107"/>
      <c r="Z282" s="107"/>
      <c r="AA282" s="107"/>
      <c r="AB282" s="9"/>
      <c r="AC282" s="107"/>
      <c r="AD282" s="107"/>
      <c r="AE282" s="107"/>
      <c r="AF282" s="107"/>
      <c r="AG282" s="107"/>
      <c r="AH282" s="9"/>
      <c r="AI282" s="107"/>
      <c r="AJ282" s="107"/>
      <c r="AK282" s="107"/>
      <c r="AL282" s="107"/>
      <c r="AM282" s="107"/>
      <c r="AN282" s="9"/>
      <c r="AO282" s="107"/>
      <c r="AP282" s="107"/>
      <c r="AQ282" s="107"/>
      <c r="AR282" s="107"/>
      <c r="AS282" s="107"/>
      <c r="AT282" s="107"/>
      <c r="AU282" s="9"/>
      <c r="AV282" s="107"/>
      <c r="AW282" s="107"/>
      <c r="AX282" s="107"/>
      <c r="AY282" s="107"/>
      <c r="AZ282" s="107"/>
      <c r="BA282" s="107"/>
      <c r="BB282" s="9"/>
      <c r="BC282" s="107"/>
      <c r="BD282" s="107"/>
      <c r="BE282" s="107"/>
      <c r="BF282" s="107"/>
      <c r="BG282" s="107"/>
      <c r="BH282" s="107"/>
      <c r="BI282" s="107"/>
      <c r="BJ282" s="9"/>
      <c r="BK282" s="107"/>
      <c r="BL282" s="107"/>
      <c r="BM282" s="107"/>
      <c r="BN282" s="107"/>
      <c r="BO282" s="107"/>
      <c r="BP282" s="107"/>
      <c r="BQ282" s="107"/>
      <c r="BR282" s="9"/>
      <c r="BS282" s="107"/>
      <c r="BT282" s="107"/>
      <c r="BU282" s="107"/>
      <c r="BV282" s="107"/>
      <c r="BW282" s="107"/>
      <c r="BX282" s="107"/>
      <c r="BY282" s="9"/>
      <c r="BZ282" s="107"/>
      <c r="CA282" s="107"/>
      <c r="CB282" s="107"/>
      <c r="CC282" s="107"/>
      <c r="CD282" s="107"/>
      <c r="CE282" s="107"/>
      <c r="CF282" s="9"/>
      <c r="CG282" s="107"/>
      <c r="CH282" s="107"/>
      <c r="CI282" s="107"/>
      <c r="CJ282" s="107"/>
      <c r="CK282" s="107"/>
      <c r="CL282" s="107"/>
    </row>
    <row r="283" spans="1:90" s="268" customFormat="1" x14ac:dyDescent="0.25">
      <c r="A283" s="107"/>
      <c r="B283" s="107"/>
      <c r="C283" s="9"/>
      <c r="D283" s="107"/>
      <c r="E283" s="107"/>
      <c r="F283" s="107"/>
      <c r="G283" s="107"/>
      <c r="H283" s="107"/>
      <c r="I283" s="9"/>
      <c r="J283" s="107"/>
      <c r="K283" s="107"/>
      <c r="L283" s="107"/>
      <c r="M283" s="107"/>
      <c r="N283" s="107"/>
      <c r="O283" s="9"/>
      <c r="P283" s="107"/>
      <c r="Q283" s="107"/>
      <c r="R283" s="107"/>
      <c r="S283" s="107"/>
      <c r="T283" s="107"/>
      <c r="U283" s="9"/>
      <c r="V283" s="107"/>
      <c r="W283" s="107"/>
      <c r="X283" s="107"/>
      <c r="Y283" s="107"/>
      <c r="Z283" s="107"/>
      <c r="AA283" s="107"/>
      <c r="AB283" s="9"/>
      <c r="AC283" s="107"/>
      <c r="AD283" s="107"/>
      <c r="AE283" s="107"/>
      <c r="AF283" s="107"/>
      <c r="AG283" s="107"/>
      <c r="AH283" s="9"/>
      <c r="AI283" s="107"/>
      <c r="AJ283" s="107"/>
      <c r="AK283" s="107"/>
      <c r="AL283" s="107"/>
      <c r="AM283" s="107"/>
      <c r="AN283" s="9"/>
      <c r="AO283" s="107"/>
      <c r="AP283" s="107"/>
      <c r="AQ283" s="107"/>
      <c r="AR283" s="107"/>
      <c r="AS283" s="107"/>
      <c r="AT283" s="107"/>
      <c r="AU283" s="9"/>
      <c r="AV283" s="107"/>
      <c r="AW283" s="107"/>
      <c r="AX283" s="107"/>
      <c r="AY283" s="107"/>
      <c r="AZ283" s="107"/>
      <c r="BA283" s="107"/>
      <c r="BB283" s="9"/>
      <c r="BC283" s="107"/>
      <c r="BD283" s="107"/>
      <c r="BE283" s="107"/>
      <c r="BF283" s="107"/>
      <c r="BG283" s="107"/>
      <c r="BH283" s="107"/>
      <c r="BI283" s="107"/>
      <c r="BJ283" s="9"/>
      <c r="BK283" s="107"/>
      <c r="BL283" s="107"/>
      <c r="BM283" s="107"/>
      <c r="BN283" s="107"/>
      <c r="BO283" s="107"/>
      <c r="BP283" s="107"/>
      <c r="BQ283" s="107"/>
      <c r="BR283" s="9"/>
      <c r="BS283" s="107"/>
      <c r="BT283" s="107"/>
      <c r="BU283" s="107"/>
      <c r="BV283" s="107"/>
      <c r="BW283" s="107"/>
      <c r="BX283" s="107"/>
      <c r="BY283" s="9"/>
      <c r="BZ283" s="107"/>
      <c r="CA283" s="107"/>
      <c r="CB283" s="107"/>
      <c r="CC283" s="107"/>
      <c r="CD283" s="107"/>
      <c r="CE283" s="107"/>
      <c r="CF283" s="9"/>
      <c r="CG283" s="107"/>
      <c r="CH283" s="107"/>
      <c r="CI283" s="107"/>
      <c r="CJ283" s="107"/>
      <c r="CK283" s="107"/>
      <c r="CL283" s="107"/>
    </row>
    <row r="284" spans="1:90" s="268" customFormat="1" x14ac:dyDescent="0.25">
      <c r="A284" s="107"/>
      <c r="B284" s="107"/>
      <c r="C284" s="9"/>
      <c r="D284" s="107"/>
      <c r="E284" s="107"/>
      <c r="F284" s="107"/>
      <c r="G284" s="107"/>
      <c r="H284" s="107"/>
      <c r="I284" s="9"/>
      <c r="J284" s="107"/>
      <c r="K284" s="107"/>
      <c r="L284" s="107"/>
      <c r="M284" s="107"/>
      <c r="N284" s="107"/>
      <c r="O284" s="9"/>
      <c r="P284" s="107"/>
      <c r="Q284" s="107"/>
      <c r="R284" s="107"/>
      <c r="S284" s="107"/>
      <c r="T284" s="107"/>
      <c r="U284" s="9"/>
      <c r="V284" s="107"/>
      <c r="W284" s="107"/>
      <c r="X284" s="107"/>
      <c r="Y284" s="107"/>
      <c r="Z284" s="107"/>
      <c r="AA284" s="107"/>
      <c r="AB284" s="9"/>
      <c r="AC284" s="107"/>
      <c r="AD284" s="107"/>
      <c r="AE284" s="107"/>
      <c r="AF284" s="107"/>
      <c r="AG284" s="107"/>
      <c r="AH284" s="9"/>
      <c r="AI284" s="107"/>
      <c r="AJ284" s="107"/>
      <c r="AK284" s="107"/>
      <c r="AL284" s="107"/>
      <c r="AM284" s="107"/>
      <c r="AN284" s="9"/>
      <c r="AO284" s="107"/>
      <c r="AP284" s="107"/>
      <c r="AQ284" s="107"/>
      <c r="AR284" s="107"/>
      <c r="AS284" s="107"/>
      <c r="AT284" s="107"/>
      <c r="AU284" s="9"/>
      <c r="AV284" s="107"/>
      <c r="AW284" s="107"/>
      <c r="AX284" s="107"/>
      <c r="AY284" s="107"/>
      <c r="AZ284" s="107"/>
      <c r="BA284" s="107"/>
      <c r="BB284" s="9"/>
      <c r="BC284" s="107"/>
      <c r="BD284" s="107"/>
      <c r="BE284" s="107"/>
      <c r="BF284" s="107"/>
      <c r="BG284" s="107"/>
      <c r="BH284" s="107"/>
      <c r="BI284" s="107"/>
      <c r="BJ284" s="9"/>
      <c r="BK284" s="107"/>
      <c r="BL284" s="107"/>
      <c r="BM284" s="107"/>
      <c r="BN284" s="107"/>
      <c r="BO284" s="107"/>
      <c r="BP284" s="107"/>
      <c r="BQ284" s="107"/>
      <c r="BR284" s="9"/>
      <c r="BS284" s="107"/>
      <c r="BT284" s="107"/>
      <c r="BU284" s="107"/>
      <c r="BV284" s="107"/>
      <c r="BW284" s="107"/>
      <c r="BX284" s="107"/>
      <c r="BY284" s="9"/>
      <c r="BZ284" s="107"/>
      <c r="CA284" s="107"/>
      <c r="CB284" s="107"/>
      <c r="CC284" s="107"/>
      <c r="CD284" s="107"/>
      <c r="CE284" s="107"/>
      <c r="CF284" s="9"/>
      <c r="CG284" s="107"/>
      <c r="CH284" s="107"/>
      <c r="CI284" s="107"/>
      <c r="CJ284" s="107"/>
      <c r="CK284" s="107"/>
      <c r="CL284" s="107"/>
    </row>
    <row r="285" spans="1:90" s="268" customFormat="1" x14ac:dyDescent="0.25">
      <c r="A285" s="107"/>
      <c r="B285" s="107"/>
      <c r="C285" s="9"/>
      <c r="D285" s="107"/>
      <c r="E285" s="107"/>
      <c r="F285" s="107"/>
      <c r="G285" s="107"/>
      <c r="H285" s="107"/>
      <c r="I285" s="9"/>
      <c r="J285" s="107"/>
      <c r="K285" s="107"/>
      <c r="L285" s="107"/>
      <c r="M285" s="107"/>
      <c r="N285" s="107"/>
      <c r="O285" s="9"/>
      <c r="P285" s="107"/>
      <c r="Q285" s="107"/>
      <c r="R285" s="107"/>
      <c r="S285" s="107"/>
      <c r="T285" s="107"/>
      <c r="U285" s="9"/>
      <c r="V285" s="107"/>
      <c r="W285" s="107"/>
      <c r="X285" s="107"/>
      <c r="Y285" s="107"/>
      <c r="Z285" s="107"/>
      <c r="AA285" s="107"/>
      <c r="AB285" s="9"/>
      <c r="AC285" s="107"/>
      <c r="AD285" s="107"/>
      <c r="AE285" s="107"/>
      <c r="AF285" s="107"/>
      <c r="AG285" s="107"/>
      <c r="AH285" s="9"/>
      <c r="AI285" s="107"/>
      <c r="AJ285" s="107"/>
      <c r="AK285" s="107"/>
      <c r="AL285" s="107"/>
      <c r="AM285" s="107"/>
      <c r="AN285" s="9"/>
      <c r="AO285" s="107"/>
      <c r="AP285" s="107"/>
      <c r="AQ285" s="107"/>
      <c r="AR285" s="107"/>
      <c r="AS285" s="107"/>
      <c r="AT285" s="107"/>
      <c r="AU285" s="9"/>
      <c r="AV285" s="107"/>
      <c r="AW285" s="107"/>
      <c r="AX285" s="107"/>
      <c r="AY285" s="107"/>
      <c r="AZ285" s="107"/>
      <c r="BA285" s="107"/>
      <c r="BB285" s="9"/>
      <c r="BC285" s="107"/>
      <c r="BD285" s="107"/>
      <c r="BE285" s="107"/>
      <c r="BF285" s="107"/>
      <c r="BG285" s="107"/>
      <c r="BH285" s="107"/>
      <c r="BI285" s="107"/>
      <c r="BJ285" s="9"/>
      <c r="BK285" s="107"/>
      <c r="BL285" s="107"/>
      <c r="BM285" s="107"/>
      <c r="BN285" s="107"/>
      <c r="BO285" s="107"/>
      <c r="BP285" s="107"/>
      <c r="BQ285" s="107"/>
      <c r="BR285" s="9"/>
      <c r="BS285" s="107"/>
      <c r="BT285" s="107"/>
      <c r="BU285" s="107"/>
      <c r="BV285" s="107"/>
      <c r="BW285" s="107"/>
      <c r="BX285" s="107"/>
      <c r="BY285" s="9"/>
      <c r="BZ285" s="107"/>
      <c r="CA285" s="107"/>
      <c r="CB285" s="107"/>
      <c r="CC285" s="107"/>
      <c r="CD285" s="107"/>
      <c r="CE285" s="107"/>
      <c r="CF285" s="9"/>
      <c r="CG285" s="107"/>
      <c r="CH285" s="107"/>
      <c r="CI285" s="107"/>
      <c r="CJ285" s="107"/>
      <c r="CK285" s="107"/>
      <c r="CL285" s="107"/>
    </row>
    <row r="286" spans="1:90" s="268" customFormat="1" x14ac:dyDescent="0.25">
      <c r="A286" s="107"/>
      <c r="B286" s="107"/>
      <c r="C286" s="9"/>
      <c r="D286" s="107"/>
      <c r="E286" s="107"/>
      <c r="F286" s="107"/>
      <c r="G286" s="107"/>
      <c r="H286" s="107"/>
      <c r="I286" s="9"/>
      <c r="J286" s="107"/>
      <c r="K286" s="107"/>
      <c r="L286" s="107"/>
      <c r="M286" s="107"/>
      <c r="N286" s="107"/>
      <c r="O286" s="9"/>
      <c r="P286" s="107"/>
      <c r="Q286" s="107"/>
      <c r="R286" s="107"/>
      <c r="S286" s="107"/>
      <c r="T286" s="107"/>
      <c r="U286" s="9"/>
      <c r="V286" s="107"/>
      <c r="W286" s="107"/>
      <c r="X286" s="107"/>
      <c r="Y286" s="107"/>
      <c r="Z286" s="107"/>
      <c r="AA286" s="107"/>
      <c r="AB286" s="9"/>
      <c r="AC286" s="107"/>
      <c r="AD286" s="107"/>
      <c r="AE286" s="107"/>
      <c r="AF286" s="107"/>
      <c r="AG286" s="107"/>
      <c r="AH286" s="9"/>
      <c r="AI286" s="107"/>
      <c r="AJ286" s="107"/>
      <c r="AK286" s="107"/>
      <c r="AL286" s="107"/>
      <c r="AM286" s="107"/>
      <c r="AN286" s="9"/>
      <c r="AO286" s="107"/>
      <c r="AP286" s="107"/>
      <c r="AQ286" s="107"/>
      <c r="AR286" s="107"/>
      <c r="AS286" s="107"/>
      <c r="AT286" s="107"/>
      <c r="AU286" s="9"/>
      <c r="AV286" s="107"/>
      <c r="AW286" s="107"/>
      <c r="AX286" s="107"/>
      <c r="AY286" s="107"/>
      <c r="AZ286" s="107"/>
      <c r="BA286" s="107"/>
      <c r="BB286" s="9"/>
      <c r="BC286" s="107"/>
      <c r="BD286" s="107"/>
      <c r="BE286" s="107"/>
      <c r="BF286" s="107"/>
      <c r="BG286" s="107"/>
      <c r="BH286" s="107"/>
      <c r="BI286" s="107"/>
      <c r="BJ286" s="9"/>
      <c r="BK286" s="107"/>
      <c r="BL286" s="107"/>
      <c r="BM286" s="107"/>
      <c r="BN286" s="107"/>
      <c r="BO286" s="107"/>
      <c r="BP286" s="107"/>
      <c r="BQ286" s="107"/>
      <c r="BR286" s="9"/>
      <c r="BS286" s="107"/>
      <c r="BT286" s="107"/>
      <c r="BU286" s="107"/>
      <c r="BV286" s="107"/>
      <c r="BW286" s="107"/>
      <c r="BX286" s="107"/>
      <c r="BY286" s="9"/>
      <c r="BZ286" s="107"/>
      <c r="CA286" s="107"/>
      <c r="CB286" s="107"/>
      <c r="CC286" s="107"/>
      <c r="CD286" s="107"/>
      <c r="CE286" s="107"/>
      <c r="CF286" s="9"/>
      <c r="CG286" s="107"/>
      <c r="CH286" s="107"/>
      <c r="CI286" s="107"/>
      <c r="CJ286" s="107"/>
      <c r="CK286" s="107"/>
      <c r="CL286" s="107"/>
    </row>
    <row r="287" spans="1:90" s="268" customFormat="1" x14ac:dyDescent="0.25">
      <c r="A287" s="107"/>
      <c r="B287" s="107"/>
      <c r="C287" s="9"/>
      <c r="D287" s="107"/>
      <c r="E287" s="107"/>
      <c r="F287" s="107"/>
      <c r="G287" s="107"/>
      <c r="H287" s="107"/>
      <c r="I287" s="9"/>
      <c r="J287" s="107"/>
      <c r="K287" s="107"/>
      <c r="L287" s="107"/>
      <c r="M287" s="107"/>
      <c r="N287" s="107"/>
      <c r="O287" s="9"/>
      <c r="P287" s="107"/>
      <c r="Q287" s="107"/>
      <c r="R287" s="107"/>
      <c r="S287" s="107"/>
      <c r="T287" s="107"/>
      <c r="U287" s="9"/>
      <c r="V287" s="107"/>
      <c r="W287" s="107"/>
      <c r="X287" s="107"/>
      <c r="Y287" s="107"/>
      <c r="Z287" s="107"/>
      <c r="AA287" s="107"/>
      <c r="AB287" s="9"/>
      <c r="AC287" s="107"/>
      <c r="AD287" s="107"/>
      <c r="AE287" s="107"/>
      <c r="AF287" s="107"/>
      <c r="AG287" s="107"/>
      <c r="AH287" s="9"/>
      <c r="AI287" s="107"/>
      <c r="AJ287" s="107"/>
      <c r="AK287" s="107"/>
      <c r="AL287" s="107"/>
      <c r="AM287" s="107"/>
      <c r="AN287" s="9"/>
      <c r="AO287" s="107"/>
      <c r="AP287" s="107"/>
      <c r="AQ287" s="107"/>
      <c r="AR287" s="107"/>
      <c r="AS287" s="107"/>
      <c r="AT287" s="107"/>
      <c r="AU287" s="9"/>
      <c r="AV287" s="107"/>
      <c r="AW287" s="107"/>
      <c r="AX287" s="107"/>
      <c r="AY287" s="107"/>
      <c r="AZ287" s="107"/>
      <c r="BA287" s="107"/>
      <c r="BB287" s="9"/>
      <c r="BC287" s="107"/>
      <c r="BD287" s="107"/>
      <c r="BE287" s="107"/>
      <c r="BF287" s="107"/>
      <c r="BG287" s="107"/>
      <c r="BH287" s="107"/>
      <c r="BI287" s="107"/>
      <c r="BJ287" s="9"/>
      <c r="BK287" s="107"/>
      <c r="BL287" s="107"/>
      <c r="BM287" s="107"/>
      <c r="BN287" s="107"/>
      <c r="BO287" s="107"/>
      <c r="BP287" s="107"/>
      <c r="BQ287" s="107"/>
      <c r="BR287" s="9"/>
      <c r="BS287" s="107"/>
      <c r="BT287" s="107"/>
      <c r="BU287" s="107"/>
      <c r="BV287" s="107"/>
      <c r="BW287" s="107"/>
      <c r="BX287" s="107"/>
      <c r="BY287" s="9"/>
      <c r="BZ287" s="107"/>
      <c r="CA287" s="107"/>
      <c r="CB287" s="107"/>
      <c r="CC287" s="107"/>
      <c r="CD287" s="107"/>
      <c r="CE287" s="107"/>
      <c r="CF287" s="9"/>
      <c r="CG287" s="107"/>
      <c r="CH287" s="107"/>
      <c r="CI287" s="107"/>
      <c r="CJ287" s="107"/>
      <c r="CK287" s="107"/>
      <c r="CL287" s="107"/>
    </row>
    <row r="288" spans="1:90" s="268" customFormat="1" x14ac:dyDescent="0.25">
      <c r="A288" s="107"/>
      <c r="B288" s="107"/>
      <c r="C288" s="9"/>
      <c r="D288" s="107"/>
      <c r="E288" s="107"/>
      <c r="F288" s="107"/>
      <c r="G288" s="107"/>
      <c r="H288" s="107"/>
      <c r="I288" s="9"/>
      <c r="J288" s="107"/>
      <c r="K288" s="107"/>
      <c r="L288" s="107"/>
      <c r="M288" s="107"/>
      <c r="N288" s="107"/>
      <c r="O288" s="9"/>
      <c r="P288" s="107"/>
      <c r="Q288" s="107"/>
      <c r="R288" s="107"/>
      <c r="S288" s="107"/>
      <c r="T288" s="107"/>
      <c r="U288" s="9"/>
      <c r="V288" s="107"/>
      <c r="W288" s="107"/>
      <c r="X288" s="107"/>
      <c r="Y288" s="107"/>
      <c r="Z288" s="107"/>
      <c r="AA288" s="107"/>
      <c r="AB288" s="9"/>
      <c r="AC288" s="107"/>
      <c r="AD288" s="107"/>
      <c r="AE288" s="107"/>
      <c r="AF288" s="107"/>
      <c r="AG288" s="107"/>
      <c r="AH288" s="9"/>
      <c r="AI288" s="107"/>
      <c r="AJ288" s="107"/>
      <c r="AK288" s="107"/>
      <c r="AL288" s="107"/>
      <c r="AM288" s="107"/>
      <c r="AN288" s="9"/>
      <c r="AO288" s="107"/>
      <c r="AP288" s="107"/>
      <c r="AQ288" s="107"/>
      <c r="AR288" s="107"/>
      <c r="AS288" s="107"/>
      <c r="AT288" s="107"/>
      <c r="AU288" s="9"/>
      <c r="AV288" s="107"/>
      <c r="AW288" s="107"/>
      <c r="AX288" s="107"/>
      <c r="AY288" s="107"/>
      <c r="AZ288" s="107"/>
      <c r="BA288" s="107"/>
      <c r="BB288" s="9"/>
      <c r="BC288" s="107"/>
      <c r="BD288" s="107"/>
      <c r="BE288" s="107"/>
      <c r="BF288" s="107"/>
      <c r="BG288" s="107"/>
      <c r="BH288" s="107"/>
      <c r="BI288" s="107"/>
      <c r="BJ288" s="9"/>
      <c r="BK288" s="107"/>
      <c r="BL288" s="107"/>
      <c r="BM288" s="107"/>
      <c r="BN288" s="107"/>
      <c r="BO288" s="107"/>
      <c r="BP288" s="107"/>
      <c r="BQ288" s="107"/>
      <c r="BR288" s="9"/>
      <c r="BS288" s="107"/>
      <c r="BT288" s="107"/>
      <c r="BU288" s="107"/>
      <c r="BV288" s="107"/>
      <c r="BW288" s="107"/>
      <c r="BX288" s="107"/>
      <c r="BY288" s="9"/>
      <c r="BZ288" s="107"/>
      <c r="CA288" s="107"/>
      <c r="CB288" s="107"/>
      <c r="CC288" s="107"/>
      <c r="CD288" s="107"/>
      <c r="CE288" s="107"/>
      <c r="CF288" s="9"/>
      <c r="CG288" s="107"/>
      <c r="CH288" s="107"/>
      <c r="CI288" s="107"/>
      <c r="CJ288" s="107"/>
      <c r="CK288" s="107"/>
      <c r="CL288" s="107"/>
    </row>
    <row r="289" spans="1:94" s="268" customFormat="1" x14ac:dyDescent="0.25">
      <c r="A289" s="107"/>
      <c r="B289" s="107"/>
      <c r="C289" s="9"/>
      <c r="D289" s="107"/>
      <c r="E289" s="107"/>
      <c r="F289" s="107"/>
      <c r="G289" s="107"/>
      <c r="H289" s="107"/>
      <c r="I289" s="9"/>
      <c r="J289" s="107"/>
      <c r="K289" s="107"/>
      <c r="L289" s="107"/>
      <c r="M289" s="107"/>
      <c r="N289" s="107"/>
      <c r="O289" s="9"/>
      <c r="P289" s="107"/>
      <c r="Q289" s="107"/>
      <c r="R289" s="107"/>
      <c r="S289" s="107"/>
      <c r="T289" s="107"/>
      <c r="U289" s="9"/>
      <c r="V289" s="107"/>
      <c r="W289" s="107"/>
      <c r="X289" s="107"/>
      <c r="Y289" s="107"/>
      <c r="Z289" s="107"/>
      <c r="AA289" s="107"/>
      <c r="AB289" s="9"/>
      <c r="AC289" s="107"/>
      <c r="AD289" s="107"/>
      <c r="AE289" s="107"/>
      <c r="AF289" s="107"/>
      <c r="AG289" s="107"/>
      <c r="AH289" s="9"/>
      <c r="AI289" s="107"/>
      <c r="AJ289" s="107"/>
      <c r="AK289" s="107"/>
      <c r="AL289" s="107"/>
      <c r="AM289" s="107"/>
      <c r="AN289" s="9"/>
      <c r="AO289" s="107"/>
      <c r="AP289" s="107"/>
      <c r="AQ289" s="107"/>
      <c r="AR289" s="107"/>
      <c r="AS289" s="107"/>
      <c r="AT289" s="107"/>
      <c r="AU289" s="9"/>
      <c r="AV289" s="107"/>
      <c r="AW289" s="107"/>
      <c r="AX289" s="107"/>
      <c r="AY289" s="107"/>
      <c r="AZ289" s="107"/>
      <c r="BA289" s="107"/>
      <c r="BB289" s="9"/>
      <c r="BC289" s="107"/>
      <c r="BD289" s="107"/>
      <c r="BE289" s="107"/>
      <c r="BF289" s="107"/>
      <c r="BG289" s="107"/>
      <c r="BH289" s="107"/>
      <c r="BI289" s="107"/>
      <c r="BJ289" s="9"/>
      <c r="BK289" s="107"/>
      <c r="BL289" s="107"/>
      <c r="BM289" s="107"/>
      <c r="BN289" s="107"/>
      <c r="BO289" s="107"/>
      <c r="BP289" s="107"/>
      <c r="BQ289" s="107"/>
      <c r="BR289" s="9"/>
      <c r="BS289" s="107"/>
      <c r="BT289" s="107"/>
      <c r="BU289" s="107"/>
      <c r="BV289" s="107"/>
      <c r="BW289" s="107"/>
      <c r="BX289" s="107"/>
      <c r="BY289" s="9"/>
      <c r="BZ289" s="107"/>
      <c r="CA289" s="107"/>
      <c r="CB289" s="107"/>
      <c r="CC289" s="107"/>
      <c r="CD289" s="107"/>
      <c r="CE289" s="107"/>
      <c r="CF289" s="9"/>
      <c r="CG289" s="107"/>
      <c r="CH289" s="107"/>
      <c r="CI289" s="107"/>
      <c r="CJ289" s="107"/>
      <c r="CK289" s="107"/>
      <c r="CL289" s="107"/>
    </row>
    <row r="290" spans="1:94" x14ac:dyDescent="0.25">
      <c r="C290" s="9"/>
      <c r="I290" s="9"/>
      <c r="O290" s="9"/>
      <c r="U290" s="9"/>
      <c r="AB290" s="9"/>
      <c r="AH290" s="9"/>
      <c r="AN290" s="9"/>
      <c r="AU290" s="9"/>
      <c r="BB290" s="9"/>
      <c r="BJ290" s="9"/>
      <c r="BR290" s="9"/>
      <c r="BY290" s="9"/>
      <c r="CF290" s="9"/>
      <c r="CM290" s="107"/>
      <c r="CN290" s="107"/>
      <c r="CO290" s="107"/>
      <c r="CP290" s="107"/>
    </row>
    <row r="291" spans="1:94" x14ac:dyDescent="0.25">
      <c r="C291" s="9"/>
      <c r="I291" s="9"/>
      <c r="O291" s="9"/>
      <c r="U291" s="9"/>
      <c r="AB291" s="9"/>
      <c r="AH291" s="9"/>
      <c r="AN291" s="9"/>
      <c r="AU291" s="9"/>
      <c r="BB291" s="9"/>
      <c r="BJ291" s="9"/>
      <c r="BR291" s="9"/>
      <c r="BY291" s="9"/>
      <c r="CF291" s="9"/>
      <c r="CM291" s="107"/>
      <c r="CN291" s="107"/>
      <c r="CO291" s="107"/>
      <c r="CP291" s="107"/>
    </row>
    <row r="292" spans="1:94" x14ac:dyDescent="0.25">
      <c r="C292" s="9"/>
      <c r="I292" s="9"/>
      <c r="O292" s="9"/>
      <c r="U292" s="9"/>
      <c r="AB292" s="9"/>
      <c r="AH292" s="9"/>
      <c r="AN292" s="9"/>
      <c r="AU292" s="9"/>
      <c r="BB292" s="9"/>
      <c r="BJ292" s="9"/>
      <c r="BR292" s="9"/>
      <c r="BY292" s="9"/>
      <c r="CF292" s="9"/>
      <c r="CM292" s="107"/>
      <c r="CN292" s="107"/>
      <c r="CO292" s="107"/>
      <c r="CP292" s="107"/>
    </row>
    <row r="293" spans="1:94" x14ac:dyDescent="0.25">
      <c r="C293" s="9"/>
      <c r="I293" s="9"/>
      <c r="O293" s="9"/>
      <c r="U293" s="9"/>
      <c r="AB293" s="9"/>
      <c r="AH293" s="9"/>
      <c r="AN293" s="9"/>
      <c r="AU293" s="9"/>
      <c r="BB293" s="9"/>
      <c r="BJ293" s="9"/>
      <c r="BR293" s="9"/>
      <c r="BY293" s="9"/>
      <c r="CF293" s="9"/>
      <c r="CM293" s="107"/>
      <c r="CN293" s="107"/>
      <c r="CO293" s="107"/>
      <c r="CP293" s="107"/>
    </row>
    <row r="294" spans="1:94" x14ac:dyDescent="0.25">
      <c r="C294" s="9"/>
      <c r="I294" s="9"/>
      <c r="O294" s="9"/>
      <c r="U294" s="9"/>
      <c r="AB294" s="9"/>
      <c r="AH294" s="9"/>
      <c r="AN294" s="9"/>
      <c r="AU294" s="9"/>
      <c r="BB294" s="9"/>
      <c r="BJ294" s="9"/>
      <c r="BR294" s="9"/>
      <c r="BY294" s="9"/>
      <c r="CF294" s="9"/>
      <c r="CM294" s="107"/>
      <c r="CN294" s="107"/>
      <c r="CO294" s="107"/>
      <c r="CP294" s="107"/>
    </row>
    <row r="295" spans="1:94" x14ac:dyDescent="0.25">
      <c r="C295" s="9"/>
      <c r="I295" s="9"/>
      <c r="O295" s="9"/>
      <c r="U295" s="9"/>
      <c r="AB295" s="9"/>
      <c r="AH295" s="9"/>
      <c r="AN295" s="9"/>
      <c r="AU295" s="9"/>
      <c r="BB295" s="9"/>
      <c r="BJ295" s="9"/>
      <c r="BR295" s="9"/>
      <c r="BY295" s="9"/>
      <c r="CF295" s="9"/>
      <c r="CM295" s="107"/>
      <c r="CN295" s="107"/>
      <c r="CO295" s="107"/>
      <c r="CP295" s="107"/>
    </row>
    <row r="296" spans="1:94" x14ac:dyDescent="0.25">
      <c r="C296" s="9"/>
      <c r="I296" s="9"/>
      <c r="O296" s="9"/>
      <c r="U296" s="9"/>
      <c r="AB296" s="9"/>
      <c r="AH296" s="9"/>
      <c r="AN296" s="9"/>
      <c r="AU296" s="9"/>
      <c r="BB296" s="9"/>
      <c r="BJ296" s="9"/>
      <c r="BR296" s="9"/>
      <c r="BY296" s="9"/>
      <c r="CF296" s="9"/>
      <c r="CM296" s="107"/>
      <c r="CN296" s="107"/>
      <c r="CO296" s="107"/>
      <c r="CP296" s="107"/>
    </row>
    <row r="297" spans="1:94" x14ac:dyDescent="0.25">
      <c r="C297" s="9"/>
      <c r="I297" s="9"/>
      <c r="O297" s="9"/>
      <c r="U297" s="9"/>
      <c r="AB297" s="9"/>
      <c r="AH297" s="9"/>
      <c r="AN297" s="9"/>
      <c r="AU297" s="9"/>
      <c r="BB297" s="9"/>
      <c r="BJ297" s="9"/>
      <c r="BR297" s="9"/>
      <c r="BY297" s="9"/>
      <c r="CF297" s="9"/>
      <c r="CM297" s="107"/>
      <c r="CN297" s="107"/>
      <c r="CO297" s="107"/>
      <c r="CP297" s="107"/>
    </row>
    <row r="298" spans="1:94" x14ac:dyDescent="0.25">
      <c r="C298" s="9"/>
      <c r="I298" s="9"/>
      <c r="O298" s="9"/>
      <c r="U298" s="9"/>
      <c r="AB298" s="9"/>
      <c r="AH298" s="9"/>
      <c r="AN298" s="9"/>
      <c r="AU298" s="9"/>
      <c r="BB298" s="9"/>
      <c r="BJ298" s="9"/>
      <c r="BR298" s="9"/>
      <c r="BY298" s="9"/>
      <c r="CF298" s="9"/>
      <c r="CM298" s="107"/>
      <c r="CN298" s="107"/>
      <c r="CO298" s="107"/>
      <c r="CP298" s="107"/>
    </row>
    <row r="299" spans="1:94" x14ac:dyDescent="0.25">
      <c r="C299" s="9"/>
      <c r="I299" s="9"/>
      <c r="O299" s="9"/>
      <c r="U299" s="9"/>
      <c r="AB299" s="9"/>
      <c r="AH299" s="9"/>
      <c r="AN299" s="9"/>
      <c r="AU299" s="9"/>
      <c r="BB299" s="9"/>
      <c r="BJ299" s="9"/>
      <c r="BR299" s="9"/>
      <c r="BY299" s="9"/>
      <c r="CF299" s="9"/>
      <c r="CM299" s="107"/>
      <c r="CN299" s="107"/>
      <c r="CO299" s="107"/>
      <c r="CP299" s="107"/>
    </row>
    <row r="300" spans="1:94" x14ac:dyDescent="0.25">
      <c r="C300" s="9"/>
      <c r="I300" s="9"/>
      <c r="O300" s="9"/>
      <c r="U300" s="9"/>
      <c r="AB300" s="9"/>
      <c r="AH300" s="9"/>
      <c r="AN300" s="9"/>
      <c r="AU300" s="9"/>
      <c r="BB300" s="9"/>
      <c r="BJ300" s="9"/>
      <c r="BR300" s="9"/>
      <c r="BY300" s="9"/>
      <c r="CF300" s="9"/>
      <c r="CM300" s="107"/>
      <c r="CN300" s="107"/>
      <c r="CO300" s="107"/>
      <c r="CP300" s="107"/>
    </row>
    <row r="301" spans="1:94" x14ac:dyDescent="0.25">
      <c r="C301" s="9"/>
      <c r="I301" s="9"/>
      <c r="O301" s="9"/>
      <c r="U301" s="9"/>
      <c r="AB301" s="9"/>
      <c r="AH301" s="9"/>
      <c r="AN301" s="9"/>
      <c r="AU301" s="9"/>
      <c r="BB301" s="9"/>
      <c r="BJ301" s="9"/>
      <c r="BR301" s="9"/>
      <c r="BY301" s="9"/>
      <c r="CF301" s="9"/>
      <c r="CM301" s="107"/>
      <c r="CN301" s="107"/>
      <c r="CO301" s="107"/>
      <c r="CP301" s="107"/>
    </row>
    <row r="302" spans="1:94" x14ac:dyDescent="0.25">
      <c r="C302" s="9"/>
      <c r="I302" s="9"/>
      <c r="O302" s="9"/>
      <c r="U302" s="9"/>
      <c r="AB302" s="9"/>
      <c r="AH302" s="9"/>
      <c r="AN302" s="9"/>
      <c r="AU302" s="9"/>
      <c r="BB302" s="9"/>
      <c r="BJ302" s="9"/>
      <c r="BR302" s="9"/>
      <c r="BY302" s="9"/>
      <c r="CF302" s="9"/>
      <c r="CM302" s="107"/>
      <c r="CN302" s="107"/>
      <c r="CO302" s="107"/>
      <c r="CP302" s="107"/>
    </row>
    <row r="303" spans="1:94" x14ac:dyDescent="0.25">
      <c r="C303" s="9"/>
      <c r="I303" s="9"/>
      <c r="O303" s="9"/>
      <c r="U303" s="9"/>
      <c r="AB303" s="9"/>
      <c r="AH303" s="9"/>
      <c r="AN303" s="9"/>
      <c r="AU303" s="9"/>
      <c r="BB303" s="9"/>
      <c r="BJ303" s="9"/>
      <c r="BR303" s="9"/>
      <c r="BY303" s="9"/>
      <c r="CF303" s="9"/>
      <c r="CM303" s="107"/>
      <c r="CN303" s="107"/>
      <c r="CO303" s="107"/>
      <c r="CP303" s="107"/>
    </row>
    <row r="304" spans="1:94" x14ac:dyDescent="0.25">
      <c r="C304" s="9"/>
      <c r="I304" s="9"/>
      <c r="O304" s="9"/>
      <c r="U304" s="9"/>
      <c r="AB304" s="9"/>
      <c r="AH304" s="9"/>
      <c r="AN304" s="9"/>
      <c r="AU304" s="9"/>
      <c r="BB304" s="9"/>
      <c r="BJ304" s="9"/>
      <c r="BR304" s="9"/>
      <c r="BY304" s="9"/>
      <c r="CF304" s="9"/>
      <c r="CM304" s="107"/>
      <c r="CN304" s="107"/>
      <c r="CO304" s="107"/>
      <c r="CP304" s="107"/>
    </row>
    <row r="305" spans="3:94" x14ac:dyDescent="0.25">
      <c r="C305" s="9"/>
      <c r="I305" s="9"/>
      <c r="O305" s="9"/>
      <c r="U305" s="9"/>
      <c r="AB305" s="9"/>
      <c r="AH305" s="9"/>
      <c r="AN305" s="9"/>
      <c r="AU305" s="9"/>
      <c r="BB305" s="9"/>
      <c r="BJ305" s="9"/>
      <c r="BR305" s="9"/>
      <c r="BY305" s="9"/>
      <c r="CF305" s="9"/>
      <c r="CM305" s="107"/>
      <c r="CN305" s="107"/>
      <c r="CO305" s="107"/>
      <c r="CP305" s="107"/>
    </row>
    <row r="306" spans="3:94" x14ac:dyDescent="0.25">
      <c r="C306" s="9"/>
      <c r="I306" s="9"/>
      <c r="O306" s="9"/>
      <c r="U306" s="9"/>
      <c r="AB306" s="9"/>
      <c r="AH306" s="9"/>
      <c r="AN306" s="9"/>
      <c r="AU306" s="9"/>
      <c r="BB306" s="9"/>
      <c r="BJ306" s="9"/>
      <c r="BR306" s="9"/>
      <c r="BY306" s="9"/>
      <c r="CF306" s="9"/>
      <c r="CM306" s="107"/>
      <c r="CN306" s="107"/>
      <c r="CO306" s="107"/>
      <c r="CP306" s="107"/>
    </row>
    <row r="307" spans="3:94" x14ac:dyDescent="0.25">
      <c r="C307" s="9"/>
      <c r="I307" s="9"/>
      <c r="O307" s="9"/>
      <c r="U307" s="9"/>
      <c r="AB307" s="9"/>
      <c r="AH307" s="9"/>
      <c r="AN307" s="9"/>
      <c r="AU307" s="9"/>
      <c r="BB307" s="9"/>
      <c r="BJ307" s="9"/>
      <c r="BR307" s="9"/>
      <c r="BY307" s="9"/>
      <c r="CF307" s="9"/>
      <c r="CM307" s="107"/>
      <c r="CN307" s="107"/>
      <c r="CO307" s="107"/>
      <c r="CP307" s="107"/>
    </row>
    <row r="308" spans="3:94" x14ac:dyDescent="0.25">
      <c r="C308" s="9"/>
      <c r="I308" s="9"/>
      <c r="O308" s="9"/>
      <c r="U308" s="9"/>
      <c r="AB308" s="9"/>
      <c r="AH308" s="9"/>
      <c r="AN308" s="9"/>
      <c r="AU308" s="9"/>
      <c r="BB308" s="9"/>
      <c r="BJ308" s="9"/>
      <c r="BR308" s="9"/>
      <c r="BY308" s="9"/>
      <c r="CF308" s="9"/>
      <c r="CM308" s="107"/>
      <c r="CN308" s="107"/>
      <c r="CO308" s="107"/>
      <c r="CP308" s="107"/>
    </row>
    <row r="309" spans="3:94" x14ac:dyDescent="0.25">
      <c r="C309" s="9"/>
      <c r="I309" s="9"/>
      <c r="O309" s="9"/>
      <c r="U309" s="9"/>
      <c r="AB309" s="9"/>
      <c r="AH309" s="9"/>
      <c r="AN309" s="9"/>
      <c r="AU309" s="9"/>
      <c r="BB309" s="9"/>
      <c r="BJ309" s="9"/>
      <c r="BR309" s="9"/>
      <c r="BY309" s="9"/>
      <c r="CF309" s="9"/>
      <c r="CM309" s="107"/>
      <c r="CN309" s="107"/>
      <c r="CO309" s="107"/>
      <c r="CP309" s="107"/>
    </row>
    <row r="310" spans="3:94" x14ac:dyDescent="0.25">
      <c r="C310" s="9"/>
      <c r="I310" s="9"/>
      <c r="O310" s="9"/>
      <c r="U310" s="9"/>
      <c r="AB310" s="9"/>
      <c r="AH310" s="9"/>
      <c r="AN310" s="9"/>
      <c r="AU310" s="9"/>
      <c r="BB310" s="9"/>
      <c r="BJ310" s="9"/>
      <c r="BR310" s="9"/>
      <c r="BY310" s="9"/>
      <c r="CF310" s="9"/>
      <c r="CM310" s="107"/>
      <c r="CN310" s="107"/>
      <c r="CO310" s="107"/>
      <c r="CP310" s="107"/>
    </row>
    <row r="311" spans="3:94" x14ac:dyDescent="0.25">
      <c r="C311" s="9"/>
      <c r="I311" s="9"/>
      <c r="O311" s="9"/>
      <c r="U311" s="9"/>
      <c r="AB311" s="9"/>
      <c r="AH311" s="9"/>
      <c r="AN311" s="9"/>
      <c r="AU311" s="9"/>
      <c r="BB311" s="9"/>
      <c r="BJ311" s="9"/>
      <c r="BR311" s="9"/>
      <c r="BY311" s="9"/>
      <c r="CF311" s="9"/>
      <c r="CM311" s="107"/>
      <c r="CN311" s="107"/>
      <c r="CO311" s="107"/>
      <c r="CP311" s="107"/>
    </row>
    <row r="312" spans="3:94" x14ac:dyDescent="0.25">
      <c r="C312" s="9"/>
      <c r="I312" s="9"/>
      <c r="O312" s="9"/>
      <c r="U312" s="9"/>
      <c r="AB312" s="9"/>
      <c r="AH312" s="9"/>
      <c r="AN312" s="9"/>
      <c r="AU312" s="9"/>
      <c r="BB312" s="9"/>
      <c r="BJ312" s="9"/>
      <c r="BR312" s="9"/>
      <c r="BY312" s="9"/>
      <c r="CF312" s="9"/>
      <c r="CM312" s="107"/>
      <c r="CN312" s="107"/>
      <c r="CO312" s="107"/>
      <c r="CP312" s="107"/>
    </row>
    <row r="313" spans="3:94" x14ac:dyDescent="0.25">
      <c r="C313" s="9"/>
      <c r="I313" s="9"/>
      <c r="O313" s="9"/>
      <c r="U313" s="9"/>
      <c r="AB313" s="9"/>
      <c r="AH313" s="9"/>
      <c r="AN313" s="9"/>
      <c r="AU313" s="9"/>
      <c r="BB313" s="9"/>
      <c r="BJ313" s="9"/>
      <c r="BR313" s="9"/>
      <c r="BY313" s="9"/>
      <c r="CF313" s="9"/>
      <c r="CM313" s="107"/>
      <c r="CN313" s="107"/>
      <c r="CO313" s="107"/>
      <c r="CP313" s="107"/>
    </row>
    <row r="314" spans="3:94" x14ac:dyDescent="0.25">
      <c r="C314" s="9"/>
      <c r="I314" s="9"/>
      <c r="O314" s="9"/>
      <c r="U314" s="9"/>
      <c r="AB314" s="9"/>
      <c r="AH314" s="9"/>
      <c r="AN314" s="9"/>
      <c r="AU314" s="9"/>
      <c r="BB314" s="9"/>
      <c r="BJ314" s="9"/>
      <c r="BR314" s="9"/>
      <c r="BY314" s="9"/>
      <c r="CF314" s="9"/>
      <c r="CM314" s="107"/>
      <c r="CN314" s="107"/>
      <c r="CO314" s="107"/>
      <c r="CP314" s="107"/>
    </row>
    <row r="315" spans="3:94" x14ac:dyDescent="0.25">
      <c r="C315" s="9"/>
      <c r="I315" s="9"/>
      <c r="O315" s="9"/>
      <c r="U315" s="9"/>
      <c r="AB315" s="9"/>
      <c r="AH315" s="9"/>
      <c r="AN315" s="9"/>
      <c r="AU315" s="9"/>
      <c r="BB315" s="9"/>
      <c r="BJ315" s="9"/>
      <c r="BR315" s="9"/>
      <c r="BY315" s="9"/>
      <c r="CF315" s="9"/>
      <c r="CM315" s="107"/>
      <c r="CN315" s="107"/>
      <c r="CO315" s="107"/>
      <c r="CP315" s="107"/>
    </row>
    <row r="316" spans="3:94" x14ac:dyDescent="0.25">
      <c r="C316" s="9"/>
      <c r="I316" s="9"/>
      <c r="O316" s="9"/>
      <c r="U316" s="9"/>
      <c r="AB316" s="9"/>
      <c r="AH316" s="9"/>
      <c r="AN316" s="9"/>
      <c r="AU316" s="9"/>
      <c r="BB316" s="9"/>
      <c r="BJ316" s="9"/>
      <c r="BR316" s="9"/>
      <c r="BY316" s="9"/>
      <c r="CF316" s="9"/>
      <c r="CM316" s="107"/>
      <c r="CN316" s="107"/>
      <c r="CO316" s="107"/>
      <c r="CP316" s="107"/>
    </row>
    <row r="317" spans="3:94" x14ac:dyDescent="0.25">
      <c r="C317" s="9"/>
      <c r="I317" s="9"/>
      <c r="O317" s="9"/>
      <c r="U317" s="9"/>
      <c r="AB317" s="9"/>
      <c r="AH317" s="9"/>
      <c r="AN317" s="9"/>
      <c r="AU317" s="9"/>
      <c r="BB317" s="9"/>
      <c r="BJ317" s="9"/>
      <c r="BR317" s="9"/>
      <c r="BY317" s="9"/>
      <c r="CF317" s="9"/>
      <c r="CM317" s="107"/>
      <c r="CN317" s="107"/>
      <c r="CO317" s="107"/>
      <c r="CP317" s="107"/>
    </row>
    <row r="318" spans="3:94" x14ac:dyDescent="0.25">
      <c r="C318" s="9"/>
      <c r="I318" s="9"/>
      <c r="O318" s="9"/>
      <c r="U318" s="9"/>
      <c r="AB318" s="9"/>
      <c r="AH318" s="9"/>
      <c r="AN318" s="9"/>
      <c r="AU318" s="9"/>
      <c r="BB318" s="9"/>
      <c r="BJ318" s="9"/>
      <c r="BR318" s="9"/>
      <c r="BY318" s="9"/>
      <c r="CF318" s="9"/>
      <c r="CM318" s="107"/>
      <c r="CN318" s="107"/>
      <c r="CO318" s="107"/>
      <c r="CP318" s="107"/>
    </row>
    <row r="319" spans="3:94" x14ac:dyDescent="0.25">
      <c r="C319" s="9"/>
      <c r="I319" s="9"/>
      <c r="O319" s="9"/>
      <c r="U319" s="9"/>
      <c r="AB319" s="9"/>
      <c r="AH319" s="9"/>
      <c r="AN319" s="9"/>
      <c r="AU319" s="9"/>
      <c r="BB319" s="9"/>
      <c r="BJ319" s="9"/>
      <c r="BR319" s="9"/>
      <c r="BY319" s="9"/>
      <c r="CF319" s="9"/>
      <c r="CM319" s="107"/>
      <c r="CN319" s="107"/>
      <c r="CO319" s="107"/>
      <c r="CP319" s="107"/>
    </row>
    <row r="320" spans="3:94" x14ac:dyDescent="0.25">
      <c r="C320" s="9"/>
      <c r="I320" s="9"/>
      <c r="O320" s="9"/>
      <c r="U320" s="9"/>
      <c r="AB320" s="9"/>
      <c r="AH320" s="9"/>
      <c r="AN320" s="9"/>
      <c r="AU320" s="9"/>
      <c r="BB320" s="9"/>
      <c r="BJ320" s="9"/>
      <c r="BR320" s="9"/>
      <c r="BY320" s="9"/>
      <c r="CF320" s="9"/>
      <c r="CM320" s="107"/>
      <c r="CN320" s="107"/>
      <c r="CO320" s="107"/>
      <c r="CP320" s="107"/>
    </row>
    <row r="321" spans="1:94" x14ac:dyDescent="0.25">
      <c r="C321" s="9"/>
      <c r="I321" s="9"/>
      <c r="O321" s="9"/>
      <c r="U321" s="9"/>
      <c r="AB321" s="9"/>
      <c r="AH321" s="9"/>
      <c r="AN321" s="9"/>
      <c r="AU321" s="9"/>
      <c r="BB321" s="9"/>
      <c r="BJ321" s="9"/>
      <c r="BR321" s="9"/>
      <c r="BY321" s="9"/>
      <c r="CF321" s="9"/>
      <c r="CM321" s="107"/>
      <c r="CN321" s="107"/>
      <c r="CO321" s="107"/>
      <c r="CP321" s="107"/>
    </row>
    <row r="322" spans="1:94" s="268" customFormat="1" x14ac:dyDescent="0.25">
      <c r="A322" s="107"/>
      <c r="B322" s="107"/>
      <c r="C322" s="9"/>
      <c r="D322" s="107"/>
      <c r="E322" s="107"/>
      <c r="F322" s="107"/>
      <c r="G322" s="107"/>
      <c r="H322" s="107"/>
      <c r="I322" s="9"/>
      <c r="J322" s="107"/>
      <c r="K322" s="107"/>
      <c r="L322" s="107"/>
      <c r="M322" s="107"/>
      <c r="N322" s="107"/>
      <c r="O322" s="9"/>
      <c r="P322" s="107"/>
      <c r="Q322" s="107"/>
      <c r="R322" s="107"/>
      <c r="S322" s="107"/>
      <c r="T322" s="107"/>
      <c r="U322" s="9"/>
      <c r="V322" s="107"/>
      <c r="W322" s="107"/>
      <c r="X322" s="107"/>
      <c r="Y322" s="107"/>
      <c r="Z322" s="107"/>
      <c r="AA322" s="107"/>
      <c r="AB322" s="9"/>
      <c r="AC322" s="107"/>
      <c r="AD322" s="107"/>
      <c r="AE322" s="107"/>
      <c r="AF322" s="107"/>
      <c r="AG322" s="107"/>
      <c r="AH322" s="9"/>
      <c r="AI322" s="107"/>
      <c r="AJ322" s="107"/>
      <c r="AK322" s="107"/>
      <c r="AL322" s="107"/>
      <c r="AM322" s="107"/>
      <c r="AN322" s="9"/>
      <c r="AO322" s="107"/>
      <c r="AP322" s="107"/>
      <c r="AQ322" s="107"/>
      <c r="AR322" s="107"/>
      <c r="AS322" s="107"/>
      <c r="AT322" s="107"/>
      <c r="AU322" s="9"/>
      <c r="AV322" s="107"/>
      <c r="AW322" s="107"/>
      <c r="AX322" s="107"/>
      <c r="AY322" s="107"/>
      <c r="AZ322" s="107"/>
      <c r="BA322" s="107"/>
      <c r="BB322" s="9"/>
      <c r="BC322" s="107"/>
      <c r="BD322" s="107"/>
      <c r="BE322" s="107"/>
      <c r="BF322" s="107"/>
      <c r="BG322" s="107"/>
      <c r="BH322" s="107"/>
      <c r="BI322" s="107"/>
      <c r="BJ322" s="9"/>
      <c r="BK322" s="107"/>
      <c r="BL322" s="107"/>
      <c r="BM322" s="107"/>
      <c r="BN322" s="107"/>
      <c r="BO322" s="107"/>
      <c r="BP322" s="107"/>
      <c r="BQ322" s="107"/>
      <c r="BR322" s="9"/>
      <c r="BS322" s="107"/>
      <c r="BT322" s="107"/>
      <c r="BU322" s="107"/>
      <c r="BV322" s="107"/>
      <c r="BW322" s="107"/>
      <c r="BX322" s="107"/>
      <c r="BY322" s="9"/>
      <c r="BZ322" s="107"/>
      <c r="CA322" s="107"/>
      <c r="CB322" s="107"/>
      <c r="CC322" s="107"/>
      <c r="CD322" s="107"/>
      <c r="CE322" s="107"/>
      <c r="CF322" s="9"/>
      <c r="CG322" s="107"/>
      <c r="CH322" s="107"/>
      <c r="CI322" s="107"/>
      <c r="CJ322" s="107"/>
      <c r="CK322" s="107"/>
      <c r="CL322" s="107"/>
    </row>
    <row r="323" spans="1:94" s="268" customFormat="1" x14ac:dyDescent="0.25">
      <c r="A323" s="107"/>
      <c r="B323" s="107"/>
      <c r="C323" s="9"/>
      <c r="D323" s="107"/>
      <c r="E323" s="107"/>
      <c r="F323" s="107"/>
      <c r="G323" s="107"/>
      <c r="H323" s="107"/>
      <c r="I323" s="9"/>
      <c r="J323" s="107"/>
      <c r="K323" s="107"/>
      <c r="L323" s="107"/>
      <c r="M323" s="107"/>
      <c r="N323" s="107"/>
      <c r="O323" s="9"/>
      <c r="P323" s="107"/>
      <c r="Q323" s="107"/>
      <c r="R323" s="107"/>
      <c r="S323" s="107"/>
      <c r="T323" s="107"/>
      <c r="U323" s="9"/>
      <c r="V323" s="107"/>
      <c r="W323" s="107"/>
      <c r="X323" s="107"/>
      <c r="Y323" s="107"/>
      <c r="Z323" s="107"/>
      <c r="AA323" s="107"/>
      <c r="AB323" s="9"/>
      <c r="AC323" s="107"/>
      <c r="AD323" s="107"/>
      <c r="AE323" s="107"/>
      <c r="AF323" s="107"/>
      <c r="AG323" s="107"/>
      <c r="AH323" s="9"/>
      <c r="AI323" s="107"/>
      <c r="AJ323" s="107"/>
      <c r="AK323" s="107"/>
      <c r="AL323" s="107"/>
      <c r="AM323" s="107"/>
      <c r="AN323" s="9"/>
      <c r="AO323" s="107"/>
      <c r="AP323" s="107"/>
      <c r="AQ323" s="107"/>
      <c r="AR323" s="107"/>
      <c r="AS323" s="107"/>
      <c r="AT323" s="107"/>
      <c r="AU323" s="9"/>
      <c r="AV323" s="107"/>
      <c r="AW323" s="107"/>
      <c r="AX323" s="107"/>
      <c r="AY323" s="107"/>
      <c r="AZ323" s="107"/>
      <c r="BA323" s="107"/>
      <c r="BB323" s="9"/>
      <c r="BC323" s="107"/>
      <c r="BD323" s="107"/>
      <c r="BE323" s="107"/>
      <c r="BF323" s="107"/>
      <c r="BG323" s="107"/>
      <c r="BH323" s="107"/>
      <c r="BI323" s="107"/>
      <c r="BJ323" s="9"/>
      <c r="BK323" s="107"/>
      <c r="BL323" s="107"/>
      <c r="BM323" s="107"/>
      <c r="BN323" s="107"/>
      <c r="BO323" s="107"/>
      <c r="BP323" s="107"/>
      <c r="BQ323" s="107"/>
      <c r="BR323" s="9"/>
      <c r="BS323" s="107"/>
      <c r="BT323" s="107"/>
      <c r="BU323" s="107"/>
      <c r="BV323" s="107"/>
      <c r="BW323" s="107"/>
      <c r="BX323" s="107"/>
      <c r="BY323" s="9"/>
      <c r="BZ323" s="107"/>
      <c r="CA323" s="107"/>
      <c r="CB323" s="107"/>
      <c r="CC323" s="107"/>
      <c r="CD323" s="107"/>
      <c r="CE323" s="107"/>
      <c r="CF323" s="9"/>
      <c r="CG323" s="107"/>
      <c r="CH323" s="107"/>
      <c r="CI323" s="107"/>
      <c r="CJ323" s="107"/>
      <c r="CK323" s="107"/>
      <c r="CL323" s="107"/>
    </row>
    <row r="324" spans="1:94" s="268" customFormat="1" x14ac:dyDescent="0.25">
      <c r="A324" s="107"/>
      <c r="B324" s="107"/>
      <c r="C324" s="9"/>
      <c r="D324" s="107"/>
      <c r="E324" s="107"/>
      <c r="F324" s="107"/>
      <c r="G324" s="107"/>
      <c r="H324" s="107"/>
      <c r="I324" s="9"/>
      <c r="J324" s="107"/>
      <c r="K324" s="107"/>
      <c r="L324" s="107"/>
      <c r="M324" s="107"/>
      <c r="N324" s="107"/>
      <c r="O324" s="9"/>
      <c r="P324" s="107"/>
      <c r="Q324" s="107"/>
      <c r="R324" s="107"/>
      <c r="S324" s="107"/>
      <c r="T324" s="107"/>
      <c r="U324" s="9"/>
      <c r="V324" s="107"/>
      <c r="W324" s="107"/>
      <c r="X324" s="107"/>
      <c r="Y324" s="107"/>
      <c r="Z324" s="107"/>
      <c r="AA324" s="107"/>
      <c r="AB324" s="9"/>
      <c r="AC324" s="107"/>
      <c r="AD324" s="107"/>
      <c r="AE324" s="107"/>
      <c r="AF324" s="107"/>
      <c r="AG324" s="107"/>
      <c r="AH324" s="9"/>
      <c r="AI324" s="107"/>
      <c r="AJ324" s="107"/>
      <c r="AK324" s="107"/>
      <c r="AL324" s="107"/>
      <c r="AM324" s="107"/>
      <c r="AN324" s="9"/>
      <c r="AO324" s="107"/>
      <c r="AP324" s="107"/>
      <c r="AQ324" s="107"/>
      <c r="AR324" s="107"/>
      <c r="AS324" s="107"/>
      <c r="AT324" s="107"/>
      <c r="AU324" s="9"/>
      <c r="AV324" s="107"/>
      <c r="AW324" s="107"/>
      <c r="AX324" s="107"/>
      <c r="AY324" s="107"/>
      <c r="AZ324" s="107"/>
      <c r="BA324" s="107"/>
      <c r="BB324" s="9"/>
      <c r="BC324" s="107"/>
      <c r="BD324" s="107"/>
      <c r="BE324" s="107"/>
      <c r="BF324" s="107"/>
      <c r="BG324" s="107"/>
      <c r="BH324" s="107"/>
      <c r="BI324" s="107"/>
      <c r="BJ324" s="9"/>
      <c r="BK324" s="107"/>
      <c r="BL324" s="107"/>
      <c r="BM324" s="107"/>
      <c r="BN324" s="107"/>
      <c r="BO324" s="107"/>
      <c r="BP324" s="107"/>
      <c r="BQ324" s="107"/>
      <c r="BR324" s="9"/>
      <c r="BS324" s="107"/>
      <c r="BT324" s="107"/>
      <c r="BU324" s="107"/>
      <c r="BV324" s="107"/>
      <c r="BW324" s="107"/>
      <c r="BX324" s="107"/>
      <c r="BY324" s="9"/>
      <c r="BZ324" s="107"/>
      <c r="CA324" s="107"/>
      <c r="CB324" s="107"/>
      <c r="CC324" s="107"/>
      <c r="CD324" s="107"/>
      <c r="CE324" s="107"/>
      <c r="CF324" s="9"/>
      <c r="CG324" s="107"/>
      <c r="CH324" s="107"/>
      <c r="CI324" s="107"/>
      <c r="CJ324" s="107"/>
      <c r="CK324" s="107"/>
      <c r="CL324" s="107"/>
    </row>
    <row r="325" spans="1:94" s="268" customFormat="1" x14ac:dyDescent="0.25">
      <c r="A325" s="107"/>
      <c r="B325" s="107"/>
      <c r="C325" s="9"/>
      <c r="D325" s="107"/>
      <c r="E325" s="107"/>
      <c r="F325" s="107"/>
      <c r="G325" s="107"/>
      <c r="H325" s="107"/>
      <c r="I325" s="9"/>
      <c r="J325" s="107"/>
      <c r="K325" s="107"/>
      <c r="L325" s="107"/>
      <c r="M325" s="107"/>
      <c r="N325" s="107"/>
      <c r="O325" s="9"/>
      <c r="P325" s="107"/>
      <c r="Q325" s="107"/>
      <c r="R325" s="107"/>
      <c r="S325" s="107"/>
      <c r="T325" s="107"/>
      <c r="U325" s="9"/>
      <c r="V325" s="107"/>
      <c r="W325" s="107"/>
      <c r="X325" s="107"/>
      <c r="Y325" s="107"/>
      <c r="Z325" s="107"/>
      <c r="AA325" s="107"/>
      <c r="AB325" s="9"/>
      <c r="AC325" s="107"/>
      <c r="AD325" s="107"/>
      <c r="AE325" s="107"/>
      <c r="AF325" s="107"/>
      <c r="AG325" s="107"/>
      <c r="AH325" s="9"/>
      <c r="AI325" s="107"/>
      <c r="AJ325" s="107"/>
      <c r="AK325" s="107"/>
      <c r="AL325" s="107"/>
      <c r="AM325" s="107"/>
      <c r="AN325" s="9"/>
      <c r="AO325" s="107"/>
      <c r="AP325" s="107"/>
      <c r="AQ325" s="107"/>
      <c r="AR325" s="107"/>
      <c r="AS325" s="107"/>
      <c r="AT325" s="107"/>
      <c r="AU325" s="9"/>
      <c r="AV325" s="107"/>
      <c r="AW325" s="107"/>
      <c r="AX325" s="107"/>
      <c r="AY325" s="107"/>
      <c r="AZ325" s="107"/>
      <c r="BA325" s="107"/>
      <c r="BB325" s="9"/>
      <c r="BC325" s="107"/>
      <c r="BD325" s="107"/>
      <c r="BE325" s="107"/>
      <c r="BF325" s="107"/>
      <c r="BG325" s="107"/>
      <c r="BH325" s="107"/>
      <c r="BI325" s="107"/>
      <c r="BJ325" s="9"/>
      <c r="BK325" s="107"/>
      <c r="BL325" s="107"/>
      <c r="BM325" s="107"/>
      <c r="BN325" s="107"/>
      <c r="BO325" s="107"/>
      <c r="BP325" s="107"/>
      <c r="BQ325" s="107"/>
      <c r="BR325" s="9"/>
      <c r="BS325" s="107"/>
      <c r="BT325" s="107"/>
      <c r="BU325" s="107"/>
      <c r="BV325" s="107"/>
      <c r="BW325" s="107"/>
      <c r="BX325" s="107"/>
      <c r="BY325" s="9"/>
      <c r="BZ325" s="107"/>
      <c r="CA325" s="107"/>
      <c r="CB325" s="107"/>
      <c r="CC325" s="107"/>
      <c r="CD325" s="107"/>
      <c r="CE325" s="107"/>
      <c r="CF325" s="9"/>
      <c r="CG325" s="107"/>
      <c r="CH325" s="107"/>
      <c r="CI325" s="107"/>
      <c r="CJ325" s="107"/>
      <c r="CK325" s="107"/>
      <c r="CL325" s="107"/>
    </row>
    <row r="326" spans="1:94" s="268" customFormat="1" x14ac:dyDescent="0.25">
      <c r="A326" s="107"/>
      <c r="B326" s="107"/>
      <c r="C326" s="9"/>
      <c r="D326" s="107"/>
      <c r="E326" s="107"/>
      <c r="F326" s="107"/>
      <c r="G326" s="107"/>
      <c r="H326" s="107"/>
      <c r="I326" s="9"/>
      <c r="J326" s="107"/>
      <c r="K326" s="107"/>
      <c r="L326" s="107"/>
      <c r="M326" s="107"/>
      <c r="N326" s="107"/>
      <c r="O326" s="9"/>
      <c r="P326" s="107"/>
      <c r="Q326" s="107"/>
      <c r="R326" s="107"/>
      <c r="S326" s="107"/>
      <c r="T326" s="107"/>
      <c r="U326" s="9"/>
      <c r="V326" s="107"/>
      <c r="W326" s="107"/>
      <c r="X326" s="107"/>
      <c r="Y326" s="107"/>
      <c r="Z326" s="107"/>
      <c r="AA326" s="107"/>
      <c r="AB326" s="9"/>
      <c r="AC326" s="107"/>
      <c r="AD326" s="107"/>
      <c r="AE326" s="107"/>
      <c r="AF326" s="107"/>
      <c r="AG326" s="107"/>
      <c r="AH326" s="9"/>
      <c r="AI326" s="107"/>
      <c r="AJ326" s="107"/>
      <c r="AK326" s="107"/>
      <c r="AL326" s="107"/>
      <c r="AM326" s="107"/>
      <c r="AN326" s="9"/>
      <c r="AO326" s="107"/>
      <c r="AP326" s="107"/>
      <c r="AQ326" s="107"/>
      <c r="AR326" s="107"/>
      <c r="AS326" s="107"/>
      <c r="AT326" s="107"/>
      <c r="AU326" s="9"/>
      <c r="AV326" s="107"/>
      <c r="AW326" s="107"/>
      <c r="AX326" s="107"/>
      <c r="AY326" s="107"/>
      <c r="AZ326" s="107"/>
      <c r="BA326" s="107"/>
      <c r="BB326" s="9"/>
      <c r="BC326" s="107"/>
      <c r="BD326" s="107"/>
      <c r="BE326" s="107"/>
      <c r="BF326" s="107"/>
      <c r="BG326" s="107"/>
      <c r="BH326" s="107"/>
      <c r="BI326" s="107"/>
      <c r="BJ326" s="9"/>
      <c r="BK326" s="107"/>
      <c r="BL326" s="107"/>
      <c r="BM326" s="107"/>
      <c r="BN326" s="107"/>
      <c r="BO326" s="107"/>
      <c r="BP326" s="107"/>
      <c r="BQ326" s="107"/>
      <c r="BR326" s="9"/>
      <c r="BS326" s="107"/>
      <c r="BT326" s="107"/>
      <c r="BU326" s="107"/>
      <c r="BV326" s="107"/>
      <c r="BW326" s="107"/>
      <c r="BX326" s="107"/>
      <c r="BY326" s="9"/>
      <c r="BZ326" s="107"/>
      <c r="CA326" s="107"/>
      <c r="CB326" s="107"/>
      <c r="CC326" s="107"/>
      <c r="CD326" s="107"/>
      <c r="CE326" s="107"/>
      <c r="CF326" s="9"/>
      <c r="CG326" s="107"/>
      <c r="CH326" s="107"/>
      <c r="CI326" s="107"/>
      <c r="CJ326" s="107"/>
      <c r="CK326" s="107"/>
      <c r="CL326" s="107"/>
    </row>
    <row r="327" spans="1:94" s="268" customFormat="1" x14ac:dyDescent="0.25">
      <c r="A327" s="107"/>
      <c r="B327" s="107"/>
      <c r="C327" s="9"/>
      <c r="D327" s="107"/>
      <c r="E327" s="107"/>
      <c r="F327" s="107"/>
      <c r="G327" s="107"/>
      <c r="H327" s="107"/>
      <c r="I327" s="9"/>
      <c r="J327" s="107"/>
      <c r="K327" s="107"/>
      <c r="L327" s="107"/>
      <c r="M327" s="107"/>
      <c r="N327" s="107"/>
      <c r="O327" s="9"/>
      <c r="P327" s="107"/>
      <c r="Q327" s="107"/>
      <c r="R327" s="107"/>
      <c r="S327" s="107"/>
      <c r="T327" s="107"/>
      <c r="U327" s="9"/>
      <c r="V327" s="107"/>
      <c r="W327" s="107"/>
      <c r="X327" s="107"/>
      <c r="Y327" s="107"/>
      <c r="Z327" s="107"/>
      <c r="AA327" s="107"/>
      <c r="AB327" s="9"/>
      <c r="AC327" s="107"/>
      <c r="AD327" s="107"/>
      <c r="AE327" s="107"/>
      <c r="AF327" s="107"/>
      <c r="AG327" s="107"/>
      <c r="AH327" s="9"/>
      <c r="AI327" s="107"/>
      <c r="AJ327" s="107"/>
      <c r="AK327" s="107"/>
      <c r="AL327" s="107"/>
      <c r="AM327" s="107"/>
      <c r="AN327" s="9"/>
      <c r="AO327" s="107"/>
      <c r="AP327" s="107"/>
      <c r="AQ327" s="107"/>
      <c r="AR327" s="107"/>
      <c r="AS327" s="107"/>
      <c r="AT327" s="107"/>
      <c r="AU327" s="9"/>
      <c r="AV327" s="107"/>
      <c r="AW327" s="107"/>
      <c r="AX327" s="107"/>
      <c r="AY327" s="107"/>
      <c r="AZ327" s="107"/>
      <c r="BA327" s="107"/>
      <c r="BB327" s="9"/>
      <c r="BC327" s="107"/>
      <c r="BD327" s="107"/>
      <c r="BE327" s="107"/>
      <c r="BF327" s="107"/>
      <c r="BG327" s="107"/>
      <c r="BH327" s="107"/>
      <c r="BI327" s="107"/>
      <c r="BJ327" s="9"/>
      <c r="BK327" s="107"/>
      <c r="BL327" s="107"/>
      <c r="BM327" s="107"/>
      <c r="BN327" s="107"/>
      <c r="BO327" s="107"/>
      <c r="BP327" s="107"/>
      <c r="BQ327" s="107"/>
      <c r="BR327" s="9"/>
      <c r="BS327" s="107"/>
      <c r="BT327" s="107"/>
      <c r="BU327" s="107"/>
      <c r="BV327" s="107"/>
      <c r="BW327" s="107"/>
      <c r="BX327" s="107"/>
      <c r="BY327" s="9"/>
      <c r="BZ327" s="107"/>
      <c r="CA327" s="107"/>
      <c r="CB327" s="107"/>
      <c r="CC327" s="107"/>
      <c r="CD327" s="107"/>
      <c r="CE327" s="107"/>
      <c r="CF327" s="9"/>
      <c r="CG327" s="107"/>
      <c r="CH327" s="107"/>
      <c r="CI327" s="107"/>
      <c r="CJ327" s="107"/>
      <c r="CK327" s="107"/>
      <c r="CL327" s="107"/>
    </row>
    <row r="328" spans="1:94" s="268" customFormat="1" x14ac:dyDescent="0.25">
      <c r="A328" s="107"/>
      <c r="B328" s="107"/>
      <c r="C328" s="9"/>
      <c r="D328" s="107"/>
      <c r="E328" s="107"/>
      <c r="F328" s="107"/>
      <c r="G328" s="107"/>
      <c r="H328" s="107"/>
      <c r="I328" s="9"/>
      <c r="J328" s="107"/>
      <c r="K328" s="107"/>
      <c r="L328" s="107"/>
      <c r="M328" s="107"/>
      <c r="N328" s="107"/>
      <c r="O328" s="9"/>
      <c r="P328" s="107"/>
      <c r="Q328" s="107"/>
      <c r="R328" s="107"/>
      <c r="S328" s="107"/>
      <c r="T328" s="107"/>
      <c r="U328" s="9"/>
      <c r="V328" s="107"/>
      <c r="W328" s="107"/>
      <c r="X328" s="107"/>
      <c r="Y328" s="107"/>
      <c r="Z328" s="107"/>
      <c r="AA328" s="107"/>
      <c r="AB328" s="9"/>
      <c r="AC328" s="107"/>
      <c r="AD328" s="107"/>
      <c r="AE328" s="107"/>
      <c r="AF328" s="107"/>
      <c r="AG328" s="107"/>
      <c r="AH328" s="9"/>
      <c r="AI328" s="107"/>
      <c r="AJ328" s="107"/>
      <c r="AK328" s="107"/>
      <c r="AL328" s="107"/>
      <c r="AM328" s="107"/>
      <c r="AN328" s="9"/>
      <c r="AO328" s="107"/>
      <c r="AP328" s="107"/>
      <c r="AQ328" s="107"/>
      <c r="AR328" s="107"/>
      <c r="AS328" s="107"/>
      <c r="AT328" s="107"/>
      <c r="AU328" s="9"/>
      <c r="AV328" s="107"/>
      <c r="AW328" s="107"/>
      <c r="AX328" s="107"/>
      <c r="AY328" s="107"/>
      <c r="AZ328" s="107"/>
      <c r="BA328" s="107"/>
      <c r="BB328" s="9"/>
      <c r="BC328" s="107"/>
      <c r="BD328" s="107"/>
      <c r="BE328" s="107"/>
      <c r="BF328" s="107"/>
      <c r="BG328" s="107"/>
      <c r="BH328" s="107"/>
      <c r="BI328" s="107"/>
      <c r="BJ328" s="9"/>
      <c r="BK328" s="107"/>
      <c r="BL328" s="107"/>
      <c r="BM328" s="107"/>
      <c r="BN328" s="107"/>
      <c r="BO328" s="107"/>
      <c r="BP328" s="107"/>
      <c r="BQ328" s="107"/>
      <c r="BR328" s="9"/>
      <c r="BS328" s="107"/>
      <c r="BT328" s="107"/>
      <c r="BU328" s="107"/>
      <c r="BV328" s="107"/>
      <c r="BW328" s="107"/>
      <c r="BX328" s="107"/>
      <c r="BY328" s="9"/>
      <c r="BZ328" s="107"/>
      <c r="CA328" s="107"/>
      <c r="CB328" s="107"/>
      <c r="CC328" s="107"/>
      <c r="CD328" s="107"/>
      <c r="CE328" s="107"/>
      <c r="CF328" s="9"/>
      <c r="CG328" s="107"/>
      <c r="CH328" s="107"/>
      <c r="CI328" s="107"/>
      <c r="CJ328" s="107"/>
      <c r="CK328" s="107"/>
      <c r="CL328" s="107"/>
    </row>
    <row r="329" spans="1:94" s="268" customFormat="1" x14ac:dyDescent="0.25">
      <c r="A329" s="107"/>
      <c r="B329" s="107"/>
      <c r="C329" s="9"/>
      <c r="D329" s="107"/>
      <c r="E329" s="107"/>
      <c r="F329" s="107"/>
      <c r="G329" s="107"/>
      <c r="H329" s="107"/>
      <c r="I329" s="9"/>
      <c r="J329" s="107"/>
      <c r="K329" s="107"/>
      <c r="L329" s="107"/>
      <c r="M329" s="107"/>
      <c r="N329" s="107"/>
      <c r="O329" s="9"/>
      <c r="P329" s="107"/>
      <c r="Q329" s="107"/>
      <c r="R329" s="107"/>
      <c r="S329" s="107"/>
      <c r="T329" s="107"/>
      <c r="U329" s="9"/>
      <c r="V329" s="107"/>
      <c r="W329" s="107"/>
      <c r="X329" s="107"/>
      <c r="Y329" s="107"/>
      <c r="Z329" s="107"/>
      <c r="AA329" s="107"/>
      <c r="AB329" s="9"/>
      <c r="AC329" s="107"/>
      <c r="AD329" s="107"/>
      <c r="AE329" s="107"/>
      <c r="AF329" s="107"/>
      <c r="AG329" s="107"/>
      <c r="AH329" s="9"/>
      <c r="AI329" s="107"/>
      <c r="AJ329" s="107"/>
      <c r="AK329" s="107"/>
      <c r="AL329" s="107"/>
      <c r="AM329" s="107"/>
      <c r="AN329" s="9"/>
      <c r="AO329" s="107"/>
      <c r="AP329" s="107"/>
      <c r="AQ329" s="107"/>
      <c r="AR329" s="107"/>
      <c r="AS329" s="107"/>
      <c r="AT329" s="107"/>
      <c r="AU329" s="9"/>
      <c r="AV329" s="107"/>
      <c r="AW329" s="107"/>
      <c r="AX329" s="107"/>
      <c r="AY329" s="107"/>
      <c r="AZ329" s="107"/>
      <c r="BA329" s="107"/>
      <c r="BB329" s="9"/>
      <c r="BC329" s="107"/>
      <c r="BD329" s="107"/>
      <c r="BE329" s="107"/>
      <c r="BF329" s="107"/>
      <c r="BG329" s="107"/>
      <c r="BH329" s="107"/>
      <c r="BI329" s="107"/>
      <c r="BJ329" s="9"/>
      <c r="BK329" s="107"/>
      <c r="BL329" s="107"/>
      <c r="BM329" s="107"/>
      <c r="BN329" s="107"/>
      <c r="BO329" s="107"/>
      <c r="BP329" s="107"/>
      <c r="BQ329" s="107"/>
      <c r="BR329" s="9"/>
      <c r="BS329" s="107"/>
      <c r="BT329" s="107"/>
      <c r="BU329" s="107"/>
      <c r="BV329" s="107"/>
      <c r="BW329" s="107"/>
      <c r="BX329" s="107"/>
      <c r="BY329" s="9"/>
      <c r="BZ329" s="107"/>
      <c r="CA329" s="107"/>
      <c r="CB329" s="107"/>
      <c r="CC329" s="107"/>
      <c r="CD329" s="107"/>
      <c r="CE329" s="107"/>
      <c r="CF329" s="9"/>
      <c r="CG329" s="107"/>
      <c r="CH329" s="107"/>
      <c r="CI329" s="107"/>
      <c r="CJ329" s="107"/>
      <c r="CK329" s="107"/>
      <c r="CL329" s="107"/>
    </row>
    <row r="330" spans="1:94" s="268" customFormat="1" x14ac:dyDescent="0.25">
      <c r="A330" s="107"/>
      <c r="B330" s="107"/>
      <c r="C330" s="9"/>
      <c r="D330" s="107"/>
      <c r="E330" s="107"/>
      <c r="F330" s="107"/>
      <c r="G330" s="107"/>
      <c r="H330" s="107"/>
      <c r="I330" s="9"/>
      <c r="J330" s="107"/>
      <c r="K330" s="107"/>
      <c r="L330" s="107"/>
      <c r="M330" s="107"/>
      <c r="N330" s="107"/>
      <c r="O330" s="9"/>
      <c r="P330" s="107"/>
      <c r="Q330" s="107"/>
      <c r="R330" s="107"/>
      <c r="S330" s="107"/>
      <c r="T330" s="107"/>
      <c r="U330" s="9"/>
      <c r="V330" s="107"/>
      <c r="W330" s="107"/>
      <c r="X330" s="107"/>
      <c r="Y330" s="107"/>
      <c r="Z330" s="107"/>
      <c r="AA330" s="107"/>
      <c r="AB330" s="9"/>
      <c r="AC330" s="107"/>
      <c r="AD330" s="107"/>
      <c r="AE330" s="107"/>
      <c r="AF330" s="107"/>
      <c r="AG330" s="107"/>
      <c r="AH330" s="9"/>
      <c r="AI330" s="107"/>
      <c r="AJ330" s="107"/>
      <c r="AK330" s="107"/>
      <c r="AL330" s="107"/>
      <c r="AM330" s="107"/>
      <c r="AN330" s="9"/>
      <c r="AO330" s="107"/>
      <c r="AP330" s="107"/>
      <c r="AQ330" s="107"/>
      <c r="AR330" s="107"/>
      <c r="AS330" s="107"/>
      <c r="AT330" s="107"/>
      <c r="AU330" s="9"/>
      <c r="AV330" s="107"/>
      <c r="AW330" s="107"/>
      <c r="AX330" s="107"/>
      <c r="AY330" s="107"/>
      <c r="AZ330" s="107"/>
      <c r="BA330" s="107"/>
      <c r="BB330" s="9"/>
      <c r="BC330" s="107"/>
      <c r="BD330" s="107"/>
      <c r="BE330" s="107"/>
      <c r="BF330" s="107"/>
      <c r="BG330" s="107"/>
      <c r="BH330" s="107"/>
      <c r="BI330" s="107"/>
      <c r="BJ330" s="9"/>
      <c r="BK330" s="107"/>
      <c r="BL330" s="107"/>
      <c r="BM330" s="107"/>
      <c r="BN330" s="107"/>
      <c r="BO330" s="107"/>
      <c r="BP330" s="107"/>
      <c r="BQ330" s="107"/>
      <c r="BR330" s="9"/>
      <c r="BS330" s="107"/>
      <c r="BT330" s="107"/>
      <c r="BU330" s="107"/>
      <c r="BV330" s="107"/>
      <c r="BW330" s="107"/>
      <c r="BX330" s="107"/>
      <c r="BY330" s="9"/>
      <c r="BZ330" s="107"/>
      <c r="CA330" s="107"/>
      <c r="CB330" s="107"/>
      <c r="CC330" s="107"/>
      <c r="CD330" s="107"/>
      <c r="CE330" s="107"/>
      <c r="CF330" s="9"/>
      <c r="CG330" s="107"/>
      <c r="CH330" s="107"/>
      <c r="CI330" s="107"/>
      <c r="CJ330" s="107"/>
      <c r="CK330" s="107"/>
      <c r="CL330" s="107"/>
    </row>
    <row r="331" spans="1:94" s="268" customFormat="1" x14ac:dyDescent="0.25">
      <c r="A331" s="107"/>
      <c r="B331" s="107"/>
      <c r="C331" s="9"/>
      <c r="D331" s="107"/>
      <c r="E331" s="107"/>
      <c r="F331" s="107"/>
      <c r="G331" s="107"/>
      <c r="H331" s="107"/>
      <c r="I331" s="9"/>
      <c r="J331" s="107"/>
      <c r="K331" s="107"/>
      <c r="L331" s="107"/>
      <c r="M331" s="107"/>
      <c r="N331" s="107"/>
      <c r="O331" s="9"/>
      <c r="P331" s="107"/>
      <c r="Q331" s="107"/>
      <c r="R331" s="107"/>
      <c r="S331" s="107"/>
      <c r="T331" s="107"/>
      <c r="U331" s="9"/>
      <c r="V331" s="107"/>
      <c r="W331" s="107"/>
      <c r="X331" s="107"/>
      <c r="Y331" s="107"/>
      <c r="Z331" s="107"/>
      <c r="AA331" s="107"/>
      <c r="AB331" s="9"/>
      <c r="AC331" s="107"/>
      <c r="AD331" s="107"/>
      <c r="AE331" s="107"/>
      <c r="AF331" s="107"/>
      <c r="AG331" s="107"/>
      <c r="AH331" s="9"/>
      <c r="AI331" s="107"/>
      <c r="AJ331" s="107"/>
      <c r="AK331" s="107"/>
      <c r="AL331" s="107"/>
      <c r="AM331" s="107"/>
      <c r="AN331" s="9"/>
      <c r="AO331" s="107"/>
      <c r="AP331" s="107"/>
      <c r="AQ331" s="107"/>
      <c r="AR331" s="107"/>
      <c r="AS331" s="107"/>
      <c r="AT331" s="107"/>
      <c r="AU331" s="9"/>
      <c r="AV331" s="107"/>
      <c r="AW331" s="107"/>
      <c r="AX331" s="107"/>
      <c r="AY331" s="107"/>
      <c r="AZ331" s="107"/>
      <c r="BA331" s="107"/>
      <c r="BB331" s="9"/>
      <c r="BC331" s="107"/>
      <c r="BD331" s="107"/>
      <c r="BE331" s="107"/>
      <c r="BF331" s="107"/>
      <c r="BG331" s="107"/>
      <c r="BH331" s="107"/>
      <c r="BI331" s="107"/>
      <c r="BJ331" s="9"/>
      <c r="BK331" s="107"/>
      <c r="BL331" s="107"/>
      <c r="BM331" s="107"/>
      <c r="BN331" s="107"/>
      <c r="BO331" s="107"/>
      <c r="BP331" s="107"/>
      <c r="BQ331" s="107"/>
      <c r="BR331" s="9"/>
      <c r="BS331" s="107"/>
      <c r="BT331" s="107"/>
      <c r="BU331" s="107"/>
      <c r="BV331" s="107"/>
      <c r="BW331" s="107"/>
      <c r="BX331" s="107"/>
      <c r="BY331" s="9"/>
      <c r="BZ331" s="107"/>
      <c r="CA331" s="107"/>
      <c r="CB331" s="107"/>
      <c r="CC331" s="107"/>
      <c r="CD331" s="107"/>
      <c r="CE331" s="107"/>
      <c r="CF331" s="9"/>
      <c r="CG331" s="107"/>
      <c r="CH331" s="107"/>
      <c r="CI331" s="107"/>
      <c r="CJ331" s="107"/>
      <c r="CK331" s="107"/>
      <c r="CL331" s="107"/>
    </row>
    <row r="332" spans="1:94" s="268" customFormat="1" x14ac:dyDescent="0.25">
      <c r="A332" s="107"/>
      <c r="B332" s="107"/>
      <c r="C332" s="9"/>
      <c r="D332" s="107"/>
      <c r="E332" s="107"/>
      <c r="F332" s="107"/>
      <c r="G332" s="107"/>
      <c r="H332" s="107"/>
      <c r="I332" s="9"/>
      <c r="J332" s="107"/>
      <c r="K332" s="107"/>
      <c r="L332" s="107"/>
      <c r="M332" s="107"/>
      <c r="N332" s="107"/>
      <c r="O332" s="9"/>
      <c r="P332" s="107"/>
      <c r="Q332" s="107"/>
      <c r="R332" s="107"/>
      <c r="S332" s="107"/>
      <c r="T332" s="107"/>
      <c r="U332" s="9"/>
      <c r="V332" s="107"/>
      <c r="W332" s="107"/>
      <c r="X332" s="107"/>
      <c r="Y332" s="107"/>
      <c r="Z332" s="107"/>
      <c r="AA332" s="107"/>
      <c r="AB332" s="9"/>
      <c r="AC332" s="107"/>
      <c r="AD332" s="107"/>
      <c r="AE332" s="107"/>
      <c r="AF332" s="107"/>
      <c r="AG332" s="107"/>
      <c r="AH332" s="9"/>
      <c r="AI332" s="107"/>
      <c r="AJ332" s="107"/>
      <c r="AK332" s="107"/>
      <c r="AL332" s="107"/>
      <c r="AM332" s="107"/>
      <c r="AN332" s="9"/>
      <c r="AO332" s="107"/>
      <c r="AP332" s="107"/>
      <c r="AQ332" s="107"/>
      <c r="AR332" s="107"/>
      <c r="AS332" s="107"/>
      <c r="AT332" s="107"/>
      <c r="AU332" s="9"/>
      <c r="AV332" s="107"/>
      <c r="AW332" s="107"/>
      <c r="AX332" s="107"/>
      <c r="AY332" s="107"/>
      <c r="AZ332" s="107"/>
      <c r="BA332" s="107"/>
      <c r="BB332" s="9"/>
      <c r="BC332" s="107"/>
      <c r="BD332" s="107"/>
      <c r="BE332" s="107"/>
      <c r="BF332" s="107"/>
      <c r="BG332" s="107"/>
      <c r="BH332" s="107"/>
      <c r="BI332" s="107"/>
      <c r="BJ332" s="9"/>
      <c r="BK332" s="107"/>
      <c r="BL332" s="107"/>
      <c r="BM332" s="107"/>
      <c r="BN332" s="107"/>
      <c r="BO332" s="107"/>
      <c r="BP332" s="107"/>
      <c r="BQ332" s="107"/>
      <c r="BR332" s="9"/>
      <c r="BS332" s="107"/>
      <c r="BT332" s="107"/>
      <c r="BU332" s="107"/>
      <c r="BV332" s="107"/>
      <c r="BW332" s="107"/>
      <c r="BX332" s="107"/>
      <c r="BY332" s="9"/>
      <c r="BZ332" s="107"/>
      <c r="CA332" s="107"/>
      <c r="CB332" s="107"/>
      <c r="CC332" s="107"/>
      <c r="CD332" s="107"/>
      <c r="CE332" s="107"/>
      <c r="CF332" s="9"/>
      <c r="CG332" s="107"/>
      <c r="CH332" s="107"/>
      <c r="CI332" s="107"/>
      <c r="CJ332" s="107"/>
      <c r="CK332" s="107"/>
      <c r="CL332" s="107"/>
    </row>
    <row r="333" spans="1:94" s="268" customFormat="1" x14ac:dyDescent="0.25">
      <c r="A333" s="107"/>
      <c r="B333" s="107"/>
      <c r="C333" s="9"/>
      <c r="D333" s="107"/>
      <c r="E333" s="107"/>
      <c r="F333" s="107"/>
      <c r="G333" s="107"/>
      <c r="H333" s="107"/>
      <c r="I333" s="9"/>
      <c r="J333" s="107"/>
      <c r="K333" s="107"/>
      <c r="L333" s="107"/>
      <c r="M333" s="107"/>
      <c r="N333" s="107"/>
      <c r="O333" s="9"/>
      <c r="P333" s="107"/>
      <c r="Q333" s="107"/>
      <c r="R333" s="107"/>
      <c r="S333" s="107"/>
      <c r="T333" s="107"/>
      <c r="U333" s="9"/>
      <c r="V333" s="107"/>
      <c r="W333" s="107"/>
      <c r="X333" s="107"/>
      <c r="Y333" s="107"/>
      <c r="Z333" s="107"/>
      <c r="AA333" s="107"/>
      <c r="AB333" s="9"/>
      <c r="AC333" s="107"/>
      <c r="AD333" s="107"/>
      <c r="AE333" s="107"/>
      <c r="AF333" s="107"/>
      <c r="AG333" s="107"/>
      <c r="AH333" s="9"/>
      <c r="AI333" s="107"/>
      <c r="AJ333" s="107"/>
      <c r="AK333" s="107"/>
      <c r="AL333" s="107"/>
      <c r="AM333" s="107"/>
      <c r="AN333" s="9"/>
      <c r="AO333" s="107"/>
      <c r="AP333" s="107"/>
      <c r="AQ333" s="107"/>
      <c r="AR333" s="107"/>
      <c r="AS333" s="107"/>
      <c r="AT333" s="107"/>
      <c r="AU333" s="9"/>
      <c r="AV333" s="107"/>
      <c r="AW333" s="107"/>
      <c r="AX333" s="107"/>
      <c r="AY333" s="107"/>
      <c r="AZ333" s="107"/>
      <c r="BA333" s="107"/>
      <c r="BB333" s="9"/>
      <c r="BC333" s="107"/>
      <c r="BD333" s="107"/>
      <c r="BE333" s="107"/>
      <c r="BF333" s="107"/>
      <c r="BG333" s="107"/>
      <c r="BH333" s="107"/>
      <c r="BI333" s="107"/>
      <c r="BJ333" s="9"/>
      <c r="BK333" s="107"/>
      <c r="BL333" s="107"/>
      <c r="BM333" s="107"/>
      <c r="BN333" s="107"/>
      <c r="BO333" s="107"/>
      <c r="BP333" s="107"/>
      <c r="BQ333" s="107"/>
      <c r="BR333" s="9"/>
      <c r="BS333" s="107"/>
      <c r="BT333" s="107"/>
      <c r="BU333" s="107"/>
      <c r="BV333" s="107"/>
      <c r="BW333" s="107"/>
      <c r="BX333" s="107"/>
      <c r="BY333" s="9"/>
      <c r="BZ333" s="107"/>
      <c r="CA333" s="107"/>
      <c r="CB333" s="107"/>
      <c r="CC333" s="107"/>
      <c r="CD333" s="107"/>
      <c r="CE333" s="107"/>
      <c r="CF333" s="9"/>
      <c r="CG333" s="107"/>
      <c r="CH333" s="107"/>
      <c r="CI333" s="107"/>
      <c r="CJ333" s="107"/>
      <c r="CK333" s="107"/>
      <c r="CL333" s="107"/>
    </row>
    <row r="334" spans="1:94" s="268" customFormat="1" x14ac:dyDescent="0.25">
      <c r="A334" s="107"/>
      <c r="B334" s="107"/>
      <c r="C334" s="9"/>
      <c r="D334" s="107"/>
      <c r="E334" s="107"/>
      <c r="F334" s="107"/>
      <c r="G334" s="107"/>
      <c r="H334" s="107"/>
      <c r="I334" s="9"/>
      <c r="J334" s="107"/>
      <c r="K334" s="107"/>
      <c r="L334" s="107"/>
      <c r="M334" s="107"/>
      <c r="N334" s="107"/>
      <c r="O334" s="9"/>
      <c r="P334" s="107"/>
      <c r="Q334" s="107"/>
      <c r="R334" s="107"/>
      <c r="S334" s="107"/>
      <c r="T334" s="107"/>
      <c r="U334" s="9"/>
      <c r="V334" s="107"/>
      <c r="W334" s="107"/>
      <c r="X334" s="107"/>
      <c r="Y334" s="107"/>
      <c r="Z334" s="107"/>
      <c r="AA334" s="107"/>
      <c r="AB334" s="9"/>
      <c r="AC334" s="107"/>
      <c r="AD334" s="107"/>
      <c r="AE334" s="107"/>
      <c r="AF334" s="107"/>
      <c r="AG334" s="107"/>
      <c r="AH334" s="9"/>
      <c r="AI334" s="107"/>
      <c r="AJ334" s="107"/>
      <c r="AK334" s="107"/>
      <c r="AL334" s="107"/>
      <c r="AM334" s="107"/>
      <c r="AN334" s="9"/>
      <c r="AO334" s="107"/>
      <c r="AP334" s="107"/>
      <c r="AQ334" s="107"/>
      <c r="AR334" s="107"/>
      <c r="AS334" s="107"/>
      <c r="AT334" s="107"/>
      <c r="AU334" s="9"/>
      <c r="AV334" s="107"/>
      <c r="AW334" s="107"/>
      <c r="AX334" s="107"/>
      <c r="AY334" s="107"/>
      <c r="AZ334" s="107"/>
      <c r="BA334" s="107"/>
      <c r="BB334" s="9"/>
      <c r="BC334" s="107"/>
      <c r="BD334" s="107"/>
      <c r="BE334" s="107"/>
      <c r="BF334" s="107"/>
      <c r="BG334" s="107"/>
      <c r="BH334" s="107"/>
      <c r="BI334" s="107"/>
      <c r="BJ334" s="9"/>
      <c r="BK334" s="107"/>
      <c r="BL334" s="107"/>
      <c r="BM334" s="107"/>
      <c r="BN334" s="107"/>
      <c r="BO334" s="107"/>
      <c r="BP334" s="107"/>
      <c r="BQ334" s="107"/>
      <c r="BR334" s="9"/>
      <c r="BS334" s="107"/>
      <c r="BT334" s="107"/>
      <c r="BU334" s="107"/>
      <c r="BV334" s="107"/>
      <c r="BW334" s="107"/>
      <c r="BX334" s="107"/>
      <c r="BY334" s="9"/>
      <c r="BZ334" s="107"/>
      <c r="CA334" s="107"/>
      <c r="CB334" s="107"/>
      <c r="CC334" s="107"/>
      <c r="CD334" s="107"/>
      <c r="CE334" s="107"/>
      <c r="CF334" s="9"/>
      <c r="CG334" s="107"/>
      <c r="CH334" s="107"/>
      <c r="CI334" s="107"/>
      <c r="CJ334" s="107"/>
      <c r="CK334" s="107"/>
      <c r="CL334" s="107"/>
    </row>
    <row r="335" spans="1:94" s="268" customFormat="1" x14ac:dyDescent="0.25">
      <c r="A335" s="107"/>
      <c r="B335" s="107"/>
      <c r="C335" s="9"/>
      <c r="D335" s="107"/>
      <c r="E335" s="107"/>
      <c r="F335" s="107"/>
      <c r="G335" s="107"/>
      <c r="H335" s="107"/>
      <c r="I335" s="9"/>
      <c r="J335" s="107"/>
      <c r="K335" s="107"/>
      <c r="L335" s="107"/>
      <c r="M335" s="107"/>
      <c r="N335" s="107"/>
      <c r="O335" s="9"/>
      <c r="P335" s="107"/>
      <c r="Q335" s="107"/>
      <c r="R335" s="107"/>
      <c r="S335" s="107"/>
      <c r="T335" s="107"/>
      <c r="U335" s="9"/>
      <c r="V335" s="107"/>
      <c r="W335" s="107"/>
      <c r="X335" s="107"/>
      <c r="Y335" s="107"/>
      <c r="Z335" s="107"/>
      <c r="AA335" s="107"/>
      <c r="AB335" s="9"/>
      <c r="AC335" s="107"/>
      <c r="AD335" s="107"/>
      <c r="AE335" s="107"/>
      <c r="AF335" s="107"/>
      <c r="AG335" s="107"/>
      <c r="AH335" s="9"/>
      <c r="AI335" s="107"/>
      <c r="AJ335" s="107"/>
      <c r="AK335" s="107"/>
      <c r="AL335" s="107"/>
      <c r="AM335" s="107"/>
      <c r="AN335" s="9"/>
      <c r="AO335" s="107"/>
      <c r="AP335" s="107"/>
      <c r="AQ335" s="107"/>
      <c r="AR335" s="107"/>
      <c r="AS335" s="107"/>
      <c r="AT335" s="107"/>
      <c r="AU335" s="9"/>
      <c r="AV335" s="107"/>
      <c r="AW335" s="107"/>
      <c r="AX335" s="107"/>
      <c r="AY335" s="107"/>
      <c r="AZ335" s="107"/>
      <c r="BA335" s="107"/>
      <c r="BB335" s="9"/>
      <c r="BC335" s="107"/>
      <c r="BD335" s="107"/>
      <c r="BE335" s="107"/>
      <c r="BF335" s="107"/>
      <c r="BG335" s="107"/>
      <c r="BH335" s="107"/>
      <c r="BI335" s="107"/>
      <c r="BJ335" s="9"/>
      <c r="BK335" s="107"/>
      <c r="BL335" s="107"/>
      <c r="BM335" s="107"/>
      <c r="BN335" s="107"/>
      <c r="BO335" s="107"/>
      <c r="BP335" s="107"/>
      <c r="BQ335" s="107"/>
      <c r="BR335" s="9"/>
      <c r="BS335" s="107"/>
      <c r="BT335" s="107"/>
      <c r="BU335" s="107"/>
      <c r="BV335" s="107"/>
      <c r="BW335" s="107"/>
      <c r="BX335" s="107"/>
      <c r="BY335" s="9"/>
      <c r="BZ335" s="107"/>
      <c r="CA335" s="107"/>
      <c r="CB335" s="107"/>
      <c r="CC335" s="107"/>
      <c r="CD335" s="107"/>
      <c r="CE335" s="107"/>
      <c r="CF335" s="9"/>
      <c r="CG335" s="107"/>
      <c r="CH335" s="107"/>
      <c r="CI335" s="107"/>
      <c r="CJ335" s="107"/>
      <c r="CK335" s="107"/>
      <c r="CL335" s="107"/>
    </row>
    <row r="336" spans="1:94" s="268" customFormat="1" x14ac:dyDescent="0.25">
      <c r="A336" s="107"/>
      <c r="B336" s="107"/>
      <c r="C336" s="7"/>
      <c r="D336" s="10"/>
      <c r="E336" s="10"/>
      <c r="F336" s="8"/>
      <c r="G336" s="8"/>
      <c r="H336" s="107"/>
      <c r="I336" s="7"/>
      <c r="J336" s="10"/>
      <c r="K336" s="10"/>
      <c r="L336" s="8"/>
      <c r="M336" s="8"/>
      <c r="N336" s="107"/>
      <c r="O336" s="7"/>
      <c r="P336" s="10"/>
      <c r="Q336" s="10"/>
      <c r="R336" s="8"/>
      <c r="S336" s="8"/>
      <c r="T336" s="107"/>
      <c r="U336" s="7"/>
      <c r="V336" s="10"/>
      <c r="W336" s="10"/>
      <c r="X336" s="8"/>
      <c r="Y336" s="7"/>
      <c r="Z336" s="8"/>
      <c r="AA336" s="107"/>
      <c r="AB336" s="7"/>
      <c r="AC336" s="10"/>
      <c r="AD336" s="10"/>
      <c r="AE336" s="8"/>
      <c r="AF336" s="8"/>
      <c r="AG336" s="107"/>
      <c r="AH336" s="7"/>
      <c r="AI336" s="10"/>
      <c r="AJ336" s="10"/>
      <c r="AK336" s="8"/>
      <c r="AL336" s="8"/>
      <c r="AM336" s="107"/>
      <c r="AN336" s="7"/>
      <c r="AO336" s="10"/>
      <c r="AP336" s="10"/>
      <c r="AQ336" s="8"/>
      <c r="AR336" s="8"/>
      <c r="AS336" s="8"/>
      <c r="AT336" s="107"/>
      <c r="AU336" s="7"/>
      <c r="AV336" s="10"/>
      <c r="AW336" s="10"/>
      <c r="AX336" s="8"/>
      <c r="AY336" s="8"/>
      <c r="AZ336" s="8"/>
      <c r="BA336" s="107"/>
      <c r="BB336" s="7"/>
      <c r="BC336" s="10"/>
      <c r="BD336" s="10"/>
      <c r="BE336" s="8"/>
      <c r="BF336" s="8"/>
      <c r="BG336" s="8"/>
      <c r="BH336" s="8"/>
      <c r="BI336" s="107"/>
      <c r="BJ336" s="7"/>
      <c r="BK336" s="10"/>
      <c r="BL336" s="10"/>
      <c r="BM336" s="10"/>
      <c r="BN336" s="8"/>
      <c r="BO336" s="8"/>
      <c r="BP336" s="8"/>
      <c r="BQ336" s="107"/>
      <c r="BR336" s="7"/>
      <c r="BS336" s="10"/>
      <c r="BT336" s="10"/>
      <c r="BU336" s="10"/>
      <c r="BV336" s="8"/>
      <c r="BW336" s="8"/>
      <c r="BX336" s="107"/>
      <c r="BY336" s="7"/>
      <c r="BZ336" s="10"/>
      <c r="CA336" s="10"/>
      <c r="CB336" s="8"/>
      <c r="CC336" s="8"/>
      <c r="CD336" s="8"/>
      <c r="CE336" s="107"/>
      <c r="CF336" s="7"/>
      <c r="CG336" s="10"/>
      <c r="CH336" s="10"/>
      <c r="CI336" s="8"/>
      <c r="CJ336" s="8"/>
      <c r="CK336" s="8"/>
      <c r="CL336" s="8"/>
      <c r="CM336" s="266"/>
      <c r="CN336" s="266"/>
      <c r="CO336" s="266"/>
    </row>
    <row r="337" spans="1:93" s="268" customFormat="1" x14ac:dyDescent="0.25">
      <c r="A337" s="107"/>
      <c r="B337" s="107"/>
      <c r="C337" s="7"/>
      <c r="D337" s="10"/>
      <c r="E337" s="10"/>
      <c r="F337" s="8"/>
      <c r="G337" s="8"/>
      <c r="H337" s="107"/>
      <c r="I337" s="7"/>
      <c r="J337" s="10"/>
      <c r="K337" s="10"/>
      <c r="L337" s="8"/>
      <c r="M337" s="8"/>
      <c r="N337" s="107"/>
      <c r="O337" s="7"/>
      <c r="P337" s="10"/>
      <c r="Q337" s="10"/>
      <c r="R337" s="8"/>
      <c r="S337" s="8"/>
      <c r="T337" s="107"/>
      <c r="U337" s="7"/>
      <c r="V337" s="10"/>
      <c r="W337" s="10"/>
      <c r="X337" s="8"/>
      <c r="Y337" s="7"/>
      <c r="Z337" s="8"/>
      <c r="AA337" s="107"/>
      <c r="AB337" s="7"/>
      <c r="AC337" s="10"/>
      <c r="AD337" s="10"/>
      <c r="AE337" s="8"/>
      <c r="AF337" s="8"/>
      <c r="AG337" s="107"/>
      <c r="AH337" s="7"/>
      <c r="AI337" s="10"/>
      <c r="AJ337" s="10"/>
      <c r="AK337" s="8"/>
      <c r="AL337" s="8"/>
      <c r="AM337" s="107"/>
      <c r="AN337" s="7"/>
      <c r="AO337" s="10"/>
      <c r="AP337" s="10"/>
      <c r="AQ337" s="8"/>
      <c r="AR337" s="8"/>
      <c r="AS337" s="8"/>
      <c r="AT337" s="107"/>
      <c r="AU337" s="7"/>
      <c r="AV337" s="10"/>
      <c r="AW337" s="10"/>
      <c r="AX337" s="8"/>
      <c r="AY337" s="8"/>
      <c r="AZ337" s="8"/>
      <c r="BA337" s="107"/>
      <c r="BB337" s="7"/>
      <c r="BC337" s="10"/>
      <c r="BD337" s="10"/>
      <c r="BE337" s="8"/>
      <c r="BF337" s="8"/>
      <c r="BG337" s="8"/>
      <c r="BH337" s="8"/>
      <c r="BI337" s="107"/>
      <c r="BJ337" s="7"/>
      <c r="BK337" s="10"/>
      <c r="BL337" s="10"/>
      <c r="BM337" s="10"/>
      <c r="BN337" s="8"/>
      <c r="BO337" s="8"/>
      <c r="BP337" s="8"/>
      <c r="BQ337" s="107"/>
      <c r="BR337" s="7"/>
      <c r="BS337" s="10"/>
      <c r="BT337" s="10"/>
      <c r="BU337" s="10"/>
      <c r="BV337" s="8"/>
      <c r="BW337" s="8"/>
      <c r="BX337" s="107"/>
      <c r="BY337" s="7"/>
      <c r="BZ337" s="10"/>
      <c r="CA337" s="10"/>
      <c r="CB337" s="8"/>
      <c r="CC337" s="8"/>
      <c r="CD337" s="8"/>
      <c r="CE337" s="107"/>
      <c r="CF337" s="7"/>
      <c r="CG337" s="10"/>
      <c r="CH337" s="10"/>
      <c r="CI337" s="8"/>
      <c r="CJ337" s="8"/>
      <c r="CK337" s="8"/>
      <c r="CL337" s="8"/>
      <c r="CM337" s="266"/>
      <c r="CN337" s="266"/>
      <c r="CO337" s="266"/>
    </row>
    <row r="338" spans="1:93" s="268" customFormat="1" x14ac:dyDescent="0.25">
      <c r="A338" s="107"/>
      <c r="B338" s="107"/>
      <c r="C338" s="7"/>
      <c r="D338" s="10"/>
      <c r="E338" s="10"/>
      <c r="F338" s="8"/>
      <c r="G338" s="8"/>
      <c r="H338" s="107"/>
      <c r="I338" s="7"/>
      <c r="J338" s="10"/>
      <c r="K338" s="10"/>
      <c r="L338" s="8"/>
      <c r="M338" s="8"/>
      <c r="N338" s="107"/>
      <c r="O338" s="7"/>
      <c r="P338" s="10"/>
      <c r="Q338" s="10"/>
      <c r="R338" s="8"/>
      <c r="S338" s="8"/>
      <c r="T338" s="107"/>
      <c r="U338" s="7"/>
      <c r="V338" s="10"/>
      <c r="W338" s="10"/>
      <c r="X338" s="8"/>
      <c r="Y338" s="7"/>
      <c r="Z338" s="8"/>
      <c r="AA338" s="107"/>
      <c r="AB338" s="7"/>
      <c r="AC338" s="10"/>
      <c r="AD338" s="10"/>
      <c r="AE338" s="8"/>
      <c r="AF338" s="8"/>
      <c r="AG338" s="107"/>
      <c r="AH338" s="7"/>
      <c r="AI338" s="10"/>
      <c r="AJ338" s="10"/>
      <c r="AK338" s="8"/>
      <c r="AL338" s="8"/>
      <c r="AM338" s="107"/>
      <c r="AN338" s="7"/>
      <c r="AO338" s="10"/>
      <c r="AP338" s="10"/>
      <c r="AQ338" s="8"/>
      <c r="AR338" s="8"/>
      <c r="AS338" s="8"/>
      <c r="AT338" s="107"/>
      <c r="AU338" s="7"/>
      <c r="AV338" s="10"/>
      <c r="AW338" s="10"/>
      <c r="AX338" s="8"/>
      <c r="AY338" s="8"/>
      <c r="AZ338" s="8"/>
      <c r="BA338" s="107"/>
      <c r="BB338" s="7"/>
      <c r="BC338" s="10"/>
      <c r="BD338" s="10"/>
      <c r="BE338" s="8"/>
      <c r="BF338" s="8"/>
      <c r="BG338" s="8"/>
      <c r="BH338" s="8"/>
      <c r="BI338" s="107"/>
      <c r="BJ338" s="7"/>
      <c r="BK338" s="10"/>
      <c r="BL338" s="10"/>
      <c r="BM338" s="10"/>
      <c r="BN338" s="8"/>
      <c r="BO338" s="8"/>
      <c r="BP338" s="8"/>
      <c r="BQ338" s="107"/>
      <c r="BR338" s="7"/>
      <c r="BS338" s="10"/>
      <c r="BT338" s="10"/>
      <c r="BU338" s="10"/>
      <c r="BV338" s="8"/>
      <c r="BW338" s="8"/>
      <c r="BX338" s="107"/>
      <c r="BY338" s="7"/>
      <c r="BZ338" s="10"/>
      <c r="CA338" s="10"/>
      <c r="CB338" s="8"/>
      <c r="CC338" s="8"/>
      <c r="CD338" s="8"/>
      <c r="CE338" s="107"/>
      <c r="CF338" s="7"/>
      <c r="CG338" s="10"/>
      <c r="CH338" s="10"/>
      <c r="CI338" s="8"/>
      <c r="CJ338" s="8"/>
      <c r="CK338" s="8"/>
      <c r="CL338" s="8"/>
      <c r="CM338" s="266"/>
      <c r="CN338" s="266"/>
      <c r="CO338" s="266"/>
    </row>
    <row r="339" spans="1:93" s="268" customFormat="1" x14ac:dyDescent="0.25">
      <c r="A339" s="107"/>
      <c r="B339" s="107"/>
      <c r="C339" s="7"/>
      <c r="D339" s="10"/>
      <c r="E339" s="10"/>
      <c r="F339" s="8"/>
      <c r="G339" s="8"/>
      <c r="H339" s="107"/>
      <c r="I339" s="7"/>
      <c r="J339" s="10"/>
      <c r="K339" s="10"/>
      <c r="L339" s="8"/>
      <c r="M339" s="8"/>
      <c r="N339" s="107"/>
      <c r="O339" s="7"/>
      <c r="P339" s="10"/>
      <c r="Q339" s="10"/>
      <c r="R339" s="8"/>
      <c r="S339" s="8"/>
      <c r="T339" s="107"/>
      <c r="U339" s="7"/>
      <c r="V339" s="10"/>
      <c r="W339" s="10"/>
      <c r="X339" s="8"/>
      <c r="Y339" s="7"/>
      <c r="Z339" s="8"/>
      <c r="AA339" s="107"/>
      <c r="AB339" s="7"/>
      <c r="AC339" s="10"/>
      <c r="AD339" s="10"/>
      <c r="AE339" s="8"/>
      <c r="AF339" s="8"/>
      <c r="AG339" s="107"/>
      <c r="AH339" s="7"/>
      <c r="AI339" s="10"/>
      <c r="AJ339" s="10"/>
      <c r="AK339" s="8"/>
      <c r="AL339" s="8"/>
      <c r="AM339" s="107"/>
      <c r="AN339" s="7"/>
      <c r="AO339" s="10"/>
      <c r="AP339" s="10"/>
      <c r="AQ339" s="8"/>
      <c r="AR339" s="8"/>
      <c r="AS339" s="8"/>
      <c r="AT339" s="107"/>
      <c r="AU339" s="7"/>
      <c r="AV339" s="10"/>
      <c r="AW339" s="10"/>
      <c r="AX339" s="8"/>
      <c r="AY339" s="8"/>
      <c r="AZ339" s="8"/>
      <c r="BA339" s="107"/>
      <c r="BB339" s="7"/>
      <c r="BC339" s="10"/>
      <c r="BD339" s="10"/>
      <c r="BE339" s="8"/>
      <c r="BF339" s="8"/>
      <c r="BG339" s="8"/>
      <c r="BH339" s="8"/>
      <c r="BI339" s="107"/>
      <c r="BJ339" s="7"/>
      <c r="BK339" s="10"/>
      <c r="BL339" s="10"/>
      <c r="BM339" s="10"/>
      <c r="BN339" s="8"/>
      <c r="BO339" s="8"/>
      <c r="BP339" s="8"/>
      <c r="BQ339" s="107"/>
      <c r="BR339" s="7"/>
      <c r="BS339" s="10"/>
      <c r="BT339" s="10"/>
      <c r="BU339" s="10"/>
      <c r="BV339" s="8"/>
      <c r="BW339" s="8"/>
      <c r="BX339" s="107"/>
      <c r="BY339" s="7"/>
      <c r="BZ339" s="10"/>
      <c r="CA339" s="10"/>
      <c r="CB339" s="8"/>
      <c r="CC339" s="8"/>
      <c r="CD339" s="8"/>
      <c r="CE339" s="107"/>
      <c r="CF339" s="7"/>
      <c r="CG339" s="10"/>
      <c r="CH339" s="10"/>
      <c r="CI339" s="8"/>
      <c r="CJ339" s="8"/>
      <c r="CK339" s="8"/>
      <c r="CL339" s="8"/>
      <c r="CM339" s="266"/>
      <c r="CN339" s="266"/>
      <c r="CO339" s="266"/>
    </row>
    <row r="340" spans="1:93" s="268" customFormat="1" x14ac:dyDescent="0.25">
      <c r="A340" s="107"/>
      <c r="B340" s="107"/>
      <c r="C340" s="7"/>
      <c r="D340" s="10"/>
      <c r="E340" s="10"/>
      <c r="F340" s="8"/>
      <c r="G340" s="8"/>
      <c r="H340" s="107"/>
      <c r="I340" s="7"/>
      <c r="J340" s="10"/>
      <c r="K340" s="10"/>
      <c r="L340" s="8"/>
      <c r="M340" s="8"/>
      <c r="N340" s="107"/>
      <c r="O340" s="7"/>
      <c r="P340" s="10"/>
      <c r="Q340" s="10"/>
      <c r="R340" s="8"/>
      <c r="S340" s="8"/>
      <c r="T340" s="107"/>
      <c r="U340" s="7"/>
      <c r="V340" s="10"/>
      <c r="W340" s="10"/>
      <c r="X340" s="8"/>
      <c r="Y340" s="7"/>
      <c r="Z340" s="8"/>
      <c r="AA340" s="107"/>
      <c r="AB340" s="7"/>
      <c r="AC340" s="10"/>
      <c r="AD340" s="10"/>
      <c r="AE340" s="8"/>
      <c r="AF340" s="8"/>
      <c r="AG340" s="107"/>
      <c r="AH340" s="7"/>
      <c r="AI340" s="10"/>
      <c r="AJ340" s="10"/>
      <c r="AK340" s="8"/>
      <c r="AL340" s="8"/>
      <c r="AM340" s="107"/>
      <c r="AN340" s="7"/>
      <c r="AO340" s="10"/>
      <c r="AP340" s="10"/>
      <c r="AQ340" s="8"/>
      <c r="AR340" s="8"/>
      <c r="AS340" s="8"/>
      <c r="AT340" s="107"/>
      <c r="AU340" s="7"/>
      <c r="AV340" s="10"/>
      <c r="AW340" s="10"/>
      <c r="AX340" s="8"/>
      <c r="AY340" s="8"/>
      <c r="AZ340" s="8"/>
      <c r="BA340" s="107"/>
      <c r="BB340" s="7"/>
      <c r="BC340" s="10"/>
      <c r="BD340" s="10"/>
      <c r="BE340" s="8"/>
      <c r="BF340" s="8"/>
      <c r="BG340" s="8"/>
      <c r="BH340" s="8"/>
      <c r="BI340" s="107"/>
      <c r="BJ340" s="7"/>
      <c r="BK340" s="10"/>
      <c r="BL340" s="10"/>
      <c r="BM340" s="10"/>
      <c r="BN340" s="8"/>
      <c r="BO340" s="8"/>
      <c r="BP340" s="8"/>
      <c r="BQ340" s="107"/>
      <c r="BR340" s="7"/>
      <c r="BS340" s="10"/>
      <c r="BT340" s="10"/>
      <c r="BU340" s="10"/>
      <c r="BV340" s="8"/>
      <c r="BW340" s="8"/>
      <c r="BX340" s="107"/>
      <c r="BY340" s="7"/>
      <c r="BZ340" s="10"/>
      <c r="CA340" s="10"/>
      <c r="CB340" s="8"/>
      <c r="CC340" s="8"/>
      <c r="CD340" s="8"/>
      <c r="CE340" s="107"/>
      <c r="CF340" s="7"/>
      <c r="CG340" s="10"/>
      <c r="CH340" s="10"/>
      <c r="CI340" s="8"/>
      <c r="CJ340" s="8"/>
      <c r="CK340" s="8"/>
      <c r="CL340" s="8"/>
      <c r="CM340" s="266"/>
      <c r="CN340" s="266"/>
      <c r="CO340" s="266"/>
    </row>
    <row r="341" spans="1:93" s="268" customFormat="1" x14ac:dyDescent="0.25">
      <c r="A341" s="107"/>
      <c r="B341" s="107"/>
      <c r="C341" s="7"/>
      <c r="D341" s="10"/>
      <c r="E341" s="10"/>
      <c r="F341" s="8"/>
      <c r="G341" s="8"/>
      <c r="H341" s="107"/>
      <c r="I341" s="7"/>
      <c r="J341" s="10"/>
      <c r="K341" s="10"/>
      <c r="L341" s="8"/>
      <c r="M341" s="8"/>
      <c r="N341" s="107"/>
      <c r="O341" s="7"/>
      <c r="P341" s="10"/>
      <c r="Q341" s="10"/>
      <c r="R341" s="8"/>
      <c r="S341" s="8"/>
      <c r="T341" s="107"/>
      <c r="U341" s="7"/>
      <c r="V341" s="10"/>
      <c r="W341" s="10"/>
      <c r="X341" s="8"/>
      <c r="Y341" s="7"/>
      <c r="Z341" s="8"/>
      <c r="AA341" s="107"/>
      <c r="AB341" s="7"/>
      <c r="AC341" s="10"/>
      <c r="AD341" s="10"/>
      <c r="AE341" s="8"/>
      <c r="AF341" s="8"/>
      <c r="AG341" s="107"/>
      <c r="AH341" s="7"/>
      <c r="AI341" s="10"/>
      <c r="AJ341" s="10"/>
      <c r="AK341" s="8"/>
      <c r="AL341" s="8"/>
      <c r="AM341" s="107"/>
      <c r="AN341" s="7"/>
      <c r="AO341" s="10"/>
      <c r="AP341" s="10"/>
      <c r="AQ341" s="8"/>
      <c r="AR341" s="8"/>
      <c r="AS341" s="8"/>
      <c r="AT341" s="107"/>
      <c r="AU341" s="7"/>
      <c r="AV341" s="10"/>
      <c r="AW341" s="10"/>
      <c r="AX341" s="8"/>
      <c r="AY341" s="8"/>
      <c r="AZ341" s="8"/>
      <c r="BA341" s="107"/>
      <c r="BB341" s="7"/>
      <c r="BC341" s="10"/>
      <c r="BD341" s="10"/>
      <c r="BE341" s="8"/>
      <c r="BF341" s="8"/>
      <c r="BG341" s="8"/>
      <c r="BH341" s="8"/>
      <c r="BI341" s="107"/>
      <c r="BJ341" s="7"/>
      <c r="BK341" s="10"/>
      <c r="BL341" s="10"/>
      <c r="BM341" s="10"/>
      <c r="BN341" s="8"/>
      <c r="BO341" s="8"/>
      <c r="BP341" s="8"/>
      <c r="BQ341" s="107"/>
      <c r="BR341" s="7"/>
      <c r="BS341" s="10"/>
      <c r="BT341" s="10"/>
      <c r="BU341" s="10"/>
      <c r="BV341" s="8"/>
      <c r="BW341" s="8"/>
      <c r="BX341" s="107"/>
      <c r="BY341" s="7"/>
      <c r="BZ341" s="10"/>
      <c r="CA341" s="10"/>
      <c r="CB341" s="8"/>
      <c r="CC341" s="8"/>
      <c r="CD341" s="8"/>
      <c r="CE341" s="107"/>
      <c r="CF341" s="7"/>
      <c r="CG341" s="10"/>
      <c r="CH341" s="10"/>
      <c r="CI341" s="8"/>
      <c r="CJ341" s="8"/>
      <c r="CK341" s="8"/>
      <c r="CL341" s="8"/>
      <c r="CM341" s="266"/>
      <c r="CN341" s="266"/>
      <c r="CO341" s="266"/>
    </row>
    <row r="342" spans="1:93" s="268" customFormat="1" x14ac:dyDescent="0.25">
      <c r="A342" s="107"/>
      <c r="B342" s="107"/>
      <c r="C342" s="7"/>
      <c r="D342" s="10"/>
      <c r="E342" s="10"/>
      <c r="F342" s="8"/>
      <c r="G342" s="8"/>
      <c r="H342" s="107"/>
      <c r="I342" s="7"/>
      <c r="J342" s="10"/>
      <c r="K342" s="10"/>
      <c r="L342" s="8"/>
      <c r="M342" s="8"/>
      <c r="N342" s="107"/>
      <c r="O342" s="7"/>
      <c r="P342" s="10"/>
      <c r="Q342" s="10"/>
      <c r="R342" s="8"/>
      <c r="S342" s="8"/>
      <c r="T342" s="107"/>
      <c r="U342" s="7"/>
      <c r="V342" s="10"/>
      <c r="W342" s="10"/>
      <c r="X342" s="8"/>
      <c r="Y342" s="7"/>
      <c r="Z342" s="8"/>
      <c r="AA342" s="107"/>
      <c r="AB342" s="7"/>
      <c r="AC342" s="10"/>
      <c r="AD342" s="10"/>
      <c r="AE342" s="8"/>
      <c r="AF342" s="8"/>
      <c r="AG342" s="107"/>
      <c r="AH342" s="7"/>
      <c r="AI342" s="10"/>
      <c r="AJ342" s="10"/>
      <c r="AK342" s="8"/>
      <c r="AL342" s="8"/>
      <c r="AM342" s="107"/>
      <c r="AN342" s="7"/>
      <c r="AO342" s="10"/>
      <c r="AP342" s="10"/>
      <c r="AQ342" s="8"/>
      <c r="AR342" s="8"/>
      <c r="AS342" s="8"/>
      <c r="AT342" s="107"/>
      <c r="AU342" s="7"/>
      <c r="AV342" s="10"/>
      <c r="AW342" s="10"/>
      <c r="AX342" s="8"/>
      <c r="AY342" s="8"/>
      <c r="AZ342" s="8"/>
      <c r="BA342" s="107"/>
      <c r="BB342" s="7"/>
      <c r="BC342" s="10"/>
      <c r="BD342" s="10"/>
      <c r="BE342" s="8"/>
      <c r="BF342" s="8"/>
      <c r="BG342" s="8"/>
      <c r="BH342" s="8"/>
      <c r="BI342" s="107"/>
      <c r="BJ342" s="7"/>
      <c r="BK342" s="10"/>
      <c r="BL342" s="10"/>
      <c r="BM342" s="10"/>
      <c r="BN342" s="8"/>
      <c r="BO342" s="8"/>
      <c r="BP342" s="8"/>
      <c r="BQ342" s="107"/>
      <c r="BR342" s="7"/>
      <c r="BS342" s="10"/>
      <c r="BT342" s="10"/>
      <c r="BU342" s="10"/>
      <c r="BV342" s="8"/>
      <c r="BW342" s="8"/>
      <c r="BX342" s="107"/>
      <c r="BY342" s="7"/>
      <c r="BZ342" s="10"/>
      <c r="CA342" s="10"/>
      <c r="CB342" s="8"/>
      <c r="CC342" s="8"/>
      <c r="CD342" s="8"/>
      <c r="CE342" s="107"/>
      <c r="CF342" s="7"/>
      <c r="CG342" s="10"/>
      <c r="CH342" s="10"/>
      <c r="CI342" s="8"/>
      <c r="CJ342" s="8"/>
      <c r="CK342" s="8"/>
      <c r="CL342" s="8"/>
      <c r="CM342" s="266"/>
      <c r="CN342" s="266"/>
      <c r="CO342" s="266"/>
    </row>
    <row r="343" spans="1:93" s="268" customFormat="1" x14ac:dyDescent="0.25">
      <c r="A343" s="107"/>
      <c r="B343" s="107"/>
      <c r="C343" s="7"/>
      <c r="D343" s="10"/>
      <c r="E343" s="10"/>
      <c r="F343" s="8"/>
      <c r="G343" s="8"/>
      <c r="H343" s="107"/>
      <c r="I343" s="7"/>
      <c r="J343" s="10"/>
      <c r="K343" s="10"/>
      <c r="L343" s="8"/>
      <c r="M343" s="8"/>
      <c r="N343" s="107"/>
      <c r="O343" s="7"/>
      <c r="P343" s="10"/>
      <c r="Q343" s="10"/>
      <c r="R343" s="8"/>
      <c r="S343" s="8"/>
      <c r="T343" s="107"/>
      <c r="U343" s="7"/>
      <c r="V343" s="10"/>
      <c r="W343" s="10"/>
      <c r="X343" s="8"/>
      <c r="Y343" s="7"/>
      <c r="Z343" s="8"/>
      <c r="AA343" s="107"/>
      <c r="AB343" s="7"/>
      <c r="AC343" s="10"/>
      <c r="AD343" s="10"/>
      <c r="AE343" s="8"/>
      <c r="AF343" s="8"/>
      <c r="AG343" s="107"/>
      <c r="AH343" s="7"/>
      <c r="AI343" s="10"/>
      <c r="AJ343" s="10"/>
      <c r="AK343" s="8"/>
      <c r="AL343" s="8"/>
      <c r="AM343" s="107"/>
      <c r="AN343" s="7"/>
      <c r="AO343" s="10"/>
      <c r="AP343" s="10"/>
      <c r="AQ343" s="8"/>
      <c r="AR343" s="8"/>
      <c r="AS343" s="8"/>
      <c r="AT343" s="107"/>
      <c r="AU343" s="7"/>
      <c r="AV343" s="10"/>
      <c r="AW343" s="10"/>
      <c r="AX343" s="8"/>
      <c r="AY343" s="8"/>
      <c r="AZ343" s="8"/>
      <c r="BA343" s="107"/>
      <c r="BB343" s="7"/>
      <c r="BC343" s="10"/>
      <c r="BD343" s="10"/>
      <c r="BE343" s="8"/>
      <c r="BF343" s="8"/>
      <c r="BG343" s="8"/>
      <c r="BH343" s="8"/>
      <c r="BI343" s="107"/>
      <c r="BJ343" s="7"/>
      <c r="BK343" s="10"/>
      <c r="BL343" s="10"/>
      <c r="BM343" s="10"/>
      <c r="BN343" s="8"/>
      <c r="BO343" s="8"/>
      <c r="BP343" s="8"/>
      <c r="BQ343" s="107"/>
      <c r="BR343" s="7"/>
      <c r="BS343" s="10"/>
      <c r="BT343" s="10"/>
      <c r="BU343" s="10"/>
      <c r="BV343" s="8"/>
      <c r="BW343" s="8"/>
      <c r="BX343" s="107"/>
      <c r="BY343" s="7"/>
      <c r="BZ343" s="10"/>
      <c r="CA343" s="10"/>
      <c r="CB343" s="8"/>
      <c r="CC343" s="8"/>
      <c r="CD343" s="8"/>
      <c r="CE343" s="107"/>
      <c r="CF343" s="7"/>
      <c r="CG343" s="10"/>
      <c r="CH343" s="10"/>
      <c r="CI343" s="8"/>
      <c r="CJ343" s="8"/>
      <c r="CK343" s="8"/>
      <c r="CL343" s="8"/>
      <c r="CM343" s="266"/>
      <c r="CN343" s="266"/>
      <c r="CO343" s="266"/>
    </row>
    <row r="344" spans="1:93" s="268" customFormat="1" x14ac:dyDescent="0.25">
      <c r="A344" s="107"/>
      <c r="B344" s="107"/>
      <c r="C344" s="7"/>
      <c r="D344" s="10"/>
      <c r="E344" s="10"/>
      <c r="F344" s="8"/>
      <c r="G344" s="8"/>
      <c r="H344" s="107"/>
      <c r="I344" s="7"/>
      <c r="J344" s="10"/>
      <c r="K344" s="10"/>
      <c r="L344" s="8"/>
      <c r="M344" s="8"/>
      <c r="N344" s="107"/>
      <c r="O344" s="7"/>
      <c r="P344" s="10"/>
      <c r="Q344" s="10"/>
      <c r="R344" s="8"/>
      <c r="S344" s="8"/>
      <c r="T344" s="107"/>
      <c r="U344" s="7"/>
      <c r="V344" s="10"/>
      <c r="W344" s="10"/>
      <c r="X344" s="8"/>
      <c r="Y344" s="7"/>
      <c r="Z344" s="8"/>
      <c r="AA344" s="107"/>
      <c r="AB344" s="7"/>
      <c r="AC344" s="10"/>
      <c r="AD344" s="10"/>
      <c r="AE344" s="8"/>
      <c r="AF344" s="8"/>
      <c r="AG344" s="107"/>
      <c r="AH344" s="7"/>
      <c r="AI344" s="10"/>
      <c r="AJ344" s="10"/>
      <c r="AK344" s="8"/>
      <c r="AL344" s="8"/>
      <c r="AM344" s="107"/>
      <c r="AN344" s="7"/>
      <c r="AO344" s="10"/>
      <c r="AP344" s="10"/>
      <c r="AQ344" s="8"/>
      <c r="AR344" s="8"/>
      <c r="AS344" s="8"/>
      <c r="AT344" s="107"/>
      <c r="AU344" s="7"/>
      <c r="AV344" s="10"/>
      <c r="AW344" s="10"/>
      <c r="AX344" s="8"/>
      <c r="AY344" s="8"/>
      <c r="AZ344" s="8"/>
      <c r="BA344" s="107"/>
      <c r="BB344" s="7"/>
      <c r="BC344" s="10"/>
      <c r="BD344" s="10"/>
      <c r="BE344" s="8"/>
      <c r="BF344" s="8"/>
      <c r="BG344" s="8"/>
      <c r="BH344" s="8"/>
      <c r="BI344" s="107"/>
      <c r="BJ344" s="7"/>
      <c r="BK344" s="10"/>
      <c r="BL344" s="10"/>
      <c r="BM344" s="10"/>
      <c r="BN344" s="8"/>
      <c r="BO344" s="8"/>
      <c r="BP344" s="8"/>
      <c r="BQ344" s="107"/>
      <c r="BR344" s="7"/>
      <c r="BS344" s="10"/>
      <c r="BT344" s="10"/>
      <c r="BU344" s="10"/>
      <c r="BV344" s="8"/>
      <c r="BW344" s="8"/>
      <c r="BX344" s="107"/>
      <c r="BY344" s="7"/>
      <c r="BZ344" s="10"/>
      <c r="CA344" s="10"/>
      <c r="CB344" s="8"/>
      <c r="CC344" s="8"/>
      <c r="CD344" s="8"/>
      <c r="CE344" s="107"/>
      <c r="CF344" s="7"/>
      <c r="CG344" s="10"/>
      <c r="CH344" s="10"/>
      <c r="CI344" s="8"/>
      <c r="CJ344" s="8"/>
      <c r="CK344" s="8"/>
      <c r="CL344" s="8"/>
      <c r="CM344" s="266"/>
      <c r="CN344" s="266"/>
      <c r="CO344" s="266"/>
    </row>
    <row r="345" spans="1:93" s="268" customFormat="1" x14ac:dyDescent="0.25">
      <c r="A345" s="107"/>
      <c r="B345" s="107"/>
      <c r="C345" s="7"/>
      <c r="D345" s="10"/>
      <c r="E345" s="10"/>
      <c r="F345" s="8"/>
      <c r="G345" s="8"/>
      <c r="H345" s="107"/>
      <c r="I345" s="7"/>
      <c r="J345" s="10"/>
      <c r="K345" s="10"/>
      <c r="L345" s="8"/>
      <c r="M345" s="8"/>
      <c r="N345" s="107"/>
      <c r="O345" s="7"/>
      <c r="P345" s="10"/>
      <c r="Q345" s="10"/>
      <c r="R345" s="8"/>
      <c r="S345" s="8"/>
      <c r="T345" s="107"/>
      <c r="U345" s="7"/>
      <c r="V345" s="10"/>
      <c r="W345" s="10"/>
      <c r="X345" s="8"/>
      <c r="Y345" s="7"/>
      <c r="Z345" s="8"/>
      <c r="AA345" s="107"/>
      <c r="AB345" s="7"/>
      <c r="AC345" s="10"/>
      <c r="AD345" s="10"/>
      <c r="AE345" s="8"/>
      <c r="AF345" s="8"/>
      <c r="AG345" s="107"/>
      <c r="AH345" s="7"/>
      <c r="AI345" s="10"/>
      <c r="AJ345" s="10"/>
      <c r="AK345" s="8"/>
      <c r="AL345" s="8"/>
      <c r="AM345" s="107"/>
      <c r="AN345" s="7"/>
      <c r="AO345" s="10"/>
      <c r="AP345" s="10"/>
      <c r="AQ345" s="8"/>
      <c r="AR345" s="8"/>
      <c r="AS345" s="8"/>
      <c r="AT345" s="107"/>
      <c r="AU345" s="7"/>
      <c r="AV345" s="10"/>
      <c r="AW345" s="10"/>
      <c r="AX345" s="8"/>
      <c r="AY345" s="8"/>
      <c r="AZ345" s="8"/>
      <c r="BA345" s="107"/>
      <c r="BB345" s="7"/>
      <c r="BC345" s="10"/>
      <c r="BD345" s="10"/>
      <c r="BE345" s="8"/>
      <c r="BF345" s="8"/>
      <c r="BG345" s="8"/>
      <c r="BH345" s="8"/>
      <c r="BI345" s="107"/>
      <c r="BJ345" s="7"/>
      <c r="BK345" s="10"/>
      <c r="BL345" s="10"/>
      <c r="BM345" s="10"/>
      <c r="BN345" s="8"/>
      <c r="BO345" s="8"/>
      <c r="BP345" s="8"/>
      <c r="BQ345" s="107"/>
      <c r="BR345" s="7"/>
      <c r="BS345" s="10"/>
      <c r="BT345" s="10"/>
      <c r="BU345" s="10"/>
      <c r="BV345" s="8"/>
      <c r="BW345" s="8"/>
      <c r="BX345" s="107"/>
      <c r="BY345" s="7"/>
      <c r="BZ345" s="10"/>
      <c r="CA345" s="10"/>
      <c r="CB345" s="8"/>
      <c r="CC345" s="8"/>
      <c r="CD345" s="8"/>
      <c r="CE345" s="107"/>
      <c r="CF345" s="7"/>
      <c r="CG345" s="10"/>
      <c r="CH345" s="10"/>
      <c r="CI345" s="8"/>
      <c r="CJ345" s="8"/>
      <c r="CK345" s="8"/>
      <c r="CL345" s="8"/>
      <c r="CM345" s="266"/>
      <c r="CN345" s="266"/>
      <c r="CO345" s="266"/>
    </row>
    <row r="346" spans="1:93" s="268" customFormat="1" x14ac:dyDescent="0.25">
      <c r="A346" s="107"/>
      <c r="B346" s="107"/>
      <c r="C346" s="7"/>
      <c r="D346" s="10"/>
      <c r="E346" s="10"/>
      <c r="F346" s="8"/>
      <c r="G346" s="8"/>
      <c r="H346" s="107"/>
      <c r="I346" s="7"/>
      <c r="J346" s="10"/>
      <c r="K346" s="10"/>
      <c r="L346" s="8"/>
      <c r="M346" s="8"/>
      <c r="N346" s="107"/>
      <c r="O346" s="7"/>
      <c r="P346" s="10"/>
      <c r="Q346" s="10"/>
      <c r="R346" s="8"/>
      <c r="S346" s="8"/>
      <c r="T346" s="107"/>
      <c r="U346" s="7"/>
      <c r="V346" s="10"/>
      <c r="W346" s="10"/>
      <c r="X346" s="8"/>
      <c r="Y346" s="7"/>
      <c r="Z346" s="8"/>
      <c r="AA346" s="107"/>
      <c r="AB346" s="7"/>
      <c r="AC346" s="10"/>
      <c r="AD346" s="10"/>
      <c r="AE346" s="8"/>
      <c r="AF346" s="8"/>
      <c r="AG346" s="107"/>
      <c r="AH346" s="7"/>
      <c r="AI346" s="10"/>
      <c r="AJ346" s="10"/>
      <c r="AK346" s="8"/>
      <c r="AL346" s="8"/>
      <c r="AM346" s="107"/>
      <c r="AN346" s="7"/>
      <c r="AO346" s="10"/>
      <c r="AP346" s="10"/>
      <c r="AQ346" s="8"/>
      <c r="AR346" s="8"/>
      <c r="AS346" s="8"/>
      <c r="AT346" s="107"/>
      <c r="AU346" s="7"/>
      <c r="AV346" s="10"/>
      <c r="AW346" s="10"/>
      <c r="AX346" s="8"/>
      <c r="AY346" s="8"/>
      <c r="AZ346" s="8"/>
      <c r="BA346" s="107"/>
      <c r="BB346" s="7"/>
      <c r="BC346" s="10"/>
      <c r="BD346" s="10"/>
      <c r="BE346" s="8"/>
      <c r="BF346" s="8"/>
      <c r="BG346" s="8"/>
      <c r="BH346" s="8"/>
      <c r="BI346" s="107"/>
      <c r="BJ346" s="7"/>
      <c r="BK346" s="10"/>
      <c r="BL346" s="10"/>
      <c r="BM346" s="10"/>
      <c r="BN346" s="8"/>
      <c r="BO346" s="8"/>
      <c r="BP346" s="8"/>
      <c r="BQ346" s="107"/>
      <c r="BR346" s="7"/>
      <c r="BS346" s="10"/>
      <c r="BT346" s="10"/>
      <c r="BU346" s="10"/>
      <c r="BV346" s="8"/>
      <c r="BW346" s="8"/>
      <c r="BX346" s="107"/>
      <c r="BY346" s="7"/>
      <c r="BZ346" s="10"/>
      <c r="CA346" s="10"/>
      <c r="CB346" s="8"/>
      <c r="CC346" s="8"/>
      <c r="CD346" s="8"/>
      <c r="CE346" s="107"/>
      <c r="CF346" s="7"/>
      <c r="CG346" s="10"/>
      <c r="CH346" s="10"/>
      <c r="CI346" s="8"/>
      <c r="CJ346" s="8"/>
      <c r="CK346" s="8"/>
      <c r="CL346" s="8"/>
      <c r="CM346" s="266"/>
      <c r="CN346" s="266"/>
      <c r="CO346" s="266"/>
    </row>
    <row r="347" spans="1:93" s="268" customFormat="1" x14ac:dyDescent="0.25">
      <c r="A347" s="107"/>
      <c r="B347" s="107"/>
      <c r="C347" s="7"/>
      <c r="D347" s="10"/>
      <c r="E347" s="10"/>
      <c r="F347" s="8"/>
      <c r="G347" s="8"/>
      <c r="H347" s="107"/>
      <c r="I347" s="7"/>
      <c r="J347" s="10"/>
      <c r="K347" s="10"/>
      <c r="L347" s="8"/>
      <c r="M347" s="8"/>
      <c r="N347" s="107"/>
      <c r="O347" s="7"/>
      <c r="P347" s="10"/>
      <c r="Q347" s="10"/>
      <c r="R347" s="8"/>
      <c r="S347" s="8"/>
      <c r="T347" s="107"/>
      <c r="U347" s="7"/>
      <c r="V347" s="10"/>
      <c r="W347" s="10"/>
      <c r="X347" s="8"/>
      <c r="Y347" s="7"/>
      <c r="Z347" s="8"/>
      <c r="AA347" s="107"/>
      <c r="AB347" s="7"/>
      <c r="AC347" s="10"/>
      <c r="AD347" s="10"/>
      <c r="AE347" s="8"/>
      <c r="AF347" s="8"/>
      <c r="AG347" s="107"/>
      <c r="AH347" s="7"/>
      <c r="AI347" s="10"/>
      <c r="AJ347" s="10"/>
      <c r="AK347" s="8"/>
      <c r="AL347" s="8"/>
      <c r="AM347" s="107"/>
      <c r="AN347" s="7"/>
      <c r="AO347" s="10"/>
      <c r="AP347" s="10"/>
      <c r="AQ347" s="8"/>
      <c r="AR347" s="8"/>
      <c r="AS347" s="8"/>
      <c r="AT347" s="107"/>
      <c r="AU347" s="7"/>
      <c r="AV347" s="10"/>
      <c r="AW347" s="10"/>
      <c r="AX347" s="8"/>
      <c r="AY347" s="8"/>
      <c r="AZ347" s="8"/>
      <c r="BA347" s="107"/>
      <c r="BB347" s="7"/>
      <c r="BC347" s="10"/>
      <c r="BD347" s="10"/>
      <c r="BE347" s="8"/>
      <c r="BF347" s="8"/>
      <c r="BG347" s="8"/>
      <c r="BH347" s="8"/>
      <c r="BI347" s="107"/>
      <c r="BJ347" s="7"/>
      <c r="BK347" s="10"/>
      <c r="BL347" s="10"/>
      <c r="BM347" s="10"/>
      <c r="BN347" s="8"/>
      <c r="BO347" s="8"/>
      <c r="BP347" s="8"/>
      <c r="BQ347" s="107"/>
      <c r="BR347" s="7"/>
      <c r="BS347" s="10"/>
      <c r="BT347" s="10"/>
      <c r="BU347" s="10"/>
      <c r="BV347" s="8"/>
      <c r="BW347" s="8"/>
      <c r="BX347" s="107"/>
      <c r="BY347" s="7"/>
      <c r="BZ347" s="10"/>
      <c r="CA347" s="10"/>
      <c r="CB347" s="8"/>
      <c r="CC347" s="8"/>
      <c r="CD347" s="8"/>
      <c r="CE347" s="107"/>
      <c r="CF347" s="7"/>
      <c r="CG347" s="10"/>
      <c r="CH347" s="10"/>
      <c r="CI347" s="8"/>
      <c r="CJ347" s="8"/>
      <c r="CK347" s="8"/>
      <c r="CL347" s="8"/>
      <c r="CM347" s="266"/>
      <c r="CN347" s="266"/>
      <c r="CO347" s="266"/>
    </row>
    <row r="348" spans="1:93" s="268" customFormat="1" x14ac:dyDescent="0.25">
      <c r="A348" s="107"/>
      <c r="B348" s="107"/>
      <c r="C348" s="7"/>
      <c r="D348" s="10"/>
      <c r="E348" s="10"/>
      <c r="F348" s="8"/>
      <c r="G348" s="8"/>
      <c r="H348" s="107"/>
      <c r="I348" s="7"/>
      <c r="J348" s="10"/>
      <c r="K348" s="10"/>
      <c r="L348" s="8"/>
      <c r="M348" s="8"/>
      <c r="N348" s="107"/>
      <c r="O348" s="7"/>
      <c r="P348" s="10"/>
      <c r="Q348" s="10"/>
      <c r="R348" s="8"/>
      <c r="S348" s="8"/>
      <c r="T348" s="107"/>
      <c r="U348" s="7"/>
      <c r="V348" s="10"/>
      <c r="W348" s="10"/>
      <c r="X348" s="8"/>
      <c r="Y348" s="7"/>
      <c r="Z348" s="8"/>
      <c r="AA348" s="107"/>
      <c r="AB348" s="7"/>
      <c r="AC348" s="10"/>
      <c r="AD348" s="10"/>
      <c r="AE348" s="8"/>
      <c r="AF348" s="8"/>
      <c r="AG348" s="107"/>
      <c r="AH348" s="7"/>
      <c r="AI348" s="10"/>
      <c r="AJ348" s="10"/>
      <c r="AK348" s="8"/>
      <c r="AL348" s="8"/>
      <c r="AM348" s="107"/>
      <c r="AN348" s="7"/>
      <c r="AO348" s="10"/>
      <c r="AP348" s="10"/>
      <c r="AQ348" s="8"/>
      <c r="AR348" s="8"/>
      <c r="AS348" s="8"/>
      <c r="AT348" s="107"/>
      <c r="AU348" s="7"/>
      <c r="AV348" s="10"/>
      <c r="AW348" s="10"/>
      <c r="AX348" s="8"/>
      <c r="AY348" s="8"/>
      <c r="AZ348" s="8"/>
      <c r="BA348" s="107"/>
      <c r="BB348" s="7"/>
      <c r="BC348" s="10"/>
      <c r="BD348" s="10"/>
      <c r="BE348" s="8"/>
      <c r="BF348" s="8"/>
      <c r="BG348" s="8"/>
      <c r="BH348" s="8"/>
      <c r="BI348" s="107"/>
      <c r="BJ348" s="7"/>
      <c r="BK348" s="10"/>
      <c r="BL348" s="10"/>
      <c r="BM348" s="10"/>
      <c r="BN348" s="8"/>
      <c r="BO348" s="8"/>
      <c r="BP348" s="8"/>
      <c r="BQ348" s="107"/>
      <c r="BR348" s="7"/>
      <c r="BS348" s="10"/>
      <c r="BT348" s="10"/>
      <c r="BU348" s="10"/>
      <c r="BV348" s="8"/>
      <c r="BW348" s="8"/>
      <c r="BX348" s="107"/>
      <c r="BY348" s="7"/>
      <c r="BZ348" s="10"/>
      <c r="CA348" s="10"/>
      <c r="CB348" s="8"/>
      <c r="CC348" s="8"/>
      <c r="CD348" s="8"/>
      <c r="CE348" s="107"/>
      <c r="CF348" s="7"/>
      <c r="CG348" s="10"/>
      <c r="CH348" s="10"/>
      <c r="CI348" s="8"/>
      <c r="CJ348" s="8"/>
      <c r="CK348" s="8"/>
      <c r="CL348" s="8"/>
      <c r="CM348" s="266"/>
      <c r="CN348" s="266"/>
      <c r="CO348" s="266"/>
    </row>
    <row r="349" spans="1:93" s="268" customFormat="1" x14ac:dyDescent="0.25">
      <c r="A349" s="107"/>
      <c r="B349" s="107"/>
      <c r="C349" s="7"/>
      <c r="D349" s="10"/>
      <c r="E349" s="10"/>
      <c r="F349" s="8"/>
      <c r="G349" s="8"/>
      <c r="H349" s="107"/>
      <c r="I349" s="7"/>
      <c r="J349" s="10"/>
      <c r="K349" s="10"/>
      <c r="L349" s="8"/>
      <c r="M349" s="8"/>
      <c r="N349" s="107"/>
      <c r="O349" s="7"/>
      <c r="P349" s="10"/>
      <c r="Q349" s="10"/>
      <c r="R349" s="8"/>
      <c r="S349" s="8"/>
      <c r="T349" s="107"/>
      <c r="U349" s="7"/>
      <c r="V349" s="10"/>
      <c r="W349" s="10"/>
      <c r="X349" s="8"/>
      <c r="Y349" s="7"/>
      <c r="Z349" s="8"/>
      <c r="AA349" s="107"/>
      <c r="AB349" s="7"/>
      <c r="AC349" s="10"/>
      <c r="AD349" s="10"/>
      <c r="AE349" s="8"/>
      <c r="AF349" s="8"/>
      <c r="AG349" s="107"/>
      <c r="AH349" s="7"/>
      <c r="AI349" s="10"/>
      <c r="AJ349" s="10"/>
      <c r="AK349" s="8"/>
      <c r="AL349" s="8"/>
      <c r="AM349" s="107"/>
      <c r="AN349" s="7"/>
      <c r="AO349" s="10"/>
      <c r="AP349" s="10"/>
      <c r="AQ349" s="8"/>
      <c r="AR349" s="8"/>
      <c r="AS349" s="8"/>
      <c r="AT349" s="107"/>
      <c r="AU349" s="7"/>
      <c r="AV349" s="10"/>
      <c r="AW349" s="10"/>
      <c r="AX349" s="8"/>
      <c r="AY349" s="8"/>
      <c r="AZ349" s="8"/>
      <c r="BA349" s="107"/>
      <c r="BB349" s="7"/>
      <c r="BC349" s="10"/>
      <c r="BD349" s="10"/>
      <c r="BE349" s="8"/>
      <c r="BF349" s="8"/>
      <c r="BG349" s="8"/>
      <c r="BH349" s="8"/>
      <c r="BI349" s="107"/>
      <c r="BJ349" s="7"/>
      <c r="BK349" s="10"/>
      <c r="BL349" s="10"/>
      <c r="BM349" s="10"/>
      <c r="BN349" s="8"/>
      <c r="BO349" s="8"/>
      <c r="BP349" s="8"/>
      <c r="BQ349" s="107"/>
      <c r="BR349" s="7"/>
      <c r="BS349" s="10"/>
      <c r="BT349" s="10"/>
      <c r="BU349" s="10"/>
      <c r="BV349" s="8"/>
      <c r="BW349" s="8"/>
      <c r="BX349" s="107"/>
      <c r="BY349" s="7"/>
      <c r="BZ349" s="10"/>
      <c r="CA349" s="10"/>
      <c r="CB349" s="8"/>
      <c r="CC349" s="8"/>
      <c r="CD349" s="8"/>
      <c r="CE349" s="107"/>
      <c r="CF349" s="7"/>
      <c r="CG349" s="10"/>
      <c r="CH349" s="10"/>
      <c r="CI349" s="8"/>
      <c r="CJ349" s="8"/>
      <c r="CK349" s="8"/>
      <c r="CL349" s="8"/>
      <c r="CM349" s="266"/>
      <c r="CN349" s="266"/>
      <c r="CO349" s="266"/>
    </row>
    <row r="350" spans="1:93" s="268" customFormat="1" x14ac:dyDescent="0.25">
      <c r="A350" s="107"/>
      <c r="B350" s="107"/>
      <c r="C350" s="7"/>
      <c r="D350" s="10"/>
      <c r="E350" s="10"/>
      <c r="F350" s="8"/>
      <c r="G350" s="8"/>
      <c r="H350" s="107"/>
      <c r="I350" s="7"/>
      <c r="J350" s="10"/>
      <c r="K350" s="10"/>
      <c r="L350" s="8"/>
      <c r="M350" s="8"/>
      <c r="N350" s="107"/>
      <c r="O350" s="7"/>
      <c r="P350" s="10"/>
      <c r="Q350" s="10"/>
      <c r="R350" s="8"/>
      <c r="S350" s="8"/>
      <c r="T350" s="107"/>
      <c r="U350" s="7"/>
      <c r="V350" s="10"/>
      <c r="W350" s="10"/>
      <c r="X350" s="8"/>
      <c r="Y350" s="7"/>
      <c r="Z350" s="8"/>
      <c r="AA350" s="107"/>
      <c r="AB350" s="7"/>
      <c r="AC350" s="10"/>
      <c r="AD350" s="10"/>
      <c r="AE350" s="8"/>
      <c r="AF350" s="8"/>
      <c r="AG350" s="107"/>
      <c r="AH350" s="7"/>
      <c r="AI350" s="10"/>
      <c r="AJ350" s="10"/>
      <c r="AK350" s="8"/>
      <c r="AL350" s="8"/>
      <c r="AM350" s="107"/>
      <c r="AN350" s="7"/>
      <c r="AO350" s="10"/>
      <c r="AP350" s="10"/>
      <c r="AQ350" s="8"/>
      <c r="AR350" s="8"/>
      <c r="AS350" s="8"/>
      <c r="AT350" s="107"/>
      <c r="AU350" s="7"/>
      <c r="AV350" s="10"/>
      <c r="AW350" s="10"/>
      <c r="AX350" s="8"/>
      <c r="AY350" s="8"/>
      <c r="AZ350" s="8"/>
      <c r="BA350" s="107"/>
      <c r="BB350" s="7"/>
      <c r="BC350" s="10"/>
      <c r="BD350" s="10"/>
      <c r="BE350" s="8"/>
      <c r="BF350" s="8"/>
      <c r="BG350" s="8"/>
      <c r="BH350" s="8"/>
      <c r="BI350" s="107"/>
      <c r="BJ350" s="7"/>
      <c r="BK350" s="10"/>
      <c r="BL350" s="10"/>
      <c r="BM350" s="10"/>
      <c r="BN350" s="8"/>
      <c r="BO350" s="8"/>
      <c r="BP350" s="8"/>
      <c r="BQ350" s="107"/>
      <c r="BR350" s="7"/>
      <c r="BS350" s="10"/>
      <c r="BT350" s="10"/>
      <c r="BU350" s="10"/>
      <c r="BV350" s="8"/>
      <c r="BW350" s="8"/>
      <c r="BX350" s="107"/>
      <c r="BY350" s="7"/>
      <c r="BZ350" s="10"/>
      <c r="CA350" s="10"/>
      <c r="CB350" s="8"/>
      <c r="CC350" s="8"/>
      <c r="CD350" s="8"/>
      <c r="CE350" s="107"/>
      <c r="CF350" s="7"/>
      <c r="CG350" s="10"/>
      <c r="CH350" s="10"/>
      <c r="CI350" s="8"/>
      <c r="CJ350" s="8"/>
      <c r="CK350" s="8"/>
      <c r="CL350" s="8"/>
      <c r="CM350" s="266"/>
      <c r="CN350" s="266"/>
      <c r="CO350" s="266"/>
    </row>
    <row r="351" spans="1:93" s="268" customFormat="1" x14ac:dyDescent="0.25">
      <c r="A351" s="107"/>
      <c r="B351" s="107"/>
      <c r="C351" s="7"/>
      <c r="D351" s="10"/>
      <c r="E351" s="10"/>
      <c r="F351" s="8"/>
      <c r="G351" s="8"/>
      <c r="H351" s="107"/>
      <c r="I351" s="7"/>
      <c r="J351" s="10"/>
      <c r="K351" s="10"/>
      <c r="L351" s="8"/>
      <c r="M351" s="8"/>
      <c r="N351" s="107"/>
      <c r="O351" s="7"/>
      <c r="P351" s="10"/>
      <c r="Q351" s="10"/>
      <c r="R351" s="8"/>
      <c r="S351" s="8"/>
      <c r="T351" s="107"/>
      <c r="U351" s="7"/>
      <c r="V351" s="10"/>
      <c r="W351" s="10"/>
      <c r="X351" s="8"/>
      <c r="Y351" s="7"/>
      <c r="Z351" s="8"/>
      <c r="AA351" s="107"/>
      <c r="AB351" s="7"/>
      <c r="AC351" s="10"/>
      <c r="AD351" s="10"/>
      <c r="AE351" s="8"/>
      <c r="AF351" s="8"/>
      <c r="AG351" s="107"/>
      <c r="AH351" s="7"/>
      <c r="AI351" s="10"/>
      <c r="AJ351" s="10"/>
      <c r="AK351" s="8"/>
      <c r="AL351" s="8"/>
      <c r="AM351" s="107"/>
      <c r="AN351" s="7"/>
      <c r="AO351" s="10"/>
      <c r="AP351" s="10"/>
      <c r="AQ351" s="8"/>
      <c r="AR351" s="8"/>
      <c r="AS351" s="8"/>
      <c r="AT351" s="107"/>
      <c r="AU351" s="7"/>
      <c r="AV351" s="10"/>
      <c r="AW351" s="10"/>
      <c r="AX351" s="8"/>
      <c r="AY351" s="8"/>
      <c r="AZ351" s="8"/>
      <c r="BA351" s="107"/>
      <c r="BB351" s="7"/>
      <c r="BC351" s="10"/>
      <c r="BD351" s="10"/>
      <c r="BE351" s="8"/>
      <c r="BF351" s="8"/>
      <c r="BG351" s="8"/>
      <c r="BH351" s="8"/>
      <c r="BI351" s="107"/>
      <c r="BJ351" s="7"/>
      <c r="BK351" s="10"/>
      <c r="BL351" s="10"/>
      <c r="BM351" s="10"/>
      <c r="BN351" s="8"/>
      <c r="BO351" s="8"/>
      <c r="BP351" s="8"/>
      <c r="BQ351" s="107"/>
      <c r="BR351" s="7"/>
      <c r="BS351" s="10"/>
      <c r="BT351" s="10"/>
      <c r="BU351" s="10"/>
      <c r="BV351" s="8"/>
      <c r="BW351" s="8"/>
      <c r="BX351" s="107"/>
      <c r="BY351" s="7"/>
      <c r="BZ351" s="10"/>
      <c r="CA351" s="10"/>
      <c r="CB351" s="8"/>
      <c r="CC351" s="8"/>
      <c r="CD351" s="8"/>
      <c r="CE351" s="107"/>
      <c r="CF351" s="7"/>
      <c r="CG351" s="10"/>
      <c r="CH351" s="10"/>
      <c r="CI351" s="8"/>
      <c r="CJ351" s="8"/>
      <c r="CK351" s="8"/>
      <c r="CL351" s="8"/>
      <c r="CM351" s="266"/>
      <c r="CN351" s="266"/>
      <c r="CO351" s="266"/>
    </row>
    <row r="352" spans="1:93" s="268" customFormat="1" x14ac:dyDescent="0.25">
      <c r="A352" s="107"/>
      <c r="B352" s="107"/>
      <c r="C352" s="7"/>
      <c r="D352" s="10"/>
      <c r="E352" s="10"/>
      <c r="F352" s="8"/>
      <c r="G352" s="8"/>
      <c r="H352" s="107"/>
      <c r="I352" s="7"/>
      <c r="J352" s="10"/>
      <c r="K352" s="10"/>
      <c r="L352" s="8"/>
      <c r="M352" s="8"/>
      <c r="N352" s="107"/>
      <c r="O352" s="7"/>
      <c r="P352" s="10"/>
      <c r="Q352" s="10"/>
      <c r="R352" s="8"/>
      <c r="S352" s="8"/>
      <c r="T352" s="107"/>
      <c r="U352" s="7"/>
      <c r="V352" s="10"/>
      <c r="W352" s="10"/>
      <c r="X352" s="8"/>
      <c r="Y352" s="7"/>
      <c r="Z352" s="8"/>
      <c r="AA352" s="107"/>
      <c r="AB352" s="7"/>
      <c r="AC352" s="10"/>
      <c r="AD352" s="10"/>
      <c r="AE352" s="8"/>
      <c r="AF352" s="8"/>
      <c r="AG352" s="107"/>
      <c r="AH352" s="7"/>
      <c r="AI352" s="10"/>
      <c r="AJ352" s="10"/>
      <c r="AK352" s="8"/>
      <c r="AL352" s="8"/>
      <c r="AM352" s="107"/>
      <c r="AN352" s="7"/>
      <c r="AO352" s="10"/>
      <c r="AP352" s="10"/>
      <c r="AQ352" s="8"/>
      <c r="AR352" s="8"/>
      <c r="AS352" s="8"/>
      <c r="AT352" s="107"/>
      <c r="AU352" s="7"/>
      <c r="AV352" s="10"/>
      <c r="AW352" s="10"/>
      <c r="AX352" s="8"/>
      <c r="AY352" s="8"/>
      <c r="AZ352" s="8"/>
      <c r="BA352" s="107"/>
      <c r="BB352" s="7"/>
      <c r="BC352" s="10"/>
      <c r="BD352" s="10"/>
      <c r="BE352" s="8"/>
      <c r="BF352" s="8"/>
      <c r="BG352" s="8"/>
      <c r="BH352" s="8"/>
      <c r="BI352" s="107"/>
      <c r="BJ352" s="7"/>
      <c r="BK352" s="10"/>
      <c r="BL352" s="10"/>
      <c r="BM352" s="10"/>
      <c r="BN352" s="8"/>
      <c r="BO352" s="8"/>
      <c r="BP352" s="8"/>
      <c r="BQ352" s="107"/>
      <c r="BR352" s="7"/>
      <c r="BS352" s="10"/>
      <c r="BT352" s="10"/>
      <c r="BU352" s="10"/>
      <c r="BV352" s="8"/>
      <c r="BW352" s="8"/>
      <c r="BX352" s="107"/>
      <c r="BY352" s="7"/>
      <c r="BZ352" s="10"/>
      <c r="CA352" s="10"/>
      <c r="CB352" s="8"/>
      <c r="CC352" s="8"/>
      <c r="CD352" s="8"/>
      <c r="CE352" s="107"/>
      <c r="CF352" s="7"/>
      <c r="CG352" s="10"/>
      <c r="CH352" s="10"/>
      <c r="CI352" s="8"/>
      <c r="CJ352" s="8"/>
      <c r="CK352" s="8"/>
      <c r="CL352" s="8"/>
      <c r="CM352" s="266"/>
      <c r="CN352" s="266"/>
      <c r="CO352" s="266"/>
    </row>
    <row r="353" spans="1:93" s="268" customFormat="1" x14ac:dyDescent="0.25">
      <c r="A353" s="107"/>
      <c r="B353" s="107"/>
      <c r="C353" s="7"/>
      <c r="D353" s="10"/>
      <c r="E353" s="10"/>
      <c r="F353" s="8"/>
      <c r="G353" s="8"/>
      <c r="H353" s="107"/>
      <c r="I353" s="7"/>
      <c r="J353" s="10"/>
      <c r="K353" s="10"/>
      <c r="L353" s="8"/>
      <c r="M353" s="8"/>
      <c r="N353" s="107"/>
      <c r="O353" s="7"/>
      <c r="P353" s="10"/>
      <c r="Q353" s="10"/>
      <c r="R353" s="8"/>
      <c r="S353" s="8"/>
      <c r="T353" s="107"/>
      <c r="U353" s="7"/>
      <c r="V353" s="10"/>
      <c r="W353" s="10"/>
      <c r="X353" s="8"/>
      <c r="Y353" s="7"/>
      <c r="Z353" s="8"/>
      <c r="AA353" s="107"/>
      <c r="AB353" s="7"/>
      <c r="AC353" s="10"/>
      <c r="AD353" s="10"/>
      <c r="AE353" s="8"/>
      <c r="AF353" s="8"/>
      <c r="AG353" s="107"/>
      <c r="AH353" s="7"/>
      <c r="AI353" s="10"/>
      <c r="AJ353" s="10"/>
      <c r="AK353" s="8"/>
      <c r="AL353" s="8"/>
      <c r="AM353" s="107"/>
      <c r="AN353" s="7"/>
      <c r="AO353" s="10"/>
      <c r="AP353" s="10"/>
      <c r="AQ353" s="8"/>
      <c r="AR353" s="8"/>
      <c r="AS353" s="8"/>
      <c r="AT353" s="107"/>
      <c r="AU353" s="7"/>
      <c r="AV353" s="10"/>
      <c r="AW353" s="10"/>
      <c r="AX353" s="8"/>
      <c r="AY353" s="8"/>
      <c r="AZ353" s="8"/>
      <c r="BA353" s="107"/>
      <c r="BB353" s="7"/>
      <c r="BC353" s="10"/>
      <c r="BD353" s="10"/>
      <c r="BE353" s="8"/>
      <c r="BF353" s="8"/>
      <c r="BG353" s="8"/>
      <c r="BH353" s="8"/>
      <c r="BI353" s="107"/>
      <c r="BJ353" s="7"/>
      <c r="BK353" s="10"/>
      <c r="BL353" s="10"/>
      <c r="BM353" s="10"/>
      <c r="BN353" s="8"/>
      <c r="BO353" s="8"/>
      <c r="BP353" s="8"/>
      <c r="BQ353" s="107"/>
      <c r="BR353" s="7"/>
      <c r="BS353" s="10"/>
      <c r="BT353" s="10"/>
      <c r="BU353" s="10"/>
      <c r="BV353" s="8"/>
      <c r="BW353" s="8"/>
      <c r="BX353" s="107"/>
      <c r="BY353" s="7"/>
      <c r="BZ353" s="10"/>
      <c r="CA353" s="10"/>
      <c r="CB353" s="8"/>
      <c r="CC353" s="8"/>
      <c r="CD353" s="8"/>
      <c r="CE353" s="107"/>
      <c r="CF353" s="7"/>
      <c r="CG353" s="10"/>
      <c r="CH353" s="10"/>
      <c r="CI353" s="8"/>
      <c r="CJ353" s="8"/>
      <c r="CK353" s="8"/>
      <c r="CL353" s="8"/>
      <c r="CM353" s="266"/>
      <c r="CN353" s="266"/>
      <c r="CO353" s="266"/>
    </row>
    <row r="354" spans="1:93" s="268" customFormat="1" x14ac:dyDescent="0.25">
      <c r="A354" s="107"/>
      <c r="B354" s="107"/>
      <c r="C354" s="7"/>
      <c r="D354" s="10"/>
      <c r="E354" s="10"/>
      <c r="F354" s="8"/>
      <c r="G354" s="8"/>
      <c r="H354" s="107"/>
      <c r="I354" s="7"/>
      <c r="J354" s="10"/>
      <c r="K354" s="10"/>
      <c r="L354" s="8"/>
      <c r="M354" s="8"/>
      <c r="N354" s="107"/>
      <c r="O354" s="7"/>
      <c r="P354" s="10"/>
      <c r="Q354" s="10"/>
      <c r="R354" s="8"/>
      <c r="S354" s="8"/>
      <c r="T354" s="107"/>
      <c r="U354" s="7"/>
      <c r="V354" s="10"/>
      <c r="W354" s="10"/>
      <c r="X354" s="8"/>
      <c r="Y354" s="7"/>
      <c r="Z354" s="8"/>
      <c r="AA354" s="107"/>
      <c r="AB354" s="7"/>
      <c r="AC354" s="10"/>
      <c r="AD354" s="10"/>
      <c r="AE354" s="8"/>
      <c r="AF354" s="8"/>
      <c r="AG354" s="107"/>
      <c r="AH354" s="7"/>
      <c r="AI354" s="10"/>
      <c r="AJ354" s="10"/>
      <c r="AK354" s="8"/>
      <c r="AL354" s="8"/>
      <c r="AM354" s="107"/>
      <c r="AN354" s="7"/>
      <c r="AO354" s="10"/>
      <c r="AP354" s="10"/>
      <c r="AQ354" s="8"/>
      <c r="AR354" s="8"/>
      <c r="AS354" s="8"/>
      <c r="AT354" s="107"/>
      <c r="AU354" s="7"/>
      <c r="AV354" s="10"/>
      <c r="AW354" s="10"/>
      <c r="AX354" s="8"/>
      <c r="AY354" s="8"/>
      <c r="AZ354" s="8"/>
      <c r="BA354" s="107"/>
      <c r="BB354" s="7"/>
      <c r="BC354" s="10"/>
      <c r="BD354" s="10"/>
      <c r="BE354" s="8"/>
      <c r="BF354" s="8"/>
      <c r="BG354" s="8"/>
      <c r="BH354" s="8"/>
      <c r="BI354" s="107"/>
      <c r="BJ354" s="7"/>
      <c r="BK354" s="10"/>
      <c r="BL354" s="10"/>
      <c r="BM354" s="10"/>
      <c r="BN354" s="8"/>
      <c r="BO354" s="8"/>
      <c r="BP354" s="8"/>
      <c r="BQ354" s="107"/>
      <c r="BR354" s="7"/>
      <c r="BS354" s="10"/>
      <c r="BT354" s="10"/>
      <c r="BU354" s="10"/>
      <c r="BV354" s="8"/>
      <c r="BW354" s="8"/>
      <c r="BX354" s="107"/>
      <c r="BY354" s="7"/>
      <c r="BZ354" s="10"/>
      <c r="CA354" s="10"/>
      <c r="CB354" s="8"/>
      <c r="CC354" s="8"/>
      <c r="CD354" s="8"/>
      <c r="CE354" s="107"/>
      <c r="CF354" s="7"/>
      <c r="CG354" s="10"/>
      <c r="CH354" s="10"/>
      <c r="CI354" s="8"/>
      <c r="CJ354" s="8"/>
      <c r="CK354" s="8"/>
      <c r="CL354" s="8"/>
      <c r="CM354" s="266"/>
      <c r="CN354" s="266"/>
      <c r="CO354" s="266"/>
    </row>
    <row r="355" spans="1:93" s="268" customFormat="1" x14ac:dyDescent="0.25">
      <c r="A355" s="107"/>
      <c r="B355" s="107"/>
      <c r="C355" s="7"/>
      <c r="D355" s="10"/>
      <c r="E355" s="10"/>
      <c r="F355" s="8"/>
      <c r="G355" s="8"/>
      <c r="H355" s="107"/>
      <c r="I355" s="7"/>
      <c r="J355" s="10"/>
      <c r="K355" s="10"/>
      <c r="L355" s="8"/>
      <c r="M355" s="8"/>
      <c r="N355" s="107"/>
      <c r="O355" s="7"/>
      <c r="P355" s="10"/>
      <c r="Q355" s="10"/>
      <c r="R355" s="8"/>
      <c r="S355" s="8"/>
      <c r="T355" s="107"/>
      <c r="U355" s="7"/>
      <c r="V355" s="10"/>
      <c r="W355" s="10"/>
      <c r="X355" s="8"/>
      <c r="Y355" s="7"/>
      <c r="Z355" s="8"/>
      <c r="AA355" s="107"/>
      <c r="AB355" s="7"/>
      <c r="AC355" s="10"/>
      <c r="AD355" s="10"/>
      <c r="AE355" s="8"/>
      <c r="AF355" s="8"/>
      <c r="AG355" s="107"/>
      <c r="AH355" s="7"/>
      <c r="AI355" s="10"/>
      <c r="AJ355" s="10"/>
      <c r="AK355" s="8"/>
      <c r="AL355" s="8"/>
      <c r="AM355" s="107"/>
      <c r="AN355" s="7"/>
      <c r="AO355" s="10"/>
      <c r="AP355" s="10"/>
      <c r="AQ355" s="8"/>
      <c r="AR355" s="8"/>
      <c r="AS355" s="8"/>
      <c r="AT355" s="107"/>
      <c r="AU355" s="7"/>
      <c r="AV355" s="10"/>
      <c r="AW355" s="10"/>
      <c r="AX355" s="8"/>
      <c r="AY355" s="8"/>
      <c r="AZ355" s="8"/>
      <c r="BA355" s="107"/>
      <c r="BB355" s="7"/>
      <c r="BC355" s="10"/>
      <c r="BD355" s="10"/>
      <c r="BE355" s="8"/>
      <c r="BF355" s="8"/>
      <c r="BG355" s="8"/>
      <c r="BH355" s="8"/>
      <c r="BI355" s="107"/>
      <c r="BJ355" s="7"/>
      <c r="BK355" s="10"/>
      <c r="BL355" s="10"/>
      <c r="BM355" s="10"/>
      <c r="BN355" s="8"/>
      <c r="BO355" s="8"/>
      <c r="BP355" s="8"/>
      <c r="BQ355" s="107"/>
      <c r="BR355" s="7"/>
      <c r="BS355" s="10"/>
      <c r="BT355" s="10"/>
      <c r="BU355" s="10"/>
      <c r="BV355" s="8"/>
      <c r="BW355" s="8"/>
      <c r="BX355" s="107"/>
      <c r="BY355" s="7"/>
      <c r="BZ355" s="10"/>
      <c r="CA355" s="10"/>
      <c r="CB355" s="8"/>
      <c r="CC355" s="8"/>
      <c r="CD355" s="8"/>
      <c r="CE355" s="107"/>
      <c r="CF355" s="7"/>
      <c r="CG355" s="10"/>
      <c r="CH355" s="10"/>
      <c r="CI355" s="8"/>
      <c r="CJ355" s="8"/>
      <c r="CK355" s="8"/>
      <c r="CL355" s="8"/>
      <c r="CM355" s="266"/>
      <c r="CN355" s="266"/>
      <c r="CO355" s="266"/>
    </row>
    <row r="356" spans="1:93" s="268" customFormat="1" x14ac:dyDescent="0.25">
      <c r="A356" s="107"/>
      <c r="B356" s="107"/>
      <c r="C356" s="7"/>
      <c r="D356" s="10"/>
      <c r="E356" s="10"/>
      <c r="F356" s="8"/>
      <c r="G356" s="8"/>
      <c r="H356" s="107"/>
      <c r="I356" s="7"/>
      <c r="J356" s="10"/>
      <c r="K356" s="10"/>
      <c r="L356" s="8"/>
      <c r="M356" s="8"/>
      <c r="N356" s="107"/>
      <c r="O356" s="7"/>
      <c r="P356" s="10"/>
      <c r="Q356" s="10"/>
      <c r="R356" s="8"/>
      <c r="S356" s="8"/>
      <c r="T356" s="107"/>
      <c r="U356" s="7"/>
      <c r="V356" s="10"/>
      <c r="W356" s="10"/>
      <c r="X356" s="8"/>
      <c r="Y356" s="7"/>
      <c r="Z356" s="8"/>
      <c r="AA356" s="107"/>
      <c r="AB356" s="7"/>
      <c r="AC356" s="10"/>
      <c r="AD356" s="10"/>
      <c r="AE356" s="8"/>
      <c r="AF356" s="8"/>
      <c r="AG356" s="107"/>
      <c r="AH356" s="7"/>
      <c r="AI356" s="10"/>
      <c r="AJ356" s="10"/>
      <c r="AK356" s="8"/>
      <c r="AL356" s="8"/>
      <c r="AM356" s="107"/>
      <c r="AN356" s="7"/>
      <c r="AO356" s="10"/>
      <c r="AP356" s="10"/>
      <c r="AQ356" s="8"/>
      <c r="AR356" s="8"/>
      <c r="AS356" s="8"/>
      <c r="AT356" s="107"/>
      <c r="AU356" s="7"/>
      <c r="AV356" s="10"/>
      <c r="AW356" s="10"/>
      <c r="AX356" s="8"/>
      <c r="AY356" s="8"/>
      <c r="AZ356" s="8"/>
      <c r="BA356" s="107"/>
      <c r="BB356" s="7"/>
      <c r="BC356" s="10"/>
      <c r="BD356" s="10"/>
      <c r="BE356" s="8"/>
      <c r="BF356" s="8"/>
      <c r="BG356" s="8"/>
      <c r="BH356" s="8"/>
      <c r="BI356" s="107"/>
      <c r="BJ356" s="7"/>
      <c r="BK356" s="10"/>
      <c r="BL356" s="10"/>
      <c r="BM356" s="10"/>
      <c r="BN356" s="8"/>
      <c r="BO356" s="8"/>
      <c r="BP356" s="8"/>
      <c r="BQ356" s="107"/>
      <c r="BR356" s="7"/>
      <c r="BS356" s="10"/>
      <c r="BT356" s="10"/>
      <c r="BU356" s="10"/>
      <c r="BV356" s="8"/>
      <c r="BW356" s="8"/>
      <c r="BX356" s="107"/>
      <c r="BY356" s="7"/>
      <c r="BZ356" s="10"/>
      <c r="CA356" s="10"/>
      <c r="CB356" s="8"/>
      <c r="CC356" s="8"/>
      <c r="CD356" s="8"/>
      <c r="CE356" s="107"/>
      <c r="CF356" s="7"/>
      <c r="CG356" s="10"/>
      <c r="CH356" s="10"/>
      <c r="CI356" s="8"/>
      <c r="CJ356" s="8"/>
      <c r="CK356" s="8"/>
      <c r="CL356" s="8"/>
      <c r="CM356" s="266"/>
      <c r="CN356" s="266"/>
      <c r="CO356" s="266"/>
    </row>
    <row r="357" spans="1:93" s="268" customFormat="1" x14ac:dyDescent="0.25">
      <c r="A357" s="107"/>
      <c r="B357" s="107"/>
      <c r="C357" s="7"/>
      <c r="D357" s="10"/>
      <c r="E357" s="10"/>
      <c r="F357" s="8"/>
      <c r="G357" s="8"/>
      <c r="H357" s="107"/>
      <c r="I357" s="7"/>
      <c r="J357" s="10"/>
      <c r="K357" s="10"/>
      <c r="L357" s="8"/>
      <c r="M357" s="8"/>
      <c r="N357" s="107"/>
      <c r="O357" s="7"/>
      <c r="P357" s="10"/>
      <c r="Q357" s="10"/>
      <c r="R357" s="8"/>
      <c r="S357" s="8"/>
      <c r="T357" s="107"/>
      <c r="U357" s="7"/>
      <c r="V357" s="10"/>
      <c r="W357" s="10"/>
      <c r="X357" s="8"/>
      <c r="Y357" s="7"/>
      <c r="Z357" s="8"/>
      <c r="AA357" s="107"/>
      <c r="AB357" s="7"/>
      <c r="AC357" s="10"/>
      <c r="AD357" s="10"/>
      <c r="AE357" s="8"/>
      <c r="AF357" s="8"/>
      <c r="AG357" s="107"/>
      <c r="AH357" s="7"/>
      <c r="AI357" s="10"/>
      <c r="AJ357" s="10"/>
      <c r="AK357" s="8"/>
      <c r="AL357" s="8"/>
      <c r="AM357" s="107"/>
      <c r="AN357" s="7"/>
      <c r="AO357" s="10"/>
      <c r="AP357" s="10"/>
      <c r="AQ357" s="8"/>
      <c r="AR357" s="8"/>
      <c r="AS357" s="8"/>
      <c r="AT357" s="107"/>
      <c r="AU357" s="7"/>
      <c r="AV357" s="10"/>
      <c r="AW357" s="10"/>
      <c r="AX357" s="8"/>
      <c r="AY357" s="8"/>
      <c r="AZ357" s="8"/>
      <c r="BA357" s="107"/>
      <c r="BB357" s="7"/>
      <c r="BC357" s="10"/>
      <c r="BD357" s="10"/>
      <c r="BE357" s="8"/>
      <c r="BF357" s="8"/>
      <c r="BG357" s="8"/>
      <c r="BH357" s="8"/>
      <c r="BI357" s="107"/>
      <c r="BJ357" s="7"/>
      <c r="BK357" s="10"/>
      <c r="BL357" s="10"/>
      <c r="BM357" s="10"/>
      <c r="BN357" s="8"/>
      <c r="BO357" s="8"/>
      <c r="BP357" s="8"/>
      <c r="BQ357" s="107"/>
      <c r="BR357" s="7"/>
      <c r="BS357" s="10"/>
      <c r="BT357" s="10"/>
      <c r="BU357" s="10"/>
      <c r="BV357" s="8"/>
      <c r="BW357" s="8"/>
      <c r="BX357" s="107"/>
      <c r="BY357" s="7"/>
      <c r="BZ357" s="10"/>
      <c r="CA357" s="10"/>
      <c r="CB357" s="8"/>
      <c r="CC357" s="8"/>
      <c r="CD357" s="8"/>
      <c r="CE357" s="107"/>
      <c r="CF357" s="7"/>
      <c r="CG357" s="10"/>
      <c r="CH357" s="10"/>
      <c r="CI357" s="8"/>
      <c r="CJ357" s="8"/>
      <c r="CK357" s="8"/>
      <c r="CL357" s="8"/>
      <c r="CM357" s="266"/>
      <c r="CN357" s="266"/>
      <c r="CO357" s="266"/>
    </row>
    <row r="358" spans="1:93" s="268" customFormat="1" x14ac:dyDescent="0.25">
      <c r="A358" s="107"/>
      <c r="B358" s="107"/>
      <c r="C358" s="7"/>
      <c r="D358" s="10"/>
      <c r="E358" s="10"/>
      <c r="F358" s="8"/>
      <c r="G358" s="8"/>
      <c r="H358" s="107"/>
      <c r="I358" s="7"/>
      <c r="J358" s="10"/>
      <c r="K358" s="10"/>
      <c r="L358" s="8"/>
      <c r="M358" s="8"/>
      <c r="N358" s="107"/>
      <c r="O358" s="7"/>
      <c r="P358" s="10"/>
      <c r="Q358" s="10"/>
      <c r="R358" s="8"/>
      <c r="S358" s="8"/>
      <c r="T358" s="107"/>
      <c r="U358" s="7"/>
      <c r="V358" s="10"/>
      <c r="W358" s="10"/>
      <c r="X358" s="8"/>
      <c r="Y358" s="7"/>
      <c r="Z358" s="8"/>
      <c r="AA358" s="107"/>
      <c r="AB358" s="7"/>
      <c r="AC358" s="10"/>
      <c r="AD358" s="10"/>
      <c r="AE358" s="8"/>
      <c r="AF358" s="8"/>
      <c r="AG358" s="107"/>
      <c r="AH358" s="7"/>
      <c r="AI358" s="10"/>
      <c r="AJ358" s="10"/>
      <c r="AK358" s="8"/>
      <c r="AL358" s="8"/>
      <c r="AM358" s="107"/>
      <c r="AN358" s="7"/>
      <c r="AO358" s="10"/>
      <c r="AP358" s="10"/>
      <c r="AQ358" s="8"/>
      <c r="AR358" s="8"/>
      <c r="AS358" s="8"/>
      <c r="AT358" s="107"/>
      <c r="AU358" s="7"/>
      <c r="AV358" s="10"/>
      <c r="AW358" s="10"/>
      <c r="AX358" s="8"/>
      <c r="AY358" s="8"/>
      <c r="AZ358" s="8"/>
      <c r="BA358" s="107"/>
      <c r="BB358" s="7"/>
      <c r="BC358" s="10"/>
      <c r="BD358" s="10"/>
      <c r="BE358" s="8"/>
      <c r="BF358" s="8"/>
      <c r="BG358" s="8"/>
      <c r="BH358" s="8"/>
      <c r="BI358" s="107"/>
      <c r="BJ358" s="7"/>
      <c r="BK358" s="10"/>
      <c r="BL358" s="10"/>
      <c r="BM358" s="10"/>
      <c r="BN358" s="8"/>
      <c r="BO358" s="8"/>
      <c r="BP358" s="8"/>
      <c r="BQ358" s="107"/>
      <c r="BR358" s="7"/>
      <c r="BS358" s="10"/>
      <c r="BT358" s="10"/>
      <c r="BU358" s="10"/>
      <c r="BV358" s="8"/>
      <c r="BW358" s="8"/>
      <c r="BX358" s="107"/>
      <c r="BY358" s="7"/>
      <c r="BZ358" s="10"/>
      <c r="CA358" s="10"/>
      <c r="CB358" s="8"/>
      <c r="CC358" s="8"/>
      <c r="CD358" s="8"/>
      <c r="CE358" s="107"/>
      <c r="CF358" s="7"/>
      <c r="CG358" s="10"/>
      <c r="CH358" s="10"/>
      <c r="CI358" s="8"/>
      <c r="CJ358" s="8"/>
      <c r="CK358" s="8"/>
      <c r="CL358" s="8"/>
      <c r="CM358" s="266"/>
      <c r="CN358" s="266"/>
      <c r="CO358" s="266"/>
    </row>
    <row r="359" spans="1:93" s="268" customFormat="1" x14ac:dyDescent="0.25">
      <c r="A359" s="107"/>
      <c r="B359" s="107"/>
      <c r="C359" s="7"/>
      <c r="D359" s="10"/>
      <c r="E359" s="10"/>
      <c r="F359" s="8"/>
      <c r="G359" s="8"/>
      <c r="H359" s="107"/>
      <c r="I359" s="7"/>
      <c r="J359" s="10"/>
      <c r="K359" s="10"/>
      <c r="L359" s="8"/>
      <c r="M359" s="8"/>
      <c r="N359" s="107"/>
      <c r="O359" s="7"/>
      <c r="P359" s="10"/>
      <c r="Q359" s="10"/>
      <c r="R359" s="8"/>
      <c r="S359" s="8"/>
      <c r="T359" s="107"/>
      <c r="U359" s="7"/>
      <c r="V359" s="10"/>
      <c r="W359" s="10"/>
      <c r="X359" s="8"/>
      <c r="Y359" s="7"/>
      <c r="Z359" s="8"/>
      <c r="AA359" s="107"/>
      <c r="AB359" s="7"/>
      <c r="AC359" s="10"/>
      <c r="AD359" s="10"/>
      <c r="AE359" s="8"/>
      <c r="AF359" s="8"/>
      <c r="AG359" s="107"/>
      <c r="AH359" s="7"/>
      <c r="AI359" s="10"/>
      <c r="AJ359" s="10"/>
      <c r="AK359" s="8"/>
      <c r="AL359" s="8"/>
      <c r="AM359" s="107"/>
      <c r="AN359" s="7"/>
      <c r="AO359" s="10"/>
      <c r="AP359" s="10"/>
      <c r="AQ359" s="8"/>
      <c r="AR359" s="8"/>
      <c r="AS359" s="8"/>
      <c r="AT359" s="107"/>
      <c r="AU359" s="7"/>
      <c r="AV359" s="10"/>
      <c r="AW359" s="10"/>
      <c r="AX359" s="8"/>
      <c r="AY359" s="8"/>
      <c r="AZ359" s="8"/>
      <c r="BA359" s="107"/>
      <c r="BB359" s="7"/>
      <c r="BC359" s="10"/>
      <c r="BD359" s="10"/>
      <c r="BE359" s="8"/>
      <c r="BF359" s="8"/>
      <c r="BG359" s="8"/>
      <c r="BH359" s="8"/>
      <c r="BI359" s="107"/>
      <c r="BJ359" s="7"/>
      <c r="BK359" s="10"/>
      <c r="BL359" s="10"/>
      <c r="BM359" s="10"/>
      <c r="BN359" s="8"/>
      <c r="BO359" s="8"/>
      <c r="BP359" s="8"/>
      <c r="BQ359" s="107"/>
      <c r="BR359" s="7"/>
      <c r="BS359" s="10"/>
      <c r="BT359" s="10"/>
      <c r="BU359" s="10"/>
      <c r="BV359" s="8"/>
      <c r="BW359" s="8"/>
      <c r="BX359" s="107"/>
      <c r="BY359" s="7"/>
      <c r="BZ359" s="10"/>
      <c r="CA359" s="10"/>
      <c r="CB359" s="8"/>
      <c r="CC359" s="8"/>
      <c r="CD359" s="8"/>
      <c r="CE359" s="107"/>
      <c r="CF359" s="7"/>
      <c r="CG359" s="10"/>
      <c r="CH359" s="10"/>
      <c r="CI359" s="8"/>
      <c r="CJ359" s="8"/>
      <c r="CK359" s="8"/>
      <c r="CL359" s="8"/>
      <c r="CM359" s="266"/>
      <c r="CN359" s="266"/>
      <c r="CO359" s="266"/>
    </row>
    <row r="360" spans="1:93" s="268" customFormat="1" x14ac:dyDescent="0.25">
      <c r="A360" s="107"/>
      <c r="B360" s="107"/>
      <c r="C360" s="7"/>
      <c r="D360" s="10"/>
      <c r="E360" s="10"/>
      <c r="F360" s="8"/>
      <c r="G360" s="8"/>
      <c r="H360" s="107"/>
      <c r="I360" s="7"/>
      <c r="J360" s="10"/>
      <c r="K360" s="10"/>
      <c r="L360" s="8"/>
      <c r="M360" s="8"/>
      <c r="N360" s="107"/>
      <c r="O360" s="7"/>
      <c r="P360" s="10"/>
      <c r="Q360" s="10"/>
      <c r="R360" s="8"/>
      <c r="S360" s="8"/>
      <c r="T360" s="107"/>
      <c r="U360" s="7"/>
      <c r="V360" s="10"/>
      <c r="W360" s="10"/>
      <c r="X360" s="8"/>
      <c r="Y360" s="7"/>
      <c r="Z360" s="8"/>
      <c r="AA360" s="107"/>
      <c r="AB360" s="7"/>
      <c r="AC360" s="10"/>
      <c r="AD360" s="10"/>
      <c r="AE360" s="8"/>
      <c r="AF360" s="8"/>
      <c r="AG360" s="107"/>
      <c r="AH360" s="7"/>
      <c r="AI360" s="10"/>
      <c r="AJ360" s="10"/>
      <c r="AK360" s="8"/>
      <c r="AL360" s="8"/>
      <c r="AM360" s="107"/>
      <c r="AN360" s="7"/>
      <c r="AO360" s="10"/>
      <c r="AP360" s="10"/>
      <c r="AQ360" s="8"/>
      <c r="AR360" s="8"/>
      <c r="AS360" s="8"/>
      <c r="AT360" s="107"/>
      <c r="AU360" s="7"/>
      <c r="AV360" s="10"/>
      <c r="AW360" s="10"/>
      <c r="AX360" s="8"/>
      <c r="AY360" s="8"/>
      <c r="AZ360" s="8"/>
      <c r="BA360" s="107"/>
      <c r="BB360" s="7"/>
      <c r="BC360" s="10"/>
      <c r="BD360" s="10"/>
      <c r="BE360" s="8"/>
      <c r="BF360" s="8"/>
      <c r="BG360" s="8"/>
      <c r="BH360" s="8"/>
      <c r="BI360" s="107"/>
      <c r="BJ360" s="7"/>
      <c r="BK360" s="10"/>
      <c r="BL360" s="10"/>
      <c r="BM360" s="10"/>
      <c r="BN360" s="8"/>
      <c r="BO360" s="8"/>
      <c r="BP360" s="8"/>
      <c r="BQ360" s="107"/>
      <c r="BR360" s="7"/>
      <c r="BS360" s="10"/>
      <c r="BT360" s="10"/>
      <c r="BU360" s="10"/>
      <c r="BV360" s="8"/>
      <c r="BW360" s="8"/>
      <c r="BX360" s="107"/>
      <c r="BY360" s="7"/>
      <c r="BZ360" s="10"/>
      <c r="CA360" s="10"/>
      <c r="CB360" s="8"/>
      <c r="CC360" s="8"/>
      <c r="CD360" s="8"/>
      <c r="CE360" s="107"/>
      <c r="CF360" s="7"/>
      <c r="CG360" s="10"/>
      <c r="CH360" s="10"/>
      <c r="CI360" s="8"/>
      <c r="CJ360" s="8"/>
      <c r="CK360" s="8"/>
      <c r="CL360" s="8"/>
      <c r="CM360" s="266"/>
      <c r="CN360" s="266"/>
      <c r="CO360" s="266"/>
    </row>
    <row r="361" spans="1:93" s="268" customFormat="1" x14ac:dyDescent="0.25">
      <c r="A361" s="107"/>
      <c r="B361" s="107"/>
      <c r="C361" s="7"/>
      <c r="D361" s="10"/>
      <c r="E361" s="10"/>
      <c r="F361" s="8"/>
      <c r="G361" s="8"/>
      <c r="H361" s="107"/>
      <c r="I361" s="7"/>
      <c r="J361" s="10"/>
      <c r="K361" s="10"/>
      <c r="L361" s="8"/>
      <c r="M361" s="8"/>
      <c r="N361" s="107"/>
      <c r="O361" s="7"/>
      <c r="P361" s="10"/>
      <c r="Q361" s="10"/>
      <c r="R361" s="8"/>
      <c r="S361" s="8"/>
      <c r="T361" s="107"/>
      <c r="U361" s="7"/>
      <c r="V361" s="10"/>
      <c r="W361" s="10"/>
      <c r="X361" s="8"/>
      <c r="Y361" s="7"/>
      <c r="Z361" s="8"/>
      <c r="AA361" s="107"/>
      <c r="AB361" s="7"/>
      <c r="AC361" s="10"/>
      <c r="AD361" s="10"/>
      <c r="AE361" s="8"/>
      <c r="AF361" s="8"/>
      <c r="AG361" s="107"/>
      <c r="AH361" s="7"/>
      <c r="AI361" s="10"/>
      <c r="AJ361" s="10"/>
      <c r="AK361" s="8"/>
      <c r="AL361" s="8"/>
      <c r="AM361" s="107"/>
      <c r="AN361" s="7"/>
      <c r="AO361" s="10"/>
      <c r="AP361" s="10"/>
      <c r="AQ361" s="8"/>
      <c r="AR361" s="8"/>
      <c r="AS361" s="8"/>
      <c r="AT361" s="107"/>
      <c r="AU361" s="7"/>
      <c r="AV361" s="10"/>
      <c r="AW361" s="10"/>
      <c r="AX361" s="8"/>
      <c r="AY361" s="8"/>
      <c r="AZ361" s="8"/>
      <c r="BA361" s="107"/>
      <c r="BB361" s="7"/>
      <c r="BC361" s="10"/>
      <c r="BD361" s="10"/>
      <c r="BE361" s="8"/>
      <c r="BF361" s="8"/>
      <c r="BG361" s="8"/>
      <c r="BH361" s="8"/>
      <c r="BI361" s="107"/>
      <c r="BJ361" s="7"/>
      <c r="BK361" s="10"/>
      <c r="BL361" s="10"/>
      <c r="BM361" s="10"/>
      <c r="BN361" s="8"/>
      <c r="BO361" s="8"/>
      <c r="BP361" s="8"/>
      <c r="BQ361" s="107"/>
      <c r="BR361" s="7"/>
      <c r="BS361" s="10"/>
      <c r="BT361" s="10"/>
      <c r="BU361" s="10"/>
      <c r="BV361" s="8"/>
      <c r="BW361" s="8"/>
      <c r="BX361" s="107"/>
      <c r="BY361" s="7"/>
      <c r="BZ361" s="10"/>
      <c r="CA361" s="10"/>
      <c r="CB361" s="8"/>
      <c r="CC361" s="8"/>
      <c r="CD361" s="8"/>
      <c r="CE361" s="107"/>
      <c r="CF361" s="7"/>
      <c r="CG361" s="10"/>
      <c r="CH361" s="10"/>
      <c r="CI361" s="8"/>
      <c r="CJ361" s="8"/>
      <c r="CK361" s="8"/>
      <c r="CL361" s="8"/>
      <c r="CM361" s="266"/>
      <c r="CN361" s="266"/>
      <c r="CO361" s="266"/>
    </row>
    <row r="362" spans="1:93" s="268" customFormat="1" x14ac:dyDescent="0.25">
      <c r="A362" s="107"/>
      <c r="B362" s="107"/>
      <c r="C362" s="7"/>
      <c r="D362" s="10"/>
      <c r="E362" s="10"/>
      <c r="F362" s="8"/>
      <c r="G362" s="8"/>
      <c r="H362" s="107"/>
      <c r="I362" s="7"/>
      <c r="J362" s="10"/>
      <c r="K362" s="10"/>
      <c r="L362" s="8"/>
      <c r="M362" s="8"/>
      <c r="N362" s="107"/>
      <c r="O362" s="7"/>
      <c r="P362" s="10"/>
      <c r="Q362" s="10"/>
      <c r="R362" s="8"/>
      <c r="S362" s="8"/>
      <c r="T362" s="107"/>
      <c r="U362" s="7"/>
      <c r="V362" s="10"/>
      <c r="W362" s="10"/>
      <c r="X362" s="8"/>
      <c r="Y362" s="7"/>
      <c r="Z362" s="8"/>
      <c r="AA362" s="107"/>
      <c r="AB362" s="7"/>
      <c r="AC362" s="10"/>
      <c r="AD362" s="10"/>
      <c r="AE362" s="8"/>
      <c r="AF362" s="8"/>
      <c r="AG362" s="107"/>
      <c r="AH362" s="7"/>
      <c r="AI362" s="10"/>
      <c r="AJ362" s="10"/>
      <c r="AK362" s="8"/>
      <c r="AL362" s="8"/>
      <c r="AM362" s="107"/>
      <c r="AN362" s="7"/>
      <c r="AO362" s="10"/>
      <c r="AP362" s="10"/>
      <c r="AQ362" s="8"/>
      <c r="AR362" s="8"/>
      <c r="AS362" s="8"/>
      <c r="AT362" s="107"/>
      <c r="AU362" s="7"/>
      <c r="AV362" s="10"/>
      <c r="AW362" s="10"/>
      <c r="AX362" s="8"/>
      <c r="AY362" s="8"/>
      <c r="AZ362" s="8"/>
      <c r="BA362" s="107"/>
      <c r="BB362" s="7"/>
      <c r="BC362" s="10"/>
      <c r="BD362" s="10"/>
      <c r="BE362" s="8"/>
      <c r="BF362" s="8"/>
      <c r="BG362" s="8"/>
      <c r="BH362" s="8"/>
      <c r="BI362" s="107"/>
      <c r="BJ362" s="7"/>
      <c r="BK362" s="10"/>
      <c r="BL362" s="10"/>
      <c r="BM362" s="10"/>
      <c r="BN362" s="8"/>
      <c r="BO362" s="8"/>
      <c r="BP362" s="8"/>
      <c r="BQ362" s="107"/>
      <c r="BR362" s="7"/>
      <c r="BS362" s="10"/>
      <c r="BT362" s="10"/>
      <c r="BU362" s="10"/>
      <c r="BV362" s="8"/>
      <c r="BW362" s="8"/>
      <c r="BX362" s="107"/>
      <c r="BY362" s="7"/>
      <c r="BZ362" s="10"/>
      <c r="CA362" s="10"/>
      <c r="CB362" s="8"/>
      <c r="CC362" s="8"/>
      <c r="CD362" s="8"/>
      <c r="CE362" s="107"/>
      <c r="CF362" s="7"/>
      <c r="CG362" s="10"/>
      <c r="CH362" s="10"/>
      <c r="CI362" s="8"/>
      <c r="CJ362" s="8"/>
      <c r="CK362" s="8"/>
      <c r="CL362" s="8"/>
      <c r="CM362" s="266"/>
      <c r="CN362" s="266"/>
      <c r="CO362" s="266"/>
    </row>
    <row r="363" spans="1:93" s="268" customFormat="1" x14ac:dyDescent="0.25">
      <c r="A363" s="107"/>
      <c r="B363" s="107"/>
      <c r="C363" s="7"/>
      <c r="D363" s="10"/>
      <c r="E363" s="10"/>
      <c r="F363" s="8"/>
      <c r="G363" s="8"/>
      <c r="H363" s="107"/>
      <c r="I363" s="7"/>
      <c r="J363" s="10"/>
      <c r="K363" s="10"/>
      <c r="L363" s="8"/>
      <c r="M363" s="8"/>
      <c r="N363" s="107"/>
      <c r="O363" s="7"/>
      <c r="P363" s="10"/>
      <c r="Q363" s="10"/>
      <c r="R363" s="8"/>
      <c r="S363" s="8"/>
      <c r="T363" s="107"/>
      <c r="U363" s="7"/>
      <c r="V363" s="10"/>
      <c r="W363" s="10"/>
      <c r="X363" s="8"/>
      <c r="Y363" s="7"/>
      <c r="Z363" s="8"/>
      <c r="AA363" s="107"/>
      <c r="AB363" s="7"/>
      <c r="AC363" s="10"/>
      <c r="AD363" s="10"/>
      <c r="AE363" s="8"/>
      <c r="AF363" s="8"/>
      <c r="AG363" s="107"/>
      <c r="AH363" s="7"/>
      <c r="AI363" s="10"/>
      <c r="AJ363" s="10"/>
      <c r="AK363" s="8"/>
      <c r="AL363" s="8"/>
      <c r="AM363" s="107"/>
      <c r="AN363" s="7"/>
      <c r="AO363" s="10"/>
      <c r="AP363" s="10"/>
      <c r="AQ363" s="8"/>
      <c r="AR363" s="8"/>
      <c r="AS363" s="8"/>
      <c r="AT363" s="107"/>
      <c r="AU363" s="7"/>
      <c r="AV363" s="10"/>
      <c r="AW363" s="10"/>
      <c r="AX363" s="8"/>
      <c r="AY363" s="8"/>
      <c r="AZ363" s="8"/>
      <c r="BA363" s="107"/>
      <c r="BB363" s="7"/>
      <c r="BC363" s="10"/>
      <c r="BD363" s="10"/>
      <c r="BE363" s="8"/>
      <c r="BF363" s="8"/>
      <c r="BG363" s="8"/>
      <c r="BH363" s="8"/>
      <c r="BI363" s="107"/>
      <c r="BJ363" s="7"/>
      <c r="BK363" s="10"/>
      <c r="BL363" s="10"/>
      <c r="BM363" s="10"/>
      <c r="BN363" s="8"/>
      <c r="BO363" s="8"/>
      <c r="BP363" s="8"/>
      <c r="BQ363" s="107"/>
      <c r="BR363" s="7"/>
      <c r="BS363" s="10"/>
      <c r="BT363" s="10"/>
      <c r="BU363" s="10"/>
      <c r="BV363" s="8"/>
      <c r="BW363" s="8"/>
      <c r="BX363" s="107"/>
      <c r="BY363" s="7"/>
      <c r="BZ363" s="10"/>
      <c r="CA363" s="10"/>
      <c r="CB363" s="8"/>
      <c r="CC363" s="8"/>
      <c r="CD363" s="8"/>
      <c r="CE363" s="107"/>
      <c r="CF363" s="7"/>
      <c r="CG363" s="10"/>
      <c r="CH363" s="10"/>
      <c r="CI363" s="8"/>
      <c r="CJ363" s="8"/>
      <c r="CK363" s="8"/>
      <c r="CL363" s="8"/>
      <c r="CM363" s="266"/>
      <c r="CN363" s="266"/>
      <c r="CO363" s="266"/>
    </row>
    <row r="364" spans="1:93" s="268" customFormat="1" x14ac:dyDescent="0.25">
      <c r="A364" s="107"/>
      <c r="B364" s="107"/>
      <c r="C364" s="7"/>
      <c r="D364" s="10"/>
      <c r="E364" s="10"/>
      <c r="F364" s="8"/>
      <c r="G364" s="8"/>
      <c r="H364" s="107"/>
      <c r="I364" s="7"/>
      <c r="J364" s="10"/>
      <c r="K364" s="10"/>
      <c r="L364" s="8"/>
      <c r="M364" s="8"/>
      <c r="N364" s="107"/>
      <c r="O364" s="7"/>
      <c r="P364" s="10"/>
      <c r="Q364" s="10"/>
      <c r="R364" s="8"/>
      <c r="S364" s="8"/>
      <c r="T364" s="107"/>
      <c r="U364" s="7"/>
      <c r="V364" s="10"/>
      <c r="W364" s="10"/>
      <c r="X364" s="8"/>
      <c r="Y364" s="7"/>
      <c r="Z364" s="8"/>
      <c r="AA364" s="107"/>
      <c r="AB364" s="7"/>
      <c r="AC364" s="10"/>
      <c r="AD364" s="10"/>
      <c r="AE364" s="8"/>
      <c r="AF364" s="8"/>
      <c r="AG364" s="107"/>
      <c r="AH364" s="7"/>
      <c r="AI364" s="10"/>
      <c r="AJ364" s="10"/>
      <c r="AK364" s="8"/>
      <c r="AL364" s="8"/>
      <c r="AM364" s="107"/>
      <c r="AN364" s="7"/>
      <c r="AO364" s="10"/>
      <c r="AP364" s="10"/>
      <c r="AQ364" s="8"/>
      <c r="AR364" s="8"/>
      <c r="AS364" s="8"/>
      <c r="AT364" s="107"/>
      <c r="AU364" s="7"/>
      <c r="AV364" s="10"/>
      <c r="AW364" s="10"/>
      <c r="AX364" s="8"/>
      <c r="AY364" s="8"/>
      <c r="AZ364" s="8"/>
      <c r="BA364" s="107"/>
      <c r="BB364" s="7"/>
      <c r="BC364" s="10"/>
      <c r="BD364" s="10"/>
      <c r="BE364" s="8"/>
      <c r="BF364" s="8"/>
      <c r="BG364" s="8"/>
      <c r="BH364" s="8"/>
      <c r="BI364" s="107"/>
      <c r="BJ364" s="7"/>
      <c r="BK364" s="10"/>
      <c r="BL364" s="10"/>
      <c r="BM364" s="10"/>
      <c r="BN364" s="8"/>
      <c r="BO364" s="8"/>
      <c r="BP364" s="8"/>
      <c r="BQ364" s="107"/>
      <c r="BR364" s="7"/>
      <c r="BS364" s="10"/>
      <c r="BT364" s="10"/>
      <c r="BU364" s="10"/>
      <c r="BV364" s="8"/>
      <c r="BW364" s="8"/>
      <c r="BX364" s="107"/>
      <c r="BY364" s="7"/>
      <c r="BZ364" s="10"/>
      <c r="CA364" s="10"/>
      <c r="CB364" s="8"/>
      <c r="CC364" s="8"/>
      <c r="CD364" s="8"/>
      <c r="CE364" s="107"/>
      <c r="CF364" s="7"/>
      <c r="CG364" s="10"/>
      <c r="CH364" s="10"/>
      <c r="CI364" s="8"/>
      <c r="CJ364" s="8"/>
      <c r="CK364" s="8"/>
      <c r="CL364" s="8"/>
      <c r="CM364" s="266"/>
      <c r="CN364" s="266"/>
      <c r="CO364" s="266"/>
    </row>
    <row r="365" spans="1:93" s="268" customFormat="1" x14ac:dyDescent="0.25">
      <c r="A365" s="107"/>
      <c r="B365" s="107"/>
      <c r="C365" s="7"/>
      <c r="D365" s="10"/>
      <c r="E365" s="10"/>
      <c r="F365" s="8"/>
      <c r="G365" s="8"/>
      <c r="H365" s="107"/>
      <c r="I365" s="7"/>
      <c r="J365" s="10"/>
      <c r="K365" s="10"/>
      <c r="L365" s="8"/>
      <c r="M365" s="8"/>
      <c r="N365" s="107"/>
      <c r="O365" s="7"/>
      <c r="P365" s="10"/>
      <c r="Q365" s="10"/>
      <c r="R365" s="8"/>
      <c r="S365" s="8"/>
      <c r="T365" s="107"/>
      <c r="U365" s="7"/>
      <c r="V365" s="10"/>
      <c r="W365" s="10"/>
      <c r="X365" s="8"/>
      <c r="Y365" s="7"/>
      <c r="Z365" s="8"/>
      <c r="AA365" s="107"/>
      <c r="AB365" s="7"/>
      <c r="AC365" s="10"/>
      <c r="AD365" s="10"/>
      <c r="AE365" s="8"/>
      <c r="AF365" s="8"/>
      <c r="AG365" s="107"/>
      <c r="AH365" s="7"/>
      <c r="AI365" s="10"/>
      <c r="AJ365" s="10"/>
      <c r="AK365" s="8"/>
      <c r="AL365" s="8"/>
      <c r="AM365" s="107"/>
      <c r="AN365" s="7"/>
      <c r="AO365" s="10"/>
      <c r="AP365" s="10"/>
      <c r="AQ365" s="8"/>
      <c r="AR365" s="8"/>
      <c r="AS365" s="8"/>
      <c r="AT365" s="107"/>
      <c r="AU365" s="7"/>
      <c r="AV365" s="10"/>
      <c r="AW365" s="10"/>
      <c r="AX365" s="8"/>
      <c r="AY365" s="8"/>
      <c r="AZ365" s="8"/>
      <c r="BA365" s="107"/>
      <c r="BB365" s="7"/>
      <c r="BC365" s="10"/>
      <c r="BD365" s="10"/>
      <c r="BE365" s="8"/>
      <c r="BF365" s="8"/>
      <c r="BG365" s="8"/>
      <c r="BH365" s="8"/>
      <c r="BI365" s="107"/>
      <c r="BJ365" s="7"/>
      <c r="BK365" s="10"/>
      <c r="BL365" s="10"/>
      <c r="BM365" s="10"/>
      <c r="BN365" s="8"/>
      <c r="BO365" s="8"/>
      <c r="BP365" s="8"/>
      <c r="BQ365" s="107"/>
      <c r="BR365" s="7"/>
      <c r="BS365" s="10"/>
      <c r="BT365" s="10"/>
      <c r="BU365" s="10"/>
      <c r="BV365" s="8"/>
      <c r="BW365" s="8"/>
      <c r="BX365" s="107"/>
      <c r="BY365" s="7"/>
      <c r="BZ365" s="10"/>
      <c r="CA365" s="10"/>
      <c r="CB365" s="8"/>
      <c r="CC365" s="8"/>
      <c r="CD365" s="8"/>
      <c r="CE365" s="107"/>
      <c r="CF365" s="7"/>
      <c r="CG365" s="10"/>
      <c r="CH365" s="10"/>
      <c r="CI365" s="8"/>
      <c r="CJ365" s="8"/>
      <c r="CK365" s="8"/>
      <c r="CL365" s="8"/>
      <c r="CM365" s="266"/>
      <c r="CN365" s="266"/>
      <c r="CO365" s="266"/>
    </row>
    <row r="366" spans="1:93" s="268" customFormat="1" x14ac:dyDescent="0.25">
      <c r="A366" s="107"/>
      <c r="B366" s="107"/>
      <c r="C366" s="7"/>
      <c r="D366" s="10"/>
      <c r="E366" s="10"/>
      <c r="F366" s="8"/>
      <c r="G366" s="8"/>
      <c r="H366" s="107"/>
      <c r="I366" s="7"/>
      <c r="J366" s="10"/>
      <c r="K366" s="10"/>
      <c r="L366" s="8"/>
      <c r="M366" s="8"/>
      <c r="N366" s="107"/>
      <c r="O366" s="7"/>
      <c r="P366" s="10"/>
      <c r="Q366" s="10"/>
      <c r="R366" s="8"/>
      <c r="S366" s="8"/>
      <c r="T366" s="107"/>
      <c r="U366" s="7"/>
      <c r="V366" s="10"/>
      <c r="W366" s="10"/>
      <c r="X366" s="8"/>
      <c r="Y366" s="7"/>
      <c r="Z366" s="8"/>
      <c r="AA366" s="107"/>
      <c r="AB366" s="7"/>
      <c r="AC366" s="10"/>
      <c r="AD366" s="10"/>
      <c r="AE366" s="8"/>
      <c r="AF366" s="8"/>
      <c r="AG366" s="107"/>
      <c r="AH366" s="7"/>
      <c r="AI366" s="10"/>
      <c r="AJ366" s="10"/>
      <c r="AK366" s="8"/>
      <c r="AL366" s="8"/>
      <c r="AM366" s="107"/>
      <c r="AN366" s="7"/>
      <c r="AO366" s="10"/>
      <c r="AP366" s="10"/>
      <c r="AQ366" s="8"/>
      <c r="AR366" s="8"/>
      <c r="AS366" s="8"/>
      <c r="AT366" s="107"/>
      <c r="AU366" s="7"/>
      <c r="AV366" s="10"/>
      <c r="AW366" s="10"/>
      <c r="AX366" s="8"/>
      <c r="AY366" s="8"/>
      <c r="AZ366" s="8"/>
      <c r="BA366" s="107"/>
      <c r="BB366" s="7"/>
      <c r="BC366" s="10"/>
      <c r="BD366" s="10"/>
      <c r="BE366" s="8"/>
      <c r="BF366" s="8"/>
      <c r="BG366" s="8"/>
      <c r="BH366" s="8"/>
      <c r="BI366" s="107"/>
      <c r="BJ366" s="7"/>
      <c r="BK366" s="10"/>
      <c r="BL366" s="10"/>
      <c r="BM366" s="10"/>
      <c r="BN366" s="8"/>
      <c r="BO366" s="8"/>
      <c r="BP366" s="8"/>
      <c r="BQ366" s="107"/>
      <c r="BR366" s="7"/>
      <c r="BS366" s="10"/>
      <c r="BT366" s="10"/>
      <c r="BU366" s="10"/>
      <c r="BV366" s="8"/>
      <c r="BW366" s="8"/>
      <c r="BX366" s="107"/>
      <c r="BY366" s="7"/>
      <c r="BZ366" s="10"/>
      <c r="CA366" s="10"/>
      <c r="CB366" s="8"/>
      <c r="CC366" s="8"/>
      <c r="CD366" s="8"/>
      <c r="CE366" s="107"/>
      <c r="CF366" s="7"/>
      <c r="CG366" s="10"/>
      <c r="CH366" s="10"/>
      <c r="CI366" s="8"/>
      <c r="CJ366" s="8"/>
      <c r="CK366" s="8"/>
      <c r="CL366" s="8"/>
      <c r="CM366" s="266"/>
      <c r="CN366" s="266"/>
      <c r="CO366" s="266"/>
    </row>
    <row r="367" spans="1:93" s="268" customFormat="1" x14ac:dyDescent="0.25">
      <c r="A367" s="107"/>
      <c r="B367" s="107"/>
      <c r="C367" s="7"/>
      <c r="D367" s="10"/>
      <c r="E367" s="10"/>
      <c r="F367" s="8"/>
      <c r="G367" s="8"/>
      <c r="H367" s="107"/>
      <c r="I367" s="7"/>
      <c r="J367" s="10"/>
      <c r="K367" s="10"/>
      <c r="L367" s="8"/>
      <c r="M367" s="8"/>
      <c r="N367" s="107"/>
      <c r="O367" s="7"/>
      <c r="P367" s="10"/>
      <c r="Q367" s="10"/>
      <c r="R367" s="8"/>
      <c r="S367" s="8"/>
      <c r="T367" s="107"/>
      <c r="U367" s="7"/>
      <c r="V367" s="10"/>
      <c r="W367" s="10"/>
      <c r="X367" s="8"/>
      <c r="Y367" s="7"/>
      <c r="Z367" s="8"/>
      <c r="AA367" s="107"/>
      <c r="AB367" s="7"/>
      <c r="AC367" s="10"/>
      <c r="AD367" s="10"/>
      <c r="AE367" s="8"/>
      <c r="AF367" s="8"/>
      <c r="AG367" s="107"/>
      <c r="AH367" s="7"/>
      <c r="AI367" s="10"/>
      <c r="AJ367" s="10"/>
      <c r="AK367" s="8"/>
      <c r="AL367" s="8"/>
      <c r="AM367" s="107"/>
      <c r="AN367" s="7"/>
      <c r="AO367" s="10"/>
      <c r="AP367" s="10"/>
      <c r="AQ367" s="8"/>
      <c r="AR367" s="8"/>
      <c r="AS367" s="8"/>
      <c r="AT367" s="107"/>
      <c r="AU367" s="7"/>
      <c r="AV367" s="10"/>
      <c r="AW367" s="10"/>
      <c r="AX367" s="8"/>
      <c r="AY367" s="8"/>
      <c r="AZ367" s="8"/>
      <c r="BA367" s="107"/>
      <c r="BB367" s="7"/>
      <c r="BC367" s="10"/>
      <c r="BD367" s="10"/>
      <c r="BE367" s="8"/>
      <c r="BF367" s="8"/>
      <c r="BG367" s="8"/>
      <c r="BH367" s="8"/>
      <c r="BI367" s="107"/>
      <c r="BJ367" s="7"/>
      <c r="BK367" s="10"/>
      <c r="BL367" s="10"/>
      <c r="BM367" s="10"/>
      <c r="BN367" s="8"/>
      <c r="BO367" s="8"/>
      <c r="BP367" s="8"/>
      <c r="BQ367" s="107"/>
      <c r="BR367" s="7"/>
      <c r="BS367" s="10"/>
      <c r="BT367" s="10"/>
      <c r="BU367" s="10"/>
      <c r="BV367" s="8"/>
      <c r="BW367" s="8"/>
      <c r="BX367" s="107"/>
      <c r="BY367" s="7"/>
      <c r="BZ367" s="10"/>
      <c r="CA367" s="10"/>
      <c r="CB367" s="8"/>
      <c r="CC367" s="8"/>
      <c r="CD367" s="8"/>
      <c r="CE367" s="107"/>
      <c r="CF367" s="7"/>
      <c r="CG367" s="10"/>
      <c r="CH367" s="10"/>
      <c r="CI367" s="8"/>
      <c r="CJ367" s="8"/>
      <c r="CK367" s="8"/>
      <c r="CL367" s="8"/>
      <c r="CM367" s="266"/>
      <c r="CN367" s="266"/>
      <c r="CO367" s="266"/>
    </row>
    <row r="368" spans="1:93" s="268" customFormat="1" x14ac:dyDescent="0.25">
      <c r="A368" s="107"/>
      <c r="B368" s="107"/>
      <c r="C368" s="7"/>
      <c r="D368" s="10"/>
      <c r="E368" s="10"/>
      <c r="F368" s="8"/>
      <c r="G368" s="8"/>
      <c r="H368" s="107"/>
      <c r="I368" s="7"/>
      <c r="J368" s="10"/>
      <c r="K368" s="10"/>
      <c r="L368" s="8"/>
      <c r="M368" s="8"/>
      <c r="N368" s="107"/>
      <c r="O368" s="7"/>
      <c r="P368" s="10"/>
      <c r="Q368" s="10"/>
      <c r="R368" s="8"/>
      <c r="S368" s="8"/>
      <c r="T368" s="107"/>
      <c r="U368" s="7"/>
      <c r="V368" s="10"/>
      <c r="W368" s="10"/>
      <c r="X368" s="8"/>
      <c r="Y368" s="7"/>
      <c r="Z368" s="8"/>
      <c r="AA368" s="107"/>
      <c r="AB368" s="7"/>
      <c r="AC368" s="10"/>
      <c r="AD368" s="10"/>
      <c r="AE368" s="8"/>
      <c r="AF368" s="8"/>
      <c r="AG368" s="107"/>
      <c r="AH368" s="7"/>
      <c r="AI368" s="10"/>
      <c r="AJ368" s="10"/>
      <c r="AK368" s="8"/>
      <c r="AL368" s="8"/>
      <c r="AM368" s="107"/>
      <c r="AN368" s="7"/>
      <c r="AO368" s="10"/>
      <c r="AP368" s="10"/>
      <c r="AQ368" s="8"/>
      <c r="AR368" s="8"/>
      <c r="AS368" s="8"/>
      <c r="AT368" s="107"/>
      <c r="AU368" s="7"/>
      <c r="AV368" s="10"/>
      <c r="AW368" s="10"/>
      <c r="AX368" s="8"/>
      <c r="AY368" s="8"/>
      <c r="AZ368" s="8"/>
      <c r="BA368" s="107"/>
      <c r="BB368" s="7"/>
      <c r="BC368" s="10"/>
      <c r="BD368" s="10"/>
      <c r="BE368" s="8"/>
      <c r="BF368" s="8"/>
      <c r="BG368" s="8"/>
      <c r="BH368" s="8"/>
      <c r="BI368" s="107"/>
      <c r="BJ368" s="7"/>
      <c r="BK368" s="10"/>
      <c r="BL368" s="10"/>
      <c r="BM368" s="10"/>
      <c r="BN368" s="8"/>
      <c r="BO368" s="8"/>
      <c r="BP368" s="8"/>
      <c r="BQ368" s="107"/>
      <c r="BR368" s="7"/>
      <c r="BS368" s="10"/>
      <c r="BT368" s="10"/>
      <c r="BU368" s="10"/>
      <c r="BV368" s="8"/>
      <c r="BW368" s="8"/>
      <c r="BX368" s="107"/>
      <c r="BY368" s="7"/>
      <c r="BZ368" s="10"/>
      <c r="CA368" s="10"/>
      <c r="CB368" s="8"/>
      <c r="CC368" s="8"/>
      <c r="CD368" s="8"/>
      <c r="CE368" s="107"/>
      <c r="CF368" s="7"/>
      <c r="CG368" s="10"/>
      <c r="CH368" s="10"/>
      <c r="CI368" s="8"/>
      <c r="CJ368" s="8"/>
      <c r="CK368" s="8"/>
      <c r="CL368" s="8"/>
      <c r="CM368" s="266"/>
      <c r="CN368" s="266"/>
      <c r="CO368" s="266"/>
    </row>
    <row r="369" spans="1:93" s="268" customFormat="1" x14ac:dyDescent="0.25">
      <c r="A369" s="107"/>
      <c r="B369" s="107"/>
      <c r="C369" s="7"/>
      <c r="D369" s="10"/>
      <c r="E369" s="10"/>
      <c r="F369" s="8"/>
      <c r="G369" s="8"/>
      <c r="H369" s="107"/>
      <c r="I369" s="7"/>
      <c r="J369" s="10"/>
      <c r="K369" s="10"/>
      <c r="L369" s="8"/>
      <c r="M369" s="8"/>
      <c r="N369" s="107"/>
      <c r="O369" s="7"/>
      <c r="P369" s="10"/>
      <c r="Q369" s="10"/>
      <c r="R369" s="8"/>
      <c r="S369" s="8"/>
      <c r="T369" s="107"/>
      <c r="U369" s="7"/>
      <c r="V369" s="10"/>
      <c r="W369" s="10"/>
      <c r="X369" s="8"/>
      <c r="Y369" s="7"/>
      <c r="Z369" s="8"/>
      <c r="AA369" s="107"/>
      <c r="AB369" s="7"/>
      <c r="AC369" s="10"/>
      <c r="AD369" s="10"/>
      <c r="AE369" s="8"/>
      <c r="AF369" s="8"/>
      <c r="AG369" s="107"/>
      <c r="AH369" s="7"/>
      <c r="AI369" s="10"/>
      <c r="AJ369" s="10"/>
      <c r="AK369" s="8"/>
      <c r="AL369" s="8"/>
      <c r="AM369" s="107"/>
      <c r="AN369" s="7"/>
      <c r="AO369" s="10"/>
      <c r="AP369" s="10"/>
      <c r="AQ369" s="8"/>
      <c r="AR369" s="8"/>
      <c r="AS369" s="8"/>
      <c r="AT369" s="107"/>
      <c r="AU369" s="7"/>
      <c r="AV369" s="10"/>
      <c r="AW369" s="10"/>
      <c r="AX369" s="8"/>
      <c r="AY369" s="8"/>
      <c r="AZ369" s="8"/>
      <c r="BA369" s="107"/>
      <c r="BB369" s="7"/>
      <c r="BC369" s="10"/>
      <c r="BD369" s="10"/>
      <c r="BE369" s="8"/>
      <c r="BF369" s="8"/>
      <c r="BG369" s="8"/>
      <c r="BH369" s="8"/>
      <c r="BI369" s="107"/>
      <c r="BJ369" s="7"/>
      <c r="BK369" s="10"/>
      <c r="BL369" s="10"/>
      <c r="BM369" s="10"/>
      <c r="BN369" s="8"/>
      <c r="BO369" s="8"/>
      <c r="BP369" s="8"/>
      <c r="BQ369" s="107"/>
      <c r="BR369" s="7"/>
      <c r="BS369" s="10"/>
      <c r="BT369" s="10"/>
      <c r="BU369" s="10"/>
      <c r="BV369" s="8"/>
      <c r="BW369" s="8"/>
      <c r="BX369" s="107"/>
      <c r="BY369" s="7"/>
      <c r="BZ369" s="10"/>
      <c r="CA369" s="10"/>
      <c r="CB369" s="8"/>
      <c r="CC369" s="8"/>
      <c r="CD369" s="8"/>
      <c r="CE369" s="107"/>
      <c r="CF369" s="7"/>
      <c r="CG369" s="10"/>
      <c r="CH369" s="10"/>
      <c r="CI369" s="8"/>
      <c r="CJ369" s="8"/>
      <c r="CK369" s="8"/>
      <c r="CL369" s="8"/>
      <c r="CM369" s="266"/>
      <c r="CN369" s="266"/>
      <c r="CO369" s="266"/>
    </row>
    <row r="370" spans="1:93" s="268" customFormat="1" x14ac:dyDescent="0.25">
      <c r="A370" s="107"/>
      <c r="B370" s="107"/>
      <c r="C370" s="7"/>
      <c r="D370" s="10"/>
      <c r="E370" s="10"/>
      <c r="F370" s="8"/>
      <c r="G370" s="8"/>
      <c r="H370" s="107"/>
      <c r="I370" s="7"/>
      <c r="J370" s="10"/>
      <c r="K370" s="10"/>
      <c r="L370" s="8"/>
      <c r="M370" s="8"/>
      <c r="N370" s="107"/>
      <c r="O370" s="7"/>
      <c r="P370" s="10"/>
      <c r="Q370" s="10"/>
      <c r="R370" s="8"/>
      <c r="S370" s="8"/>
      <c r="T370" s="107"/>
      <c r="U370" s="7"/>
      <c r="V370" s="10"/>
      <c r="W370" s="10"/>
      <c r="X370" s="8"/>
      <c r="Y370" s="7"/>
      <c r="Z370" s="8"/>
      <c r="AA370" s="107"/>
      <c r="AB370" s="7"/>
      <c r="AC370" s="10"/>
      <c r="AD370" s="10"/>
      <c r="AE370" s="8"/>
      <c r="AF370" s="8"/>
      <c r="AG370" s="107"/>
      <c r="AH370" s="7"/>
      <c r="AI370" s="10"/>
      <c r="AJ370" s="10"/>
      <c r="AK370" s="8"/>
      <c r="AL370" s="8"/>
      <c r="AM370" s="107"/>
      <c r="AN370" s="7"/>
      <c r="AO370" s="10"/>
      <c r="AP370" s="10"/>
      <c r="AQ370" s="8"/>
      <c r="AR370" s="8"/>
      <c r="AS370" s="8"/>
      <c r="AT370" s="107"/>
      <c r="AU370" s="7"/>
      <c r="AV370" s="10"/>
      <c r="AW370" s="10"/>
      <c r="AX370" s="8"/>
      <c r="AY370" s="8"/>
      <c r="AZ370" s="8"/>
      <c r="BA370" s="107"/>
      <c r="BB370" s="7"/>
      <c r="BC370" s="10"/>
      <c r="BD370" s="10"/>
      <c r="BE370" s="8"/>
      <c r="BF370" s="8"/>
      <c r="BG370" s="8"/>
      <c r="BH370" s="8"/>
      <c r="BI370" s="107"/>
      <c r="BJ370" s="7"/>
      <c r="BK370" s="10"/>
      <c r="BL370" s="10"/>
      <c r="BM370" s="10"/>
      <c r="BN370" s="8"/>
      <c r="BO370" s="8"/>
      <c r="BP370" s="8"/>
      <c r="BQ370" s="107"/>
      <c r="BR370" s="7"/>
      <c r="BS370" s="10"/>
      <c r="BT370" s="10"/>
      <c r="BU370" s="10"/>
      <c r="BV370" s="8"/>
      <c r="BW370" s="8"/>
      <c r="BX370" s="107"/>
      <c r="BY370" s="7"/>
      <c r="BZ370" s="10"/>
      <c r="CA370" s="10"/>
      <c r="CB370" s="8"/>
      <c r="CC370" s="8"/>
      <c r="CD370" s="8"/>
      <c r="CE370" s="107"/>
      <c r="CF370" s="7"/>
      <c r="CG370" s="10"/>
      <c r="CH370" s="10"/>
      <c r="CI370" s="8"/>
      <c r="CJ370" s="8"/>
      <c r="CK370" s="8"/>
      <c r="CL370" s="8"/>
      <c r="CM370" s="266"/>
      <c r="CN370" s="266"/>
      <c r="CO370" s="266"/>
    </row>
    <row r="371" spans="1:93" s="268" customFormat="1" x14ac:dyDescent="0.25">
      <c r="A371" s="107"/>
      <c r="B371" s="107"/>
      <c r="C371" s="7"/>
      <c r="D371" s="10"/>
      <c r="E371" s="10"/>
      <c r="F371" s="8"/>
      <c r="G371" s="8"/>
      <c r="H371" s="107"/>
      <c r="I371" s="7"/>
      <c r="J371" s="10"/>
      <c r="K371" s="10"/>
      <c r="L371" s="8"/>
      <c r="M371" s="8"/>
      <c r="N371" s="107"/>
      <c r="O371" s="7"/>
      <c r="P371" s="10"/>
      <c r="Q371" s="10"/>
      <c r="R371" s="8"/>
      <c r="S371" s="8"/>
      <c r="T371" s="107"/>
      <c r="U371" s="7"/>
      <c r="V371" s="10"/>
      <c r="W371" s="10"/>
      <c r="X371" s="8"/>
      <c r="Y371" s="7"/>
      <c r="Z371" s="8"/>
      <c r="AA371" s="107"/>
      <c r="AB371" s="7"/>
      <c r="AC371" s="10"/>
      <c r="AD371" s="10"/>
      <c r="AE371" s="8"/>
      <c r="AF371" s="8"/>
      <c r="AG371" s="107"/>
      <c r="AH371" s="7"/>
      <c r="AI371" s="10"/>
      <c r="AJ371" s="10"/>
      <c r="AK371" s="8"/>
      <c r="AL371" s="8"/>
      <c r="AM371" s="107"/>
      <c r="AN371" s="7"/>
      <c r="AO371" s="10"/>
      <c r="AP371" s="10"/>
      <c r="AQ371" s="8"/>
      <c r="AR371" s="8"/>
      <c r="AS371" s="8"/>
      <c r="AT371" s="107"/>
      <c r="AU371" s="7"/>
      <c r="AV371" s="10"/>
      <c r="AW371" s="10"/>
      <c r="AX371" s="8"/>
      <c r="AY371" s="8"/>
      <c r="AZ371" s="8"/>
      <c r="BA371" s="107"/>
      <c r="BB371" s="7"/>
      <c r="BC371" s="10"/>
      <c r="BD371" s="10"/>
      <c r="BE371" s="8"/>
      <c r="BF371" s="8"/>
      <c r="BG371" s="8"/>
      <c r="BH371" s="8"/>
      <c r="BI371" s="107"/>
      <c r="BJ371" s="7"/>
      <c r="BK371" s="10"/>
      <c r="BL371" s="10"/>
      <c r="BM371" s="10"/>
      <c r="BN371" s="8"/>
      <c r="BO371" s="8"/>
      <c r="BP371" s="8"/>
      <c r="BQ371" s="107"/>
      <c r="BR371" s="7"/>
      <c r="BS371" s="10"/>
      <c r="BT371" s="10"/>
      <c r="BU371" s="10"/>
      <c r="BV371" s="8"/>
      <c r="BW371" s="8"/>
      <c r="BX371" s="107"/>
      <c r="BY371" s="7"/>
      <c r="BZ371" s="10"/>
      <c r="CA371" s="10"/>
      <c r="CB371" s="8"/>
      <c r="CC371" s="8"/>
      <c r="CD371" s="8"/>
      <c r="CE371" s="107"/>
      <c r="CF371" s="7"/>
      <c r="CG371" s="10"/>
      <c r="CH371" s="10"/>
      <c r="CI371" s="8"/>
      <c r="CJ371" s="8"/>
      <c r="CK371" s="8"/>
      <c r="CL371" s="8"/>
      <c r="CM371" s="266"/>
      <c r="CN371" s="266"/>
      <c r="CO371" s="266"/>
    </row>
    <row r="372" spans="1:93" s="268" customFormat="1" x14ac:dyDescent="0.25">
      <c r="A372" s="107"/>
      <c r="B372" s="107"/>
      <c r="C372" s="7"/>
      <c r="D372" s="10"/>
      <c r="E372" s="10"/>
      <c r="F372" s="8"/>
      <c r="G372" s="8"/>
      <c r="H372" s="107"/>
      <c r="I372" s="7"/>
      <c r="J372" s="10"/>
      <c r="K372" s="10"/>
      <c r="L372" s="8"/>
      <c r="M372" s="8"/>
      <c r="N372" s="107"/>
      <c r="O372" s="7"/>
      <c r="P372" s="10"/>
      <c r="Q372" s="10"/>
      <c r="R372" s="8"/>
      <c r="S372" s="8"/>
      <c r="T372" s="107"/>
      <c r="U372" s="7"/>
      <c r="V372" s="10"/>
      <c r="W372" s="10"/>
      <c r="X372" s="8"/>
      <c r="Y372" s="7"/>
      <c r="Z372" s="8"/>
      <c r="AA372" s="107"/>
      <c r="AB372" s="7"/>
      <c r="AC372" s="10"/>
      <c r="AD372" s="10"/>
      <c r="AE372" s="8"/>
      <c r="AF372" s="8"/>
      <c r="AG372" s="107"/>
      <c r="AH372" s="7"/>
      <c r="AI372" s="10"/>
      <c r="AJ372" s="10"/>
      <c r="AK372" s="8"/>
      <c r="AL372" s="8"/>
      <c r="AM372" s="107"/>
      <c r="AN372" s="7"/>
      <c r="AO372" s="10"/>
      <c r="AP372" s="10"/>
      <c r="AQ372" s="8"/>
      <c r="AR372" s="8"/>
      <c r="AS372" s="8"/>
      <c r="AT372" s="107"/>
      <c r="AU372" s="7"/>
      <c r="AV372" s="10"/>
      <c r="AW372" s="10"/>
      <c r="AX372" s="8"/>
      <c r="AY372" s="8"/>
      <c r="AZ372" s="8"/>
      <c r="BA372" s="107"/>
      <c r="BB372" s="7"/>
      <c r="BC372" s="10"/>
      <c r="BD372" s="10"/>
      <c r="BE372" s="8"/>
      <c r="BF372" s="8"/>
      <c r="BG372" s="8"/>
      <c r="BH372" s="8"/>
      <c r="BI372" s="107"/>
      <c r="BJ372" s="7"/>
      <c r="BK372" s="10"/>
      <c r="BL372" s="10"/>
      <c r="BM372" s="10"/>
      <c r="BN372" s="8"/>
      <c r="BO372" s="8"/>
      <c r="BP372" s="8"/>
      <c r="BQ372" s="107"/>
      <c r="BR372" s="7"/>
      <c r="BS372" s="10"/>
      <c r="BT372" s="10"/>
      <c r="BU372" s="10"/>
      <c r="BV372" s="8"/>
      <c r="BW372" s="8"/>
      <c r="BX372" s="107"/>
      <c r="BY372" s="7"/>
      <c r="BZ372" s="10"/>
      <c r="CA372" s="10"/>
      <c r="CB372" s="8"/>
      <c r="CC372" s="8"/>
      <c r="CD372" s="8"/>
      <c r="CE372" s="107"/>
      <c r="CF372" s="7"/>
      <c r="CG372" s="10"/>
      <c r="CH372" s="10"/>
      <c r="CI372" s="8"/>
      <c r="CJ372" s="8"/>
      <c r="CK372" s="8"/>
      <c r="CL372" s="8"/>
      <c r="CM372" s="266"/>
      <c r="CN372" s="266"/>
      <c r="CO372" s="266"/>
    </row>
    <row r="373" spans="1:93" s="268" customFormat="1" x14ac:dyDescent="0.25">
      <c r="A373" s="107"/>
      <c r="B373" s="107"/>
      <c r="C373" s="7"/>
      <c r="D373" s="10"/>
      <c r="E373" s="10"/>
      <c r="F373" s="8"/>
      <c r="G373" s="8"/>
      <c r="H373" s="107"/>
      <c r="I373" s="7"/>
      <c r="J373" s="10"/>
      <c r="K373" s="10"/>
      <c r="L373" s="8"/>
      <c r="M373" s="8"/>
      <c r="N373" s="107"/>
      <c r="O373" s="7"/>
      <c r="P373" s="10"/>
      <c r="Q373" s="10"/>
      <c r="R373" s="8"/>
      <c r="S373" s="8"/>
      <c r="T373" s="107"/>
      <c r="U373" s="7"/>
      <c r="V373" s="10"/>
      <c r="W373" s="10"/>
      <c r="X373" s="8"/>
      <c r="Y373" s="7"/>
      <c r="Z373" s="8"/>
      <c r="AA373" s="107"/>
      <c r="AB373" s="7"/>
      <c r="AC373" s="10"/>
      <c r="AD373" s="10"/>
      <c r="AE373" s="8"/>
      <c r="AF373" s="8"/>
      <c r="AG373" s="107"/>
      <c r="AH373" s="7"/>
      <c r="AI373" s="10"/>
      <c r="AJ373" s="10"/>
      <c r="AK373" s="8"/>
      <c r="AL373" s="8"/>
      <c r="AM373" s="107"/>
      <c r="AN373" s="7"/>
      <c r="AO373" s="10"/>
      <c r="AP373" s="10"/>
      <c r="AQ373" s="8"/>
      <c r="AR373" s="8"/>
      <c r="AS373" s="8"/>
      <c r="AT373" s="107"/>
      <c r="AU373" s="7"/>
      <c r="AV373" s="10"/>
      <c r="AW373" s="10"/>
      <c r="AX373" s="8"/>
      <c r="AY373" s="8"/>
      <c r="AZ373" s="8"/>
      <c r="BA373" s="107"/>
      <c r="BB373" s="7"/>
      <c r="BC373" s="10"/>
      <c r="BD373" s="10"/>
      <c r="BE373" s="8"/>
      <c r="BF373" s="8"/>
      <c r="BG373" s="8"/>
      <c r="BH373" s="8"/>
      <c r="BI373" s="107"/>
      <c r="BJ373" s="7"/>
      <c r="BK373" s="10"/>
      <c r="BL373" s="10"/>
      <c r="BM373" s="10"/>
      <c r="BN373" s="8"/>
      <c r="BO373" s="8"/>
      <c r="BP373" s="8"/>
      <c r="BQ373" s="107"/>
      <c r="BR373" s="7"/>
      <c r="BS373" s="10"/>
      <c r="BT373" s="10"/>
      <c r="BU373" s="10"/>
      <c r="BV373" s="8"/>
      <c r="BW373" s="8"/>
      <c r="BX373" s="107"/>
      <c r="BY373" s="7"/>
      <c r="BZ373" s="10"/>
      <c r="CA373" s="10"/>
      <c r="CB373" s="8"/>
      <c r="CC373" s="8"/>
      <c r="CD373" s="8"/>
      <c r="CE373" s="107"/>
      <c r="CF373" s="7"/>
      <c r="CG373" s="10"/>
      <c r="CH373" s="10"/>
      <c r="CI373" s="8"/>
      <c r="CJ373" s="8"/>
      <c r="CK373" s="8"/>
      <c r="CL373" s="8"/>
      <c r="CM373" s="266"/>
      <c r="CN373" s="266"/>
      <c r="CO373" s="266"/>
    </row>
    <row r="374" spans="1:93" s="268" customFormat="1" x14ac:dyDescent="0.25">
      <c r="A374" s="107"/>
      <c r="B374" s="107"/>
      <c r="C374" s="7"/>
      <c r="D374" s="10"/>
      <c r="E374" s="10"/>
      <c r="F374" s="8"/>
      <c r="G374" s="8"/>
      <c r="H374" s="107"/>
      <c r="I374" s="7"/>
      <c r="J374" s="10"/>
      <c r="K374" s="10"/>
      <c r="L374" s="8"/>
      <c r="M374" s="8"/>
      <c r="N374" s="107"/>
      <c r="O374" s="7"/>
      <c r="P374" s="10"/>
      <c r="Q374" s="10"/>
      <c r="R374" s="8"/>
      <c r="S374" s="8"/>
      <c r="T374" s="107"/>
      <c r="U374" s="7"/>
      <c r="V374" s="10"/>
      <c r="W374" s="10"/>
      <c r="X374" s="8"/>
      <c r="Y374" s="7"/>
      <c r="Z374" s="8"/>
      <c r="AA374" s="107"/>
      <c r="AB374" s="7"/>
      <c r="AC374" s="10"/>
      <c r="AD374" s="10"/>
      <c r="AE374" s="8"/>
      <c r="AF374" s="8"/>
      <c r="AG374" s="107"/>
      <c r="AH374" s="7"/>
      <c r="AI374" s="10"/>
      <c r="AJ374" s="10"/>
      <c r="AK374" s="8"/>
      <c r="AL374" s="8"/>
      <c r="AM374" s="107"/>
      <c r="AN374" s="7"/>
      <c r="AO374" s="10"/>
      <c r="AP374" s="10"/>
      <c r="AQ374" s="8"/>
      <c r="AR374" s="8"/>
      <c r="AS374" s="8"/>
      <c r="AT374" s="107"/>
      <c r="AU374" s="7"/>
      <c r="AV374" s="10"/>
      <c r="AW374" s="10"/>
      <c r="AX374" s="8"/>
      <c r="AY374" s="8"/>
      <c r="AZ374" s="8"/>
      <c r="BA374" s="107"/>
      <c r="BB374" s="7"/>
      <c r="BC374" s="10"/>
      <c r="BD374" s="10"/>
      <c r="BE374" s="8"/>
      <c r="BF374" s="8"/>
      <c r="BG374" s="8"/>
      <c r="BH374" s="8"/>
      <c r="BI374" s="107"/>
      <c r="BJ374" s="7"/>
      <c r="BK374" s="10"/>
      <c r="BL374" s="10"/>
      <c r="BM374" s="10"/>
      <c r="BN374" s="8"/>
      <c r="BO374" s="8"/>
      <c r="BP374" s="8"/>
      <c r="BQ374" s="107"/>
      <c r="BR374" s="7"/>
      <c r="BS374" s="10"/>
      <c r="BT374" s="10"/>
      <c r="BU374" s="10"/>
      <c r="BV374" s="8"/>
      <c r="BW374" s="8"/>
      <c r="BX374" s="107"/>
      <c r="BY374" s="7"/>
      <c r="BZ374" s="10"/>
      <c r="CA374" s="10"/>
      <c r="CB374" s="8"/>
      <c r="CC374" s="8"/>
      <c r="CD374" s="8"/>
      <c r="CE374" s="107"/>
      <c r="CF374" s="7"/>
      <c r="CG374" s="10"/>
      <c r="CH374" s="10"/>
      <c r="CI374" s="8"/>
      <c r="CJ374" s="8"/>
      <c r="CK374" s="8"/>
      <c r="CL374" s="8"/>
      <c r="CM374" s="266"/>
      <c r="CN374" s="266"/>
      <c r="CO374" s="266"/>
    </row>
    <row r="375" spans="1:93" s="268" customFormat="1" x14ac:dyDescent="0.25">
      <c r="A375" s="107"/>
      <c r="B375" s="107"/>
      <c r="C375" s="7"/>
      <c r="D375" s="10"/>
      <c r="E375" s="10"/>
      <c r="F375" s="8"/>
      <c r="G375" s="8"/>
      <c r="H375" s="107"/>
      <c r="I375" s="7"/>
      <c r="J375" s="10"/>
      <c r="K375" s="10"/>
      <c r="L375" s="8"/>
      <c r="M375" s="8"/>
      <c r="N375" s="107"/>
      <c r="O375" s="7"/>
      <c r="P375" s="10"/>
      <c r="Q375" s="10"/>
      <c r="R375" s="8"/>
      <c r="S375" s="8"/>
      <c r="T375" s="107"/>
      <c r="U375" s="7"/>
      <c r="V375" s="10"/>
      <c r="W375" s="10"/>
      <c r="X375" s="8"/>
      <c r="Y375" s="7"/>
      <c r="Z375" s="8"/>
      <c r="AA375" s="107"/>
      <c r="AB375" s="7"/>
      <c r="AC375" s="10"/>
      <c r="AD375" s="10"/>
      <c r="AE375" s="8"/>
      <c r="AF375" s="8"/>
      <c r="AG375" s="107"/>
      <c r="AH375" s="7"/>
      <c r="AI375" s="10"/>
      <c r="AJ375" s="10"/>
      <c r="AK375" s="8"/>
      <c r="AL375" s="8"/>
      <c r="AM375" s="107"/>
      <c r="AN375" s="7"/>
      <c r="AO375" s="10"/>
      <c r="AP375" s="10"/>
      <c r="AQ375" s="8"/>
      <c r="AR375" s="8"/>
      <c r="AS375" s="8"/>
      <c r="AT375" s="107"/>
      <c r="AU375" s="7"/>
      <c r="AV375" s="10"/>
      <c r="AW375" s="10"/>
      <c r="AX375" s="8"/>
      <c r="AY375" s="8"/>
      <c r="AZ375" s="8"/>
      <c r="BA375" s="107"/>
      <c r="BB375" s="7"/>
      <c r="BC375" s="10"/>
      <c r="BD375" s="10"/>
      <c r="BE375" s="8"/>
      <c r="BF375" s="8"/>
      <c r="BG375" s="8"/>
      <c r="BH375" s="8"/>
      <c r="BI375" s="107"/>
      <c r="BJ375" s="7"/>
      <c r="BK375" s="10"/>
      <c r="BL375" s="10"/>
      <c r="BM375" s="10"/>
      <c r="BN375" s="8"/>
      <c r="BO375" s="8"/>
      <c r="BP375" s="8"/>
      <c r="BQ375" s="107"/>
      <c r="BR375" s="7"/>
      <c r="BS375" s="10"/>
      <c r="BT375" s="10"/>
      <c r="BU375" s="10"/>
      <c r="BV375" s="8"/>
      <c r="BW375" s="8"/>
      <c r="BX375" s="107"/>
      <c r="BY375" s="7"/>
      <c r="BZ375" s="10"/>
      <c r="CA375" s="10"/>
      <c r="CB375" s="8"/>
      <c r="CC375" s="8"/>
      <c r="CD375" s="8"/>
      <c r="CE375" s="107"/>
      <c r="CF375" s="7"/>
      <c r="CG375" s="10"/>
      <c r="CH375" s="10"/>
      <c r="CI375" s="8"/>
      <c r="CJ375" s="8"/>
      <c r="CK375" s="8"/>
      <c r="CL375" s="8"/>
      <c r="CM375" s="266"/>
      <c r="CN375" s="266"/>
      <c r="CO375" s="266"/>
    </row>
    <row r="376" spans="1:93" s="268" customFormat="1" x14ac:dyDescent="0.25">
      <c r="A376" s="107"/>
      <c r="B376" s="107"/>
      <c r="C376" s="7"/>
      <c r="D376" s="10"/>
      <c r="E376" s="10"/>
      <c r="F376" s="8"/>
      <c r="G376" s="8"/>
      <c r="H376" s="107"/>
      <c r="I376" s="7"/>
      <c r="J376" s="10"/>
      <c r="K376" s="10"/>
      <c r="L376" s="8"/>
      <c r="M376" s="8"/>
      <c r="N376" s="107"/>
      <c r="O376" s="7"/>
      <c r="P376" s="10"/>
      <c r="Q376" s="10"/>
      <c r="R376" s="8"/>
      <c r="S376" s="8"/>
      <c r="T376" s="107"/>
      <c r="U376" s="7"/>
      <c r="V376" s="10"/>
      <c r="W376" s="10"/>
      <c r="X376" s="8"/>
      <c r="Y376" s="7"/>
      <c r="Z376" s="8"/>
      <c r="AA376" s="107"/>
      <c r="AB376" s="7"/>
      <c r="AC376" s="10"/>
      <c r="AD376" s="10"/>
      <c r="AE376" s="8"/>
      <c r="AF376" s="8"/>
      <c r="AG376" s="107"/>
      <c r="AH376" s="7"/>
      <c r="AI376" s="10"/>
      <c r="AJ376" s="10"/>
      <c r="AK376" s="8"/>
      <c r="AL376" s="8"/>
      <c r="AM376" s="107"/>
      <c r="AN376" s="7"/>
      <c r="AO376" s="10"/>
      <c r="AP376" s="10"/>
      <c r="AQ376" s="8"/>
      <c r="AR376" s="8"/>
      <c r="AS376" s="8"/>
      <c r="AT376" s="107"/>
      <c r="AU376" s="7"/>
      <c r="AV376" s="10"/>
      <c r="AW376" s="10"/>
      <c r="AX376" s="8"/>
      <c r="AY376" s="8"/>
      <c r="AZ376" s="8"/>
      <c r="BA376" s="107"/>
      <c r="BB376" s="7"/>
      <c r="BC376" s="10"/>
      <c r="BD376" s="10"/>
      <c r="BE376" s="8"/>
      <c r="BF376" s="8"/>
      <c r="BG376" s="8"/>
      <c r="BH376" s="8"/>
      <c r="BI376" s="107"/>
      <c r="BJ376" s="7"/>
      <c r="BK376" s="10"/>
      <c r="BL376" s="10"/>
      <c r="BM376" s="10"/>
      <c r="BN376" s="8"/>
      <c r="BO376" s="8"/>
      <c r="BP376" s="8"/>
      <c r="BQ376" s="107"/>
      <c r="BR376" s="7"/>
      <c r="BS376" s="10"/>
      <c r="BT376" s="10"/>
      <c r="BU376" s="10"/>
      <c r="BV376" s="8"/>
      <c r="BW376" s="8"/>
      <c r="BX376" s="107"/>
      <c r="BY376" s="7"/>
      <c r="BZ376" s="10"/>
      <c r="CA376" s="10"/>
      <c r="CB376" s="8"/>
      <c r="CC376" s="8"/>
      <c r="CD376" s="8"/>
      <c r="CE376" s="107"/>
      <c r="CF376" s="7"/>
      <c r="CG376" s="10"/>
      <c r="CH376" s="10"/>
      <c r="CI376" s="8"/>
      <c r="CJ376" s="8"/>
      <c r="CK376" s="8"/>
      <c r="CL376" s="8"/>
      <c r="CM376" s="266"/>
      <c r="CN376" s="266"/>
      <c r="CO376" s="266"/>
    </row>
    <row r="377" spans="1:93" s="268" customFormat="1" x14ac:dyDescent="0.25">
      <c r="A377" s="107"/>
      <c r="B377" s="107"/>
      <c r="C377" s="7"/>
      <c r="D377" s="10"/>
      <c r="E377" s="10"/>
      <c r="F377" s="8"/>
      <c r="G377" s="8"/>
      <c r="H377" s="107"/>
      <c r="I377" s="7"/>
      <c r="J377" s="10"/>
      <c r="K377" s="10"/>
      <c r="L377" s="8"/>
      <c r="M377" s="8"/>
      <c r="N377" s="107"/>
      <c r="O377" s="7"/>
      <c r="P377" s="10"/>
      <c r="Q377" s="10"/>
      <c r="R377" s="8"/>
      <c r="S377" s="8"/>
      <c r="T377" s="107"/>
      <c r="U377" s="7"/>
      <c r="V377" s="10"/>
      <c r="W377" s="10"/>
      <c r="X377" s="8"/>
      <c r="Y377" s="7"/>
      <c r="Z377" s="8"/>
      <c r="AA377" s="107"/>
      <c r="AB377" s="7"/>
      <c r="AC377" s="10"/>
      <c r="AD377" s="10"/>
      <c r="AE377" s="8"/>
      <c r="AF377" s="8"/>
      <c r="AG377" s="107"/>
      <c r="AH377" s="7"/>
      <c r="AI377" s="10"/>
      <c r="AJ377" s="10"/>
      <c r="AK377" s="8"/>
      <c r="AL377" s="8"/>
      <c r="AM377" s="107"/>
      <c r="AN377" s="7"/>
      <c r="AO377" s="10"/>
      <c r="AP377" s="10"/>
      <c r="AQ377" s="8"/>
      <c r="AR377" s="8"/>
      <c r="AS377" s="8"/>
      <c r="AT377" s="107"/>
      <c r="AU377" s="7"/>
      <c r="AV377" s="10"/>
      <c r="AW377" s="10"/>
      <c r="AX377" s="8"/>
      <c r="AY377" s="8"/>
      <c r="AZ377" s="8"/>
      <c r="BA377" s="107"/>
      <c r="BB377" s="7"/>
      <c r="BC377" s="10"/>
      <c r="BD377" s="10"/>
      <c r="BE377" s="8"/>
      <c r="BF377" s="8"/>
      <c r="BG377" s="8"/>
      <c r="BH377" s="8"/>
      <c r="BI377" s="107"/>
      <c r="BJ377" s="7"/>
      <c r="BK377" s="10"/>
      <c r="BL377" s="10"/>
      <c r="BM377" s="10"/>
      <c r="BN377" s="8"/>
      <c r="BO377" s="8"/>
      <c r="BP377" s="8"/>
      <c r="BQ377" s="107"/>
      <c r="BR377" s="7"/>
      <c r="BS377" s="10"/>
      <c r="BT377" s="10"/>
      <c r="BU377" s="10"/>
      <c r="BV377" s="8"/>
      <c r="BW377" s="8"/>
      <c r="BX377" s="107"/>
      <c r="BY377" s="7"/>
      <c r="BZ377" s="10"/>
      <c r="CA377" s="10"/>
      <c r="CB377" s="8"/>
      <c r="CC377" s="8"/>
      <c r="CD377" s="8"/>
      <c r="CE377" s="107"/>
      <c r="CF377" s="7"/>
      <c r="CG377" s="10"/>
      <c r="CH377" s="10"/>
      <c r="CI377" s="8"/>
      <c r="CJ377" s="8"/>
      <c r="CK377" s="8"/>
      <c r="CL377" s="8"/>
      <c r="CM377" s="266"/>
      <c r="CN377" s="266"/>
      <c r="CO377" s="266"/>
    </row>
    <row r="378" spans="1:93" s="268" customFormat="1" x14ac:dyDescent="0.25">
      <c r="A378" s="107"/>
      <c r="B378" s="107"/>
      <c r="C378" s="7"/>
      <c r="D378" s="10"/>
      <c r="E378" s="10"/>
      <c r="F378" s="8"/>
      <c r="G378" s="8"/>
      <c r="H378" s="107"/>
      <c r="I378" s="7"/>
      <c r="J378" s="10"/>
      <c r="K378" s="10"/>
      <c r="L378" s="8"/>
      <c r="M378" s="8"/>
      <c r="N378" s="107"/>
      <c r="O378" s="7"/>
      <c r="P378" s="10"/>
      <c r="Q378" s="10"/>
      <c r="R378" s="8"/>
      <c r="S378" s="8"/>
      <c r="T378" s="107"/>
      <c r="U378" s="7"/>
      <c r="V378" s="10"/>
      <c r="W378" s="10"/>
      <c r="X378" s="8"/>
      <c r="Y378" s="7"/>
      <c r="Z378" s="8"/>
      <c r="AA378" s="107"/>
      <c r="AB378" s="7"/>
      <c r="AC378" s="10"/>
      <c r="AD378" s="10"/>
      <c r="AE378" s="8"/>
      <c r="AF378" s="8"/>
      <c r="AG378" s="107"/>
      <c r="AH378" s="7"/>
      <c r="AI378" s="10"/>
      <c r="AJ378" s="10"/>
      <c r="AK378" s="8"/>
      <c r="AL378" s="8"/>
      <c r="AM378" s="107"/>
      <c r="AN378" s="7"/>
      <c r="AO378" s="10"/>
      <c r="AP378" s="10"/>
      <c r="AQ378" s="8"/>
      <c r="AR378" s="8"/>
      <c r="AS378" s="8"/>
      <c r="AT378" s="107"/>
      <c r="AU378" s="7"/>
      <c r="AV378" s="10"/>
      <c r="AW378" s="10"/>
      <c r="AX378" s="8"/>
      <c r="AY378" s="8"/>
      <c r="AZ378" s="8"/>
      <c r="BA378" s="107"/>
      <c r="BB378" s="7"/>
      <c r="BC378" s="10"/>
      <c r="BD378" s="10"/>
      <c r="BE378" s="8"/>
      <c r="BF378" s="8"/>
      <c r="BG378" s="8"/>
      <c r="BH378" s="8"/>
      <c r="BI378" s="107"/>
      <c r="BJ378" s="7"/>
      <c r="BK378" s="10"/>
      <c r="BL378" s="10"/>
      <c r="BM378" s="10"/>
      <c r="BN378" s="8"/>
      <c r="BO378" s="8"/>
      <c r="BP378" s="8"/>
      <c r="BQ378" s="107"/>
      <c r="BR378" s="7"/>
      <c r="BS378" s="10"/>
      <c r="BT378" s="10"/>
      <c r="BU378" s="10"/>
      <c r="BV378" s="8"/>
      <c r="BW378" s="8"/>
      <c r="BX378" s="107"/>
      <c r="BY378" s="7"/>
      <c r="BZ378" s="10"/>
      <c r="CA378" s="10"/>
      <c r="CB378" s="8"/>
      <c r="CC378" s="8"/>
      <c r="CD378" s="8"/>
      <c r="CE378" s="107"/>
      <c r="CF378" s="7"/>
      <c r="CG378" s="10"/>
      <c r="CH378" s="10"/>
      <c r="CI378" s="8"/>
      <c r="CJ378" s="8"/>
      <c r="CK378" s="8"/>
      <c r="CL378" s="8"/>
      <c r="CM378" s="266"/>
      <c r="CN378" s="266"/>
      <c r="CO378" s="266"/>
    </row>
    <row r="379" spans="1:93" s="268" customFormat="1" x14ac:dyDescent="0.25">
      <c r="A379" s="107"/>
      <c r="B379" s="107"/>
      <c r="C379" s="7"/>
      <c r="D379" s="10"/>
      <c r="E379" s="10"/>
      <c r="F379" s="8"/>
      <c r="G379" s="8"/>
      <c r="H379" s="107"/>
      <c r="I379" s="7"/>
      <c r="J379" s="10"/>
      <c r="K379" s="10"/>
      <c r="L379" s="8"/>
      <c r="M379" s="8"/>
      <c r="N379" s="107"/>
      <c r="O379" s="7"/>
      <c r="P379" s="10"/>
      <c r="Q379" s="10"/>
      <c r="R379" s="8"/>
      <c r="S379" s="8"/>
      <c r="T379" s="107"/>
      <c r="U379" s="7"/>
      <c r="V379" s="10"/>
      <c r="W379" s="10"/>
      <c r="X379" s="8"/>
      <c r="Y379" s="7"/>
      <c r="Z379" s="8"/>
      <c r="AA379" s="107"/>
      <c r="AB379" s="7"/>
      <c r="AC379" s="10"/>
      <c r="AD379" s="10"/>
      <c r="AE379" s="8"/>
      <c r="AF379" s="8"/>
      <c r="AG379" s="107"/>
      <c r="AH379" s="7"/>
      <c r="AI379" s="10"/>
      <c r="AJ379" s="10"/>
      <c r="AK379" s="8"/>
      <c r="AL379" s="8"/>
      <c r="AM379" s="107"/>
      <c r="AN379" s="7"/>
      <c r="AO379" s="10"/>
      <c r="AP379" s="10"/>
      <c r="AQ379" s="8"/>
      <c r="AR379" s="8"/>
      <c r="AS379" s="8"/>
      <c r="AT379" s="107"/>
      <c r="AU379" s="7"/>
      <c r="AV379" s="10"/>
      <c r="AW379" s="10"/>
      <c r="AX379" s="8"/>
      <c r="AY379" s="8"/>
      <c r="AZ379" s="8"/>
      <c r="BA379" s="107"/>
      <c r="BB379" s="7"/>
      <c r="BC379" s="10"/>
      <c r="BD379" s="10"/>
      <c r="BE379" s="8"/>
      <c r="BF379" s="8"/>
      <c r="BG379" s="8"/>
      <c r="BH379" s="8"/>
      <c r="BI379" s="107"/>
      <c r="BJ379" s="7"/>
      <c r="BK379" s="10"/>
      <c r="BL379" s="10"/>
      <c r="BM379" s="10"/>
      <c r="BN379" s="8"/>
      <c r="BO379" s="8"/>
      <c r="BP379" s="8"/>
      <c r="BQ379" s="107"/>
      <c r="BR379" s="7"/>
      <c r="BS379" s="10"/>
      <c r="BT379" s="10"/>
      <c r="BU379" s="10"/>
      <c r="BV379" s="8"/>
      <c r="BW379" s="8"/>
      <c r="BX379" s="107"/>
      <c r="BY379" s="7"/>
      <c r="BZ379" s="10"/>
      <c r="CA379" s="10"/>
      <c r="CB379" s="8"/>
      <c r="CC379" s="8"/>
      <c r="CD379" s="8"/>
      <c r="CE379" s="107"/>
      <c r="CF379" s="7"/>
      <c r="CG379" s="10"/>
      <c r="CH379" s="10"/>
      <c r="CI379" s="8"/>
      <c r="CJ379" s="8"/>
      <c r="CK379" s="8"/>
      <c r="CL379" s="8"/>
      <c r="CM379" s="266"/>
      <c r="CN379" s="266"/>
      <c r="CO379" s="266"/>
    </row>
    <row r="380" spans="1:93" s="268" customFormat="1" x14ac:dyDescent="0.25">
      <c r="A380" s="107"/>
      <c r="B380" s="107"/>
      <c r="C380" s="7"/>
      <c r="D380" s="10"/>
      <c r="E380" s="10"/>
      <c r="F380" s="8"/>
      <c r="G380" s="8"/>
      <c r="H380" s="107"/>
      <c r="I380" s="7"/>
      <c r="J380" s="10"/>
      <c r="K380" s="10"/>
      <c r="L380" s="8"/>
      <c r="M380" s="8"/>
      <c r="N380" s="107"/>
      <c r="O380" s="7"/>
      <c r="P380" s="10"/>
      <c r="Q380" s="10"/>
      <c r="R380" s="8"/>
      <c r="S380" s="8"/>
      <c r="T380" s="107"/>
      <c r="U380" s="7"/>
      <c r="V380" s="10"/>
      <c r="W380" s="10"/>
      <c r="X380" s="8"/>
      <c r="Y380" s="7"/>
      <c r="Z380" s="8"/>
      <c r="AA380" s="107"/>
      <c r="AB380" s="7"/>
      <c r="AC380" s="10"/>
      <c r="AD380" s="10"/>
      <c r="AE380" s="8"/>
      <c r="AF380" s="8"/>
      <c r="AG380" s="107"/>
      <c r="AH380" s="7"/>
      <c r="AI380" s="10"/>
      <c r="AJ380" s="10"/>
      <c r="AK380" s="8"/>
      <c r="AL380" s="8"/>
      <c r="AM380" s="107"/>
      <c r="AN380" s="7"/>
      <c r="AO380" s="10"/>
      <c r="AP380" s="10"/>
      <c r="AQ380" s="8"/>
      <c r="AR380" s="8"/>
      <c r="AS380" s="8"/>
      <c r="AT380" s="107"/>
      <c r="AU380" s="7"/>
      <c r="AV380" s="10"/>
      <c r="AW380" s="10"/>
      <c r="AX380" s="8"/>
      <c r="AY380" s="8"/>
      <c r="AZ380" s="8"/>
      <c r="BA380" s="107"/>
      <c r="BB380" s="7"/>
      <c r="BC380" s="10"/>
      <c r="BD380" s="10"/>
      <c r="BE380" s="8"/>
      <c r="BF380" s="8"/>
      <c r="BG380" s="8"/>
      <c r="BH380" s="8"/>
      <c r="BI380" s="107"/>
      <c r="BJ380" s="7"/>
      <c r="BK380" s="10"/>
      <c r="BL380" s="10"/>
      <c r="BM380" s="10"/>
      <c r="BN380" s="8"/>
      <c r="BO380" s="8"/>
      <c r="BP380" s="8"/>
      <c r="BQ380" s="107"/>
      <c r="BR380" s="7"/>
      <c r="BS380" s="10"/>
      <c r="BT380" s="10"/>
      <c r="BU380" s="10"/>
      <c r="BV380" s="8"/>
      <c r="BW380" s="8"/>
      <c r="BX380" s="107"/>
      <c r="BY380" s="7"/>
      <c r="BZ380" s="10"/>
      <c r="CA380" s="10"/>
      <c r="CB380" s="8"/>
      <c r="CC380" s="8"/>
      <c r="CD380" s="8"/>
      <c r="CE380" s="107"/>
      <c r="CF380" s="7"/>
      <c r="CG380" s="10"/>
      <c r="CH380" s="10"/>
      <c r="CI380" s="8"/>
      <c r="CJ380" s="8"/>
      <c r="CK380" s="8"/>
      <c r="CL380" s="8"/>
      <c r="CM380" s="266"/>
      <c r="CN380" s="266"/>
      <c r="CO380" s="266"/>
    </row>
    <row r="381" spans="1:93" s="268" customFormat="1" x14ac:dyDescent="0.25">
      <c r="A381" s="107"/>
      <c r="B381" s="107"/>
      <c r="C381" s="7"/>
      <c r="D381" s="10"/>
      <c r="E381" s="10"/>
      <c r="F381" s="8"/>
      <c r="G381" s="8"/>
      <c r="H381" s="107"/>
      <c r="I381" s="7"/>
      <c r="J381" s="10"/>
      <c r="K381" s="10"/>
      <c r="L381" s="8"/>
      <c r="M381" s="8"/>
      <c r="N381" s="107"/>
      <c r="O381" s="7"/>
      <c r="P381" s="10"/>
      <c r="Q381" s="10"/>
      <c r="R381" s="8"/>
      <c r="S381" s="8"/>
      <c r="T381" s="107"/>
      <c r="U381" s="7"/>
      <c r="V381" s="10"/>
      <c r="W381" s="10"/>
      <c r="X381" s="8"/>
      <c r="Y381" s="7"/>
      <c r="Z381" s="8"/>
      <c r="AA381" s="107"/>
      <c r="AB381" s="7"/>
      <c r="AC381" s="10"/>
      <c r="AD381" s="10"/>
      <c r="AE381" s="8"/>
      <c r="AF381" s="8"/>
      <c r="AG381" s="107"/>
      <c r="AH381" s="7"/>
      <c r="AI381" s="10"/>
      <c r="AJ381" s="10"/>
      <c r="AK381" s="8"/>
      <c r="AL381" s="8"/>
      <c r="AM381" s="107"/>
      <c r="AN381" s="7"/>
      <c r="AO381" s="10"/>
      <c r="AP381" s="10"/>
      <c r="AQ381" s="8"/>
      <c r="AR381" s="8"/>
      <c r="AS381" s="8"/>
      <c r="AT381" s="107"/>
      <c r="AU381" s="7"/>
      <c r="AV381" s="10"/>
      <c r="AW381" s="10"/>
      <c r="AX381" s="8"/>
      <c r="AY381" s="8"/>
      <c r="AZ381" s="8"/>
      <c r="BA381" s="107"/>
      <c r="BB381" s="7"/>
      <c r="BC381" s="10"/>
      <c r="BD381" s="10"/>
      <c r="BE381" s="8"/>
      <c r="BF381" s="8"/>
      <c r="BG381" s="8"/>
      <c r="BH381" s="8"/>
      <c r="BI381" s="107"/>
      <c r="BJ381" s="7"/>
      <c r="BK381" s="10"/>
      <c r="BL381" s="10"/>
      <c r="BM381" s="10"/>
      <c r="BN381" s="8"/>
      <c r="BO381" s="8"/>
      <c r="BP381" s="8"/>
      <c r="BQ381" s="107"/>
      <c r="BR381" s="7"/>
      <c r="BS381" s="10"/>
      <c r="BT381" s="10"/>
      <c r="BU381" s="10"/>
      <c r="BV381" s="8"/>
      <c r="BW381" s="8"/>
      <c r="BX381" s="107"/>
      <c r="BY381" s="7"/>
      <c r="BZ381" s="10"/>
      <c r="CA381" s="10"/>
      <c r="CB381" s="8"/>
      <c r="CC381" s="8"/>
      <c r="CD381" s="8"/>
      <c r="CE381" s="107"/>
      <c r="CF381" s="7"/>
      <c r="CG381" s="10"/>
      <c r="CH381" s="10"/>
      <c r="CI381" s="8"/>
      <c r="CJ381" s="8"/>
      <c r="CK381" s="8"/>
      <c r="CL381" s="8"/>
      <c r="CM381" s="266"/>
      <c r="CN381" s="266"/>
      <c r="CO381" s="266"/>
    </row>
    <row r="382" spans="1:93" s="268" customFormat="1" x14ac:dyDescent="0.25">
      <c r="A382" s="107"/>
      <c r="B382" s="107"/>
      <c r="C382" s="7"/>
      <c r="D382" s="10"/>
      <c r="E382" s="10"/>
      <c r="F382" s="8"/>
      <c r="G382" s="8"/>
      <c r="H382" s="107"/>
      <c r="I382" s="7"/>
      <c r="J382" s="10"/>
      <c r="K382" s="10"/>
      <c r="L382" s="8"/>
      <c r="M382" s="8"/>
      <c r="N382" s="107"/>
      <c r="O382" s="7"/>
      <c r="P382" s="10"/>
      <c r="Q382" s="10"/>
      <c r="R382" s="8"/>
      <c r="S382" s="8"/>
      <c r="T382" s="107"/>
      <c r="U382" s="7"/>
      <c r="V382" s="10"/>
      <c r="W382" s="10"/>
      <c r="X382" s="8"/>
      <c r="Y382" s="7"/>
      <c r="Z382" s="8"/>
      <c r="AA382" s="107"/>
      <c r="AB382" s="7"/>
      <c r="AC382" s="10"/>
      <c r="AD382" s="10"/>
      <c r="AE382" s="8"/>
      <c r="AF382" s="8"/>
      <c r="AG382" s="107"/>
      <c r="AH382" s="7"/>
      <c r="AI382" s="10"/>
      <c r="AJ382" s="10"/>
      <c r="AK382" s="8"/>
      <c r="AL382" s="8"/>
      <c r="AM382" s="107"/>
      <c r="AN382" s="7"/>
      <c r="AO382" s="10"/>
      <c r="AP382" s="10"/>
      <c r="AQ382" s="8"/>
      <c r="AR382" s="8"/>
      <c r="AS382" s="8"/>
      <c r="AT382" s="107"/>
      <c r="AU382" s="7"/>
      <c r="AV382" s="10"/>
      <c r="AW382" s="10"/>
      <c r="AX382" s="8"/>
      <c r="AY382" s="8"/>
      <c r="AZ382" s="8"/>
      <c r="BA382" s="107"/>
      <c r="BB382" s="7"/>
      <c r="BC382" s="10"/>
      <c r="BD382" s="10"/>
      <c r="BE382" s="8"/>
      <c r="BF382" s="8"/>
      <c r="BG382" s="8"/>
      <c r="BH382" s="8"/>
      <c r="BI382" s="107"/>
      <c r="BJ382" s="7"/>
      <c r="BK382" s="10"/>
      <c r="BL382" s="10"/>
      <c r="BM382" s="10"/>
      <c r="BN382" s="8"/>
      <c r="BO382" s="8"/>
      <c r="BP382" s="8"/>
      <c r="BQ382" s="107"/>
      <c r="BR382" s="7"/>
      <c r="BS382" s="10"/>
      <c r="BT382" s="10"/>
      <c r="BU382" s="10"/>
      <c r="BV382" s="8"/>
      <c r="BW382" s="8"/>
      <c r="BX382" s="107"/>
      <c r="BY382" s="7"/>
      <c r="BZ382" s="10"/>
      <c r="CA382" s="10"/>
      <c r="CB382" s="8"/>
      <c r="CC382" s="8"/>
      <c r="CD382" s="8"/>
      <c r="CE382" s="107"/>
      <c r="CF382" s="7"/>
      <c r="CG382" s="10"/>
      <c r="CH382" s="10"/>
      <c r="CI382" s="8"/>
      <c r="CJ382" s="8"/>
      <c r="CK382" s="8"/>
      <c r="CL382" s="8"/>
      <c r="CM382" s="266"/>
      <c r="CN382" s="266"/>
      <c r="CO382" s="266"/>
    </row>
    <row r="383" spans="1:93" s="268" customFormat="1" x14ac:dyDescent="0.25">
      <c r="A383" s="107"/>
      <c r="B383" s="107"/>
      <c r="C383" s="7"/>
      <c r="D383" s="10"/>
      <c r="E383" s="10"/>
      <c r="F383" s="8"/>
      <c r="G383" s="8"/>
      <c r="H383" s="107"/>
      <c r="I383" s="7"/>
      <c r="J383" s="10"/>
      <c r="K383" s="10"/>
      <c r="L383" s="8"/>
      <c r="M383" s="8"/>
      <c r="N383" s="107"/>
      <c r="O383" s="7"/>
      <c r="P383" s="10"/>
      <c r="Q383" s="10"/>
      <c r="R383" s="8"/>
      <c r="S383" s="8"/>
      <c r="T383" s="107"/>
      <c r="U383" s="7"/>
      <c r="V383" s="10"/>
      <c r="W383" s="10"/>
      <c r="X383" s="8"/>
      <c r="Y383" s="7"/>
      <c r="Z383" s="8"/>
      <c r="AA383" s="107"/>
      <c r="AB383" s="7"/>
      <c r="AC383" s="10"/>
      <c r="AD383" s="10"/>
      <c r="AE383" s="8"/>
      <c r="AF383" s="8"/>
      <c r="AG383" s="107"/>
      <c r="AH383" s="7"/>
      <c r="AI383" s="10"/>
      <c r="AJ383" s="10"/>
      <c r="AK383" s="8"/>
      <c r="AL383" s="8"/>
      <c r="AM383" s="107"/>
      <c r="AN383" s="7"/>
      <c r="AO383" s="10"/>
      <c r="AP383" s="10"/>
      <c r="AQ383" s="8"/>
      <c r="AR383" s="8"/>
      <c r="AS383" s="8"/>
      <c r="AT383" s="107"/>
      <c r="AU383" s="7"/>
      <c r="AV383" s="10"/>
      <c r="AW383" s="10"/>
      <c r="AX383" s="8"/>
      <c r="AY383" s="8"/>
      <c r="AZ383" s="8"/>
      <c r="BA383" s="107"/>
      <c r="BB383" s="7"/>
      <c r="BC383" s="10"/>
      <c r="BD383" s="10"/>
      <c r="BE383" s="8"/>
      <c r="BF383" s="8"/>
      <c r="BG383" s="8"/>
      <c r="BH383" s="8"/>
      <c r="BI383" s="107"/>
      <c r="BJ383" s="7"/>
      <c r="BK383" s="10"/>
      <c r="BL383" s="10"/>
      <c r="BM383" s="10"/>
      <c r="BN383" s="8"/>
      <c r="BO383" s="8"/>
      <c r="BP383" s="8"/>
      <c r="BQ383" s="107"/>
      <c r="BR383" s="7"/>
      <c r="BS383" s="10"/>
      <c r="BT383" s="10"/>
      <c r="BU383" s="10"/>
      <c r="BV383" s="8"/>
      <c r="BW383" s="8"/>
      <c r="BX383" s="107"/>
      <c r="BY383" s="7"/>
      <c r="BZ383" s="10"/>
      <c r="CA383" s="10"/>
      <c r="CB383" s="8"/>
      <c r="CC383" s="8"/>
      <c r="CD383" s="8"/>
      <c r="CE383" s="107"/>
      <c r="CF383" s="7"/>
      <c r="CG383" s="10"/>
      <c r="CH383" s="10"/>
      <c r="CI383" s="8"/>
      <c r="CJ383" s="8"/>
      <c r="CK383" s="8"/>
      <c r="CL383" s="8"/>
      <c r="CM383" s="266"/>
      <c r="CN383" s="266"/>
      <c r="CO383" s="266"/>
    </row>
    <row r="384" spans="1:93" s="268" customFormat="1" x14ac:dyDescent="0.25">
      <c r="A384" s="107"/>
      <c r="B384" s="107"/>
      <c r="C384" s="7"/>
      <c r="D384" s="10"/>
      <c r="E384" s="10"/>
      <c r="F384" s="8"/>
      <c r="G384" s="8"/>
      <c r="H384" s="107"/>
      <c r="I384" s="7"/>
      <c r="J384" s="10"/>
      <c r="K384" s="10"/>
      <c r="L384" s="8"/>
      <c r="M384" s="8"/>
      <c r="N384" s="107"/>
      <c r="O384" s="7"/>
      <c r="P384" s="10"/>
      <c r="Q384" s="10"/>
      <c r="R384" s="8"/>
      <c r="S384" s="8"/>
      <c r="T384" s="107"/>
      <c r="U384" s="7"/>
      <c r="V384" s="10"/>
      <c r="W384" s="10"/>
      <c r="X384" s="8"/>
      <c r="Y384" s="7"/>
      <c r="Z384" s="8"/>
      <c r="AA384" s="107"/>
      <c r="AB384" s="7"/>
      <c r="AC384" s="10"/>
      <c r="AD384" s="10"/>
      <c r="AE384" s="8"/>
      <c r="AF384" s="8"/>
      <c r="AG384" s="107"/>
      <c r="AH384" s="7"/>
      <c r="AI384" s="10"/>
      <c r="AJ384" s="10"/>
      <c r="AK384" s="8"/>
      <c r="AL384" s="8"/>
      <c r="AM384" s="107"/>
      <c r="AN384" s="7"/>
      <c r="AO384" s="10"/>
      <c r="AP384" s="10"/>
      <c r="AQ384" s="8"/>
      <c r="AR384" s="8"/>
      <c r="AS384" s="8"/>
      <c r="AT384" s="107"/>
      <c r="AU384" s="7"/>
      <c r="AV384" s="10"/>
      <c r="AW384" s="10"/>
      <c r="AX384" s="8"/>
      <c r="AY384" s="8"/>
      <c r="AZ384" s="8"/>
      <c r="BA384" s="107"/>
      <c r="BB384" s="7"/>
      <c r="BC384" s="10"/>
      <c r="BD384" s="10"/>
      <c r="BE384" s="8"/>
      <c r="BF384" s="8"/>
      <c r="BG384" s="8"/>
      <c r="BH384" s="8"/>
      <c r="BI384" s="107"/>
      <c r="BJ384" s="7"/>
      <c r="BK384" s="10"/>
      <c r="BL384" s="10"/>
      <c r="BM384" s="10"/>
      <c r="BN384" s="8"/>
      <c r="BO384" s="8"/>
      <c r="BP384" s="8"/>
      <c r="BQ384" s="107"/>
      <c r="BR384" s="7"/>
      <c r="BS384" s="10"/>
      <c r="BT384" s="10"/>
      <c r="BU384" s="10"/>
      <c r="BV384" s="8"/>
      <c r="BW384" s="8"/>
      <c r="BX384" s="107"/>
      <c r="BY384" s="7"/>
      <c r="BZ384" s="10"/>
      <c r="CA384" s="10"/>
      <c r="CB384" s="8"/>
      <c r="CC384" s="8"/>
      <c r="CD384" s="8"/>
      <c r="CE384" s="107"/>
      <c r="CF384" s="7"/>
      <c r="CG384" s="10"/>
      <c r="CH384" s="10"/>
      <c r="CI384" s="8"/>
      <c r="CJ384" s="8"/>
      <c r="CK384" s="8"/>
      <c r="CL384" s="8"/>
      <c r="CM384" s="266"/>
      <c r="CN384" s="266"/>
      <c r="CO384" s="266"/>
    </row>
    <row r="385" spans="1:93" s="268" customFormat="1" x14ac:dyDescent="0.25">
      <c r="A385" s="107"/>
      <c r="B385" s="107"/>
      <c r="C385" s="7"/>
      <c r="D385" s="10"/>
      <c r="E385" s="10"/>
      <c r="F385" s="8"/>
      <c r="G385" s="8"/>
      <c r="H385" s="107"/>
      <c r="I385" s="7"/>
      <c r="J385" s="10"/>
      <c r="K385" s="10"/>
      <c r="L385" s="8"/>
      <c r="M385" s="8"/>
      <c r="N385" s="107"/>
      <c r="O385" s="7"/>
      <c r="P385" s="10"/>
      <c r="Q385" s="10"/>
      <c r="R385" s="8"/>
      <c r="S385" s="8"/>
      <c r="T385" s="107"/>
      <c r="U385" s="7"/>
      <c r="V385" s="10"/>
      <c r="W385" s="10"/>
      <c r="X385" s="8"/>
      <c r="Y385" s="7"/>
      <c r="Z385" s="8"/>
      <c r="AA385" s="107"/>
      <c r="AB385" s="7"/>
      <c r="AC385" s="10"/>
      <c r="AD385" s="10"/>
      <c r="AE385" s="8"/>
      <c r="AF385" s="8"/>
      <c r="AG385" s="107"/>
      <c r="AH385" s="7"/>
      <c r="AI385" s="10"/>
      <c r="AJ385" s="10"/>
      <c r="AK385" s="8"/>
      <c r="AL385" s="8"/>
      <c r="AM385" s="107"/>
      <c r="AN385" s="7"/>
      <c r="AO385" s="10"/>
      <c r="AP385" s="10"/>
      <c r="AQ385" s="8"/>
      <c r="AR385" s="8"/>
      <c r="AS385" s="8"/>
      <c r="AT385" s="107"/>
      <c r="AU385" s="7"/>
      <c r="AV385" s="10"/>
      <c r="AW385" s="10"/>
      <c r="AX385" s="8"/>
      <c r="AY385" s="8"/>
      <c r="AZ385" s="8"/>
      <c r="BA385" s="107"/>
      <c r="BB385" s="7"/>
      <c r="BC385" s="10"/>
      <c r="BD385" s="10"/>
      <c r="BE385" s="8"/>
      <c r="BF385" s="8"/>
      <c r="BG385" s="8"/>
      <c r="BH385" s="8"/>
      <c r="BI385" s="107"/>
      <c r="BJ385" s="7"/>
      <c r="BK385" s="10"/>
      <c r="BL385" s="10"/>
      <c r="BM385" s="10"/>
      <c r="BN385" s="8"/>
      <c r="BO385" s="8"/>
      <c r="BP385" s="8"/>
      <c r="BQ385" s="107"/>
      <c r="BR385" s="7"/>
      <c r="BS385" s="10"/>
      <c r="BT385" s="10"/>
      <c r="BU385" s="10"/>
      <c r="BV385" s="8"/>
      <c r="BW385" s="8"/>
      <c r="BX385" s="107"/>
      <c r="BY385" s="7"/>
      <c r="BZ385" s="10"/>
      <c r="CA385" s="10"/>
      <c r="CB385" s="8"/>
      <c r="CC385" s="8"/>
      <c r="CD385" s="8"/>
      <c r="CE385" s="107"/>
      <c r="CF385" s="7"/>
      <c r="CG385" s="10"/>
      <c r="CH385" s="10"/>
      <c r="CI385" s="8"/>
      <c r="CJ385" s="8"/>
      <c r="CK385" s="8"/>
      <c r="CL385" s="8"/>
      <c r="CM385" s="266"/>
      <c r="CN385" s="266"/>
      <c r="CO385" s="266"/>
    </row>
    <row r="386" spans="1:93" s="268" customFormat="1" x14ac:dyDescent="0.25">
      <c r="A386" s="107"/>
      <c r="B386" s="107"/>
      <c r="C386" s="7"/>
      <c r="D386" s="10"/>
      <c r="E386" s="10"/>
      <c r="F386" s="8"/>
      <c r="G386" s="8"/>
      <c r="H386" s="107"/>
      <c r="I386" s="7"/>
      <c r="J386" s="10"/>
      <c r="K386" s="10"/>
      <c r="L386" s="8"/>
      <c r="M386" s="8"/>
      <c r="N386" s="107"/>
      <c r="O386" s="7"/>
      <c r="P386" s="10"/>
      <c r="Q386" s="10"/>
      <c r="R386" s="8"/>
      <c r="S386" s="8"/>
      <c r="T386" s="107"/>
      <c r="U386" s="7"/>
      <c r="V386" s="10"/>
      <c r="W386" s="10"/>
      <c r="X386" s="8"/>
      <c r="Y386" s="7"/>
      <c r="Z386" s="8"/>
      <c r="AA386" s="107"/>
      <c r="AB386" s="7"/>
      <c r="AC386" s="10"/>
      <c r="AD386" s="10"/>
      <c r="AE386" s="8"/>
      <c r="AF386" s="8"/>
      <c r="AG386" s="107"/>
      <c r="AH386" s="7"/>
      <c r="AI386" s="10"/>
      <c r="AJ386" s="10"/>
      <c r="AK386" s="8"/>
      <c r="AL386" s="8"/>
      <c r="AM386" s="107"/>
      <c r="AN386" s="7"/>
      <c r="AO386" s="10"/>
      <c r="AP386" s="10"/>
      <c r="AQ386" s="8"/>
      <c r="AR386" s="8"/>
      <c r="AS386" s="8"/>
      <c r="AT386" s="107"/>
      <c r="AU386" s="7"/>
      <c r="AV386" s="10"/>
      <c r="AW386" s="10"/>
      <c r="AX386" s="8"/>
      <c r="AY386" s="8"/>
      <c r="AZ386" s="8"/>
      <c r="BA386" s="107"/>
      <c r="BB386" s="7"/>
      <c r="BC386" s="10"/>
      <c r="BD386" s="10"/>
      <c r="BE386" s="8"/>
      <c r="BF386" s="8"/>
      <c r="BG386" s="8"/>
      <c r="BH386" s="8"/>
      <c r="BI386" s="107"/>
      <c r="BJ386" s="7"/>
      <c r="BK386" s="10"/>
      <c r="BL386" s="10"/>
      <c r="BM386" s="10"/>
      <c r="BN386" s="8"/>
      <c r="BO386" s="8"/>
      <c r="BP386" s="8"/>
      <c r="BQ386" s="107"/>
      <c r="BR386" s="7"/>
      <c r="BS386" s="10"/>
      <c r="BT386" s="10"/>
      <c r="BU386" s="10"/>
      <c r="BV386" s="8"/>
      <c r="BW386" s="8"/>
      <c r="BX386" s="107"/>
      <c r="BY386" s="7"/>
      <c r="BZ386" s="10"/>
      <c r="CA386" s="10"/>
      <c r="CB386" s="8"/>
      <c r="CC386" s="8"/>
      <c r="CD386" s="8"/>
      <c r="CE386" s="107"/>
      <c r="CF386" s="7"/>
      <c r="CG386" s="10"/>
      <c r="CH386" s="10"/>
      <c r="CI386" s="8"/>
      <c r="CJ386" s="8"/>
      <c r="CK386" s="8"/>
      <c r="CL386" s="8"/>
      <c r="CM386" s="266"/>
      <c r="CN386" s="266"/>
      <c r="CO386" s="266"/>
    </row>
    <row r="387" spans="1:93" s="268" customFormat="1" x14ac:dyDescent="0.25">
      <c r="A387" s="107"/>
      <c r="B387" s="107"/>
      <c r="C387" s="7"/>
      <c r="D387" s="10"/>
      <c r="E387" s="10"/>
      <c r="F387" s="8"/>
      <c r="G387" s="8"/>
      <c r="H387" s="107"/>
      <c r="I387" s="7"/>
      <c r="J387" s="10"/>
      <c r="K387" s="10"/>
      <c r="L387" s="8"/>
      <c r="M387" s="8"/>
      <c r="N387" s="107"/>
      <c r="O387" s="7"/>
      <c r="P387" s="10"/>
      <c r="Q387" s="10"/>
      <c r="R387" s="8"/>
      <c r="S387" s="8"/>
      <c r="T387" s="107"/>
      <c r="U387" s="7"/>
      <c r="V387" s="10"/>
      <c r="W387" s="10"/>
      <c r="X387" s="8"/>
      <c r="Y387" s="7"/>
      <c r="Z387" s="8"/>
      <c r="AA387" s="107"/>
      <c r="AB387" s="7"/>
      <c r="AC387" s="10"/>
      <c r="AD387" s="10"/>
      <c r="AE387" s="8"/>
      <c r="AF387" s="8"/>
      <c r="AG387" s="107"/>
      <c r="AH387" s="7"/>
      <c r="AI387" s="10"/>
      <c r="AJ387" s="10"/>
      <c r="AK387" s="8"/>
      <c r="AL387" s="8"/>
      <c r="AM387" s="107"/>
      <c r="AN387" s="7"/>
      <c r="AO387" s="10"/>
      <c r="AP387" s="10"/>
      <c r="AQ387" s="8"/>
      <c r="AR387" s="8"/>
      <c r="AS387" s="8"/>
      <c r="AT387" s="107"/>
      <c r="AU387" s="7"/>
      <c r="AV387" s="10"/>
      <c r="AW387" s="10"/>
      <c r="AX387" s="8"/>
      <c r="AY387" s="8"/>
      <c r="AZ387" s="8"/>
      <c r="BA387" s="107"/>
      <c r="BB387" s="7"/>
      <c r="BC387" s="10"/>
      <c r="BD387" s="10"/>
      <c r="BE387" s="8"/>
      <c r="BF387" s="8"/>
      <c r="BG387" s="8"/>
      <c r="BH387" s="8"/>
      <c r="BI387" s="107"/>
      <c r="BJ387" s="7"/>
      <c r="BK387" s="10"/>
      <c r="BL387" s="10"/>
      <c r="BM387" s="10"/>
      <c r="BN387" s="8"/>
      <c r="BO387" s="8"/>
      <c r="BP387" s="8"/>
      <c r="BQ387" s="107"/>
      <c r="BR387" s="7"/>
      <c r="BS387" s="10"/>
      <c r="BT387" s="10"/>
      <c r="BU387" s="10"/>
      <c r="BV387" s="8"/>
      <c r="BW387" s="8"/>
      <c r="BX387" s="107"/>
      <c r="BY387" s="7"/>
      <c r="BZ387" s="10"/>
      <c r="CA387" s="10"/>
      <c r="CB387" s="8"/>
      <c r="CC387" s="8"/>
      <c r="CD387" s="8"/>
      <c r="CE387" s="107"/>
      <c r="CF387" s="7"/>
      <c r="CG387" s="10"/>
      <c r="CH387" s="10"/>
      <c r="CI387" s="8"/>
      <c r="CJ387" s="8"/>
      <c r="CK387" s="8"/>
      <c r="CL387" s="8"/>
      <c r="CM387" s="266"/>
      <c r="CN387" s="266"/>
      <c r="CO387" s="266"/>
    </row>
    <row r="388" spans="1:93" s="268" customFormat="1" x14ac:dyDescent="0.25">
      <c r="A388" s="107"/>
      <c r="B388" s="107"/>
      <c r="C388" s="7"/>
      <c r="D388" s="10"/>
      <c r="E388" s="10"/>
      <c r="F388" s="8"/>
      <c r="G388" s="8"/>
      <c r="H388" s="107"/>
      <c r="I388" s="7"/>
      <c r="J388" s="10"/>
      <c r="K388" s="10"/>
      <c r="L388" s="8"/>
      <c r="M388" s="8"/>
      <c r="N388" s="107"/>
      <c r="O388" s="7"/>
      <c r="P388" s="10"/>
      <c r="Q388" s="10"/>
      <c r="R388" s="8"/>
      <c r="S388" s="8"/>
      <c r="T388" s="107"/>
      <c r="U388" s="7"/>
      <c r="V388" s="10"/>
      <c r="W388" s="10"/>
      <c r="X388" s="8"/>
      <c r="Y388" s="7"/>
      <c r="Z388" s="8"/>
      <c r="AA388" s="107"/>
      <c r="AB388" s="7"/>
      <c r="AC388" s="10"/>
      <c r="AD388" s="10"/>
      <c r="AE388" s="8"/>
      <c r="AF388" s="8"/>
      <c r="AG388" s="107"/>
      <c r="AH388" s="7"/>
      <c r="AI388" s="10"/>
      <c r="AJ388" s="10"/>
      <c r="AK388" s="8"/>
      <c r="AL388" s="8"/>
      <c r="AM388" s="107"/>
      <c r="AN388" s="7"/>
      <c r="AO388" s="10"/>
      <c r="AP388" s="10"/>
      <c r="AQ388" s="8"/>
      <c r="AR388" s="8"/>
      <c r="AS388" s="8"/>
      <c r="AT388" s="107"/>
      <c r="AU388" s="7"/>
      <c r="AV388" s="10"/>
      <c r="AW388" s="10"/>
      <c r="AX388" s="8"/>
      <c r="AY388" s="8"/>
      <c r="AZ388" s="8"/>
      <c r="BA388" s="107"/>
      <c r="BB388" s="7"/>
      <c r="BC388" s="10"/>
      <c r="BD388" s="10"/>
      <c r="BE388" s="8"/>
      <c r="BF388" s="8"/>
      <c r="BG388" s="8"/>
      <c r="BH388" s="8"/>
      <c r="BI388" s="107"/>
      <c r="BJ388" s="7"/>
      <c r="BK388" s="10"/>
      <c r="BL388" s="10"/>
      <c r="BM388" s="10"/>
      <c r="BN388" s="8"/>
      <c r="BO388" s="8"/>
      <c r="BP388" s="8"/>
      <c r="BQ388" s="107"/>
      <c r="BR388" s="7"/>
      <c r="BS388" s="10"/>
      <c r="BT388" s="10"/>
      <c r="BU388" s="10"/>
      <c r="BV388" s="8"/>
      <c r="BW388" s="8"/>
      <c r="BX388" s="107"/>
      <c r="BY388" s="7"/>
      <c r="BZ388" s="10"/>
      <c r="CA388" s="10"/>
      <c r="CB388" s="8"/>
      <c r="CC388" s="8"/>
      <c r="CD388" s="8"/>
      <c r="CE388" s="107"/>
      <c r="CF388" s="7"/>
      <c r="CG388" s="10"/>
      <c r="CH388" s="10"/>
      <c r="CI388" s="8"/>
      <c r="CJ388" s="8"/>
      <c r="CK388" s="8"/>
      <c r="CL388" s="8"/>
      <c r="CM388" s="266"/>
      <c r="CN388" s="266"/>
      <c r="CO388" s="266"/>
    </row>
    <row r="389" spans="1:93" s="268" customFormat="1" x14ac:dyDescent="0.25">
      <c r="A389" s="107"/>
      <c r="B389" s="107"/>
      <c r="C389" s="7"/>
      <c r="D389" s="10"/>
      <c r="E389" s="10"/>
      <c r="F389" s="8"/>
      <c r="G389" s="8"/>
      <c r="H389" s="107"/>
      <c r="I389" s="7"/>
      <c r="J389" s="10"/>
      <c r="K389" s="10"/>
      <c r="L389" s="8"/>
      <c r="M389" s="8"/>
      <c r="N389" s="107"/>
      <c r="O389" s="7"/>
      <c r="P389" s="10"/>
      <c r="Q389" s="10"/>
      <c r="R389" s="8"/>
      <c r="S389" s="8"/>
      <c r="T389" s="107"/>
      <c r="U389" s="7"/>
      <c r="V389" s="10"/>
      <c r="W389" s="10"/>
      <c r="X389" s="8"/>
      <c r="Y389" s="7"/>
      <c r="Z389" s="8"/>
      <c r="AA389" s="107"/>
      <c r="AB389" s="7"/>
      <c r="AC389" s="10"/>
      <c r="AD389" s="10"/>
      <c r="AE389" s="8"/>
      <c r="AF389" s="8"/>
      <c r="AG389" s="107"/>
      <c r="AH389" s="7"/>
      <c r="AI389" s="10"/>
      <c r="AJ389" s="10"/>
      <c r="AK389" s="8"/>
      <c r="AL389" s="8"/>
      <c r="AM389" s="107"/>
      <c r="AN389" s="7"/>
      <c r="AO389" s="10"/>
      <c r="AP389" s="10"/>
      <c r="AQ389" s="8"/>
      <c r="AR389" s="8"/>
      <c r="AS389" s="8"/>
      <c r="AT389" s="107"/>
      <c r="AU389" s="7"/>
      <c r="AV389" s="10"/>
      <c r="AW389" s="10"/>
      <c r="AX389" s="8"/>
      <c r="AY389" s="8"/>
      <c r="AZ389" s="8"/>
      <c r="BA389" s="107"/>
      <c r="BB389" s="7"/>
      <c r="BC389" s="10"/>
      <c r="BD389" s="10"/>
      <c r="BE389" s="8"/>
      <c r="BF389" s="8"/>
      <c r="BG389" s="8"/>
      <c r="BH389" s="8"/>
      <c r="BI389" s="107"/>
      <c r="BJ389" s="7"/>
      <c r="BK389" s="10"/>
      <c r="BL389" s="10"/>
      <c r="BM389" s="10"/>
      <c r="BN389" s="8"/>
      <c r="BO389" s="8"/>
      <c r="BP389" s="8"/>
      <c r="BQ389" s="107"/>
      <c r="BR389" s="7"/>
      <c r="BS389" s="10"/>
      <c r="BT389" s="10"/>
      <c r="BU389" s="10"/>
      <c r="BV389" s="8"/>
      <c r="BW389" s="8"/>
      <c r="BX389" s="107"/>
      <c r="BY389" s="7"/>
      <c r="BZ389" s="10"/>
      <c r="CA389" s="10"/>
      <c r="CB389" s="8"/>
      <c r="CC389" s="8"/>
      <c r="CD389" s="8"/>
      <c r="CE389" s="107"/>
      <c r="CF389" s="7"/>
      <c r="CG389" s="10"/>
      <c r="CH389" s="10"/>
      <c r="CI389" s="8"/>
      <c r="CJ389" s="8"/>
      <c r="CK389" s="8"/>
      <c r="CL389" s="8"/>
      <c r="CM389" s="266"/>
      <c r="CN389" s="266"/>
      <c r="CO389" s="266"/>
    </row>
    <row r="390" spans="1:93" s="268" customFormat="1" x14ac:dyDescent="0.25">
      <c r="A390" s="107"/>
      <c r="B390" s="107"/>
      <c r="C390" s="7"/>
      <c r="D390" s="10"/>
      <c r="E390" s="10"/>
      <c r="F390" s="8"/>
      <c r="G390" s="8"/>
      <c r="H390" s="107"/>
      <c r="I390" s="7"/>
      <c r="J390" s="10"/>
      <c r="K390" s="10"/>
      <c r="L390" s="8"/>
      <c r="M390" s="8"/>
      <c r="N390" s="107"/>
      <c r="O390" s="7"/>
      <c r="P390" s="10"/>
      <c r="Q390" s="10"/>
      <c r="R390" s="8"/>
      <c r="S390" s="8"/>
      <c r="T390" s="107"/>
      <c r="U390" s="7"/>
      <c r="V390" s="10"/>
      <c r="W390" s="10"/>
      <c r="X390" s="8"/>
      <c r="Y390" s="7"/>
      <c r="Z390" s="8"/>
      <c r="AA390" s="107"/>
      <c r="AB390" s="7"/>
      <c r="AC390" s="10"/>
      <c r="AD390" s="10"/>
      <c r="AE390" s="8"/>
      <c r="AF390" s="8"/>
      <c r="AG390" s="107"/>
      <c r="AH390" s="7"/>
      <c r="AI390" s="10"/>
      <c r="AJ390" s="10"/>
      <c r="AK390" s="8"/>
      <c r="AL390" s="8"/>
      <c r="AM390" s="107"/>
      <c r="AN390" s="7"/>
      <c r="AO390" s="10"/>
      <c r="AP390" s="10"/>
      <c r="AQ390" s="8"/>
      <c r="AR390" s="8"/>
      <c r="AS390" s="8"/>
      <c r="AT390" s="107"/>
      <c r="AU390" s="7"/>
      <c r="AV390" s="10"/>
      <c r="AW390" s="10"/>
      <c r="AX390" s="8"/>
      <c r="AY390" s="8"/>
      <c r="AZ390" s="8"/>
      <c r="BA390" s="107"/>
      <c r="BB390" s="7"/>
      <c r="BC390" s="10"/>
      <c r="BD390" s="10"/>
      <c r="BE390" s="8"/>
      <c r="BF390" s="8"/>
      <c r="BG390" s="8"/>
      <c r="BH390" s="8"/>
      <c r="BI390" s="107"/>
      <c r="BJ390" s="7"/>
      <c r="BK390" s="10"/>
      <c r="BL390" s="10"/>
      <c r="BM390" s="10"/>
      <c r="BN390" s="8"/>
      <c r="BO390" s="8"/>
      <c r="BP390" s="8"/>
      <c r="BQ390" s="107"/>
      <c r="BR390" s="7"/>
      <c r="BS390" s="10"/>
      <c r="BT390" s="10"/>
      <c r="BU390" s="10"/>
      <c r="BV390" s="8"/>
      <c r="BW390" s="8"/>
      <c r="BX390" s="107"/>
      <c r="BY390" s="7"/>
      <c r="BZ390" s="10"/>
      <c r="CA390" s="10"/>
      <c r="CB390" s="8"/>
      <c r="CC390" s="8"/>
      <c r="CD390" s="8"/>
      <c r="CE390" s="107"/>
      <c r="CF390" s="7"/>
      <c r="CG390" s="10"/>
      <c r="CH390" s="10"/>
      <c r="CI390" s="8"/>
      <c r="CJ390" s="8"/>
      <c r="CK390" s="8"/>
      <c r="CL390" s="8"/>
      <c r="CM390" s="266"/>
      <c r="CN390" s="266"/>
      <c r="CO390" s="266"/>
    </row>
    <row r="391" spans="1:93" s="268" customFormat="1" x14ac:dyDescent="0.25">
      <c r="A391" s="107"/>
      <c r="B391" s="107"/>
      <c r="C391" s="7"/>
      <c r="D391" s="10"/>
      <c r="E391" s="10"/>
      <c r="F391" s="8"/>
      <c r="G391" s="8"/>
      <c r="H391" s="107"/>
      <c r="I391" s="7"/>
      <c r="J391" s="10"/>
      <c r="K391" s="10"/>
      <c r="L391" s="8"/>
      <c r="M391" s="8"/>
      <c r="N391" s="107"/>
      <c r="O391" s="7"/>
      <c r="P391" s="10"/>
      <c r="Q391" s="10"/>
      <c r="R391" s="8"/>
      <c r="S391" s="8"/>
      <c r="T391" s="107"/>
      <c r="U391" s="7"/>
      <c r="V391" s="10"/>
      <c r="W391" s="10"/>
      <c r="X391" s="8"/>
      <c r="Y391" s="7"/>
      <c r="Z391" s="8"/>
      <c r="AA391" s="107"/>
      <c r="AB391" s="7"/>
      <c r="AC391" s="10"/>
      <c r="AD391" s="10"/>
      <c r="AE391" s="8"/>
      <c r="AF391" s="8"/>
      <c r="AG391" s="107"/>
      <c r="AH391" s="7"/>
      <c r="AI391" s="10"/>
      <c r="AJ391" s="10"/>
      <c r="AK391" s="8"/>
      <c r="AL391" s="8"/>
      <c r="AM391" s="107"/>
      <c r="AN391" s="7"/>
      <c r="AO391" s="10"/>
      <c r="AP391" s="10"/>
      <c r="AQ391" s="8"/>
      <c r="AR391" s="8"/>
      <c r="AS391" s="8"/>
      <c r="AT391" s="107"/>
      <c r="AU391" s="7"/>
      <c r="AV391" s="10"/>
      <c r="AW391" s="10"/>
      <c r="AX391" s="8"/>
      <c r="AY391" s="8"/>
      <c r="AZ391" s="8"/>
      <c r="BA391" s="107"/>
      <c r="BB391" s="7"/>
      <c r="BC391" s="10"/>
      <c r="BD391" s="10"/>
      <c r="BE391" s="8"/>
      <c r="BF391" s="8"/>
      <c r="BG391" s="8"/>
      <c r="BH391" s="8"/>
      <c r="BI391" s="107"/>
      <c r="BJ391" s="7"/>
      <c r="BK391" s="10"/>
      <c r="BL391" s="10"/>
      <c r="BM391" s="10"/>
      <c r="BN391" s="8"/>
      <c r="BO391" s="8"/>
      <c r="BP391" s="8"/>
      <c r="BQ391" s="107"/>
      <c r="BR391" s="7"/>
      <c r="BS391" s="10"/>
      <c r="BT391" s="10"/>
      <c r="BU391" s="10"/>
      <c r="BV391" s="8"/>
      <c r="BW391" s="8"/>
      <c r="BX391" s="107"/>
      <c r="BY391" s="7"/>
      <c r="BZ391" s="10"/>
      <c r="CA391" s="10"/>
      <c r="CB391" s="8"/>
      <c r="CC391" s="8"/>
      <c r="CD391" s="8"/>
      <c r="CE391" s="107"/>
      <c r="CF391" s="7"/>
      <c r="CG391" s="10"/>
      <c r="CH391" s="10"/>
      <c r="CI391" s="8"/>
      <c r="CJ391" s="8"/>
      <c r="CK391" s="8"/>
      <c r="CL391" s="8"/>
      <c r="CM391" s="266"/>
      <c r="CN391" s="266"/>
      <c r="CO391" s="266"/>
    </row>
    <row r="392" spans="1:93" s="268" customFormat="1" x14ac:dyDescent="0.25">
      <c r="A392" s="107"/>
      <c r="B392" s="107"/>
      <c r="C392" s="7"/>
      <c r="D392" s="10"/>
      <c r="E392" s="10"/>
      <c r="F392" s="8"/>
      <c r="G392" s="8"/>
      <c r="H392" s="107"/>
      <c r="I392" s="7"/>
      <c r="J392" s="10"/>
      <c r="K392" s="10"/>
      <c r="L392" s="8"/>
      <c r="M392" s="8"/>
      <c r="N392" s="107"/>
      <c r="O392" s="7"/>
      <c r="P392" s="10"/>
      <c r="Q392" s="10"/>
      <c r="R392" s="8"/>
      <c r="S392" s="8"/>
      <c r="T392" s="107"/>
      <c r="U392" s="7"/>
      <c r="V392" s="10"/>
      <c r="W392" s="10"/>
      <c r="X392" s="8"/>
      <c r="Y392" s="7"/>
      <c r="Z392" s="8"/>
      <c r="AA392" s="107"/>
      <c r="AB392" s="7"/>
      <c r="AC392" s="10"/>
      <c r="AD392" s="10"/>
      <c r="AE392" s="8"/>
      <c r="AF392" s="8"/>
      <c r="AG392" s="107"/>
      <c r="AH392" s="7"/>
      <c r="AI392" s="10"/>
      <c r="AJ392" s="10"/>
      <c r="AK392" s="8"/>
      <c r="AL392" s="8"/>
      <c r="AM392" s="107"/>
      <c r="AN392" s="7"/>
      <c r="AO392" s="10"/>
      <c r="AP392" s="10"/>
      <c r="AQ392" s="8"/>
      <c r="AR392" s="8"/>
      <c r="AS392" s="8"/>
      <c r="AT392" s="107"/>
      <c r="AU392" s="7"/>
      <c r="AV392" s="10"/>
      <c r="AW392" s="10"/>
      <c r="AX392" s="8"/>
      <c r="AY392" s="8"/>
      <c r="AZ392" s="8"/>
      <c r="BA392" s="107"/>
      <c r="BB392" s="7"/>
      <c r="BC392" s="10"/>
      <c r="BD392" s="10"/>
      <c r="BE392" s="8"/>
      <c r="BF392" s="8"/>
      <c r="BG392" s="8"/>
      <c r="BH392" s="8"/>
      <c r="BI392" s="107"/>
      <c r="BJ392" s="7"/>
      <c r="BK392" s="10"/>
      <c r="BL392" s="10"/>
      <c r="BM392" s="10"/>
      <c r="BN392" s="8"/>
      <c r="BO392" s="8"/>
      <c r="BP392" s="8"/>
      <c r="BQ392" s="107"/>
      <c r="BR392" s="7"/>
      <c r="BS392" s="10"/>
      <c r="BT392" s="10"/>
      <c r="BU392" s="10"/>
      <c r="BV392" s="8"/>
      <c r="BW392" s="8"/>
      <c r="BX392" s="107"/>
      <c r="BY392" s="7"/>
      <c r="BZ392" s="10"/>
      <c r="CA392" s="10"/>
      <c r="CB392" s="8"/>
      <c r="CC392" s="8"/>
      <c r="CD392" s="8"/>
      <c r="CE392" s="107"/>
      <c r="CF392" s="7"/>
      <c r="CG392" s="10"/>
      <c r="CH392" s="10"/>
      <c r="CI392" s="8"/>
      <c r="CJ392" s="8"/>
      <c r="CK392" s="8"/>
      <c r="CL392" s="8"/>
      <c r="CM392" s="266"/>
      <c r="CN392" s="266"/>
      <c r="CO392" s="266"/>
    </row>
    <row r="393" spans="1:93" s="268" customFormat="1" x14ac:dyDescent="0.25">
      <c r="A393" s="107"/>
      <c r="B393" s="107"/>
      <c r="C393" s="7"/>
      <c r="D393" s="10"/>
      <c r="E393" s="10"/>
      <c r="F393" s="8"/>
      <c r="G393" s="8"/>
      <c r="H393" s="107"/>
      <c r="I393" s="7"/>
      <c r="J393" s="10"/>
      <c r="K393" s="10"/>
      <c r="L393" s="8"/>
      <c r="M393" s="8"/>
      <c r="N393" s="107"/>
      <c r="O393" s="7"/>
      <c r="P393" s="10"/>
      <c r="Q393" s="10"/>
      <c r="R393" s="8"/>
      <c r="S393" s="8"/>
      <c r="T393" s="107"/>
      <c r="U393" s="7"/>
      <c r="V393" s="10"/>
      <c r="W393" s="10"/>
      <c r="X393" s="8"/>
      <c r="Y393" s="7"/>
      <c r="Z393" s="8"/>
      <c r="AA393" s="107"/>
      <c r="AB393" s="7"/>
      <c r="AC393" s="10"/>
      <c r="AD393" s="10"/>
      <c r="AE393" s="8"/>
      <c r="AF393" s="8"/>
      <c r="AG393" s="107"/>
      <c r="AH393" s="7"/>
      <c r="AI393" s="10"/>
      <c r="AJ393" s="10"/>
      <c r="AK393" s="8"/>
      <c r="AL393" s="8"/>
      <c r="AM393" s="107"/>
      <c r="AN393" s="7"/>
      <c r="AO393" s="10"/>
      <c r="AP393" s="10"/>
      <c r="AQ393" s="8"/>
      <c r="AR393" s="8"/>
      <c r="AS393" s="8"/>
      <c r="AT393" s="107"/>
      <c r="AU393" s="7"/>
      <c r="AV393" s="10"/>
      <c r="AW393" s="10"/>
      <c r="AX393" s="8"/>
      <c r="AY393" s="8"/>
      <c r="AZ393" s="8"/>
      <c r="BA393" s="107"/>
      <c r="BB393" s="7"/>
      <c r="BC393" s="10"/>
      <c r="BD393" s="10"/>
      <c r="BE393" s="8"/>
      <c r="BF393" s="8"/>
      <c r="BG393" s="8"/>
      <c r="BH393" s="8"/>
      <c r="BI393" s="107"/>
      <c r="BJ393" s="7"/>
      <c r="BK393" s="10"/>
      <c r="BL393" s="10"/>
      <c r="BM393" s="10"/>
      <c r="BN393" s="8"/>
      <c r="BO393" s="8"/>
      <c r="BP393" s="8"/>
      <c r="BQ393" s="107"/>
      <c r="BR393" s="7"/>
      <c r="BS393" s="10"/>
      <c r="BT393" s="10"/>
      <c r="BU393" s="10"/>
      <c r="BV393" s="8"/>
      <c r="BW393" s="8"/>
      <c r="BX393" s="107"/>
      <c r="BY393" s="7"/>
      <c r="BZ393" s="10"/>
      <c r="CA393" s="10"/>
      <c r="CB393" s="8"/>
      <c r="CC393" s="8"/>
      <c r="CD393" s="8"/>
      <c r="CE393" s="107"/>
      <c r="CF393" s="7"/>
      <c r="CG393" s="10"/>
      <c r="CH393" s="10"/>
      <c r="CI393" s="8"/>
      <c r="CJ393" s="8"/>
      <c r="CK393" s="8"/>
      <c r="CL393" s="8"/>
      <c r="CM393" s="266"/>
      <c r="CN393" s="266"/>
      <c r="CO393" s="266"/>
    </row>
    <row r="394" spans="1:93" s="268" customFormat="1" x14ac:dyDescent="0.25">
      <c r="A394" s="107"/>
      <c r="B394" s="107"/>
      <c r="C394" s="7"/>
      <c r="D394" s="10"/>
      <c r="E394" s="10"/>
      <c r="F394" s="8"/>
      <c r="G394" s="8"/>
      <c r="H394" s="107"/>
      <c r="I394" s="7"/>
      <c r="J394" s="10"/>
      <c r="K394" s="10"/>
      <c r="L394" s="8"/>
      <c r="M394" s="8"/>
      <c r="N394" s="107"/>
      <c r="O394" s="7"/>
      <c r="P394" s="10"/>
      <c r="Q394" s="10"/>
      <c r="R394" s="8"/>
      <c r="S394" s="8"/>
      <c r="T394" s="107"/>
      <c r="U394" s="7"/>
      <c r="V394" s="10"/>
      <c r="W394" s="10"/>
      <c r="X394" s="8"/>
      <c r="Y394" s="7"/>
      <c r="Z394" s="8"/>
      <c r="AA394" s="107"/>
      <c r="AB394" s="7"/>
      <c r="AC394" s="10"/>
      <c r="AD394" s="10"/>
      <c r="AE394" s="8"/>
      <c r="AF394" s="8"/>
      <c r="AG394" s="107"/>
      <c r="AH394" s="7"/>
      <c r="AI394" s="10"/>
      <c r="AJ394" s="10"/>
      <c r="AK394" s="8"/>
      <c r="AL394" s="8"/>
      <c r="AM394" s="107"/>
      <c r="AN394" s="7"/>
      <c r="AO394" s="10"/>
      <c r="AP394" s="10"/>
      <c r="AQ394" s="8"/>
      <c r="AR394" s="8"/>
      <c r="AS394" s="8"/>
      <c r="AT394" s="107"/>
      <c r="AU394" s="7"/>
      <c r="AV394" s="10"/>
      <c r="AW394" s="10"/>
      <c r="AX394" s="8"/>
      <c r="AY394" s="8"/>
      <c r="AZ394" s="8"/>
      <c r="BA394" s="107"/>
      <c r="BB394" s="7"/>
      <c r="BC394" s="10"/>
      <c r="BD394" s="10"/>
      <c r="BE394" s="8"/>
      <c r="BF394" s="8"/>
      <c r="BG394" s="8"/>
      <c r="BH394" s="8"/>
      <c r="BI394" s="107"/>
      <c r="BJ394" s="7"/>
      <c r="BK394" s="10"/>
      <c r="BL394" s="10"/>
      <c r="BM394" s="10"/>
      <c r="BN394" s="8"/>
      <c r="BO394" s="8"/>
      <c r="BP394" s="8"/>
      <c r="BQ394" s="107"/>
      <c r="BR394" s="7"/>
      <c r="BS394" s="10"/>
      <c r="BT394" s="10"/>
      <c r="BU394" s="10"/>
      <c r="BV394" s="8"/>
      <c r="BW394" s="8"/>
      <c r="BX394" s="107"/>
      <c r="BY394" s="7"/>
      <c r="BZ394" s="10"/>
      <c r="CA394" s="10"/>
      <c r="CB394" s="8"/>
      <c r="CC394" s="8"/>
      <c r="CD394" s="8"/>
      <c r="CE394" s="107"/>
      <c r="CF394" s="7"/>
      <c r="CG394" s="10"/>
      <c r="CH394" s="10"/>
      <c r="CI394" s="8"/>
      <c r="CJ394" s="8"/>
      <c r="CK394" s="8"/>
      <c r="CL394" s="8"/>
      <c r="CM394" s="266"/>
      <c r="CN394" s="266"/>
      <c r="CO394" s="266"/>
    </row>
    <row r="395" spans="1:93" s="268" customFormat="1" x14ac:dyDescent="0.25">
      <c r="A395" s="107"/>
      <c r="B395" s="107"/>
      <c r="C395" s="7"/>
      <c r="D395" s="10"/>
      <c r="E395" s="10"/>
      <c r="F395" s="8"/>
      <c r="G395" s="8"/>
      <c r="H395" s="107"/>
      <c r="I395" s="7"/>
      <c r="J395" s="10"/>
      <c r="K395" s="10"/>
      <c r="L395" s="8"/>
      <c r="M395" s="8"/>
      <c r="N395" s="107"/>
      <c r="O395" s="7"/>
      <c r="P395" s="10"/>
      <c r="Q395" s="10"/>
      <c r="R395" s="8"/>
      <c r="S395" s="8"/>
      <c r="T395" s="107"/>
      <c r="U395" s="7"/>
      <c r="V395" s="10"/>
      <c r="W395" s="10"/>
      <c r="X395" s="8"/>
      <c r="Y395" s="7"/>
      <c r="Z395" s="8"/>
      <c r="AA395" s="107"/>
      <c r="AB395" s="7"/>
      <c r="AC395" s="10"/>
      <c r="AD395" s="10"/>
      <c r="AE395" s="8"/>
      <c r="AF395" s="8"/>
      <c r="AG395" s="107"/>
      <c r="AH395" s="7"/>
      <c r="AI395" s="10"/>
      <c r="AJ395" s="10"/>
      <c r="AK395" s="8"/>
      <c r="AL395" s="8"/>
      <c r="AM395" s="107"/>
      <c r="AN395" s="7"/>
      <c r="AO395" s="10"/>
      <c r="AP395" s="10"/>
      <c r="AQ395" s="8"/>
      <c r="AR395" s="8"/>
      <c r="AS395" s="8"/>
      <c r="AT395" s="107"/>
      <c r="AU395" s="7"/>
      <c r="AV395" s="10"/>
      <c r="AW395" s="10"/>
      <c r="AX395" s="8"/>
      <c r="AY395" s="8"/>
      <c r="AZ395" s="8"/>
      <c r="BA395" s="107"/>
      <c r="BB395" s="7"/>
      <c r="BC395" s="10"/>
      <c r="BD395" s="10"/>
      <c r="BE395" s="8"/>
      <c r="BF395" s="8"/>
      <c r="BG395" s="8"/>
      <c r="BH395" s="8"/>
      <c r="BI395" s="107"/>
      <c r="BJ395" s="7"/>
      <c r="BK395" s="10"/>
      <c r="BL395" s="10"/>
      <c r="BM395" s="10"/>
      <c r="BN395" s="8"/>
      <c r="BO395" s="8"/>
      <c r="BP395" s="8"/>
      <c r="BQ395" s="107"/>
      <c r="BR395" s="7"/>
      <c r="BS395" s="10"/>
      <c r="BT395" s="10"/>
      <c r="BU395" s="10"/>
      <c r="BV395" s="8"/>
      <c r="BW395" s="8"/>
      <c r="BX395" s="107"/>
      <c r="BY395" s="7"/>
      <c r="BZ395" s="10"/>
      <c r="CA395" s="10"/>
      <c r="CB395" s="8"/>
      <c r="CC395" s="8"/>
      <c r="CD395" s="8"/>
      <c r="CE395" s="107"/>
      <c r="CF395" s="7"/>
      <c r="CG395" s="10"/>
      <c r="CH395" s="10"/>
      <c r="CI395" s="8"/>
      <c r="CJ395" s="8"/>
      <c r="CK395" s="8"/>
      <c r="CL395" s="8"/>
      <c r="CM395" s="266"/>
      <c r="CN395" s="266"/>
      <c r="CO395" s="266"/>
    </row>
    <row r="396" spans="1:93" s="268" customFormat="1" x14ac:dyDescent="0.25">
      <c r="A396" s="107"/>
      <c r="B396" s="107"/>
      <c r="C396" s="7"/>
      <c r="D396" s="10"/>
      <c r="E396" s="10"/>
      <c r="F396" s="8"/>
      <c r="G396" s="8"/>
      <c r="H396" s="107"/>
      <c r="I396" s="7"/>
      <c r="J396" s="10"/>
      <c r="K396" s="10"/>
      <c r="L396" s="8"/>
      <c r="M396" s="8"/>
      <c r="N396" s="107"/>
      <c r="O396" s="7"/>
      <c r="P396" s="10"/>
      <c r="Q396" s="10"/>
      <c r="R396" s="8"/>
      <c r="S396" s="8"/>
      <c r="T396" s="107"/>
      <c r="U396" s="7"/>
      <c r="V396" s="10"/>
      <c r="W396" s="10"/>
      <c r="X396" s="8"/>
      <c r="Y396" s="7"/>
      <c r="Z396" s="8"/>
      <c r="AA396" s="107"/>
      <c r="AB396" s="7"/>
      <c r="AC396" s="10"/>
      <c r="AD396" s="10"/>
      <c r="AE396" s="8"/>
      <c r="AF396" s="8"/>
      <c r="AG396" s="107"/>
      <c r="AH396" s="7"/>
      <c r="AI396" s="10"/>
      <c r="AJ396" s="10"/>
      <c r="AK396" s="8"/>
      <c r="AL396" s="8"/>
      <c r="AM396" s="107"/>
      <c r="AN396" s="7"/>
      <c r="AO396" s="10"/>
      <c r="AP396" s="10"/>
      <c r="AQ396" s="8"/>
      <c r="AR396" s="8"/>
      <c r="AS396" s="8"/>
      <c r="AT396" s="107"/>
      <c r="AU396" s="7"/>
      <c r="AV396" s="10"/>
      <c r="AW396" s="10"/>
      <c r="AX396" s="8"/>
      <c r="AY396" s="8"/>
      <c r="AZ396" s="8"/>
      <c r="BA396" s="107"/>
      <c r="BB396" s="7"/>
      <c r="BC396" s="10"/>
      <c r="BD396" s="10"/>
      <c r="BE396" s="8"/>
      <c r="BF396" s="8"/>
      <c r="BG396" s="8"/>
      <c r="BH396" s="8"/>
      <c r="BI396" s="107"/>
      <c r="BJ396" s="7"/>
      <c r="BK396" s="10"/>
      <c r="BL396" s="10"/>
      <c r="BM396" s="10"/>
      <c r="BN396" s="8"/>
      <c r="BO396" s="8"/>
      <c r="BP396" s="8"/>
      <c r="BQ396" s="107"/>
      <c r="BR396" s="7"/>
      <c r="BS396" s="10"/>
      <c r="BT396" s="10"/>
      <c r="BU396" s="10"/>
      <c r="BV396" s="8"/>
      <c r="BW396" s="8"/>
      <c r="BX396" s="107"/>
      <c r="BY396" s="7"/>
      <c r="BZ396" s="10"/>
      <c r="CA396" s="10"/>
      <c r="CB396" s="8"/>
      <c r="CC396" s="8"/>
      <c r="CD396" s="8"/>
      <c r="CE396" s="107"/>
      <c r="CF396" s="7"/>
      <c r="CG396" s="10"/>
      <c r="CH396" s="10"/>
      <c r="CI396" s="8"/>
      <c r="CJ396" s="8"/>
      <c r="CK396" s="8"/>
      <c r="CL396" s="8"/>
      <c r="CM396" s="266"/>
      <c r="CN396" s="266"/>
      <c r="CO396" s="266"/>
    </row>
    <row r="397" spans="1:93" s="268" customFormat="1" x14ac:dyDescent="0.25">
      <c r="A397" s="107"/>
      <c r="B397" s="107"/>
      <c r="C397" s="7"/>
      <c r="D397" s="10"/>
      <c r="E397" s="10"/>
      <c r="F397" s="8"/>
      <c r="G397" s="8"/>
      <c r="H397" s="107"/>
      <c r="I397" s="7"/>
      <c r="J397" s="10"/>
      <c r="K397" s="10"/>
      <c r="L397" s="8"/>
      <c r="M397" s="8"/>
      <c r="N397" s="107"/>
      <c r="O397" s="7"/>
      <c r="P397" s="10"/>
      <c r="Q397" s="10"/>
      <c r="R397" s="8"/>
      <c r="S397" s="8"/>
      <c r="T397" s="107"/>
      <c r="U397" s="7"/>
      <c r="V397" s="10"/>
      <c r="W397" s="10"/>
      <c r="X397" s="8"/>
      <c r="Y397" s="7"/>
      <c r="Z397" s="8"/>
      <c r="AA397" s="107"/>
      <c r="AB397" s="7"/>
      <c r="AC397" s="10"/>
      <c r="AD397" s="10"/>
      <c r="AE397" s="8"/>
      <c r="AF397" s="8"/>
      <c r="AG397" s="107"/>
      <c r="AH397" s="7"/>
      <c r="AI397" s="10"/>
      <c r="AJ397" s="10"/>
      <c r="AK397" s="8"/>
      <c r="AL397" s="8"/>
      <c r="AM397" s="107"/>
      <c r="AN397" s="7"/>
      <c r="AO397" s="10"/>
      <c r="AP397" s="10"/>
      <c r="AQ397" s="8"/>
      <c r="AR397" s="8"/>
      <c r="AS397" s="8"/>
      <c r="AT397" s="107"/>
      <c r="AU397" s="7"/>
      <c r="AV397" s="10"/>
      <c r="AW397" s="10"/>
      <c r="AX397" s="8"/>
      <c r="AY397" s="8"/>
      <c r="AZ397" s="8"/>
      <c r="BA397" s="107"/>
      <c r="BB397" s="7"/>
      <c r="BC397" s="10"/>
      <c r="BD397" s="10"/>
      <c r="BE397" s="8"/>
      <c r="BF397" s="8"/>
      <c r="BG397" s="8"/>
      <c r="BH397" s="8"/>
      <c r="BI397" s="107"/>
      <c r="BJ397" s="7"/>
      <c r="BK397" s="10"/>
      <c r="BL397" s="10"/>
      <c r="BM397" s="10"/>
      <c r="BN397" s="8"/>
      <c r="BO397" s="8"/>
      <c r="BP397" s="8"/>
      <c r="BQ397" s="107"/>
      <c r="BR397" s="7"/>
      <c r="BS397" s="10"/>
      <c r="BT397" s="10"/>
      <c r="BU397" s="10"/>
      <c r="BV397" s="8"/>
      <c r="BW397" s="8"/>
      <c r="BX397" s="107"/>
      <c r="BY397" s="7"/>
      <c r="BZ397" s="10"/>
      <c r="CA397" s="10"/>
      <c r="CB397" s="8"/>
      <c r="CC397" s="8"/>
      <c r="CD397" s="8"/>
      <c r="CE397" s="107"/>
      <c r="CF397" s="7"/>
      <c r="CG397" s="10"/>
      <c r="CH397" s="10"/>
      <c r="CI397" s="8"/>
      <c r="CJ397" s="8"/>
      <c r="CK397" s="8"/>
      <c r="CL397" s="8"/>
      <c r="CM397" s="266"/>
      <c r="CN397" s="266"/>
      <c r="CO397" s="266"/>
    </row>
    <row r="398" spans="1:93" s="268" customFormat="1" x14ac:dyDescent="0.25">
      <c r="A398" s="107"/>
      <c r="B398" s="107"/>
      <c r="C398" s="7"/>
      <c r="D398" s="10"/>
      <c r="E398" s="10"/>
      <c r="F398" s="8"/>
      <c r="G398" s="8"/>
      <c r="H398" s="107"/>
      <c r="I398" s="7"/>
      <c r="J398" s="10"/>
      <c r="K398" s="10"/>
      <c r="L398" s="8"/>
      <c r="M398" s="8"/>
      <c r="N398" s="107"/>
      <c r="O398" s="7"/>
      <c r="P398" s="10"/>
      <c r="Q398" s="10"/>
      <c r="R398" s="8"/>
      <c r="S398" s="8"/>
      <c r="T398" s="107"/>
      <c r="U398" s="7"/>
      <c r="V398" s="10"/>
      <c r="W398" s="10"/>
      <c r="X398" s="8"/>
      <c r="Y398" s="7"/>
      <c r="Z398" s="8"/>
      <c r="AA398" s="107"/>
      <c r="AB398" s="7"/>
      <c r="AC398" s="10"/>
      <c r="AD398" s="10"/>
      <c r="AE398" s="8"/>
      <c r="AF398" s="8"/>
      <c r="AG398" s="107"/>
      <c r="AH398" s="7"/>
      <c r="AI398" s="10"/>
      <c r="AJ398" s="10"/>
      <c r="AK398" s="8"/>
      <c r="AL398" s="8"/>
      <c r="AM398" s="107"/>
      <c r="AN398" s="7"/>
      <c r="AO398" s="10"/>
      <c r="AP398" s="10"/>
      <c r="AQ398" s="8"/>
      <c r="AR398" s="8"/>
      <c r="AS398" s="8"/>
      <c r="AT398" s="107"/>
      <c r="AU398" s="7"/>
      <c r="AV398" s="10"/>
      <c r="AW398" s="10"/>
      <c r="AX398" s="8"/>
      <c r="AY398" s="8"/>
      <c r="AZ398" s="8"/>
      <c r="BA398" s="107"/>
      <c r="BB398" s="7"/>
      <c r="BC398" s="10"/>
      <c r="BD398" s="10"/>
      <c r="BE398" s="8"/>
      <c r="BF398" s="8"/>
      <c r="BG398" s="8"/>
      <c r="BH398" s="8"/>
      <c r="BI398" s="107"/>
      <c r="BJ398" s="7"/>
      <c r="BK398" s="10"/>
      <c r="BL398" s="10"/>
      <c r="BM398" s="10"/>
      <c r="BN398" s="8"/>
      <c r="BO398" s="8"/>
      <c r="BP398" s="8"/>
      <c r="BQ398" s="107"/>
      <c r="BR398" s="7"/>
      <c r="BS398" s="10"/>
      <c r="BT398" s="10"/>
      <c r="BU398" s="10"/>
      <c r="BV398" s="8"/>
      <c r="BW398" s="8"/>
      <c r="BX398" s="107"/>
      <c r="BY398" s="7"/>
      <c r="BZ398" s="10"/>
      <c r="CA398" s="10"/>
      <c r="CB398" s="8"/>
      <c r="CC398" s="8"/>
      <c r="CD398" s="8"/>
      <c r="CE398" s="107"/>
      <c r="CF398" s="7"/>
      <c r="CG398" s="10"/>
      <c r="CH398" s="10"/>
      <c r="CI398" s="8"/>
      <c r="CJ398" s="8"/>
      <c r="CK398" s="8"/>
      <c r="CL398" s="8"/>
      <c r="CM398" s="266"/>
      <c r="CN398" s="266"/>
      <c r="CO398" s="266"/>
    </row>
    <row r="399" spans="1:93" s="268" customFormat="1" x14ac:dyDescent="0.25">
      <c r="A399" s="107"/>
      <c r="B399" s="107"/>
      <c r="C399" s="7"/>
      <c r="D399" s="10"/>
      <c r="E399" s="10"/>
      <c r="F399" s="8"/>
      <c r="G399" s="8"/>
      <c r="H399" s="107"/>
      <c r="I399" s="7"/>
      <c r="J399" s="10"/>
      <c r="K399" s="10"/>
      <c r="L399" s="8"/>
      <c r="M399" s="8"/>
      <c r="N399" s="107"/>
      <c r="O399" s="7"/>
      <c r="P399" s="10"/>
      <c r="Q399" s="10"/>
      <c r="R399" s="8"/>
      <c r="S399" s="8"/>
      <c r="T399" s="107"/>
      <c r="U399" s="7"/>
      <c r="V399" s="10"/>
      <c r="W399" s="10"/>
      <c r="X399" s="8"/>
      <c r="Y399" s="7"/>
      <c r="Z399" s="8"/>
      <c r="AA399" s="107"/>
      <c r="AB399" s="7"/>
      <c r="AC399" s="10"/>
      <c r="AD399" s="10"/>
      <c r="AE399" s="8"/>
      <c r="AF399" s="8"/>
      <c r="AG399" s="107"/>
      <c r="AH399" s="7"/>
      <c r="AI399" s="10"/>
      <c r="AJ399" s="10"/>
      <c r="AK399" s="8"/>
      <c r="AL399" s="8"/>
      <c r="AM399" s="107"/>
      <c r="AN399" s="7"/>
      <c r="AO399" s="10"/>
      <c r="AP399" s="10"/>
      <c r="AQ399" s="8"/>
      <c r="AR399" s="8"/>
      <c r="AS399" s="8"/>
      <c r="AT399" s="107"/>
      <c r="AU399" s="7"/>
      <c r="AV399" s="10"/>
      <c r="AW399" s="10"/>
      <c r="AX399" s="8"/>
      <c r="AY399" s="8"/>
      <c r="AZ399" s="8"/>
      <c r="BA399" s="107"/>
      <c r="BB399" s="7"/>
      <c r="BC399" s="10"/>
      <c r="BD399" s="10"/>
      <c r="BE399" s="8"/>
      <c r="BF399" s="8"/>
      <c r="BG399" s="8"/>
      <c r="BH399" s="8"/>
      <c r="BI399" s="107"/>
      <c r="BJ399" s="7"/>
      <c r="BK399" s="10"/>
      <c r="BL399" s="10"/>
      <c r="BM399" s="10"/>
      <c r="BN399" s="8"/>
      <c r="BO399" s="8"/>
      <c r="BP399" s="8"/>
      <c r="BQ399" s="107"/>
      <c r="BR399" s="7"/>
      <c r="BS399" s="10"/>
      <c r="BT399" s="10"/>
      <c r="BU399" s="10"/>
      <c r="BV399" s="8"/>
      <c r="BW399" s="8"/>
      <c r="BX399" s="107"/>
      <c r="BY399" s="7"/>
      <c r="BZ399" s="10"/>
      <c r="CA399" s="10"/>
      <c r="CB399" s="8"/>
      <c r="CC399" s="8"/>
      <c r="CD399" s="8"/>
      <c r="CE399" s="107"/>
      <c r="CF399" s="7"/>
      <c r="CG399" s="10"/>
      <c r="CH399" s="10"/>
      <c r="CI399" s="8"/>
      <c r="CJ399" s="8"/>
      <c r="CK399" s="8"/>
      <c r="CL399" s="8"/>
      <c r="CM399" s="266"/>
      <c r="CN399" s="266"/>
      <c r="CO399" s="266"/>
    </row>
    <row r="400" spans="1:93" s="268" customFormat="1" x14ac:dyDescent="0.25">
      <c r="A400" s="107"/>
      <c r="B400" s="107"/>
      <c r="C400" s="7"/>
      <c r="D400" s="10"/>
      <c r="E400" s="10"/>
      <c r="F400" s="8"/>
      <c r="G400" s="8"/>
      <c r="H400" s="107"/>
      <c r="I400" s="7"/>
      <c r="J400" s="10"/>
      <c r="K400" s="10"/>
      <c r="L400" s="8"/>
      <c r="M400" s="8"/>
      <c r="N400" s="107"/>
      <c r="O400" s="7"/>
      <c r="P400" s="10"/>
      <c r="Q400" s="10"/>
      <c r="R400" s="8"/>
      <c r="S400" s="8"/>
      <c r="T400" s="107"/>
      <c r="U400" s="7"/>
      <c r="V400" s="10"/>
      <c r="W400" s="10"/>
      <c r="X400" s="8"/>
      <c r="Y400" s="7"/>
      <c r="Z400" s="8"/>
      <c r="AA400" s="107"/>
      <c r="AB400" s="7"/>
      <c r="AC400" s="10"/>
      <c r="AD400" s="10"/>
      <c r="AE400" s="8"/>
      <c r="AF400" s="8"/>
      <c r="AG400" s="107"/>
      <c r="AH400" s="7"/>
      <c r="AI400" s="10"/>
      <c r="AJ400" s="10"/>
      <c r="AK400" s="8"/>
      <c r="AL400" s="8"/>
      <c r="AM400" s="107"/>
      <c r="AN400" s="7"/>
      <c r="AO400" s="10"/>
      <c r="AP400" s="10"/>
      <c r="AQ400" s="8"/>
      <c r="AR400" s="8"/>
      <c r="AS400" s="8"/>
      <c r="AT400" s="107"/>
      <c r="AU400" s="7"/>
      <c r="AV400" s="10"/>
      <c r="AW400" s="10"/>
      <c r="AX400" s="8"/>
      <c r="AY400" s="8"/>
      <c r="AZ400" s="8"/>
      <c r="BA400" s="107"/>
      <c r="BB400" s="7"/>
      <c r="BC400" s="10"/>
      <c r="BD400" s="10"/>
      <c r="BE400" s="8"/>
      <c r="BF400" s="8"/>
      <c r="BG400" s="8"/>
      <c r="BH400" s="8"/>
      <c r="BI400" s="107"/>
      <c r="BJ400" s="7"/>
      <c r="BK400" s="10"/>
      <c r="BL400" s="10"/>
      <c r="BM400" s="10"/>
      <c r="BN400" s="8"/>
      <c r="BO400" s="8"/>
      <c r="BP400" s="8"/>
      <c r="BQ400" s="107"/>
      <c r="BR400" s="7"/>
      <c r="BS400" s="10"/>
      <c r="BT400" s="10"/>
      <c r="BU400" s="10"/>
      <c r="BV400" s="8"/>
      <c r="BW400" s="8"/>
      <c r="BX400" s="107"/>
      <c r="BY400" s="7"/>
      <c r="BZ400" s="10"/>
      <c r="CA400" s="10"/>
      <c r="CB400" s="8"/>
      <c r="CC400" s="8"/>
      <c r="CD400" s="8"/>
      <c r="CE400" s="107"/>
      <c r="CF400" s="7"/>
      <c r="CG400" s="10"/>
      <c r="CH400" s="10"/>
      <c r="CI400" s="8"/>
      <c r="CJ400" s="8"/>
      <c r="CK400" s="8"/>
      <c r="CL400" s="8"/>
      <c r="CM400" s="266"/>
      <c r="CN400" s="266"/>
      <c r="CO400" s="266"/>
    </row>
    <row r="401" spans="1:93" s="268" customFormat="1" x14ac:dyDescent="0.25">
      <c r="A401" s="107"/>
      <c r="B401" s="107"/>
      <c r="C401" s="7"/>
      <c r="D401" s="10"/>
      <c r="E401" s="10"/>
      <c r="F401" s="8"/>
      <c r="G401" s="8"/>
      <c r="H401" s="107"/>
      <c r="I401" s="7"/>
      <c r="J401" s="10"/>
      <c r="K401" s="10"/>
      <c r="L401" s="8"/>
      <c r="M401" s="8"/>
      <c r="N401" s="107"/>
      <c r="O401" s="7"/>
      <c r="P401" s="10"/>
      <c r="Q401" s="10"/>
      <c r="R401" s="8"/>
      <c r="S401" s="8"/>
      <c r="T401" s="107"/>
      <c r="U401" s="7"/>
      <c r="V401" s="10"/>
      <c r="W401" s="10"/>
      <c r="X401" s="8"/>
      <c r="Y401" s="7"/>
      <c r="Z401" s="8"/>
      <c r="AA401" s="107"/>
      <c r="AB401" s="7"/>
      <c r="AC401" s="10"/>
      <c r="AD401" s="10"/>
      <c r="AE401" s="8"/>
      <c r="AF401" s="8"/>
      <c r="AG401" s="107"/>
      <c r="AH401" s="7"/>
      <c r="AI401" s="10"/>
      <c r="AJ401" s="10"/>
      <c r="AK401" s="8"/>
      <c r="AL401" s="8"/>
      <c r="AM401" s="107"/>
      <c r="AN401" s="7"/>
      <c r="AO401" s="10"/>
      <c r="AP401" s="10"/>
      <c r="AQ401" s="8"/>
      <c r="AR401" s="8"/>
      <c r="AS401" s="8"/>
      <c r="AT401" s="107"/>
      <c r="AU401" s="7"/>
      <c r="AV401" s="10"/>
      <c r="AW401" s="10"/>
      <c r="AX401" s="8"/>
      <c r="AY401" s="8"/>
      <c r="AZ401" s="8"/>
      <c r="BA401" s="107"/>
      <c r="BB401" s="7"/>
      <c r="BC401" s="10"/>
      <c r="BD401" s="10"/>
      <c r="BE401" s="8"/>
      <c r="BF401" s="8"/>
      <c r="BG401" s="8"/>
      <c r="BH401" s="8"/>
      <c r="BI401" s="107"/>
      <c r="BJ401" s="7"/>
      <c r="BK401" s="10"/>
      <c r="BL401" s="10"/>
      <c r="BM401" s="10"/>
      <c r="BN401" s="8"/>
      <c r="BO401" s="8"/>
      <c r="BP401" s="8"/>
      <c r="BQ401" s="107"/>
      <c r="BR401" s="7"/>
      <c r="BS401" s="10"/>
      <c r="BT401" s="10"/>
      <c r="BU401" s="10"/>
      <c r="BV401" s="8"/>
      <c r="BW401" s="8"/>
      <c r="BX401" s="107"/>
      <c r="BY401" s="7"/>
      <c r="BZ401" s="10"/>
      <c r="CA401" s="10"/>
      <c r="CB401" s="8"/>
      <c r="CC401" s="8"/>
      <c r="CD401" s="8"/>
      <c r="CE401" s="107"/>
      <c r="CF401" s="7"/>
      <c r="CG401" s="10"/>
      <c r="CH401" s="10"/>
      <c r="CI401" s="8"/>
      <c r="CJ401" s="8"/>
      <c r="CK401" s="8"/>
      <c r="CL401" s="8"/>
      <c r="CM401" s="266"/>
      <c r="CN401" s="266"/>
      <c r="CO401" s="266"/>
    </row>
    <row r="402" spans="1:93" s="268" customFormat="1" x14ac:dyDescent="0.25">
      <c r="A402" s="107"/>
      <c r="B402" s="107"/>
      <c r="C402" s="108"/>
      <c r="D402" s="11"/>
      <c r="E402" s="11"/>
      <c r="F402" s="3"/>
      <c r="G402" s="3"/>
      <c r="H402" s="107"/>
      <c r="I402" s="108"/>
      <c r="J402" s="11"/>
      <c r="K402" s="11"/>
      <c r="L402" s="3"/>
      <c r="M402" s="3"/>
      <c r="N402" s="107"/>
      <c r="O402" s="108"/>
      <c r="P402" s="11"/>
      <c r="Q402" s="11"/>
      <c r="R402" s="3"/>
      <c r="S402" s="3"/>
      <c r="T402" s="107"/>
      <c r="U402" s="108"/>
      <c r="V402" s="11"/>
      <c r="W402" s="11"/>
      <c r="X402" s="3"/>
      <c r="Y402" s="108"/>
      <c r="Z402" s="3"/>
      <c r="AA402" s="107"/>
      <c r="AB402" s="108"/>
      <c r="AC402" s="11"/>
      <c r="AD402" s="11"/>
      <c r="AE402" s="3"/>
      <c r="AF402" s="3"/>
      <c r="AG402" s="107"/>
      <c r="AH402" s="108"/>
      <c r="AI402" s="11"/>
      <c r="AJ402" s="11"/>
      <c r="AK402" s="3"/>
      <c r="AL402" s="3"/>
      <c r="AM402" s="107"/>
      <c r="AN402" s="108"/>
      <c r="AO402" s="11"/>
      <c r="AP402" s="11"/>
      <c r="AQ402" s="3"/>
      <c r="AR402" s="3"/>
      <c r="AS402" s="3"/>
      <c r="AT402" s="107"/>
      <c r="AU402" s="108"/>
      <c r="AV402" s="11"/>
      <c r="AW402" s="11"/>
      <c r="AX402" s="3"/>
      <c r="AY402" s="3"/>
      <c r="AZ402" s="3"/>
      <c r="BA402" s="107"/>
      <c r="BB402" s="108"/>
      <c r="BC402" s="11"/>
      <c r="BD402" s="11"/>
      <c r="BE402" s="3"/>
      <c r="BF402" s="3"/>
      <c r="BG402" s="3"/>
      <c r="BH402" s="3"/>
      <c r="BI402" s="107"/>
      <c r="BJ402" s="108"/>
      <c r="BK402" s="11"/>
      <c r="BL402" s="11"/>
      <c r="BM402" s="11"/>
      <c r="BN402" s="3"/>
      <c r="BO402" s="3"/>
      <c r="BP402" s="3"/>
      <c r="BQ402" s="107"/>
      <c r="BR402" s="108"/>
      <c r="BS402" s="11"/>
      <c r="BT402" s="11"/>
      <c r="BU402" s="11"/>
      <c r="BV402" s="3"/>
      <c r="BW402" s="3"/>
      <c r="BX402" s="107"/>
      <c r="BY402" s="108"/>
      <c r="BZ402" s="11"/>
      <c r="CA402" s="11"/>
      <c r="CB402" s="3"/>
      <c r="CC402" s="3"/>
      <c r="CD402" s="3"/>
      <c r="CE402" s="107"/>
      <c r="CF402" s="108"/>
      <c r="CG402" s="11"/>
      <c r="CH402" s="11"/>
      <c r="CI402" s="3"/>
      <c r="CJ402" s="3"/>
      <c r="CK402" s="3"/>
      <c r="CL402" s="3"/>
      <c r="CM402" s="270"/>
      <c r="CN402" s="270"/>
      <c r="CO402" s="270"/>
    </row>
    <row r="403" spans="1:93" s="268" customFormat="1" x14ac:dyDescent="0.25">
      <c r="A403" s="107"/>
      <c r="B403" s="107"/>
      <c r="C403" s="108"/>
      <c r="D403" s="11"/>
      <c r="E403" s="11"/>
      <c r="F403" s="3"/>
      <c r="G403" s="3"/>
      <c r="H403" s="107"/>
      <c r="I403" s="108"/>
      <c r="J403" s="11"/>
      <c r="K403" s="11"/>
      <c r="L403" s="3"/>
      <c r="M403" s="3"/>
      <c r="N403" s="107"/>
      <c r="O403" s="108"/>
      <c r="P403" s="11"/>
      <c r="Q403" s="11"/>
      <c r="R403" s="3"/>
      <c r="S403" s="3"/>
      <c r="T403" s="107"/>
      <c r="U403" s="108"/>
      <c r="V403" s="11"/>
      <c r="W403" s="11"/>
      <c r="X403" s="3"/>
      <c r="Y403" s="108"/>
      <c r="Z403" s="3"/>
      <c r="AA403" s="107"/>
      <c r="AB403" s="108"/>
      <c r="AC403" s="11"/>
      <c r="AD403" s="11"/>
      <c r="AE403" s="3"/>
      <c r="AF403" s="3"/>
      <c r="AG403" s="107"/>
      <c r="AH403" s="108"/>
      <c r="AI403" s="11"/>
      <c r="AJ403" s="11"/>
      <c r="AK403" s="3"/>
      <c r="AL403" s="3"/>
      <c r="AM403" s="107"/>
      <c r="AN403" s="108"/>
      <c r="AO403" s="11"/>
      <c r="AP403" s="11"/>
      <c r="AQ403" s="3"/>
      <c r="AR403" s="3"/>
      <c r="AS403" s="3"/>
      <c r="AT403" s="107"/>
      <c r="AU403" s="108"/>
      <c r="AV403" s="11"/>
      <c r="AW403" s="11"/>
      <c r="AX403" s="3"/>
      <c r="AY403" s="3"/>
      <c r="AZ403" s="3"/>
      <c r="BA403" s="107"/>
      <c r="BB403" s="108"/>
      <c r="BC403" s="11"/>
      <c r="BD403" s="11"/>
      <c r="BE403" s="3"/>
      <c r="BF403" s="3"/>
      <c r="BG403" s="3"/>
      <c r="BH403" s="3"/>
      <c r="BI403" s="107"/>
      <c r="BJ403" s="108"/>
      <c r="BK403" s="11"/>
      <c r="BL403" s="11"/>
      <c r="BM403" s="11"/>
      <c r="BN403" s="3"/>
      <c r="BO403" s="3"/>
      <c r="BP403" s="3"/>
      <c r="BQ403" s="107"/>
      <c r="BR403" s="108"/>
      <c r="BS403" s="11"/>
      <c r="BT403" s="11"/>
      <c r="BU403" s="11"/>
      <c r="BV403" s="3"/>
      <c r="BW403" s="3"/>
      <c r="BX403" s="107"/>
      <c r="BY403" s="108"/>
      <c r="BZ403" s="11"/>
      <c r="CA403" s="11"/>
      <c r="CB403" s="3"/>
      <c r="CC403" s="3"/>
      <c r="CD403" s="3"/>
      <c r="CE403" s="107"/>
      <c r="CF403" s="108"/>
      <c r="CG403" s="11"/>
      <c r="CH403" s="11"/>
      <c r="CI403" s="3"/>
      <c r="CJ403" s="3"/>
      <c r="CK403" s="3"/>
      <c r="CL403" s="3"/>
      <c r="CM403" s="270"/>
      <c r="CN403" s="270"/>
      <c r="CO403" s="270"/>
    </row>
    <row r="404" spans="1:93" s="268" customFormat="1" x14ac:dyDescent="0.25">
      <c r="A404" s="107"/>
      <c r="B404" s="107"/>
      <c r="C404" s="108"/>
      <c r="D404" s="11"/>
      <c r="E404" s="11"/>
      <c r="F404" s="3"/>
      <c r="G404" s="3"/>
      <c r="H404" s="107"/>
      <c r="I404" s="108"/>
      <c r="J404" s="11"/>
      <c r="K404" s="11"/>
      <c r="L404" s="3"/>
      <c r="M404" s="3"/>
      <c r="N404" s="107"/>
      <c r="O404" s="108"/>
      <c r="P404" s="11"/>
      <c r="Q404" s="11"/>
      <c r="R404" s="3"/>
      <c r="S404" s="3"/>
      <c r="T404" s="107"/>
      <c r="U404" s="108"/>
      <c r="V404" s="11"/>
      <c r="W404" s="11"/>
      <c r="X404" s="3"/>
      <c r="Y404" s="108"/>
      <c r="Z404" s="3"/>
      <c r="AA404" s="107"/>
      <c r="AB404" s="108"/>
      <c r="AC404" s="11"/>
      <c r="AD404" s="11"/>
      <c r="AE404" s="3"/>
      <c r="AF404" s="3"/>
      <c r="AG404" s="107"/>
      <c r="AH404" s="108"/>
      <c r="AI404" s="11"/>
      <c r="AJ404" s="11"/>
      <c r="AK404" s="3"/>
      <c r="AL404" s="3"/>
      <c r="AM404" s="107"/>
      <c r="AN404" s="108"/>
      <c r="AO404" s="11"/>
      <c r="AP404" s="11"/>
      <c r="AQ404" s="3"/>
      <c r="AR404" s="3"/>
      <c r="AS404" s="3"/>
      <c r="AT404" s="107"/>
      <c r="AU404" s="108"/>
      <c r="AV404" s="11"/>
      <c r="AW404" s="11"/>
      <c r="AX404" s="3"/>
      <c r="AY404" s="3"/>
      <c r="AZ404" s="3"/>
      <c r="BA404" s="107"/>
      <c r="BB404" s="108"/>
      <c r="BC404" s="11"/>
      <c r="BD404" s="11"/>
      <c r="BE404" s="3"/>
      <c r="BF404" s="3"/>
      <c r="BG404" s="3"/>
      <c r="BH404" s="3"/>
      <c r="BI404" s="107"/>
      <c r="BJ404" s="108"/>
      <c r="BK404" s="11"/>
      <c r="BL404" s="11"/>
      <c r="BM404" s="11"/>
      <c r="BN404" s="3"/>
      <c r="BO404" s="3"/>
      <c r="BP404" s="3"/>
      <c r="BQ404" s="107"/>
      <c r="BR404" s="108"/>
      <c r="BS404" s="11"/>
      <c r="BT404" s="11"/>
      <c r="BU404" s="11"/>
      <c r="BV404" s="3"/>
      <c r="BW404" s="3"/>
      <c r="BX404" s="107"/>
      <c r="BY404" s="108"/>
      <c r="BZ404" s="11"/>
      <c r="CA404" s="11"/>
      <c r="CB404" s="3"/>
      <c r="CC404" s="3"/>
      <c r="CD404" s="3"/>
      <c r="CE404" s="107"/>
      <c r="CF404" s="108"/>
      <c r="CG404" s="11"/>
      <c r="CH404" s="11"/>
      <c r="CI404" s="3"/>
      <c r="CJ404" s="3"/>
      <c r="CK404" s="3"/>
      <c r="CL404" s="3"/>
      <c r="CM404" s="270"/>
      <c r="CN404" s="270"/>
      <c r="CO404" s="270"/>
    </row>
    <row r="405" spans="1:93" s="268" customFormat="1" x14ac:dyDescent="0.25">
      <c r="A405" s="107"/>
      <c r="B405" s="107"/>
      <c r="C405" s="108"/>
      <c r="D405" s="11"/>
      <c r="E405" s="11"/>
      <c r="F405" s="3"/>
      <c r="G405" s="3"/>
      <c r="H405" s="107"/>
      <c r="I405" s="108"/>
      <c r="J405" s="11"/>
      <c r="K405" s="11"/>
      <c r="L405" s="3"/>
      <c r="M405" s="3"/>
      <c r="N405" s="107"/>
      <c r="O405" s="108"/>
      <c r="P405" s="11"/>
      <c r="Q405" s="11"/>
      <c r="R405" s="3"/>
      <c r="S405" s="3"/>
      <c r="T405" s="107"/>
      <c r="U405" s="108"/>
      <c r="V405" s="11"/>
      <c r="W405" s="11"/>
      <c r="X405" s="3"/>
      <c r="Y405" s="108"/>
      <c r="Z405" s="3"/>
      <c r="AA405" s="107"/>
      <c r="AB405" s="108"/>
      <c r="AC405" s="11"/>
      <c r="AD405" s="11"/>
      <c r="AE405" s="3"/>
      <c r="AF405" s="3"/>
      <c r="AG405" s="107"/>
      <c r="AH405" s="108"/>
      <c r="AI405" s="11"/>
      <c r="AJ405" s="11"/>
      <c r="AK405" s="3"/>
      <c r="AL405" s="3"/>
      <c r="AM405" s="107"/>
      <c r="AN405" s="108"/>
      <c r="AO405" s="11"/>
      <c r="AP405" s="11"/>
      <c r="AQ405" s="3"/>
      <c r="AR405" s="3"/>
      <c r="AS405" s="3"/>
      <c r="AT405" s="107"/>
      <c r="AU405" s="108"/>
      <c r="AV405" s="11"/>
      <c r="AW405" s="11"/>
      <c r="AX405" s="3"/>
      <c r="AY405" s="3"/>
      <c r="AZ405" s="3"/>
      <c r="BA405" s="107"/>
      <c r="BB405" s="108"/>
      <c r="BC405" s="11"/>
      <c r="BD405" s="11"/>
      <c r="BE405" s="3"/>
      <c r="BF405" s="3"/>
      <c r="BG405" s="3"/>
      <c r="BH405" s="3"/>
      <c r="BI405" s="107"/>
      <c r="BJ405" s="108"/>
      <c r="BK405" s="11"/>
      <c r="BL405" s="11"/>
      <c r="BM405" s="11"/>
      <c r="BN405" s="3"/>
      <c r="BO405" s="3"/>
      <c r="BP405" s="3"/>
      <c r="BQ405" s="107"/>
      <c r="BR405" s="108"/>
      <c r="BS405" s="11"/>
      <c r="BT405" s="11"/>
      <c r="BU405" s="11"/>
      <c r="BV405" s="3"/>
      <c r="BW405" s="3"/>
      <c r="BX405" s="107"/>
      <c r="BY405" s="108"/>
      <c r="BZ405" s="11"/>
      <c r="CA405" s="11"/>
      <c r="CB405" s="3"/>
      <c r="CC405" s="3"/>
      <c r="CD405" s="3"/>
      <c r="CE405" s="107"/>
      <c r="CF405" s="108"/>
      <c r="CG405" s="11"/>
      <c r="CH405" s="11"/>
      <c r="CI405" s="3"/>
      <c r="CJ405" s="3"/>
      <c r="CK405" s="3"/>
      <c r="CL405" s="3"/>
      <c r="CM405" s="270"/>
      <c r="CN405" s="270"/>
      <c r="CO405" s="270"/>
    </row>
    <row r="406" spans="1:93" s="268" customFormat="1" x14ac:dyDescent="0.25">
      <c r="A406" s="107"/>
      <c r="B406" s="107"/>
      <c r="C406" s="108"/>
      <c r="D406" s="11"/>
      <c r="E406" s="11"/>
      <c r="F406" s="3"/>
      <c r="G406" s="3"/>
      <c r="H406" s="107"/>
      <c r="I406" s="108"/>
      <c r="J406" s="11"/>
      <c r="K406" s="11"/>
      <c r="L406" s="3"/>
      <c r="M406" s="3"/>
      <c r="N406" s="107"/>
      <c r="O406" s="108"/>
      <c r="P406" s="11"/>
      <c r="Q406" s="11"/>
      <c r="R406" s="3"/>
      <c r="S406" s="3"/>
      <c r="T406" s="107"/>
      <c r="U406" s="108"/>
      <c r="V406" s="11"/>
      <c r="W406" s="11"/>
      <c r="X406" s="3"/>
      <c r="Y406" s="108"/>
      <c r="Z406" s="3"/>
      <c r="AA406" s="107"/>
      <c r="AB406" s="108"/>
      <c r="AC406" s="11"/>
      <c r="AD406" s="11"/>
      <c r="AE406" s="3"/>
      <c r="AF406" s="3"/>
      <c r="AG406" s="107"/>
      <c r="AH406" s="108"/>
      <c r="AI406" s="11"/>
      <c r="AJ406" s="11"/>
      <c r="AK406" s="3"/>
      <c r="AL406" s="3"/>
      <c r="AM406" s="107"/>
      <c r="AN406" s="108"/>
      <c r="AO406" s="11"/>
      <c r="AP406" s="11"/>
      <c r="AQ406" s="3"/>
      <c r="AR406" s="3"/>
      <c r="AS406" s="3"/>
      <c r="AT406" s="107"/>
      <c r="AU406" s="108"/>
      <c r="AV406" s="11"/>
      <c r="AW406" s="11"/>
      <c r="AX406" s="3"/>
      <c r="AY406" s="3"/>
      <c r="AZ406" s="3"/>
      <c r="BA406" s="107"/>
      <c r="BB406" s="108"/>
      <c r="BC406" s="11"/>
      <c r="BD406" s="11"/>
      <c r="BE406" s="3"/>
      <c r="BF406" s="3"/>
      <c r="BG406" s="3"/>
      <c r="BH406" s="3"/>
      <c r="BI406" s="107"/>
      <c r="BJ406" s="108"/>
      <c r="BK406" s="11"/>
      <c r="BL406" s="11"/>
      <c r="BM406" s="11"/>
      <c r="BN406" s="3"/>
      <c r="BO406" s="3"/>
      <c r="BP406" s="3"/>
      <c r="BQ406" s="107"/>
      <c r="BR406" s="108"/>
      <c r="BS406" s="11"/>
      <c r="BT406" s="11"/>
      <c r="BU406" s="11"/>
      <c r="BV406" s="3"/>
      <c r="BW406" s="3"/>
      <c r="BX406" s="107"/>
      <c r="BY406" s="108"/>
      <c r="BZ406" s="11"/>
      <c r="CA406" s="11"/>
      <c r="CB406" s="3"/>
      <c r="CC406" s="3"/>
      <c r="CD406" s="3"/>
      <c r="CE406" s="107"/>
      <c r="CF406" s="108"/>
      <c r="CG406" s="11"/>
      <c r="CH406" s="11"/>
      <c r="CI406" s="3"/>
      <c r="CJ406" s="3"/>
      <c r="CK406" s="3"/>
      <c r="CL406" s="3"/>
      <c r="CM406" s="270"/>
      <c r="CN406" s="270"/>
      <c r="CO406" s="270"/>
    </row>
    <row r="407" spans="1:93" s="268" customFormat="1" x14ac:dyDescent="0.25">
      <c r="A407" s="107"/>
      <c r="B407" s="107"/>
      <c r="C407" s="108"/>
      <c r="D407" s="11"/>
      <c r="E407" s="11"/>
      <c r="F407" s="3"/>
      <c r="G407" s="3"/>
      <c r="H407" s="107"/>
      <c r="I407" s="108"/>
      <c r="J407" s="11"/>
      <c r="K407" s="11"/>
      <c r="L407" s="3"/>
      <c r="M407" s="3"/>
      <c r="N407" s="107"/>
      <c r="O407" s="108"/>
      <c r="P407" s="11"/>
      <c r="Q407" s="11"/>
      <c r="R407" s="3"/>
      <c r="S407" s="3"/>
      <c r="T407" s="107"/>
      <c r="U407" s="108"/>
      <c r="V407" s="11"/>
      <c r="W407" s="11"/>
      <c r="X407" s="3"/>
      <c r="Y407" s="108"/>
      <c r="Z407" s="3"/>
      <c r="AA407" s="107"/>
      <c r="AB407" s="108"/>
      <c r="AC407" s="11"/>
      <c r="AD407" s="11"/>
      <c r="AE407" s="3"/>
      <c r="AF407" s="3"/>
      <c r="AG407" s="107"/>
      <c r="AH407" s="108"/>
      <c r="AI407" s="11"/>
      <c r="AJ407" s="11"/>
      <c r="AK407" s="3"/>
      <c r="AL407" s="3"/>
      <c r="AM407" s="107"/>
      <c r="AN407" s="108"/>
      <c r="AO407" s="11"/>
      <c r="AP407" s="11"/>
      <c r="AQ407" s="3"/>
      <c r="AR407" s="3"/>
      <c r="AS407" s="3"/>
      <c r="AT407" s="107"/>
      <c r="AU407" s="108"/>
      <c r="AV407" s="11"/>
      <c r="AW407" s="11"/>
      <c r="AX407" s="3"/>
      <c r="AY407" s="3"/>
      <c r="AZ407" s="3"/>
      <c r="BA407" s="107"/>
      <c r="BB407" s="108"/>
      <c r="BC407" s="11"/>
      <c r="BD407" s="11"/>
      <c r="BE407" s="3"/>
      <c r="BF407" s="3"/>
      <c r="BG407" s="3"/>
      <c r="BH407" s="3"/>
      <c r="BI407" s="107"/>
      <c r="BJ407" s="108"/>
      <c r="BK407" s="11"/>
      <c r="BL407" s="11"/>
      <c r="BM407" s="11"/>
      <c r="BN407" s="3"/>
      <c r="BO407" s="3"/>
      <c r="BP407" s="3"/>
      <c r="BQ407" s="107"/>
      <c r="BR407" s="108"/>
      <c r="BS407" s="11"/>
      <c r="BT407" s="11"/>
      <c r="BU407" s="11"/>
      <c r="BV407" s="3"/>
      <c r="BW407" s="3"/>
      <c r="BX407" s="107"/>
      <c r="BY407" s="108"/>
      <c r="BZ407" s="11"/>
      <c r="CA407" s="11"/>
      <c r="CB407" s="3"/>
      <c r="CC407" s="3"/>
      <c r="CD407" s="3"/>
      <c r="CE407" s="107"/>
      <c r="CF407" s="108"/>
      <c r="CG407" s="11"/>
      <c r="CH407" s="11"/>
      <c r="CI407" s="3"/>
      <c r="CJ407" s="3"/>
      <c r="CK407" s="3"/>
      <c r="CL407" s="3"/>
      <c r="CM407" s="270"/>
      <c r="CN407" s="270"/>
      <c r="CO407" s="270"/>
    </row>
    <row r="408" spans="1:93" s="268" customFormat="1" x14ac:dyDescent="0.25">
      <c r="A408" s="107"/>
      <c r="B408" s="107"/>
      <c r="C408" s="108"/>
      <c r="D408" s="11"/>
      <c r="E408" s="11"/>
      <c r="F408" s="3"/>
      <c r="G408" s="3"/>
      <c r="H408" s="107"/>
      <c r="I408" s="108"/>
      <c r="J408" s="11"/>
      <c r="K408" s="11"/>
      <c r="L408" s="3"/>
      <c r="M408" s="3"/>
      <c r="N408" s="107"/>
      <c r="O408" s="108"/>
      <c r="P408" s="11"/>
      <c r="Q408" s="11"/>
      <c r="R408" s="3"/>
      <c r="S408" s="3"/>
      <c r="T408" s="107"/>
      <c r="U408" s="108"/>
      <c r="V408" s="11"/>
      <c r="W408" s="11"/>
      <c r="X408" s="3"/>
      <c r="Y408" s="108"/>
      <c r="Z408" s="3"/>
      <c r="AA408" s="107"/>
      <c r="AB408" s="108"/>
      <c r="AC408" s="11"/>
      <c r="AD408" s="11"/>
      <c r="AE408" s="3"/>
      <c r="AF408" s="3"/>
      <c r="AG408" s="107"/>
      <c r="AH408" s="108"/>
      <c r="AI408" s="11"/>
      <c r="AJ408" s="11"/>
      <c r="AK408" s="3"/>
      <c r="AL408" s="3"/>
      <c r="AM408" s="107"/>
      <c r="AN408" s="108"/>
      <c r="AO408" s="11"/>
      <c r="AP408" s="11"/>
      <c r="AQ408" s="3"/>
      <c r="AR408" s="3"/>
      <c r="AS408" s="3"/>
      <c r="AT408" s="107"/>
      <c r="AU408" s="108"/>
      <c r="AV408" s="11"/>
      <c r="AW408" s="11"/>
      <c r="AX408" s="3"/>
      <c r="AY408" s="3"/>
      <c r="AZ408" s="3"/>
      <c r="BA408" s="107"/>
      <c r="BB408" s="108"/>
      <c r="BC408" s="11"/>
      <c r="BD408" s="11"/>
      <c r="BE408" s="3"/>
      <c r="BF408" s="3"/>
      <c r="BG408" s="3"/>
      <c r="BH408" s="3"/>
      <c r="BI408" s="107"/>
      <c r="BJ408" s="108"/>
      <c r="BK408" s="11"/>
      <c r="BL408" s="11"/>
      <c r="BM408" s="11"/>
      <c r="BN408" s="3"/>
      <c r="BO408" s="3"/>
      <c r="BP408" s="3"/>
      <c r="BQ408" s="107"/>
      <c r="BR408" s="108"/>
      <c r="BS408" s="11"/>
      <c r="BT408" s="11"/>
      <c r="BU408" s="11"/>
      <c r="BV408" s="3"/>
      <c r="BW408" s="3"/>
      <c r="BX408" s="107"/>
      <c r="BY408" s="108"/>
      <c r="BZ408" s="11"/>
      <c r="CA408" s="11"/>
      <c r="CB408" s="3"/>
      <c r="CC408" s="3"/>
      <c r="CD408" s="3"/>
      <c r="CE408" s="107"/>
      <c r="CF408" s="108"/>
      <c r="CG408" s="11"/>
      <c r="CH408" s="11"/>
      <c r="CI408" s="3"/>
      <c r="CJ408" s="3"/>
      <c r="CK408" s="3"/>
      <c r="CL408" s="3"/>
      <c r="CM408" s="270"/>
      <c r="CN408" s="270"/>
      <c r="CO408" s="270"/>
    </row>
    <row r="409" spans="1:93" s="268" customFormat="1" x14ac:dyDescent="0.25">
      <c r="A409" s="107"/>
      <c r="B409" s="107"/>
      <c r="C409" s="108"/>
      <c r="D409" s="11"/>
      <c r="E409" s="11"/>
      <c r="F409" s="3"/>
      <c r="G409" s="3"/>
      <c r="H409" s="107"/>
      <c r="I409" s="108"/>
      <c r="J409" s="11"/>
      <c r="K409" s="11"/>
      <c r="L409" s="3"/>
      <c r="M409" s="3"/>
      <c r="N409" s="107"/>
      <c r="O409" s="108"/>
      <c r="P409" s="11"/>
      <c r="Q409" s="11"/>
      <c r="R409" s="3"/>
      <c r="S409" s="3"/>
      <c r="T409" s="107"/>
      <c r="U409" s="108"/>
      <c r="V409" s="11"/>
      <c r="W409" s="11"/>
      <c r="X409" s="3"/>
      <c r="Y409" s="108"/>
      <c r="Z409" s="3"/>
      <c r="AA409" s="107"/>
      <c r="AB409" s="108"/>
      <c r="AC409" s="11"/>
      <c r="AD409" s="11"/>
      <c r="AE409" s="3"/>
      <c r="AF409" s="3"/>
      <c r="AG409" s="107"/>
      <c r="AH409" s="108"/>
      <c r="AI409" s="11"/>
      <c r="AJ409" s="11"/>
      <c r="AK409" s="3"/>
      <c r="AL409" s="3"/>
      <c r="AM409" s="107"/>
      <c r="AN409" s="108"/>
      <c r="AO409" s="11"/>
      <c r="AP409" s="11"/>
      <c r="AQ409" s="3"/>
      <c r="AR409" s="3"/>
      <c r="AS409" s="3"/>
      <c r="AT409" s="107"/>
      <c r="AU409" s="108"/>
      <c r="AV409" s="11"/>
      <c r="AW409" s="11"/>
      <c r="AX409" s="3"/>
      <c r="AY409" s="3"/>
      <c r="AZ409" s="3"/>
      <c r="BA409" s="107"/>
      <c r="BB409" s="108"/>
      <c r="BC409" s="11"/>
      <c r="BD409" s="11"/>
      <c r="BE409" s="3"/>
      <c r="BF409" s="3"/>
      <c r="BG409" s="3"/>
      <c r="BH409" s="3"/>
      <c r="BI409" s="107"/>
      <c r="BJ409" s="108"/>
      <c r="BK409" s="11"/>
      <c r="BL409" s="11"/>
      <c r="BM409" s="11"/>
      <c r="BN409" s="3"/>
      <c r="BO409" s="3"/>
      <c r="BP409" s="3"/>
      <c r="BQ409" s="107"/>
      <c r="BR409" s="108"/>
      <c r="BS409" s="11"/>
      <c r="BT409" s="11"/>
      <c r="BU409" s="11"/>
      <c r="BV409" s="3"/>
      <c r="BW409" s="3"/>
      <c r="BX409" s="107"/>
      <c r="BY409" s="108"/>
      <c r="BZ409" s="11"/>
      <c r="CA409" s="11"/>
      <c r="CB409" s="3"/>
      <c r="CC409" s="3"/>
      <c r="CD409" s="3"/>
      <c r="CE409" s="107"/>
      <c r="CF409" s="108"/>
      <c r="CG409" s="11"/>
      <c r="CH409" s="11"/>
      <c r="CI409" s="3"/>
      <c r="CJ409" s="3"/>
      <c r="CK409" s="3"/>
      <c r="CL409" s="3"/>
      <c r="CM409" s="270"/>
      <c r="CN409" s="270"/>
      <c r="CO409" s="270"/>
    </row>
    <row r="410" spans="1:93" s="268" customFormat="1" x14ac:dyDescent="0.25">
      <c r="A410" s="107"/>
      <c r="B410" s="107"/>
      <c r="C410" s="108"/>
      <c r="D410" s="11"/>
      <c r="E410" s="11"/>
      <c r="F410" s="3"/>
      <c r="G410" s="3"/>
      <c r="H410" s="107"/>
      <c r="I410" s="108"/>
      <c r="J410" s="11"/>
      <c r="K410" s="11"/>
      <c r="L410" s="3"/>
      <c r="M410" s="3"/>
      <c r="N410" s="107"/>
      <c r="O410" s="108"/>
      <c r="P410" s="11"/>
      <c r="Q410" s="11"/>
      <c r="R410" s="3"/>
      <c r="S410" s="3"/>
      <c r="T410" s="107"/>
      <c r="U410" s="108"/>
      <c r="V410" s="11"/>
      <c r="W410" s="11"/>
      <c r="X410" s="3"/>
      <c r="Y410" s="108"/>
      <c r="Z410" s="3"/>
      <c r="AA410" s="107"/>
      <c r="AB410" s="108"/>
      <c r="AC410" s="11"/>
      <c r="AD410" s="11"/>
      <c r="AE410" s="3"/>
      <c r="AF410" s="3"/>
      <c r="AG410" s="107"/>
      <c r="AH410" s="108"/>
      <c r="AI410" s="11"/>
      <c r="AJ410" s="11"/>
      <c r="AK410" s="3"/>
      <c r="AL410" s="3"/>
      <c r="AM410" s="107"/>
      <c r="AN410" s="108"/>
      <c r="AO410" s="11"/>
      <c r="AP410" s="11"/>
      <c r="AQ410" s="3"/>
      <c r="AR410" s="3"/>
      <c r="AS410" s="3"/>
      <c r="AT410" s="107"/>
      <c r="AU410" s="108"/>
      <c r="AV410" s="11"/>
      <c r="AW410" s="11"/>
      <c r="AX410" s="3"/>
      <c r="AY410" s="3"/>
      <c r="AZ410" s="3"/>
      <c r="BA410" s="107"/>
      <c r="BB410" s="108"/>
      <c r="BC410" s="11"/>
      <c r="BD410" s="11"/>
      <c r="BE410" s="3"/>
      <c r="BF410" s="3"/>
      <c r="BG410" s="3"/>
      <c r="BH410" s="3"/>
      <c r="BI410" s="107"/>
      <c r="BJ410" s="108"/>
      <c r="BK410" s="11"/>
      <c r="BL410" s="11"/>
      <c r="BM410" s="11"/>
      <c r="BN410" s="3"/>
      <c r="BO410" s="3"/>
      <c r="BP410" s="3"/>
      <c r="BQ410" s="107"/>
      <c r="BR410" s="108"/>
      <c r="BS410" s="11"/>
      <c r="BT410" s="11"/>
      <c r="BU410" s="11"/>
      <c r="BV410" s="3"/>
      <c r="BW410" s="3"/>
      <c r="BX410" s="107"/>
      <c r="BY410" s="108"/>
      <c r="BZ410" s="11"/>
      <c r="CA410" s="11"/>
      <c r="CB410" s="3"/>
      <c r="CC410" s="3"/>
      <c r="CD410" s="3"/>
      <c r="CE410" s="107"/>
      <c r="CF410" s="108"/>
      <c r="CG410" s="11"/>
      <c r="CH410" s="11"/>
      <c r="CI410" s="3"/>
      <c r="CJ410" s="3"/>
      <c r="CK410" s="3"/>
      <c r="CL410" s="3"/>
      <c r="CM410" s="270"/>
      <c r="CN410" s="270"/>
      <c r="CO410" s="270"/>
    </row>
    <row r="411" spans="1:93" s="268" customFormat="1" x14ac:dyDescent="0.25">
      <c r="A411" s="107"/>
      <c r="B411" s="107"/>
      <c r="C411" s="108"/>
      <c r="D411" s="11"/>
      <c r="E411" s="11"/>
      <c r="F411" s="3"/>
      <c r="G411" s="3"/>
      <c r="H411" s="107"/>
      <c r="I411" s="108"/>
      <c r="J411" s="11"/>
      <c r="K411" s="11"/>
      <c r="L411" s="3"/>
      <c r="M411" s="3"/>
      <c r="N411" s="107"/>
      <c r="O411" s="108"/>
      <c r="P411" s="11"/>
      <c r="Q411" s="11"/>
      <c r="R411" s="3"/>
      <c r="S411" s="3"/>
      <c r="T411" s="107"/>
      <c r="U411" s="108"/>
      <c r="V411" s="11"/>
      <c r="W411" s="11"/>
      <c r="X411" s="3"/>
      <c r="Y411" s="108"/>
      <c r="Z411" s="3"/>
      <c r="AA411" s="107"/>
      <c r="AB411" s="108"/>
      <c r="AC411" s="11"/>
      <c r="AD411" s="11"/>
      <c r="AE411" s="3"/>
      <c r="AF411" s="3"/>
      <c r="AG411" s="107"/>
      <c r="AH411" s="108"/>
      <c r="AI411" s="11"/>
      <c r="AJ411" s="11"/>
      <c r="AK411" s="3"/>
      <c r="AL411" s="3"/>
      <c r="AM411" s="107"/>
      <c r="AN411" s="108"/>
      <c r="AO411" s="11"/>
      <c r="AP411" s="11"/>
      <c r="AQ411" s="3"/>
      <c r="AR411" s="3"/>
      <c r="AS411" s="3"/>
      <c r="AT411" s="107"/>
      <c r="AU411" s="108"/>
      <c r="AV411" s="11"/>
      <c r="AW411" s="11"/>
      <c r="AX411" s="3"/>
      <c r="AY411" s="3"/>
      <c r="AZ411" s="3"/>
      <c r="BA411" s="107"/>
      <c r="BB411" s="108"/>
      <c r="BC411" s="11"/>
      <c r="BD411" s="11"/>
      <c r="BE411" s="3"/>
      <c r="BF411" s="3"/>
      <c r="BG411" s="3"/>
      <c r="BH411" s="3"/>
      <c r="BI411" s="107"/>
      <c r="BJ411" s="108"/>
      <c r="BK411" s="11"/>
      <c r="BL411" s="11"/>
      <c r="BM411" s="11"/>
      <c r="BN411" s="3"/>
      <c r="BO411" s="3"/>
      <c r="BP411" s="3"/>
      <c r="BQ411" s="107"/>
      <c r="BR411" s="108"/>
      <c r="BS411" s="11"/>
      <c r="BT411" s="11"/>
      <c r="BU411" s="11"/>
      <c r="BV411" s="3"/>
      <c r="BW411" s="3"/>
      <c r="BX411" s="107"/>
      <c r="BY411" s="108"/>
      <c r="BZ411" s="11"/>
      <c r="CA411" s="11"/>
      <c r="CB411" s="3"/>
      <c r="CC411" s="3"/>
      <c r="CD411" s="3"/>
      <c r="CE411" s="107"/>
      <c r="CF411" s="108"/>
      <c r="CG411" s="11"/>
      <c r="CH411" s="11"/>
      <c r="CI411" s="3"/>
      <c r="CJ411" s="3"/>
      <c r="CK411" s="3"/>
      <c r="CL411" s="3"/>
      <c r="CM411" s="270"/>
      <c r="CN411" s="270"/>
      <c r="CO411" s="270"/>
    </row>
    <row r="412" spans="1:93" s="268" customFormat="1" x14ac:dyDescent="0.25">
      <c r="A412" s="107"/>
      <c r="B412" s="107"/>
      <c r="C412" s="108"/>
      <c r="D412" s="11"/>
      <c r="E412" s="11"/>
      <c r="F412" s="3"/>
      <c r="G412" s="3"/>
      <c r="H412" s="107"/>
      <c r="I412" s="108"/>
      <c r="J412" s="11"/>
      <c r="K412" s="11"/>
      <c r="L412" s="3"/>
      <c r="M412" s="3"/>
      <c r="N412" s="107"/>
      <c r="O412" s="108"/>
      <c r="P412" s="11"/>
      <c r="Q412" s="11"/>
      <c r="R412" s="3"/>
      <c r="S412" s="3"/>
      <c r="T412" s="107"/>
      <c r="U412" s="108"/>
      <c r="V412" s="11"/>
      <c r="W412" s="11"/>
      <c r="X412" s="3"/>
      <c r="Y412" s="108"/>
      <c r="Z412" s="3"/>
      <c r="AA412" s="107"/>
      <c r="AB412" s="108"/>
      <c r="AC412" s="11"/>
      <c r="AD412" s="11"/>
      <c r="AE412" s="3"/>
      <c r="AF412" s="3"/>
      <c r="AG412" s="107"/>
      <c r="AH412" s="108"/>
      <c r="AI412" s="11"/>
      <c r="AJ412" s="11"/>
      <c r="AK412" s="3"/>
      <c r="AL412" s="3"/>
      <c r="AM412" s="107"/>
      <c r="AN412" s="108"/>
      <c r="AO412" s="11"/>
      <c r="AP412" s="11"/>
      <c r="AQ412" s="3"/>
      <c r="AR412" s="3"/>
      <c r="AS412" s="3"/>
      <c r="AT412" s="107"/>
      <c r="AU412" s="108"/>
      <c r="AV412" s="11"/>
      <c r="AW412" s="11"/>
      <c r="AX412" s="3"/>
      <c r="AY412" s="3"/>
      <c r="AZ412" s="3"/>
      <c r="BA412" s="107"/>
      <c r="BB412" s="108"/>
      <c r="BC412" s="11"/>
      <c r="BD412" s="11"/>
      <c r="BE412" s="3"/>
      <c r="BF412" s="3"/>
      <c r="BG412" s="3"/>
      <c r="BH412" s="3"/>
      <c r="BI412" s="107"/>
      <c r="BJ412" s="108"/>
      <c r="BK412" s="11"/>
      <c r="BL412" s="11"/>
      <c r="BM412" s="11"/>
      <c r="BN412" s="3"/>
      <c r="BO412" s="3"/>
      <c r="BP412" s="3"/>
      <c r="BQ412" s="107"/>
      <c r="BR412" s="108"/>
      <c r="BS412" s="11"/>
      <c r="BT412" s="11"/>
      <c r="BU412" s="11"/>
      <c r="BV412" s="3"/>
      <c r="BW412" s="3"/>
      <c r="BX412" s="107"/>
      <c r="BY412" s="108"/>
      <c r="BZ412" s="11"/>
      <c r="CA412" s="11"/>
      <c r="CB412" s="3"/>
      <c r="CC412" s="3"/>
      <c r="CD412" s="3"/>
      <c r="CE412" s="107"/>
      <c r="CF412" s="108"/>
      <c r="CG412" s="11"/>
      <c r="CH412" s="11"/>
      <c r="CI412" s="3"/>
      <c r="CJ412" s="3"/>
      <c r="CK412" s="3"/>
      <c r="CL412" s="3"/>
      <c r="CM412" s="270"/>
      <c r="CN412" s="270"/>
      <c r="CO412" s="270"/>
    </row>
    <row r="413" spans="1:93" s="268" customFormat="1" x14ac:dyDescent="0.25">
      <c r="A413" s="107"/>
      <c r="B413" s="107"/>
      <c r="C413" s="108"/>
      <c r="D413" s="11"/>
      <c r="E413" s="11"/>
      <c r="F413" s="3"/>
      <c r="G413" s="3"/>
      <c r="H413" s="107"/>
      <c r="I413" s="108"/>
      <c r="J413" s="11"/>
      <c r="K413" s="11"/>
      <c r="L413" s="3"/>
      <c r="M413" s="3"/>
      <c r="N413" s="107"/>
      <c r="O413" s="108"/>
      <c r="P413" s="11"/>
      <c r="Q413" s="11"/>
      <c r="R413" s="3"/>
      <c r="S413" s="3"/>
      <c r="T413" s="107"/>
      <c r="U413" s="108"/>
      <c r="V413" s="11"/>
      <c r="W413" s="11"/>
      <c r="X413" s="3"/>
      <c r="Y413" s="108"/>
      <c r="Z413" s="3"/>
      <c r="AA413" s="107"/>
      <c r="AB413" s="108"/>
      <c r="AC413" s="11"/>
      <c r="AD413" s="11"/>
      <c r="AE413" s="3"/>
      <c r="AF413" s="3"/>
      <c r="AG413" s="107"/>
      <c r="AH413" s="108"/>
      <c r="AI413" s="11"/>
      <c r="AJ413" s="11"/>
      <c r="AK413" s="3"/>
      <c r="AL413" s="3"/>
      <c r="AM413" s="107"/>
      <c r="AN413" s="108"/>
      <c r="AO413" s="11"/>
      <c r="AP413" s="11"/>
      <c r="AQ413" s="3"/>
      <c r="AR413" s="3"/>
      <c r="AS413" s="3"/>
      <c r="AT413" s="107"/>
      <c r="AU413" s="108"/>
      <c r="AV413" s="11"/>
      <c r="AW413" s="11"/>
      <c r="AX413" s="3"/>
      <c r="AY413" s="3"/>
      <c r="AZ413" s="3"/>
      <c r="BA413" s="107"/>
      <c r="BB413" s="108"/>
      <c r="BC413" s="11"/>
      <c r="BD413" s="11"/>
      <c r="BE413" s="3"/>
      <c r="BF413" s="3"/>
      <c r="BG413" s="3"/>
      <c r="BH413" s="3"/>
      <c r="BI413" s="107"/>
      <c r="BJ413" s="108"/>
      <c r="BK413" s="11"/>
      <c r="BL413" s="11"/>
      <c r="BM413" s="11"/>
      <c r="BN413" s="3"/>
      <c r="BO413" s="3"/>
      <c r="BP413" s="3"/>
      <c r="BQ413" s="107"/>
      <c r="BR413" s="108"/>
      <c r="BS413" s="11"/>
      <c r="BT413" s="11"/>
      <c r="BU413" s="11"/>
      <c r="BV413" s="3"/>
      <c r="BW413" s="3"/>
      <c r="BX413" s="107"/>
      <c r="BY413" s="108"/>
      <c r="BZ413" s="11"/>
      <c r="CA413" s="11"/>
      <c r="CB413" s="3"/>
      <c r="CC413" s="3"/>
      <c r="CD413" s="3"/>
      <c r="CE413" s="107"/>
      <c r="CF413" s="108"/>
      <c r="CG413" s="11"/>
      <c r="CH413" s="11"/>
      <c r="CI413" s="3"/>
      <c r="CJ413" s="3"/>
      <c r="CK413" s="3"/>
      <c r="CL413" s="3"/>
      <c r="CM413" s="270"/>
      <c r="CN413" s="270"/>
      <c r="CO413" s="270"/>
    </row>
    <row r="414" spans="1:93" s="268" customFormat="1" x14ac:dyDescent="0.25">
      <c r="A414" s="107"/>
      <c r="B414" s="107"/>
      <c r="C414" s="108"/>
      <c r="D414" s="11"/>
      <c r="E414" s="11"/>
      <c r="F414" s="3"/>
      <c r="G414" s="3"/>
      <c r="H414" s="107"/>
      <c r="I414" s="108"/>
      <c r="J414" s="11"/>
      <c r="K414" s="11"/>
      <c r="L414" s="3"/>
      <c r="M414" s="3"/>
      <c r="N414" s="107"/>
      <c r="O414" s="108"/>
      <c r="P414" s="11"/>
      <c r="Q414" s="11"/>
      <c r="R414" s="3"/>
      <c r="S414" s="3"/>
      <c r="T414" s="107"/>
      <c r="U414" s="108"/>
      <c r="V414" s="11"/>
      <c r="W414" s="11"/>
      <c r="X414" s="3"/>
      <c r="Y414" s="108"/>
      <c r="Z414" s="3"/>
      <c r="AA414" s="107"/>
      <c r="AB414" s="108"/>
      <c r="AC414" s="11"/>
      <c r="AD414" s="11"/>
      <c r="AE414" s="3"/>
      <c r="AF414" s="3"/>
      <c r="AG414" s="107"/>
      <c r="AH414" s="108"/>
      <c r="AI414" s="11"/>
      <c r="AJ414" s="11"/>
      <c r="AK414" s="3"/>
      <c r="AL414" s="3"/>
      <c r="AM414" s="107"/>
      <c r="AN414" s="108"/>
      <c r="AO414" s="11"/>
      <c r="AP414" s="11"/>
      <c r="AQ414" s="3"/>
      <c r="AR414" s="3"/>
      <c r="AS414" s="3"/>
      <c r="AT414" s="107"/>
      <c r="AU414" s="108"/>
      <c r="AV414" s="11"/>
      <c r="AW414" s="11"/>
      <c r="AX414" s="3"/>
      <c r="AY414" s="3"/>
      <c r="AZ414" s="3"/>
      <c r="BA414" s="107"/>
      <c r="BB414" s="108"/>
      <c r="BC414" s="11"/>
      <c r="BD414" s="11"/>
      <c r="BE414" s="3"/>
      <c r="BF414" s="3"/>
      <c r="BG414" s="3"/>
      <c r="BH414" s="3"/>
      <c r="BI414" s="107"/>
      <c r="BJ414" s="108"/>
      <c r="BK414" s="11"/>
      <c r="BL414" s="11"/>
      <c r="BM414" s="11"/>
      <c r="BN414" s="3"/>
      <c r="BO414" s="3"/>
      <c r="BP414" s="3"/>
      <c r="BQ414" s="107"/>
      <c r="BR414" s="108"/>
      <c r="BS414" s="11"/>
      <c r="BT414" s="11"/>
      <c r="BU414" s="11"/>
      <c r="BV414" s="3"/>
      <c r="BW414" s="3"/>
      <c r="BX414" s="107"/>
      <c r="BY414" s="108"/>
      <c r="BZ414" s="11"/>
      <c r="CA414" s="11"/>
      <c r="CB414" s="3"/>
      <c r="CC414" s="3"/>
      <c r="CD414" s="3"/>
      <c r="CE414" s="107"/>
      <c r="CF414" s="108"/>
      <c r="CG414" s="11"/>
      <c r="CH414" s="11"/>
      <c r="CI414" s="3"/>
      <c r="CJ414" s="3"/>
      <c r="CK414" s="3"/>
      <c r="CL414" s="3"/>
      <c r="CM414" s="270"/>
      <c r="CN414" s="270"/>
      <c r="CO414" s="270"/>
    </row>
    <row r="415" spans="1:93" s="268" customFormat="1" x14ac:dyDescent="0.25">
      <c r="A415" s="107"/>
      <c r="B415" s="107"/>
      <c r="C415" s="7"/>
      <c r="D415" s="10"/>
      <c r="E415" s="10"/>
      <c r="F415" s="8"/>
      <c r="G415" s="8"/>
      <c r="H415" s="107"/>
      <c r="I415" s="7"/>
      <c r="J415" s="10"/>
      <c r="K415" s="10"/>
      <c r="L415" s="8"/>
      <c r="M415" s="8"/>
      <c r="N415" s="107"/>
      <c r="O415" s="7"/>
      <c r="P415" s="10"/>
      <c r="Q415" s="10"/>
      <c r="R415" s="8"/>
      <c r="S415" s="8"/>
      <c r="T415" s="107"/>
      <c r="U415" s="7"/>
      <c r="V415" s="10"/>
      <c r="W415" s="10"/>
      <c r="X415" s="8"/>
      <c r="Y415" s="7"/>
      <c r="Z415" s="8"/>
      <c r="AA415" s="107"/>
      <c r="AB415" s="7"/>
      <c r="AC415" s="10"/>
      <c r="AD415" s="10"/>
      <c r="AE415" s="8"/>
      <c r="AF415" s="8"/>
      <c r="AG415" s="107"/>
      <c r="AH415" s="7"/>
      <c r="AI415" s="10"/>
      <c r="AJ415" s="10"/>
      <c r="AK415" s="8"/>
      <c r="AL415" s="8"/>
      <c r="AM415" s="107"/>
      <c r="AN415" s="7"/>
      <c r="AO415" s="10"/>
      <c r="AP415" s="10"/>
      <c r="AQ415" s="8"/>
      <c r="AR415" s="8"/>
      <c r="AS415" s="8"/>
      <c r="AT415" s="107"/>
      <c r="AU415" s="7"/>
      <c r="AV415" s="10"/>
      <c r="AW415" s="10"/>
      <c r="AX415" s="8"/>
      <c r="AY415" s="8"/>
      <c r="AZ415" s="8"/>
      <c r="BA415" s="107"/>
      <c r="BB415" s="7"/>
      <c r="BC415" s="10"/>
      <c r="BD415" s="10"/>
      <c r="BE415" s="8"/>
      <c r="BF415" s="8"/>
      <c r="BG415" s="8"/>
      <c r="BH415" s="8"/>
      <c r="BI415" s="107"/>
      <c r="BJ415" s="7"/>
      <c r="BK415" s="10"/>
      <c r="BL415" s="10"/>
      <c r="BM415" s="10"/>
      <c r="BN415" s="8"/>
      <c r="BO415" s="8"/>
      <c r="BP415" s="8"/>
      <c r="BQ415" s="107"/>
      <c r="BR415" s="7"/>
      <c r="BS415" s="10"/>
      <c r="BT415" s="10"/>
      <c r="BU415" s="10"/>
      <c r="BV415" s="8"/>
      <c r="BW415" s="8"/>
      <c r="BX415" s="107"/>
      <c r="BY415" s="7"/>
      <c r="BZ415" s="10"/>
      <c r="CA415" s="10"/>
      <c r="CB415" s="8"/>
      <c r="CC415" s="8"/>
      <c r="CD415" s="8"/>
      <c r="CE415" s="107"/>
      <c r="CF415" s="7"/>
      <c r="CG415" s="10"/>
      <c r="CH415" s="10"/>
      <c r="CI415" s="8"/>
      <c r="CJ415" s="8"/>
      <c r="CK415" s="8"/>
      <c r="CL415" s="8"/>
      <c r="CM415" s="266"/>
      <c r="CN415" s="266"/>
      <c r="CO415" s="266"/>
    </row>
    <row r="416" spans="1:93" s="268" customFormat="1" x14ac:dyDescent="0.25">
      <c r="A416" s="107"/>
      <c r="B416" s="107"/>
      <c r="C416" s="7"/>
      <c r="D416" s="10"/>
      <c r="E416" s="10"/>
      <c r="F416" s="8"/>
      <c r="G416" s="8"/>
      <c r="H416" s="107"/>
      <c r="I416" s="7"/>
      <c r="J416" s="10"/>
      <c r="K416" s="10"/>
      <c r="L416" s="8"/>
      <c r="M416" s="8"/>
      <c r="N416" s="107"/>
      <c r="O416" s="7"/>
      <c r="P416" s="10"/>
      <c r="Q416" s="10"/>
      <c r="R416" s="8"/>
      <c r="S416" s="8"/>
      <c r="T416" s="107"/>
      <c r="U416" s="7"/>
      <c r="V416" s="10"/>
      <c r="W416" s="10"/>
      <c r="X416" s="8"/>
      <c r="Y416" s="7"/>
      <c r="Z416" s="8"/>
      <c r="AA416" s="107"/>
      <c r="AB416" s="7"/>
      <c r="AC416" s="10"/>
      <c r="AD416" s="10"/>
      <c r="AE416" s="8"/>
      <c r="AF416" s="8"/>
      <c r="AG416" s="107"/>
      <c r="AH416" s="7"/>
      <c r="AI416" s="10"/>
      <c r="AJ416" s="10"/>
      <c r="AK416" s="8"/>
      <c r="AL416" s="8"/>
      <c r="AM416" s="107"/>
      <c r="AN416" s="7"/>
      <c r="AO416" s="10"/>
      <c r="AP416" s="10"/>
      <c r="AQ416" s="8"/>
      <c r="AR416" s="8"/>
      <c r="AS416" s="8"/>
      <c r="AT416" s="107"/>
      <c r="AU416" s="7"/>
      <c r="AV416" s="10"/>
      <c r="AW416" s="10"/>
      <c r="AX416" s="8"/>
      <c r="AY416" s="8"/>
      <c r="AZ416" s="8"/>
      <c r="BA416" s="107"/>
      <c r="BB416" s="7"/>
      <c r="BC416" s="10"/>
      <c r="BD416" s="10"/>
      <c r="BE416" s="8"/>
      <c r="BF416" s="8"/>
      <c r="BG416" s="8"/>
      <c r="BH416" s="8"/>
      <c r="BI416" s="107"/>
      <c r="BJ416" s="7"/>
      <c r="BK416" s="10"/>
      <c r="BL416" s="10"/>
      <c r="BM416" s="10"/>
      <c r="BN416" s="8"/>
      <c r="BO416" s="8"/>
      <c r="BP416" s="8"/>
      <c r="BQ416" s="107"/>
      <c r="BR416" s="7"/>
      <c r="BS416" s="10"/>
      <c r="BT416" s="10"/>
      <c r="BU416" s="10"/>
      <c r="BV416" s="8"/>
      <c r="BW416" s="8"/>
      <c r="BX416" s="107"/>
      <c r="BY416" s="7"/>
      <c r="BZ416" s="10"/>
      <c r="CA416" s="10"/>
      <c r="CB416" s="8"/>
      <c r="CC416" s="8"/>
      <c r="CD416" s="8"/>
      <c r="CE416" s="107"/>
      <c r="CF416" s="7"/>
      <c r="CG416" s="10"/>
      <c r="CH416" s="10"/>
      <c r="CI416" s="8"/>
      <c r="CJ416" s="8"/>
      <c r="CK416" s="8"/>
      <c r="CL416" s="8"/>
      <c r="CM416" s="266"/>
      <c r="CN416" s="266"/>
      <c r="CO416" s="266"/>
    </row>
    <row r="417" spans="1:93" s="268" customFormat="1" x14ac:dyDescent="0.25">
      <c r="A417" s="107"/>
      <c r="B417" s="107"/>
      <c r="C417" s="7"/>
      <c r="D417" s="10"/>
      <c r="E417" s="10"/>
      <c r="F417" s="8"/>
      <c r="G417" s="8"/>
      <c r="H417" s="107"/>
      <c r="I417" s="7"/>
      <c r="J417" s="10"/>
      <c r="K417" s="10"/>
      <c r="L417" s="8"/>
      <c r="M417" s="8"/>
      <c r="N417" s="107"/>
      <c r="O417" s="7"/>
      <c r="P417" s="10"/>
      <c r="Q417" s="10"/>
      <c r="R417" s="8"/>
      <c r="S417" s="8"/>
      <c r="T417" s="107"/>
      <c r="U417" s="7"/>
      <c r="V417" s="10"/>
      <c r="W417" s="10"/>
      <c r="X417" s="8"/>
      <c r="Y417" s="7"/>
      <c r="Z417" s="8"/>
      <c r="AA417" s="107"/>
      <c r="AB417" s="7"/>
      <c r="AC417" s="10"/>
      <c r="AD417" s="10"/>
      <c r="AE417" s="8"/>
      <c r="AF417" s="8"/>
      <c r="AG417" s="107"/>
      <c r="AH417" s="7"/>
      <c r="AI417" s="10"/>
      <c r="AJ417" s="10"/>
      <c r="AK417" s="8"/>
      <c r="AL417" s="8"/>
      <c r="AM417" s="107"/>
      <c r="AN417" s="7"/>
      <c r="AO417" s="10"/>
      <c r="AP417" s="10"/>
      <c r="AQ417" s="8"/>
      <c r="AR417" s="8"/>
      <c r="AS417" s="8"/>
      <c r="AT417" s="107"/>
      <c r="AU417" s="7"/>
      <c r="AV417" s="10"/>
      <c r="AW417" s="10"/>
      <c r="AX417" s="8"/>
      <c r="AY417" s="8"/>
      <c r="AZ417" s="8"/>
      <c r="BA417" s="107"/>
      <c r="BB417" s="7"/>
      <c r="BC417" s="10"/>
      <c r="BD417" s="10"/>
      <c r="BE417" s="8"/>
      <c r="BF417" s="8"/>
      <c r="BG417" s="8"/>
      <c r="BH417" s="8"/>
      <c r="BI417" s="107"/>
      <c r="BJ417" s="7"/>
      <c r="BK417" s="10"/>
      <c r="BL417" s="10"/>
      <c r="BM417" s="10"/>
      <c r="BN417" s="8"/>
      <c r="BO417" s="8"/>
      <c r="BP417" s="8"/>
      <c r="BQ417" s="107"/>
      <c r="BR417" s="7"/>
      <c r="BS417" s="10"/>
      <c r="BT417" s="10"/>
      <c r="BU417" s="10"/>
      <c r="BV417" s="8"/>
      <c r="BW417" s="8"/>
      <c r="BX417" s="107"/>
      <c r="BY417" s="7"/>
      <c r="BZ417" s="10"/>
      <c r="CA417" s="10"/>
      <c r="CB417" s="8"/>
      <c r="CC417" s="8"/>
      <c r="CD417" s="8"/>
      <c r="CE417" s="107"/>
      <c r="CF417" s="7"/>
      <c r="CG417" s="10"/>
      <c r="CH417" s="10"/>
      <c r="CI417" s="8"/>
      <c r="CJ417" s="8"/>
      <c r="CK417" s="8"/>
      <c r="CL417" s="8"/>
      <c r="CM417" s="266"/>
      <c r="CN417" s="266"/>
      <c r="CO417" s="266"/>
    </row>
    <row r="418" spans="1:93" s="268" customFormat="1" x14ac:dyDescent="0.25">
      <c r="A418" s="107"/>
      <c r="B418" s="107"/>
      <c r="C418" s="7"/>
      <c r="D418" s="10"/>
      <c r="E418" s="10"/>
      <c r="F418" s="8"/>
      <c r="G418" s="8"/>
      <c r="H418" s="107"/>
      <c r="I418" s="7"/>
      <c r="J418" s="10"/>
      <c r="K418" s="10"/>
      <c r="L418" s="8"/>
      <c r="M418" s="8"/>
      <c r="N418" s="107"/>
      <c r="O418" s="7"/>
      <c r="P418" s="10"/>
      <c r="Q418" s="10"/>
      <c r="R418" s="8"/>
      <c r="S418" s="8"/>
      <c r="T418" s="107"/>
      <c r="U418" s="7"/>
      <c r="V418" s="10"/>
      <c r="W418" s="10"/>
      <c r="X418" s="8"/>
      <c r="Y418" s="7"/>
      <c r="Z418" s="8"/>
      <c r="AA418" s="107"/>
      <c r="AB418" s="7"/>
      <c r="AC418" s="10"/>
      <c r="AD418" s="10"/>
      <c r="AE418" s="8"/>
      <c r="AF418" s="8"/>
      <c r="AG418" s="107"/>
      <c r="AH418" s="7"/>
      <c r="AI418" s="10"/>
      <c r="AJ418" s="10"/>
      <c r="AK418" s="8"/>
      <c r="AL418" s="8"/>
      <c r="AM418" s="107"/>
      <c r="AN418" s="7"/>
      <c r="AO418" s="10"/>
      <c r="AP418" s="10"/>
      <c r="AQ418" s="8"/>
      <c r="AR418" s="8"/>
      <c r="AS418" s="8"/>
      <c r="AT418" s="107"/>
      <c r="AU418" s="7"/>
      <c r="AV418" s="10"/>
      <c r="AW418" s="10"/>
      <c r="AX418" s="8"/>
      <c r="AY418" s="8"/>
      <c r="AZ418" s="8"/>
      <c r="BA418" s="107"/>
      <c r="BB418" s="7"/>
      <c r="BC418" s="10"/>
      <c r="BD418" s="10"/>
      <c r="BE418" s="8"/>
      <c r="BF418" s="8"/>
      <c r="BG418" s="8"/>
      <c r="BH418" s="8"/>
      <c r="BI418" s="107"/>
      <c r="BJ418" s="7"/>
      <c r="BK418" s="10"/>
      <c r="BL418" s="10"/>
      <c r="BM418" s="10"/>
      <c r="BN418" s="8"/>
      <c r="BO418" s="8"/>
      <c r="BP418" s="8"/>
      <c r="BQ418" s="107"/>
      <c r="BR418" s="7"/>
      <c r="BS418" s="10"/>
      <c r="BT418" s="10"/>
      <c r="BU418" s="10"/>
      <c r="BV418" s="8"/>
      <c r="BW418" s="8"/>
      <c r="BX418" s="107"/>
      <c r="BY418" s="7"/>
      <c r="BZ418" s="10"/>
      <c r="CA418" s="10"/>
      <c r="CB418" s="8"/>
      <c r="CC418" s="8"/>
      <c r="CD418" s="8"/>
      <c r="CE418" s="107"/>
      <c r="CF418" s="7"/>
      <c r="CG418" s="10"/>
      <c r="CH418" s="10"/>
      <c r="CI418" s="8"/>
      <c r="CJ418" s="8"/>
      <c r="CK418" s="8"/>
      <c r="CL418" s="8"/>
      <c r="CM418" s="266"/>
      <c r="CN418" s="266"/>
      <c r="CO418" s="266"/>
    </row>
    <row r="419" spans="1:93" s="268" customFormat="1" x14ac:dyDescent="0.25">
      <c r="A419" s="107"/>
      <c r="B419" s="107"/>
      <c r="C419" s="7"/>
      <c r="D419" s="10"/>
      <c r="E419" s="10"/>
      <c r="F419" s="8"/>
      <c r="G419" s="8"/>
      <c r="H419" s="107"/>
      <c r="I419" s="7"/>
      <c r="J419" s="10"/>
      <c r="K419" s="10"/>
      <c r="L419" s="8"/>
      <c r="M419" s="8"/>
      <c r="N419" s="107"/>
      <c r="O419" s="7"/>
      <c r="P419" s="10"/>
      <c r="Q419" s="10"/>
      <c r="R419" s="8"/>
      <c r="S419" s="8"/>
      <c r="T419" s="107"/>
      <c r="U419" s="7"/>
      <c r="V419" s="10"/>
      <c r="W419" s="10"/>
      <c r="X419" s="8"/>
      <c r="Y419" s="7"/>
      <c r="Z419" s="8"/>
      <c r="AA419" s="107"/>
      <c r="AB419" s="7"/>
      <c r="AC419" s="10"/>
      <c r="AD419" s="10"/>
      <c r="AE419" s="8"/>
      <c r="AF419" s="8"/>
      <c r="AG419" s="107"/>
      <c r="AH419" s="7"/>
      <c r="AI419" s="10"/>
      <c r="AJ419" s="10"/>
      <c r="AK419" s="8"/>
      <c r="AL419" s="8"/>
      <c r="AM419" s="107"/>
      <c r="AN419" s="7"/>
      <c r="AO419" s="10"/>
      <c r="AP419" s="10"/>
      <c r="AQ419" s="8"/>
      <c r="AR419" s="8"/>
      <c r="AS419" s="8"/>
      <c r="AT419" s="107"/>
      <c r="AU419" s="7"/>
      <c r="AV419" s="10"/>
      <c r="AW419" s="10"/>
      <c r="AX419" s="8"/>
      <c r="AY419" s="8"/>
      <c r="AZ419" s="8"/>
      <c r="BA419" s="107"/>
      <c r="BB419" s="7"/>
      <c r="BC419" s="10"/>
      <c r="BD419" s="10"/>
      <c r="BE419" s="8"/>
      <c r="BF419" s="8"/>
      <c r="BG419" s="8"/>
      <c r="BH419" s="8"/>
      <c r="BI419" s="107"/>
      <c r="BJ419" s="7"/>
      <c r="BK419" s="10"/>
      <c r="BL419" s="10"/>
      <c r="BM419" s="10"/>
      <c r="BN419" s="8"/>
      <c r="BO419" s="8"/>
      <c r="BP419" s="8"/>
      <c r="BQ419" s="107"/>
      <c r="BR419" s="7"/>
      <c r="BS419" s="10"/>
      <c r="BT419" s="10"/>
      <c r="BU419" s="10"/>
      <c r="BV419" s="8"/>
      <c r="BW419" s="8"/>
      <c r="BX419" s="107"/>
      <c r="BY419" s="7"/>
      <c r="BZ419" s="10"/>
      <c r="CA419" s="10"/>
      <c r="CB419" s="8"/>
      <c r="CC419" s="8"/>
      <c r="CD419" s="8"/>
      <c r="CE419" s="107"/>
      <c r="CF419" s="7"/>
      <c r="CG419" s="10"/>
      <c r="CH419" s="10"/>
      <c r="CI419" s="8"/>
      <c r="CJ419" s="8"/>
      <c r="CK419" s="8"/>
      <c r="CL419" s="8"/>
      <c r="CM419" s="266"/>
      <c r="CN419" s="266"/>
      <c r="CO419" s="266"/>
    </row>
    <row r="420" spans="1:93" s="268" customFormat="1" x14ac:dyDescent="0.25">
      <c r="A420" s="107"/>
      <c r="B420" s="107"/>
      <c r="C420" s="7"/>
      <c r="D420" s="10"/>
      <c r="E420" s="10"/>
      <c r="F420" s="8"/>
      <c r="G420" s="8"/>
      <c r="H420" s="107"/>
      <c r="I420" s="7"/>
      <c r="J420" s="10"/>
      <c r="K420" s="10"/>
      <c r="L420" s="8"/>
      <c r="M420" s="8"/>
      <c r="N420" s="107"/>
      <c r="O420" s="7"/>
      <c r="P420" s="10"/>
      <c r="Q420" s="10"/>
      <c r="R420" s="8"/>
      <c r="S420" s="8"/>
      <c r="T420" s="107"/>
      <c r="U420" s="7"/>
      <c r="V420" s="10"/>
      <c r="W420" s="10"/>
      <c r="X420" s="8"/>
      <c r="Y420" s="7"/>
      <c r="Z420" s="8"/>
      <c r="AA420" s="107"/>
      <c r="AB420" s="7"/>
      <c r="AC420" s="10"/>
      <c r="AD420" s="10"/>
      <c r="AE420" s="8"/>
      <c r="AF420" s="8"/>
      <c r="AG420" s="107"/>
      <c r="AH420" s="7"/>
      <c r="AI420" s="10"/>
      <c r="AJ420" s="10"/>
      <c r="AK420" s="8"/>
      <c r="AL420" s="8"/>
      <c r="AM420" s="107"/>
      <c r="AN420" s="7"/>
      <c r="AO420" s="10"/>
      <c r="AP420" s="10"/>
      <c r="AQ420" s="8"/>
      <c r="AR420" s="8"/>
      <c r="AS420" s="8"/>
      <c r="AT420" s="107"/>
      <c r="AU420" s="7"/>
      <c r="AV420" s="10"/>
      <c r="AW420" s="10"/>
      <c r="AX420" s="8"/>
      <c r="AY420" s="8"/>
      <c r="AZ420" s="8"/>
      <c r="BA420" s="107"/>
      <c r="BB420" s="7"/>
      <c r="BC420" s="10"/>
      <c r="BD420" s="10"/>
      <c r="BE420" s="8"/>
      <c r="BF420" s="8"/>
      <c r="BG420" s="8"/>
      <c r="BH420" s="8"/>
      <c r="BI420" s="107"/>
      <c r="BJ420" s="7"/>
      <c r="BK420" s="10"/>
      <c r="BL420" s="10"/>
      <c r="BM420" s="10"/>
      <c r="BN420" s="8"/>
      <c r="BO420" s="8"/>
      <c r="BP420" s="8"/>
      <c r="BQ420" s="107"/>
      <c r="BR420" s="7"/>
      <c r="BS420" s="10"/>
      <c r="BT420" s="10"/>
      <c r="BU420" s="10"/>
      <c r="BV420" s="8"/>
      <c r="BW420" s="8"/>
      <c r="BX420" s="107"/>
      <c r="BY420" s="7"/>
      <c r="BZ420" s="10"/>
      <c r="CA420" s="10"/>
      <c r="CB420" s="8"/>
      <c r="CC420" s="8"/>
      <c r="CD420" s="8"/>
      <c r="CE420" s="107"/>
      <c r="CF420" s="7"/>
      <c r="CG420" s="10"/>
      <c r="CH420" s="10"/>
      <c r="CI420" s="8"/>
      <c r="CJ420" s="8"/>
      <c r="CK420" s="8"/>
      <c r="CL420" s="8"/>
      <c r="CM420" s="266"/>
      <c r="CN420" s="266"/>
      <c r="CO420" s="266"/>
    </row>
    <row r="421" spans="1:93" s="268" customFormat="1" x14ac:dyDescent="0.25">
      <c r="A421" s="107"/>
      <c r="B421" s="107"/>
      <c r="C421" s="7"/>
      <c r="D421" s="10"/>
      <c r="E421" s="10"/>
      <c r="F421" s="8"/>
      <c r="G421" s="8"/>
      <c r="H421" s="107"/>
      <c r="I421" s="7"/>
      <c r="J421" s="10"/>
      <c r="K421" s="10"/>
      <c r="L421" s="8"/>
      <c r="M421" s="8"/>
      <c r="N421" s="107"/>
      <c r="O421" s="7"/>
      <c r="P421" s="10"/>
      <c r="Q421" s="10"/>
      <c r="R421" s="8"/>
      <c r="S421" s="8"/>
      <c r="T421" s="107"/>
      <c r="U421" s="7"/>
      <c r="V421" s="10"/>
      <c r="W421" s="10"/>
      <c r="X421" s="8"/>
      <c r="Y421" s="7"/>
      <c r="Z421" s="8"/>
      <c r="AA421" s="107"/>
      <c r="AB421" s="7"/>
      <c r="AC421" s="10"/>
      <c r="AD421" s="10"/>
      <c r="AE421" s="8"/>
      <c r="AF421" s="8"/>
      <c r="AG421" s="107"/>
      <c r="AH421" s="7"/>
      <c r="AI421" s="10"/>
      <c r="AJ421" s="10"/>
      <c r="AK421" s="8"/>
      <c r="AL421" s="8"/>
      <c r="AM421" s="107"/>
      <c r="AN421" s="7"/>
      <c r="AO421" s="10"/>
      <c r="AP421" s="10"/>
      <c r="AQ421" s="8"/>
      <c r="AR421" s="8"/>
      <c r="AS421" s="8"/>
      <c r="AT421" s="107"/>
      <c r="AU421" s="7"/>
      <c r="AV421" s="10"/>
      <c r="AW421" s="10"/>
      <c r="AX421" s="8"/>
      <c r="AY421" s="8"/>
      <c r="AZ421" s="8"/>
      <c r="BA421" s="107"/>
      <c r="BB421" s="7"/>
      <c r="BC421" s="10"/>
      <c r="BD421" s="10"/>
      <c r="BE421" s="8"/>
      <c r="BF421" s="8"/>
      <c r="BG421" s="8"/>
      <c r="BH421" s="8"/>
      <c r="BI421" s="107"/>
      <c r="BJ421" s="7"/>
      <c r="BK421" s="10"/>
      <c r="BL421" s="10"/>
      <c r="BM421" s="10"/>
      <c r="BN421" s="8"/>
      <c r="BO421" s="8"/>
      <c r="BP421" s="8"/>
      <c r="BQ421" s="107"/>
      <c r="BR421" s="7"/>
      <c r="BS421" s="10"/>
      <c r="BT421" s="10"/>
      <c r="BU421" s="10"/>
      <c r="BV421" s="8"/>
      <c r="BW421" s="8"/>
      <c r="BX421" s="107"/>
      <c r="BY421" s="7"/>
      <c r="BZ421" s="10"/>
      <c r="CA421" s="10"/>
      <c r="CB421" s="8"/>
      <c r="CC421" s="8"/>
      <c r="CD421" s="8"/>
      <c r="CE421" s="107"/>
      <c r="CF421" s="7"/>
      <c r="CG421" s="10"/>
      <c r="CH421" s="10"/>
      <c r="CI421" s="8"/>
      <c r="CJ421" s="8"/>
      <c r="CK421" s="8"/>
      <c r="CL421" s="8"/>
      <c r="CM421" s="266"/>
      <c r="CN421" s="266"/>
      <c r="CO421" s="266"/>
    </row>
    <row r="422" spans="1:93" s="268" customFormat="1" x14ac:dyDescent="0.25">
      <c r="A422" s="107"/>
      <c r="B422" s="107"/>
      <c r="C422" s="7"/>
      <c r="D422" s="10"/>
      <c r="E422" s="10"/>
      <c r="F422" s="8"/>
      <c r="G422" s="8"/>
      <c r="H422" s="107"/>
      <c r="I422" s="7"/>
      <c r="J422" s="10"/>
      <c r="K422" s="10"/>
      <c r="L422" s="8"/>
      <c r="M422" s="8"/>
      <c r="N422" s="107"/>
      <c r="O422" s="7"/>
      <c r="P422" s="10"/>
      <c r="Q422" s="10"/>
      <c r="R422" s="8"/>
      <c r="S422" s="8"/>
      <c r="T422" s="107"/>
      <c r="U422" s="7"/>
      <c r="V422" s="10"/>
      <c r="W422" s="10"/>
      <c r="X422" s="8"/>
      <c r="Y422" s="7"/>
      <c r="Z422" s="8"/>
      <c r="AA422" s="107"/>
      <c r="AB422" s="7"/>
      <c r="AC422" s="10"/>
      <c r="AD422" s="10"/>
      <c r="AE422" s="8"/>
      <c r="AF422" s="8"/>
      <c r="AG422" s="107"/>
      <c r="AH422" s="7"/>
      <c r="AI422" s="10"/>
      <c r="AJ422" s="10"/>
      <c r="AK422" s="8"/>
      <c r="AL422" s="8"/>
      <c r="AM422" s="107"/>
      <c r="AN422" s="7"/>
      <c r="AO422" s="10"/>
      <c r="AP422" s="10"/>
      <c r="AQ422" s="8"/>
      <c r="AR422" s="8"/>
      <c r="AS422" s="8"/>
      <c r="AT422" s="107"/>
      <c r="AU422" s="7"/>
      <c r="AV422" s="10"/>
      <c r="AW422" s="10"/>
      <c r="AX422" s="8"/>
      <c r="AY422" s="8"/>
      <c r="AZ422" s="8"/>
      <c r="BA422" s="107"/>
      <c r="BB422" s="7"/>
      <c r="BC422" s="10"/>
      <c r="BD422" s="10"/>
      <c r="BE422" s="8"/>
      <c r="BF422" s="8"/>
      <c r="BG422" s="8"/>
      <c r="BH422" s="8"/>
      <c r="BI422" s="107"/>
      <c r="BJ422" s="7"/>
      <c r="BK422" s="10"/>
      <c r="BL422" s="10"/>
      <c r="BM422" s="10"/>
      <c r="BN422" s="8"/>
      <c r="BO422" s="8"/>
      <c r="BP422" s="8"/>
      <c r="BQ422" s="107"/>
      <c r="BR422" s="7"/>
      <c r="BS422" s="10"/>
      <c r="BT422" s="10"/>
      <c r="BU422" s="10"/>
      <c r="BV422" s="8"/>
      <c r="BW422" s="8"/>
      <c r="BX422" s="107"/>
      <c r="BY422" s="7"/>
      <c r="BZ422" s="10"/>
      <c r="CA422" s="10"/>
      <c r="CB422" s="8"/>
      <c r="CC422" s="8"/>
      <c r="CD422" s="8"/>
      <c r="CE422" s="107"/>
      <c r="CF422" s="7"/>
      <c r="CG422" s="10"/>
      <c r="CH422" s="10"/>
      <c r="CI422" s="8"/>
      <c r="CJ422" s="8"/>
      <c r="CK422" s="8"/>
      <c r="CL422" s="8"/>
      <c r="CM422" s="266"/>
      <c r="CN422" s="266"/>
      <c r="CO422" s="266"/>
    </row>
    <row r="423" spans="1:93" s="268" customFormat="1" x14ac:dyDescent="0.25">
      <c r="A423" s="107"/>
      <c r="B423" s="107"/>
      <c r="C423" s="7"/>
      <c r="D423" s="10"/>
      <c r="E423" s="10"/>
      <c r="F423" s="8"/>
      <c r="G423" s="8"/>
      <c r="H423" s="107"/>
      <c r="I423" s="7"/>
      <c r="J423" s="10"/>
      <c r="K423" s="10"/>
      <c r="L423" s="8"/>
      <c r="M423" s="8"/>
      <c r="N423" s="107"/>
      <c r="O423" s="7"/>
      <c r="P423" s="10"/>
      <c r="Q423" s="10"/>
      <c r="R423" s="8"/>
      <c r="S423" s="8"/>
      <c r="T423" s="107"/>
      <c r="U423" s="7"/>
      <c r="V423" s="10"/>
      <c r="W423" s="10"/>
      <c r="X423" s="8"/>
      <c r="Y423" s="7"/>
      <c r="Z423" s="8"/>
      <c r="AA423" s="107"/>
      <c r="AB423" s="7"/>
      <c r="AC423" s="10"/>
      <c r="AD423" s="10"/>
      <c r="AE423" s="8"/>
      <c r="AF423" s="8"/>
      <c r="AG423" s="107"/>
      <c r="AH423" s="7"/>
      <c r="AI423" s="10"/>
      <c r="AJ423" s="10"/>
      <c r="AK423" s="8"/>
      <c r="AL423" s="8"/>
      <c r="AM423" s="107"/>
      <c r="AN423" s="7"/>
      <c r="AO423" s="10"/>
      <c r="AP423" s="10"/>
      <c r="AQ423" s="8"/>
      <c r="AR423" s="8"/>
      <c r="AS423" s="8"/>
      <c r="AT423" s="107"/>
      <c r="AU423" s="7"/>
      <c r="AV423" s="10"/>
      <c r="AW423" s="10"/>
      <c r="AX423" s="8"/>
      <c r="AY423" s="8"/>
      <c r="AZ423" s="8"/>
      <c r="BA423" s="107"/>
      <c r="BB423" s="7"/>
      <c r="BC423" s="10"/>
      <c r="BD423" s="10"/>
      <c r="BE423" s="8"/>
      <c r="BF423" s="8"/>
      <c r="BG423" s="8"/>
      <c r="BH423" s="8"/>
      <c r="BI423" s="107"/>
      <c r="BJ423" s="7"/>
      <c r="BK423" s="10"/>
      <c r="BL423" s="10"/>
      <c r="BM423" s="10"/>
      <c r="BN423" s="8"/>
      <c r="BO423" s="8"/>
      <c r="BP423" s="8"/>
      <c r="BQ423" s="107"/>
      <c r="BR423" s="7"/>
      <c r="BS423" s="10"/>
      <c r="BT423" s="10"/>
      <c r="BU423" s="10"/>
      <c r="BV423" s="8"/>
      <c r="BW423" s="8"/>
      <c r="BX423" s="107"/>
      <c r="BY423" s="7"/>
      <c r="BZ423" s="10"/>
      <c r="CA423" s="10"/>
      <c r="CB423" s="8"/>
      <c r="CC423" s="8"/>
      <c r="CD423" s="8"/>
      <c r="CE423" s="107"/>
      <c r="CF423" s="7"/>
      <c r="CG423" s="10"/>
      <c r="CH423" s="10"/>
      <c r="CI423" s="8"/>
      <c r="CJ423" s="8"/>
      <c r="CK423" s="8"/>
      <c r="CL423" s="8"/>
      <c r="CM423" s="266"/>
      <c r="CN423" s="266"/>
      <c r="CO423" s="266"/>
    </row>
    <row r="424" spans="1:93" s="268" customFormat="1" x14ac:dyDescent="0.25">
      <c r="A424" s="107"/>
      <c r="B424" s="107"/>
      <c r="C424" s="7"/>
      <c r="D424" s="10"/>
      <c r="E424" s="10"/>
      <c r="F424" s="8"/>
      <c r="G424" s="8"/>
      <c r="H424" s="107"/>
      <c r="I424" s="7"/>
      <c r="J424" s="10"/>
      <c r="K424" s="10"/>
      <c r="L424" s="8"/>
      <c r="M424" s="8"/>
      <c r="N424" s="107"/>
      <c r="O424" s="7"/>
      <c r="P424" s="10"/>
      <c r="Q424" s="10"/>
      <c r="R424" s="8"/>
      <c r="S424" s="8"/>
      <c r="T424" s="107"/>
      <c r="U424" s="7"/>
      <c r="V424" s="10"/>
      <c r="W424" s="10"/>
      <c r="X424" s="8"/>
      <c r="Y424" s="7"/>
      <c r="Z424" s="8"/>
      <c r="AA424" s="107"/>
      <c r="AB424" s="7"/>
      <c r="AC424" s="10"/>
      <c r="AD424" s="10"/>
      <c r="AE424" s="8"/>
      <c r="AF424" s="8"/>
      <c r="AG424" s="107"/>
      <c r="AH424" s="7"/>
      <c r="AI424" s="10"/>
      <c r="AJ424" s="10"/>
      <c r="AK424" s="8"/>
      <c r="AL424" s="8"/>
      <c r="AM424" s="107"/>
      <c r="AN424" s="7"/>
      <c r="AO424" s="10"/>
      <c r="AP424" s="10"/>
      <c r="AQ424" s="8"/>
      <c r="AR424" s="8"/>
      <c r="AS424" s="8"/>
      <c r="AT424" s="107"/>
      <c r="AU424" s="7"/>
      <c r="AV424" s="10"/>
      <c r="AW424" s="10"/>
      <c r="AX424" s="8"/>
      <c r="AY424" s="8"/>
      <c r="AZ424" s="8"/>
      <c r="BA424" s="107"/>
      <c r="BB424" s="7"/>
      <c r="BC424" s="10"/>
      <c r="BD424" s="10"/>
      <c r="BE424" s="8"/>
      <c r="BF424" s="8"/>
      <c r="BG424" s="8"/>
      <c r="BH424" s="8"/>
      <c r="BI424" s="107"/>
      <c r="BJ424" s="7"/>
      <c r="BK424" s="10"/>
      <c r="BL424" s="10"/>
      <c r="BM424" s="10"/>
      <c r="BN424" s="8"/>
      <c r="BO424" s="8"/>
      <c r="BP424" s="8"/>
      <c r="BQ424" s="107"/>
      <c r="BR424" s="7"/>
      <c r="BS424" s="10"/>
      <c r="BT424" s="10"/>
      <c r="BU424" s="10"/>
      <c r="BV424" s="8"/>
      <c r="BW424" s="8"/>
      <c r="BX424" s="107"/>
      <c r="BY424" s="7"/>
      <c r="BZ424" s="10"/>
      <c r="CA424" s="10"/>
      <c r="CB424" s="8"/>
      <c r="CC424" s="8"/>
      <c r="CD424" s="8"/>
      <c r="CE424" s="107"/>
      <c r="CF424" s="7"/>
      <c r="CG424" s="10"/>
      <c r="CH424" s="10"/>
      <c r="CI424" s="8"/>
      <c r="CJ424" s="8"/>
      <c r="CK424" s="8"/>
      <c r="CL424" s="8"/>
      <c r="CM424" s="266"/>
      <c r="CN424" s="266"/>
      <c r="CO424" s="266"/>
    </row>
    <row r="425" spans="1:93" s="268" customFormat="1" x14ac:dyDescent="0.25">
      <c r="A425" s="107"/>
      <c r="B425" s="107"/>
      <c r="C425" s="7"/>
      <c r="D425" s="10"/>
      <c r="E425" s="10"/>
      <c r="F425" s="8"/>
      <c r="G425" s="8"/>
      <c r="H425" s="107"/>
      <c r="I425" s="7"/>
      <c r="J425" s="10"/>
      <c r="K425" s="10"/>
      <c r="L425" s="8"/>
      <c r="M425" s="8"/>
      <c r="N425" s="107"/>
      <c r="O425" s="7"/>
      <c r="P425" s="10"/>
      <c r="Q425" s="10"/>
      <c r="R425" s="8"/>
      <c r="S425" s="8"/>
      <c r="T425" s="107"/>
      <c r="U425" s="7"/>
      <c r="V425" s="10"/>
      <c r="W425" s="10"/>
      <c r="X425" s="8"/>
      <c r="Y425" s="7"/>
      <c r="Z425" s="8"/>
      <c r="AA425" s="107"/>
      <c r="AB425" s="7"/>
      <c r="AC425" s="10"/>
      <c r="AD425" s="10"/>
      <c r="AE425" s="8"/>
      <c r="AF425" s="8"/>
      <c r="AG425" s="107"/>
      <c r="AH425" s="7"/>
      <c r="AI425" s="10"/>
      <c r="AJ425" s="10"/>
      <c r="AK425" s="8"/>
      <c r="AL425" s="8"/>
      <c r="AM425" s="107"/>
      <c r="AN425" s="7"/>
      <c r="AO425" s="10"/>
      <c r="AP425" s="10"/>
      <c r="AQ425" s="8"/>
      <c r="AR425" s="8"/>
      <c r="AS425" s="8"/>
      <c r="AT425" s="107"/>
      <c r="AU425" s="7"/>
      <c r="AV425" s="10"/>
      <c r="AW425" s="10"/>
      <c r="AX425" s="8"/>
      <c r="AY425" s="8"/>
      <c r="AZ425" s="8"/>
      <c r="BA425" s="107"/>
      <c r="BB425" s="7"/>
      <c r="BC425" s="10"/>
      <c r="BD425" s="10"/>
      <c r="BE425" s="8"/>
      <c r="BF425" s="8"/>
      <c r="BG425" s="8"/>
      <c r="BH425" s="8"/>
      <c r="BI425" s="107"/>
      <c r="BJ425" s="7"/>
      <c r="BK425" s="10"/>
      <c r="BL425" s="10"/>
      <c r="BM425" s="10"/>
      <c r="BN425" s="8"/>
      <c r="BO425" s="8"/>
      <c r="BP425" s="8"/>
      <c r="BQ425" s="107"/>
      <c r="BR425" s="7"/>
      <c r="BS425" s="10"/>
      <c r="BT425" s="10"/>
      <c r="BU425" s="10"/>
      <c r="BV425" s="8"/>
      <c r="BW425" s="8"/>
      <c r="BX425" s="107"/>
      <c r="BY425" s="7"/>
      <c r="BZ425" s="10"/>
      <c r="CA425" s="10"/>
      <c r="CB425" s="8"/>
      <c r="CC425" s="8"/>
      <c r="CD425" s="8"/>
      <c r="CE425" s="107"/>
      <c r="CF425" s="7"/>
      <c r="CG425" s="10"/>
      <c r="CH425" s="10"/>
      <c r="CI425" s="8"/>
      <c r="CJ425" s="8"/>
      <c r="CK425" s="8"/>
      <c r="CL425" s="8"/>
      <c r="CM425" s="266"/>
      <c r="CN425" s="266"/>
      <c r="CO425" s="266"/>
    </row>
    <row r="426" spans="1:93" s="268" customFormat="1" x14ac:dyDescent="0.25">
      <c r="A426" s="107"/>
      <c r="B426" s="107"/>
      <c r="C426" s="7"/>
      <c r="D426" s="10"/>
      <c r="E426" s="10"/>
      <c r="F426" s="8"/>
      <c r="G426" s="8"/>
      <c r="H426" s="107"/>
      <c r="I426" s="7"/>
      <c r="J426" s="10"/>
      <c r="K426" s="10"/>
      <c r="L426" s="8"/>
      <c r="M426" s="8"/>
      <c r="N426" s="107"/>
      <c r="O426" s="7"/>
      <c r="P426" s="10"/>
      <c r="Q426" s="10"/>
      <c r="R426" s="8"/>
      <c r="S426" s="8"/>
      <c r="T426" s="107"/>
      <c r="U426" s="7"/>
      <c r="V426" s="10"/>
      <c r="W426" s="10"/>
      <c r="X426" s="8"/>
      <c r="Y426" s="7"/>
      <c r="Z426" s="8"/>
      <c r="AA426" s="107"/>
      <c r="AB426" s="7"/>
      <c r="AC426" s="10"/>
      <c r="AD426" s="10"/>
      <c r="AE426" s="8"/>
      <c r="AF426" s="8"/>
      <c r="AG426" s="107"/>
      <c r="AH426" s="7"/>
      <c r="AI426" s="10"/>
      <c r="AJ426" s="10"/>
      <c r="AK426" s="8"/>
      <c r="AL426" s="8"/>
      <c r="AM426" s="107"/>
      <c r="AN426" s="7"/>
      <c r="AO426" s="10"/>
      <c r="AP426" s="10"/>
      <c r="AQ426" s="8"/>
      <c r="AR426" s="8"/>
      <c r="AS426" s="8"/>
      <c r="AT426" s="107"/>
      <c r="AU426" s="7"/>
      <c r="AV426" s="10"/>
      <c r="AW426" s="10"/>
      <c r="AX426" s="8"/>
      <c r="AY426" s="8"/>
      <c r="AZ426" s="8"/>
      <c r="BA426" s="107"/>
      <c r="BB426" s="7"/>
      <c r="BC426" s="10"/>
      <c r="BD426" s="10"/>
      <c r="BE426" s="8"/>
      <c r="BF426" s="8"/>
      <c r="BG426" s="8"/>
      <c r="BH426" s="8"/>
      <c r="BI426" s="107"/>
      <c r="BJ426" s="7"/>
      <c r="BK426" s="10"/>
      <c r="BL426" s="10"/>
      <c r="BM426" s="10"/>
      <c r="BN426" s="8"/>
      <c r="BO426" s="8"/>
      <c r="BP426" s="8"/>
      <c r="BQ426" s="107"/>
      <c r="BR426" s="7"/>
      <c r="BS426" s="10"/>
      <c r="BT426" s="10"/>
      <c r="BU426" s="10"/>
      <c r="BV426" s="8"/>
      <c r="BW426" s="8"/>
      <c r="BX426" s="107"/>
      <c r="BY426" s="7"/>
      <c r="BZ426" s="10"/>
      <c r="CA426" s="10"/>
      <c r="CB426" s="8"/>
      <c r="CC426" s="8"/>
      <c r="CD426" s="8"/>
      <c r="CE426" s="107"/>
      <c r="CF426" s="7"/>
      <c r="CG426" s="10"/>
      <c r="CH426" s="10"/>
      <c r="CI426" s="8"/>
      <c r="CJ426" s="8"/>
      <c r="CK426" s="8"/>
      <c r="CL426" s="8"/>
      <c r="CM426" s="266"/>
      <c r="CN426" s="266"/>
      <c r="CO426" s="266"/>
    </row>
    <row r="427" spans="1:93" s="268" customFormat="1" x14ac:dyDescent="0.25">
      <c r="A427" s="107"/>
      <c r="B427" s="107"/>
      <c r="C427" s="7"/>
      <c r="D427" s="10"/>
      <c r="E427" s="10"/>
      <c r="F427" s="8"/>
      <c r="G427" s="8"/>
      <c r="H427" s="107"/>
      <c r="I427" s="7"/>
      <c r="J427" s="10"/>
      <c r="K427" s="10"/>
      <c r="L427" s="8"/>
      <c r="M427" s="8"/>
      <c r="N427" s="107"/>
      <c r="O427" s="7"/>
      <c r="P427" s="10"/>
      <c r="Q427" s="10"/>
      <c r="R427" s="8"/>
      <c r="S427" s="8"/>
      <c r="T427" s="107"/>
      <c r="U427" s="7"/>
      <c r="V427" s="10"/>
      <c r="W427" s="10"/>
      <c r="X427" s="8"/>
      <c r="Y427" s="7"/>
      <c r="Z427" s="8"/>
      <c r="AA427" s="107"/>
      <c r="AB427" s="7"/>
      <c r="AC427" s="10"/>
      <c r="AD427" s="10"/>
      <c r="AE427" s="8"/>
      <c r="AF427" s="8"/>
      <c r="AG427" s="107"/>
      <c r="AH427" s="7"/>
      <c r="AI427" s="10"/>
      <c r="AJ427" s="10"/>
      <c r="AK427" s="8"/>
      <c r="AL427" s="8"/>
      <c r="AM427" s="107"/>
      <c r="AN427" s="7"/>
      <c r="AO427" s="10"/>
      <c r="AP427" s="10"/>
      <c r="AQ427" s="8"/>
      <c r="AR427" s="8"/>
      <c r="AS427" s="8"/>
      <c r="AT427" s="107"/>
      <c r="AU427" s="7"/>
      <c r="AV427" s="10"/>
      <c r="AW427" s="10"/>
      <c r="AX427" s="8"/>
      <c r="AY427" s="8"/>
      <c r="AZ427" s="8"/>
      <c r="BA427" s="107"/>
      <c r="BB427" s="7"/>
      <c r="BC427" s="10"/>
      <c r="BD427" s="10"/>
      <c r="BE427" s="8"/>
      <c r="BF427" s="8"/>
      <c r="BG427" s="8"/>
      <c r="BH427" s="8"/>
      <c r="BI427" s="107"/>
      <c r="BJ427" s="7"/>
      <c r="BK427" s="10"/>
      <c r="BL427" s="10"/>
      <c r="BM427" s="10"/>
      <c r="BN427" s="8"/>
      <c r="BO427" s="8"/>
      <c r="BP427" s="8"/>
      <c r="BQ427" s="107"/>
      <c r="BR427" s="7"/>
      <c r="BS427" s="10"/>
      <c r="BT427" s="10"/>
      <c r="BU427" s="10"/>
      <c r="BV427" s="8"/>
      <c r="BW427" s="8"/>
      <c r="BX427" s="107"/>
      <c r="BY427" s="7"/>
      <c r="BZ427" s="10"/>
      <c r="CA427" s="10"/>
      <c r="CB427" s="8"/>
      <c r="CC427" s="8"/>
      <c r="CD427" s="8"/>
      <c r="CE427" s="107"/>
      <c r="CF427" s="7"/>
      <c r="CG427" s="10"/>
      <c r="CH427" s="10"/>
      <c r="CI427" s="8"/>
      <c r="CJ427" s="8"/>
      <c r="CK427" s="8"/>
      <c r="CL427" s="8"/>
      <c r="CM427" s="266"/>
      <c r="CN427" s="266"/>
      <c r="CO427" s="266"/>
    </row>
    <row r="428" spans="1:93" s="268" customFormat="1" x14ac:dyDescent="0.25">
      <c r="A428" s="107"/>
      <c r="B428" s="107"/>
      <c r="C428" s="7"/>
      <c r="D428" s="10"/>
      <c r="E428" s="10"/>
      <c r="F428" s="8"/>
      <c r="G428" s="8"/>
      <c r="H428" s="107"/>
      <c r="I428" s="7"/>
      <c r="J428" s="10"/>
      <c r="K428" s="10"/>
      <c r="L428" s="8"/>
      <c r="M428" s="8"/>
      <c r="N428" s="107"/>
      <c r="O428" s="7"/>
      <c r="P428" s="10"/>
      <c r="Q428" s="10"/>
      <c r="R428" s="8"/>
      <c r="S428" s="8"/>
      <c r="T428" s="107"/>
      <c r="U428" s="7"/>
      <c r="V428" s="10"/>
      <c r="W428" s="10"/>
      <c r="X428" s="8"/>
      <c r="Y428" s="7"/>
      <c r="Z428" s="8"/>
      <c r="AA428" s="107"/>
      <c r="AB428" s="7"/>
      <c r="AC428" s="10"/>
      <c r="AD428" s="10"/>
      <c r="AE428" s="8"/>
      <c r="AF428" s="8"/>
      <c r="AG428" s="107"/>
      <c r="AH428" s="7"/>
      <c r="AI428" s="10"/>
      <c r="AJ428" s="10"/>
      <c r="AK428" s="8"/>
      <c r="AL428" s="8"/>
      <c r="AM428" s="107"/>
      <c r="AN428" s="7"/>
      <c r="AO428" s="10"/>
      <c r="AP428" s="10"/>
      <c r="AQ428" s="8"/>
      <c r="AR428" s="8"/>
      <c r="AS428" s="8"/>
      <c r="AT428" s="107"/>
      <c r="AU428" s="7"/>
      <c r="AV428" s="10"/>
      <c r="AW428" s="10"/>
      <c r="AX428" s="8"/>
      <c r="AY428" s="8"/>
      <c r="AZ428" s="8"/>
      <c r="BA428" s="107"/>
      <c r="BB428" s="7"/>
      <c r="BC428" s="10"/>
      <c r="BD428" s="10"/>
      <c r="BE428" s="8"/>
      <c r="BF428" s="8"/>
      <c r="BG428" s="8"/>
      <c r="BH428" s="8"/>
      <c r="BI428" s="107"/>
      <c r="BJ428" s="7"/>
      <c r="BK428" s="10"/>
      <c r="BL428" s="10"/>
      <c r="BM428" s="10"/>
      <c r="BN428" s="8"/>
      <c r="BO428" s="8"/>
      <c r="BP428" s="8"/>
      <c r="BQ428" s="107"/>
      <c r="BR428" s="7"/>
      <c r="BS428" s="10"/>
      <c r="BT428" s="10"/>
      <c r="BU428" s="10"/>
      <c r="BV428" s="8"/>
      <c r="BW428" s="8"/>
      <c r="BX428" s="107"/>
      <c r="BY428" s="7"/>
      <c r="BZ428" s="10"/>
      <c r="CA428" s="10"/>
      <c r="CB428" s="8"/>
      <c r="CC428" s="8"/>
      <c r="CD428" s="8"/>
      <c r="CE428" s="107"/>
      <c r="CF428" s="7"/>
      <c r="CG428" s="10"/>
      <c r="CH428" s="10"/>
      <c r="CI428" s="8"/>
      <c r="CJ428" s="8"/>
      <c r="CK428" s="8"/>
      <c r="CL428" s="8"/>
      <c r="CM428" s="266"/>
      <c r="CN428" s="266"/>
      <c r="CO428" s="266"/>
    </row>
    <row r="429" spans="1:93" s="268" customFormat="1" x14ac:dyDescent="0.25">
      <c r="A429" s="107"/>
      <c r="B429" s="107"/>
      <c r="C429" s="7"/>
      <c r="D429" s="10"/>
      <c r="E429" s="10"/>
      <c r="F429" s="8"/>
      <c r="G429" s="8"/>
      <c r="H429" s="107"/>
      <c r="I429" s="7"/>
      <c r="J429" s="10"/>
      <c r="K429" s="10"/>
      <c r="L429" s="8"/>
      <c r="M429" s="8"/>
      <c r="N429" s="107"/>
      <c r="O429" s="7"/>
      <c r="P429" s="10"/>
      <c r="Q429" s="10"/>
      <c r="R429" s="8"/>
      <c r="S429" s="8"/>
      <c r="T429" s="107"/>
      <c r="U429" s="7"/>
      <c r="V429" s="10"/>
      <c r="W429" s="10"/>
      <c r="X429" s="8"/>
      <c r="Y429" s="7"/>
      <c r="Z429" s="8"/>
      <c r="AA429" s="107"/>
      <c r="AB429" s="7"/>
      <c r="AC429" s="10"/>
      <c r="AD429" s="10"/>
      <c r="AE429" s="8"/>
      <c r="AF429" s="8"/>
      <c r="AG429" s="107"/>
      <c r="AH429" s="7"/>
      <c r="AI429" s="10"/>
      <c r="AJ429" s="10"/>
      <c r="AK429" s="8"/>
      <c r="AL429" s="8"/>
      <c r="AM429" s="107"/>
      <c r="AN429" s="7"/>
      <c r="AO429" s="10"/>
      <c r="AP429" s="10"/>
      <c r="AQ429" s="8"/>
      <c r="AR429" s="8"/>
      <c r="AS429" s="8"/>
      <c r="AT429" s="107"/>
      <c r="AU429" s="7"/>
      <c r="AV429" s="10"/>
      <c r="AW429" s="10"/>
      <c r="AX429" s="8"/>
      <c r="AY429" s="8"/>
      <c r="AZ429" s="8"/>
      <c r="BA429" s="107"/>
      <c r="BB429" s="7"/>
      <c r="BC429" s="10"/>
      <c r="BD429" s="10"/>
      <c r="BE429" s="8"/>
      <c r="BF429" s="8"/>
      <c r="BG429" s="8"/>
      <c r="BH429" s="8"/>
      <c r="BI429" s="107"/>
      <c r="BJ429" s="7"/>
      <c r="BK429" s="10"/>
      <c r="BL429" s="10"/>
      <c r="BM429" s="10"/>
      <c r="BN429" s="8"/>
      <c r="BO429" s="8"/>
      <c r="BP429" s="8"/>
      <c r="BQ429" s="107"/>
      <c r="BR429" s="7"/>
      <c r="BS429" s="10"/>
      <c r="BT429" s="10"/>
      <c r="BU429" s="10"/>
      <c r="BV429" s="8"/>
      <c r="BW429" s="8"/>
      <c r="BX429" s="107"/>
      <c r="BY429" s="7"/>
      <c r="BZ429" s="10"/>
      <c r="CA429" s="10"/>
      <c r="CB429" s="8"/>
      <c r="CC429" s="8"/>
      <c r="CD429" s="8"/>
      <c r="CE429" s="107"/>
      <c r="CF429" s="7"/>
      <c r="CG429" s="10"/>
      <c r="CH429" s="10"/>
      <c r="CI429" s="8"/>
      <c r="CJ429" s="8"/>
      <c r="CK429" s="8"/>
      <c r="CL429" s="8"/>
      <c r="CM429" s="266"/>
      <c r="CN429" s="266"/>
      <c r="CO429" s="266"/>
    </row>
    <row r="430" spans="1:93" s="268" customFormat="1" x14ac:dyDescent="0.25">
      <c r="A430" s="107"/>
      <c r="B430" s="107"/>
      <c r="C430" s="7"/>
      <c r="D430" s="10"/>
      <c r="E430" s="10"/>
      <c r="F430" s="8"/>
      <c r="G430" s="8"/>
      <c r="H430" s="107"/>
      <c r="I430" s="7"/>
      <c r="J430" s="10"/>
      <c r="K430" s="10"/>
      <c r="L430" s="8"/>
      <c r="M430" s="8"/>
      <c r="N430" s="107"/>
      <c r="O430" s="7"/>
      <c r="P430" s="10"/>
      <c r="Q430" s="10"/>
      <c r="R430" s="8"/>
      <c r="S430" s="8"/>
      <c r="T430" s="107"/>
      <c r="U430" s="7"/>
      <c r="V430" s="10"/>
      <c r="W430" s="10"/>
      <c r="X430" s="8"/>
      <c r="Y430" s="7"/>
      <c r="Z430" s="8"/>
      <c r="AA430" s="107"/>
      <c r="AB430" s="7"/>
      <c r="AC430" s="10"/>
      <c r="AD430" s="10"/>
      <c r="AE430" s="8"/>
      <c r="AF430" s="8"/>
      <c r="AG430" s="107"/>
      <c r="AH430" s="7"/>
      <c r="AI430" s="10"/>
      <c r="AJ430" s="10"/>
      <c r="AK430" s="8"/>
      <c r="AL430" s="8"/>
      <c r="AM430" s="107"/>
      <c r="AN430" s="7"/>
      <c r="AO430" s="10"/>
      <c r="AP430" s="10"/>
      <c r="AQ430" s="8"/>
      <c r="AR430" s="8"/>
      <c r="AS430" s="8"/>
      <c r="AT430" s="107"/>
      <c r="AU430" s="7"/>
      <c r="AV430" s="10"/>
      <c r="AW430" s="10"/>
      <c r="AX430" s="8"/>
      <c r="AY430" s="8"/>
      <c r="AZ430" s="8"/>
      <c r="BA430" s="107"/>
      <c r="BB430" s="7"/>
      <c r="BC430" s="10"/>
      <c r="BD430" s="10"/>
      <c r="BE430" s="8"/>
      <c r="BF430" s="8"/>
      <c r="BG430" s="8"/>
      <c r="BH430" s="8"/>
      <c r="BI430" s="107"/>
      <c r="BJ430" s="7"/>
      <c r="BK430" s="10"/>
      <c r="BL430" s="10"/>
      <c r="BM430" s="10"/>
      <c r="BN430" s="8"/>
      <c r="BO430" s="8"/>
      <c r="BP430" s="8"/>
      <c r="BQ430" s="107"/>
      <c r="BR430" s="7"/>
      <c r="BS430" s="10"/>
      <c r="BT430" s="10"/>
      <c r="BU430" s="10"/>
      <c r="BV430" s="8"/>
      <c r="BW430" s="8"/>
      <c r="BX430" s="107"/>
      <c r="BY430" s="7"/>
      <c r="BZ430" s="10"/>
      <c r="CA430" s="10"/>
      <c r="CB430" s="8"/>
      <c r="CC430" s="8"/>
      <c r="CD430" s="8"/>
      <c r="CE430" s="107"/>
      <c r="CF430" s="7"/>
      <c r="CG430" s="10"/>
      <c r="CH430" s="10"/>
      <c r="CI430" s="8"/>
      <c r="CJ430" s="8"/>
      <c r="CK430" s="8"/>
      <c r="CL430" s="8"/>
      <c r="CM430" s="266"/>
      <c r="CN430" s="266"/>
      <c r="CO430" s="266"/>
    </row>
    <row r="431" spans="1:93" s="268" customFormat="1" x14ac:dyDescent="0.25">
      <c r="A431" s="107"/>
      <c r="B431" s="107"/>
      <c r="C431" s="7"/>
      <c r="D431" s="10"/>
      <c r="E431" s="10"/>
      <c r="F431" s="8"/>
      <c r="G431" s="8"/>
      <c r="H431" s="107"/>
      <c r="I431" s="7"/>
      <c r="J431" s="10"/>
      <c r="K431" s="10"/>
      <c r="L431" s="8"/>
      <c r="M431" s="8"/>
      <c r="N431" s="107"/>
      <c r="O431" s="7"/>
      <c r="P431" s="10"/>
      <c r="Q431" s="10"/>
      <c r="R431" s="8"/>
      <c r="S431" s="8"/>
      <c r="T431" s="107"/>
      <c r="U431" s="7"/>
      <c r="V431" s="10"/>
      <c r="W431" s="10"/>
      <c r="X431" s="8"/>
      <c r="Y431" s="7"/>
      <c r="Z431" s="8"/>
      <c r="AA431" s="107"/>
      <c r="AB431" s="7"/>
      <c r="AC431" s="10"/>
      <c r="AD431" s="10"/>
      <c r="AE431" s="8"/>
      <c r="AF431" s="8"/>
      <c r="AG431" s="107"/>
      <c r="AH431" s="7"/>
      <c r="AI431" s="10"/>
      <c r="AJ431" s="10"/>
      <c r="AK431" s="8"/>
      <c r="AL431" s="8"/>
      <c r="AM431" s="107"/>
      <c r="AN431" s="7"/>
      <c r="AO431" s="10"/>
      <c r="AP431" s="10"/>
      <c r="AQ431" s="8"/>
      <c r="AR431" s="8"/>
      <c r="AS431" s="8"/>
      <c r="AT431" s="107"/>
      <c r="AU431" s="7"/>
      <c r="AV431" s="10"/>
      <c r="AW431" s="10"/>
      <c r="AX431" s="8"/>
      <c r="AY431" s="8"/>
      <c r="AZ431" s="8"/>
      <c r="BA431" s="107"/>
      <c r="BB431" s="7"/>
      <c r="BC431" s="10"/>
      <c r="BD431" s="10"/>
      <c r="BE431" s="8"/>
      <c r="BF431" s="8"/>
      <c r="BG431" s="8"/>
      <c r="BH431" s="8"/>
      <c r="BI431" s="107"/>
      <c r="BJ431" s="7"/>
      <c r="BK431" s="10"/>
      <c r="BL431" s="10"/>
      <c r="BM431" s="10"/>
      <c r="BN431" s="8"/>
      <c r="BO431" s="8"/>
      <c r="BP431" s="8"/>
      <c r="BQ431" s="107"/>
      <c r="BR431" s="7"/>
      <c r="BS431" s="10"/>
      <c r="BT431" s="10"/>
      <c r="BU431" s="10"/>
      <c r="BV431" s="8"/>
      <c r="BW431" s="8"/>
      <c r="BX431" s="107"/>
      <c r="BY431" s="7"/>
      <c r="BZ431" s="10"/>
      <c r="CA431" s="10"/>
      <c r="CB431" s="8"/>
      <c r="CC431" s="8"/>
      <c r="CD431" s="8"/>
      <c r="CE431" s="107"/>
      <c r="CF431" s="7"/>
      <c r="CG431" s="10"/>
      <c r="CH431" s="10"/>
      <c r="CI431" s="8"/>
      <c r="CJ431" s="8"/>
      <c r="CK431" s="8"/>
      <c r="CL431" s="8"/>
      <c r="CM431" s="266"/>
      <c r="CN431" s="266"/>
      <c r="CO431" s="266"/>
    </row>
    <row r="432" spans="1:93" s="268" customFormat="1" x14ac:dyDescent="0.25">
      <c r="A432" s="107"/>
      <c r="B432" s="107"/>
      <c r="C432" s="7"/>
      <c r="D432" s="10"/>
      <c r="E432" s="10"/>
      <c r="F432" s="8"/>
      <c r="G432" s="8"/>
      <c r="H432" s="107"/>
      <c r="I432" s="7"/>
      <c r="J432" s="10"/>
      <c r="K432" s="10"/>
      <c r="L432" s="8"/>
      <c r="M432" s="8"/>
      <c r="N432" s="107"/>
      <c r="O432" s="7"/>
      <c r="P432" s="10"/>
      <c r="Q432" s="10"/>
      <c r="R432" s="8"/>
      <c r="S432" s="8"/>
      <c r="T432" s="107"/>
      <c r="U432" s="7"/>
      <c r="V432" s="10"/>
      <c r="W432" s="10"/>
      <c r="X432" s="8"/>
      <c r="Y432" s="7"/>
      <c r="Z432" s="8"/>
      <c r="AA432" s="107"/>
      <c r="AB432" s="7"/>
      <c r="AC432" s="10"/>
      <c r="AD432" s="10"/>
      <c r="AE432" s="8"/>
      <c r="AF432" s="8"/>
      <c r="AG432" s="107"/>
      <c r="AH432" s="7"/>
      <c r="AI432" s="10"/>
      <c r="AJ432" s="10"/>
      <c r="AK432" s="8"/>
      <c r="AL432" s="8"/>
      <c r="AM432" s="107"/>
      <c r="AN432" s="7"/>
      <c r="AO432" s="10"/>
      <c r="AP432" s="10"/>
      <c r="AQ432" s="8"/>
      <c r="AR432" s="8"/>
      <c r="AS432" s="8"/>
      <c r="AT432" s="107"/>
      <c r="AU432" s="7"/>
      <c r="AV432" s="10"/>
      <c r="AW432" s="10"/>
      <c r="AX432" s="8"/>
      <c r="AY432" s="8"/>
      <c r="AZ432" s="8"/>
      <c r="BA432" s="107"/>
      <c r="BB432" s="7"/>
      <c r="BC432" s="10"/>
      <c r="BD432" s="10"/>
      <c r="BE432" s="8"/>
      <c r="BF432" s="8"/>
      <c r="BG432" s="8"/>
      <c r="BH432" s="8"/>
      <c r="BI432" s="107"/>
      <c r="BJ432" s="7"/>
      <c r="BK432" s="10"/>
      <c r="BL432" s="10"/>
      <c r="BM432" s="10"/>
      <c r="BN432" s="8"/>
      <c r="BO432" s="8"/>
      <c r="BP432" s="8"/>
      <c r="BQ432" s="107"/>
      <c r="BR432" s="7"/>
      <c r="BS432" s="10"/>
      <c r="BT432" s="10"/>
      <c r="BU432" s="10"/>
      <c r="BV432" s="8"/>
      <c r="BW432" s="8"/>
      <c r="BX432" s="107"/>
      <c r="BY432" s="7"/>
      <c r="BZ432" s="10"/>
      <c r="CA432" s="10"/>
      <c r="CB432" s="8"/>
      <c r="CC432" s="8"/>
      <c r="CD432" s="8"/>
      <c r="CE432" s="107"/>
      <c r="CF432" s="7"/>
      <c r="CG432" s="10"/>
      <c r="CH432" s="10"/>
      <c r="CI432" s="8"/>
      <c r="CJ432" s="8"/>
      <c r="CK432" s="8"/>
      <c r="CL432" s="8"/>
      <c r="CM432" s="266"/>
      <c r="CN432" s="266"/>
      <c r="CO432" s="266"/>
    </row>
    <row r="433" spans="1:93" s="268" customFormat="1" x14ac:dyDescent="0.25">
      <c r="A433" s="107"/>
      <c r="B433" s="107"/>
      <c r="C433" s="7"/>
      <c r="D433" s="10"/>
      <c r="E433" s="10"/>
      <c r="F433" s="8"/>
      <c r="G433" s="8"/>
      <c r="H433" s="107"/>
      <c r="I433" s="7"/>
      <c r="J433" s="10"/>
      <c r="K433" s="10"/>
      <c r="L433" s="8"/>
      <c r="M433" s="8"/>
      <c r="N433" s="107"/>
      <c r="O433" s="7"/>
      <c r="P433" s="10"/>
      <c r="Q433" s="10"/>
      <c r="R433" s="8"/>
      <c r="S433" s="8"/>
      <c r="T433" s="107"/>
      <c r="U433" s="7"/>
      <c r="V433" s="10"/>
      <c r="W433" s="10"/>
      <c r="X433" s="8"/>
      <c r="Y433" s="7"/>
      <c r="Z433" s="8"/>
      <c r="AA433" s="107"/>
      <c r="AB433" s="7"/>
      <c r="AC433" s="10"/>
      <c r="AD433" s="10"/>
      <c r="AE433" s="8"/>
      <c r="AF433" s="8"/>
      <c r="AG433" s="107"/>
      <c r="AH433" s="7"/>
      <c r="AI433" s="10"/>
      <c r="AJ433" s="10"/>
      <c r="AK433" s="8"/>
      <c r="AL433" s="8"/>
      <c r="AM433" s="107"/>
      <c r="AN433" s="7"/>
      <c r="AO433" s="10"/>
      <c r="AP433" s="10"/>
      <c r="AQ433" s="8"/>
      <c r="AR433" s="8"/>
      <c r="AS433" s="8"/>
      <c r="AT433" s="107"/>
      <c r="AU433" s="7"/>
      <c r="AV433" s="10"/>
      <c r="AW433" s="10"/>
      <c r="AX433" s="8"/>
      <c r="AY433" s="8"/>
      <c r="AZ433" s="8"/>
      <c r="BA433" s="107"/>
      <c r="BB433" s="7"/>
      <c r="BC433" s="10"/>
      <c r="BD433" s="10"/>
      <c r="BE433" s="8"/>
      <c r="BF433" s="8"/>
      <c r="BG433" s="8"/>
      <c r="BH433" s="8"/>
      <c r="BI433" s="107"/>
      <c r="BJ433" s="7"/>
      <c r="BK433" s="10"/>
      <c r="BL433" s="10"/>
      <c r="BM433" s="10"/>
      <c r="BN433" s="8"/>
      <c r="BO433" s="8"/>
      <c r="BP433" s="8"/>
      <c r="BQ433" s="107"/>
      <c r="BR433" s="7"/>
      <c r="BS433" s="10"/>
      <c r="BT433" s="10"/>
      <c r="BU433" s="10"/>
      <c r="BV433" s="8"/>
      <c r="BW433" s="8"/>
      <c r="BX433" s="107"/>
      <c r="BY433" s="7"/>
      <c r="BZ433" s="10"/>
      <c r="CA433" s="10"/>
      <c r="CB433" s="8"/>
      <c r="CC433" s="8"/>
      <c r="CD433" s="8"/>
      <c r="CE433" s="107"/>
      <c r="CF433" s="7"/>
      <c r="CG433" s="10"/>
      <c r="CH433" s="10"/>
      <c r="CI433" s="8"/>
      <c r="CJ433" s="8"/>
      <c r="CK433" s="8"/>
      <c r="CL433" s="8"/>
      <c r="CM433" s="266"/>
      <c r="CN433" s="266"/>
      <c r="CO433" s="266"/>
    </row>
    <row r="434" spans="1:93" s="268" customFormat="1" x14ac:dyDescent="0.25">
      <c r="A434" s="107"/>
      <c r="B434" s="107"/>
      <c r="C434" s="7"/>
      <c r="D434" s="10"/>
      <c r="E434" s="10"/>
      <c r="F434" s="8"/>
      <c r="G434" s="8"/>
      <c r="H434" s="107"/>
      <c r="I434" s="7"/>
      <c r="J434" s="10"/>
      <c r="K434" s="10"/>
      <c r="L434" s="8"/>
      <c r="M434" s="8"/>
      <c r="N434" s="107"/>
      <c r="O434" s="7"/>
      <c r="P434" s="10"/>
      <c r="Q434" s="10"/>
      <c r="R434" s="8"/>
      <c r="S434" s="8"/>
      <c r="T434" s="107"/>
      <c r="U434" s="7"/>
      <c r="V434" s="10"/>
      <c r="W434" s="10"/>
      <c r="X434" s="8"/>
      <c r="Y434" s="7"/>
      <c r="Z434" s="8"/>
      <c r="AA434" s="107"/>
      <c r="AB434" s="7"/>
      <c r="AC434" s="10"/>
      <c r="AD434" s="10"/>
      <c r="AE434" s="8"/>
      <c r="AF434" s="8"/>
      <c r="AG434" s="107"/>
      <c r="AH434" s="7"/>
      <c r="AI434" s="10"/>
      <c r="AJ434" s="10"/>
      <c r="AK434" s="8"/>
      <c r="AL434" s="8"/>
      <c r="AM434" s="107"/>
      <c r="AN434" s="7"/>
      <c r="AO434" s="10"/>
      <c r="AP434" s="10"/>
      <c r="AQ434" s="8"/>
      <c r="AR434" s="8"/>
      <c r="AS434" s="8"/>
      <c r="AT434" s="107"/>
      <c r="AU434" s="7"/>
      <c r="AV434" s="10"/>
      <c r="AW434" s="10"/>
      <c r="AX434" s="8"/>
      <c r="AY434" s="8"/>
      <c r="AZ434" s="8"/>
      <c r="BA434" s="107"/>
      <c r="BB434" s="7"/>
      <c r="BC434" s="10"/>
      <c r="BD434" s="10"/>
      <c r="BE434" s="8"/>
      <c r="BF434" s="8"/>
      <c r="BG434" s="8"/>
      <c r="BH434" s="8"/>
      <c r="BI434" s="107"/>
      <c r="BJ434" s="7"/>
      <c r="BK434" s="10"/>
      <c r="BL434" s="10"/>
      <c r="BM434" s="10"/>
      <c r="BN434" s="8"/>
      <c r="BO434" s="8"/>
      <c r="BP434" s="8"/>
      <c r="BQ434" s="107"/>
      <c r="BR434" s="7"/>
      <c r="BS434" s="10"/>
      <c r="BT434" s="10"/>
      <c r="BU434" s="10"/>
      <c r="BV434" s="8"/>
      <c r="BW434" s="8"/>
      <c r="BX434" s="107"/>
      <c r="BY434" s="7"/>
      <c r="BZ434" s="10"/>
      <c r="CA434" s="10"/>
      <c r="CB434" s="8"/>
      <c r="CC434" s="8"/>
      <c r="CD434" s="8"/>
      <c r="CE434" s="107"/>
      <c r="CF434" s="7"/>
      <c r="CG434" s="10"/>
      <c r="CH434" s="10"/>
      <c r="CI434" s="8"/>
      <c r="CJ434" s="8"/>
      <c r="CK434" s="8"/>
      <c r="CL434" s="8"/>
      <c r="CM434" s="266"/>
      <c r="CN434" s="266"/>
      <c r="CO434" s="266"/>
    </row>
    <row r="435" spans="1:93" s="268" customFormat="1" x14ac:dyDescent="0.25">
      <c r="A435" s="107"/>
      <c r="B435" s="107"/>
      <c r="C435" s="7"/>
      <c r="D435" s="10"/>
      <c r="E435" s="10"/>
      <c r="F435" s="8"/>
      <c r="G435" s="8"/>
      <c r="H435" s="107"/>
      <c r="I435" s="7"/>
      <c r="J435" s="10"/>
      <c r="K435" s="10"/>
      <c r="L435" s="8"/>
      <c r="M435" s="8"/>
      <c r="N435" s="107"/>
      <c r="O435" s="7"/>
      <c r="P435" s="10"/>
      <c r="Q435" s="10"/>
      <c r="R435" s="8"/>
      <c r="S435" s="8"/>
      <c r="T435" s="107"/>
      <c r="U435" s="7"/>
      <c r="V435" s="10"/>
      <c r="W435" s="10"/>
      <c r="X435" s="8"/>
      <c r="Y435" s="7"/>
      <c r="Z435" s="8"/>
      <c r="AA435" s="107"/>
      <c r="AB435" s="7"/>
      <c r="AC435" s="10"/>
      <c r="AD435" s="10"/>
      <c r="AE435" s="8"/>
      <c r="AF435" s="8"/>
      <c r="AG435" s="107"/>
      <c r="AH435" s="7"/>
      <c r="AI435" s="10"/>
      <c r="AJ435" s="10"/>
      <c r="AK435" s="8"/>
      <c r="AL435" s="8"/>
      <c r="AM435" s="107"/>
      <c r="AN435" s="7"/>
      <c r="AO435" s="10"/>
      <c r="AP435" s="10"/>
      <c r="AQ435" s="8"/>
      <c r="AR435" s="8"/>
      <c r="AS435" s="8"/>
      <c r="AT435" s="107"/>
      <c r="AU435" s="7"/>
      <c r="AV435" s="10"/>
      <c r="AW435" s="10"/>
      <c r="AX435" s="8"/>
      <c r="AY435" s="8"/>
      <c r="AZ435" s="8"/>
      <c r="BA435" s="107"/>
      <c r="BB435" s="7"/>
      <c r="BC435" s="10"/>
      <c r="BD435" s="10"/>
      <c r="BE435" s="8"/>
      <c r="BF435" s="8"/>
      <c r="BG435" s="8"/>
      <c r="BH435" s="8"/>
      <c r="BI435" s="107"/>
      <c r="BJ435" s="7"/>
      <c r="BK435" s="10"/>
      <c r="BL435" s="10"/>
      <c r="BM435" s="10"/>
      <c r="BN435" s="8"/>
      <c r="BO435" s="8"/>
      <c r="BP435" s="8"/>
      <c r="BQ435" s="107"/>
      <c r="BR435" s="7"/>
      <c r="BS435" s="10"/>
      <c r="BT435" s="10"/>
      <c r="BU435" s="10"/>
      <c r="BV435" s="8"/>
      <c r="BW435" s="8"/>
      <c r="BX435" s="107"/>
      <c r="BY435" s="7"/>
      <c r="BZ435" s="10"/>
      <c r="CA435" s="10"/>
      <c r="CB435" s="8"/>
      <c r="CC435" s="8"/>
      <c r="CD435" s="8"/>
      <c r="CE435" s="107"/>
      <c r="CF435" s="7"/>
      <c r="CG435" s="10"/>
      <c r="CH435" s="10"/>
      <c r="CI435" s="8"/>
      <c r="CJ435" s="8"/>
      <c r="CK435" s="8"/>
      <c r="CL435" s="8"/>
      <c r="CM435" s="266"/>
      <c r="CN435" s="266"/>
      <c r="CO435" s="266"/>
    </row>
    <row r="436" spans="1:93" s="268" customFormat="1" x14ac:dyDescent="0.25">
      <c r="A436" s="107"/>
      <c r="B436" s="107"/>
      <c r="C436" s="7"/>
      <c r="D436" s="10"/>
      <c r="E436" s="10"/>
      <c r="F436" s="8"/>
      <c r="G436" s="8"/>
      <c r="H436" s="107"/>
      <c r="I436" s="7"/>
      <c r="J436" s="10"/>
      <c r="K436" s="10"/>
      <c r="L436" s="8"/>
      <c r="M436" s="8"/>
      <c r="N436" s="107"/>
      <c r="O436" s="7"/>
      <c r="P436" s="10"/>
      <c r="Q436" s="10"/>
      <c r="R436" s="8"/>
      <c r="S436" s="8"/>
      <c r="T436" s="107"/>
      <c r="U436" s="7"/>
      <c r="V436" s="10"/>
      <c r="W436" s="10"/>
      <c r="X436" s="8"/>
      <c r="Y436" s="7"/>
      <c r="Z436" s="8"/>
      <c r="AA436" s="107"/>
      <c r="AB436" s="7"/>
      <c r="AC436" s="10"/>
      <c r="AD436" s="10"/>
      <c r="AE436" s="8"/>
      <c r="AF436" s="8"/>
      <c r="AG436" s="107"/>
      <c r="AH436" s="7"/>
      <c r="AI436" s="10"/>
      <c r="AJ436" s="10"/>
      <c r="AK436" s="8"/>
      <c r="AL436" s="8"/>
      <c r="AM436" s="107"/>
      <c r="AN436" s="7"/>
      <c r="AO436" s="10"/>
      <c r="AP436" s="10"/>
      <c r="AQ436" s="8"/>
      <c r="AR436" s="8"/>
      <c r="AS436" s="8"/>
      <c r="AT436" s="107"/>
      <c r="AU436" s="7"/>
      <c r="AV436" s="10"/>
      <c r="AW436" s="10"/>
      <c r="AX436" s="8"/>
      <c r="AY436" s="8"/>
      <c r="AZ436" s="8"/>
      <c r="BA436" s="107"/>
      <c r="BB436" s="7"/>
      <c r="BC436" s="10"/>
      <c r="BD436" s="10"/>
      <c r="BE436" s="8"/>
      <c r="BF436" s="8"/>
      <c r="BG436" s="8"/>
      <c r="BH436" s="8"/>
      <c r="BI436" s="107"/>
      <c r="BJ436" s="7"/>
      <c r="BK436" s="10"/>
      <c r="BL436" s="10"/>
      <c r="BM436" s="10"/>
      <c r="BN436" s="8"/>
      <c r="BO436" s="8"/>
      <c r="BP436" s="8"/>
      <c r="BQ436" s="107"/>
      <c r="BR436" s="7"/>
      <c r="BS436" s="10"/>
      <c r="BT436" s="10"/>
      <c r="BU436" s="10"/>
      <c r="BV436" s="8"/>
      <c r="BW436" s="8"/>
      <c r="BX436" s="107"/>
      <c r="BY436" s="7"/>
      <c r="BZ436" s="10"/>
      <c r="CA436" s="10"/>
      <c r="CB436" s="8"/>
      <c r="CC436" s="8"/>
      <c r="CD436" s="8"/>
      <c r="CE436" s="107"/>
      <c r="CF436" s="7"/>
      <c r="CG436" s="10"/>
      <c r="CH436" s="10"/>
      <c r="CI436" s="8"/>
      <c r="CJ436" s="8"/>
      <c r="CK436" s="8"/>
      <c r="CL436" s="8"/>
      <c r="CM436" s="266"/>
      <c r="CN436" s="266"/>
      <c r="CO436" s="266"/>
    </row>
    <row r="437" spans="1:93" s="268" customFormat="1" x14ac:dyDescent="0.25">
      <c r="A437" s="107"/>
      <c r="B437" s="107"/>
      <c r="C437" s="7"/>
      <c r="D437" s="10"/>
      <c r="E437" s="10"/>
      <c r="F437" s="8"/>
      <c r="G437" s="8"/>
      <c r="H437" s="107"/>
      <c r="I437" s="7"/>
      <c r="J437" s="10"/>
      <c r="K437" s="10"/>
      <c r="L437" s="8"/>
      <c r="M437" s="8"/>
      <c r="N437" s="107"/>
      <c r="O437" s="7"/>
      <c r="P437" s="10"/>
      <c r="Q437" s="10"/>
      <c r="R437" s="8"/>
      <c r="S437" s="8"/>
      <c r="T437" s="107"/>
      <c r="U437" s="7"/>
      <c r="V437" s="10"/>
      <c r="W437" s="10"/>
      <c r="X437" s="8"/>
      <c r="Y437" s="7"/>
      <c r="Z437" s="8"/>
      <c r="AA437" s="107"/>
      <c r="AB437" s="7"/>
      <c r="AC437" s="10"/>
      <c r="AD437" s="10"/>
      <c r="AE437" s="8"/>
      <c r="AF437" s="8"/>
      <c r="AG437" s="107"/>
      <c r="AH437" s="7"/>
      <c r="AI437" s="10"/>
      <c r="AJ437" s="10"/>
      <c r="AK437" s="8"/>
      <c r="AL437" s="8"/>
      <c r="AM437" s="107"/>
      <c r="AN437" s="7"/>
      <c r="AO437" s="10"/>
      <c r="AP437" s="10"/>
      <c r="AQ437" s="8"/>
      <c r="AR437" s="8"/>
      <c r="AS437" s="8"/>
      <c r="AT437" s="107"/>
      <c r="AU437" s="7"/>
      <c r="AV437" s="10"/>
      <c r="AW437" s="10"/>
      <c r="AX437" s="8"/>
      <c r="AY437" s="8"/>
      <c r="AZ437" s="8"/>
      <c r="BA437" s="107"/>
      <c r="BB437" s="7"/>
      <c r="BC437" s="10"/>
      <c r="BD437" s="10"/>
      <c r="BE437" s="8"/>
      <c r="BF437" s="8"/>
      <c r="BG437" s="8"/>
      <c r="BH437" s="8"/>
      <c r="BI437" s="107"/>
      <c r="BJ437" s="7"/>
      <c r="BK437" s="10"/>
      <c r="BL437" s="10"/>
      <c r="BM437" s="10"/>
      <c r="BN437" s="8"/>
      <c r="BO437" s="8"/>
      <c r="BP437" s="8"/>
      <c r="BQ437" s="107"/>
      <c r="BR437" s="7"/>
      <c r="BS437" s="10"/>
      <c r="BT437" s="10"/>
      <c r="BU437" s="10"/>
      <c r="BV437" s="8"/>
      <c r="BW437" s="8"/>
      <c r="BX437" s="107"/>
      <c r="BY437" s="7"/>
      <c r="BZ437" s="10"/>
      <c r="CA437" s="10"/>
      <c r="CB437" s="8"/>
      <c r="CC437" s="8"/>
      <c r="CD437" s="8"/>
      <c r="CE437" s="107"/>
      <c r="CF437" s="7"/>
      <c r="CG437" s="10"/>
      <c r="CH437" s="10"/>
      <c r="CI437" s="8"/>
      <c r="CJ437" s="8"/>
      <c r="CK437" s="8"/>
      <c r="CL437" s="8"/>
      <c r="CM437" s="266"/>
      <c r="CN437" s="266"/>
      <c r="CO437" s="266"/>
    </row>
    <row r="438" spans="1:93" s="268" customFormat="1" x14ac:dyDescent="0.25">
      <c r="A438" s="107"/>
      <c r="B438" s="107"/>
      <c r="C438" s="7"/>
      <c r="D438" s="10"/>
      <c r="E438" s="10"/>
      <c r="F438" s="8"/>
      <c r="G438" s="8"/>
      <c r="H438" s="107"/>
      <c r="I438" s="7"/>
      <c r="J438" s="10"/>
      <c r="K438" s="10"/>
      <c r="L438" s="8"/>
      <c r="M438" s="8"/>
      <c r="N438" s="107"/>
      <c r="O438" s="7"/>
      <c r="P438" s="10"/>
      <c r="Q438" s="10"/>
      <c r="R438" s="8"/>
      <c r="S438" s="8"/>
      <c r="T438" s="107"/>
      <c r="U438" s="7"/>
      <c r="V438" s="10"/>
      <c r="W438" s="10"/>
      <c r="X438" s="8"/>
      <c r="Y438" s="7"/>
      <c r="Z438" s="8"/>
      <c r="AA438" s="107"/>
      <c r="AB438" s="7"/>
      <c r="AC438" s="10"/>
      <c r="AD438" s="10"/>
      <c r="AE438" s="8"/>
      <c r="AF438" s="8"/>
      <c r="AG438" s="107"/>
      <c r="AH438" s="7"/>
      <c r="AI438" s="10"/>
      <c r="AJ438" s="10"/>
      <c r="AK438" s="8"/>
      <c r="AL438" s="8"/>
      <c r="AM438" s="107"/>
      <c r="AN438" s="7"/>
      <c r="AO438" s="10"/>
      <c r="AP438" s="10"/>
      <c r="AQ438" s="8"/>
      <c r="AR438" s="8"/>
      <c r="AS438" s="8"/>
      <c r="AT438" s="107"/>
      <c r="AU438" s="7"/>
      <c r="AV438" s="10"/>
      <c r="AW438" s="10"/>
      <c r="AX438" s="8"/>
      <c r="AY438" s="8"/>
      <c r="AZ438" s="8"/>
      <c r="BA438" s="107"/>
      <c r="BB438" s="7"/>
      <c r="BC438" s="10"/>
      <c r="BD438" s="10"/>
      <c r="BE438" s="8"/>
      <c r="BF438" s="8"/>
      <c r="BG438" s="8"/>
      <c r="BH438" s="8"/>
      <c r="BI438" s="107"/>
      <c r="BJ438" s="7"/>
      <c r="BK438" s="10"/>
      <c r="BL438" s="10"/>
      <c r="BM438" s="10"/>
      <c r="BN438" s="8"/>
      <c r="BO438" s="8"/>
      <c r="BP438" s="8"/>
      <c r="BQ438" s="107"/>
      <c r="BR438" s="7"/>
      <c r="BS438" s="10"/>
      <c r="BT438" s="10"/>
      <c r="BU438" s="10"/>
      <c r="BV438" s="8"/>
      <c r="BW438" s="8"/>
      <c r="BX438" s="107"/>
      <c r="BY438" s="7"/>
      <c r="BZ438" s="10"/>
      <c r="CA438" s="10"/>
      <c r="CB438" s="8"/>
      <c r="CC438" s="8"/>
      <c r="CD438" s="8"/>
      <c r="CE438" s="107"/>
      <c r="CF438" s="7"/>
      <c r="CG438" s="10"/>
      <c r="CH438" s="10"/>
      <c r="CI438" s="8"/>
      <c r="CJ438" s="8"/>
      <c r="CK438" s="8"/>
      <c r="CL438" s="8"/>
      <c r="CM438" s="266"/>
      <c r="CN438" s="266"/>
      <c r="CO438" s="266"/>
    </row>
    <row r="439" spans="1:93" s="268" customFormat="1" x14ac:dyDescent="0.25">
      <c r="A439" s="107"/>
      <c r="B439" s="107"/>
      <c r="C439" s="7"/>
      <c r="D439" s="10"/>
      <c r="E439" s="10"/>
      <c r="F439" s="8"/>
      <c r="G439" s="8"/>
      <c r="H439" s="107"/>
      <c r="I439" s="7"/>
      <c r="J439" s="10"/>
      <c r="K439" s="10"/>
      <c r="L439" s="8"/>
      <c r="M439" s="8"/>
      <c r="N439" s="107"/>
      <c r="O439" s="7"/>
      <c r="P439" s="10"/>
      <c r="Q439" s="10"/>
      <c r="R439" s="8"/>
      <c r="S439" s="8"/>
      <c r="T439" s="107"/>
      <c r="U439" s="7"/>
      <c r="V439" s="10"/>
      <c r="W439" s="10"/>
      <c r="X439" s="8"/>
      <c r="Y439" s="7"/>
      <c r="Z439" s="8"/>
      <c r="AA439" s="107"/>
      <c r="AB439" s="7"/>
      <c r="AC439" s="10"/>
      <c r="AD439" s="10"/>
      <c r="AE439" s="8"/>
      <c r="AF439" s="8"/>
      <c r="AG439" s="107"/>
      <c r="AH439" s="7"/>
      <c r="AI439" s="10"/>
      <c r="AJ439" s="10"/>
      <c r="AK439" s="8"/>
      <c r="AL439" s="8"/>
      <c r="AM439" s="107"/>
      <c r="AN439" s="7"/>
      <c r="AO439" s="10"/>
      <c r="AP439" s="10"/>
      <c r="AQ439" s="8"/>
      <c r="AR439" s="8"/>
      <c r="AS439" s="8"/>
      <c r="AT439" s="107"/>
      <c r="AU439" s="7"/>
      <c r="AV439" s="10"/>
      <c r="AW439" s="10"/>
      <c r="AX439" s="8"/>
      <c r="AY439" s="8"/>
      <c r="AZ439" s="8"/>
      <c r="BA439" s="107"/>
      <c r="BB439" s="7"/>
      <c r="BC439" s="10"/>
      <c r="BD439" s="10"/>
      <c r="BE439" s="8"/>
      <c r="BF439" s="8"/>
      <c r="BG439" s="8"/>
      <c r="BH439" s="8"/>
      <c r="BI439" s="107"/>
      <c r="BJ439" s="7"/>
      <c r="BK439" s="10"/>
      <c r="BL439" s="10"/>
      <c r="BM439" s="10"/>
      <c r="BN439" s="8"/>
      <c r="BO439" s="8"/>
      <c r="BP439" s="8"/>
      <c r="BQ439" s="107"/>
      <c r="BR439" s="7"/>
      <c r="BS439" s="10"/>
      <c r="BT439" s="10"/>
      <c r="BU439" s="10"/>
      <c r="BV439" s="8"/>
      <c r="BW439" s="8"/>
      <c r="BX439" s="107"/>
      <c r="BY439" s="7"/>
      <c r="BZ439" s="10"/>
      <c r="CA439" s="10"/>
      <c r="CB439" s="8"/>
      <c r="CC439" s="8"/>
      <c r="CD439" s="8"/>
      <c r="CE439" s="107"/>
      <c r="CF439" s="7"/>
      <c r="CG439" s="10"/>
      <c r="CH439" s="10"/>
      <c r="CI439" s="8"/>
      <c r="CJ439" s="8"/>
      <c r="CK439" s="8"/>
      <c r="CL439" s="8"/>
      <c r="CM439" s="266"/>
      <c r="CN439" s="266"/>
      <c r="CO439" s="266"/>
    </row>
    <row r="440" spans="1:93" s="268" customFormat="1" x14ac:dyDescent="0.25">
      <c r="A440" s="107"/>
      <c r="B440" s="107"/>
      <c r="C440" s="7"/>
      <c r="D440" s="10"/>
      <c r="E440" s="10"/>
      <c r="F440" s="8"/>
      <c r="G440" s="8"/>
      <c r="H440" s="107"/>
      <c r="I440" s="7"/>
      <c r="J440" s="10"/>
      <c r="K440" s="10"/>
      <c r="L440" s="8"/>
      <c r="M440" s="8"/>
      <c r="N440" s="107"/>
      <c r="O440" s="7"/>
      <c r="P440" s="10"/>
      <c r="Q440" s="10"/>
      <c r="R440" s="8"/>
      <c r="S440" s="8"/>
      <c r="T440" s="107"/>
      <c r="U440" s="7"/>
      <c r="V440" s="10"/>
      <c r="W440" s="10"/>
      <c r="X440" s="8"/>
      <c r="Y440" s="7"/>
      <c r="Z440" s="8"/>
      <c r="AA440" s="107"/>
      <c r="AB440" s="7"/>
      <c r="AC440" s="10"/>
      <c r="AD440" s="10"/>
      <c r="AE440" s="8"/>
      <c r="AF440" s="8"/>
      <c r="AG440" s="107"/>
      <c r="AH440" s="7"/>
      <c r="AI440" s="10"/>
      <c r="AJ440" s="10"/>
      <c r="AK440" s="8"/>
      <c r="AL440" s="8"/>
      <c r="AM440" s="107"/>
      <c r="AN440" s="7"/>
      <c r="AO440" s="10"/>
      <c r="AP440" s="10"/>
      <c r="AQ440" s="8"/>
      <c r="AR440" s="8"/>
      <c r="AS440" s="8"/>
      <c r="AT440" s="107"/>
      <c r="AU440" s="7"/>
      <c r="AV440" s="10"/>
      <c r="AW440" s="10"/>
      <c r="AX440" s="8"/>
      <c r="AY440" s="8"/>
      <c r="AZ440" s="8"/>
      <c r="BA440" s="107"/>
      <c r="BB440" s="7"/>
      <c r="BC440" s="10"/>
      <c r="BD440" s="10"/>
      <c r="BE440" s="8"/>
      <c r="BF440" s="8"/>
      <c r="BG440" s="8"/>
      <c r="BH440" s="8"/>
      <c r="BI440" s="107"/>
      <c r="BJ440" s="7"/>
      <c r="BK440" s="10"/>
      <c r="BL440" s="10"/>
      <c r="BM440" s="10"/>
      <c r="BN440" s="8"/>
      <c r="BO440" s="8"/>
      <c r="BP440" s="8"/>
      <c r="BQ440" s="107"/>
      <c r="BR440" s="7"/>
      <c r="BS440" s="10"/>
      <c r="BT440" s="10"/>
      <c r="BU440" s="10"/>
      <c r="BV440" s="8"/>
      <c r="BW440" s="8"/>
      <c r="BX440" s="107"/>
      <c r="BY440" s="7"/>
      <c r="BZ440" s="10"/>
      <c r="CA440" s="10"/>
      <c r="CB440" s="8"/>
      <c r="CC440" s="8"/>
      <c r="CD440" s="8"/>
      <c r="CE440" s="107"/>
      <c r="CF440" s="7"/>
      <c r="CG440" s="10"/>
      <c r="CH440" s="10"/>
      <c r="CI440" s="8"/>
      <c r="CJ440" s="8"/>
      <c r="CK440" s="8"/>
      <c r="CL440" s="8"/>
      <c r="CM440" s="266"/>
      <c r="CN440" s="266"/>
      <c r="CO440" s="266"/>
    </row>
    <row r="441" spans="1:93" s="268" customFormat="1" x14ac:dyDescent="0.25">
      <c r="A441" s="107"/>
      <c r="B441" s="107"/>
      <c r="C441" s="7"/>
      <c r="D441" s="10"/>
      <c r="E441" s="10"/>
      <c r="F441" s="8"/>
      <c r="G441" s="8"/>
      <c r="H441" s="107"/>
      <c r="I441" s="7"/>
      <c r="J441" s="10"/>
      <c r="K441" s="10"/>
      <c r="L441" s="8"/>
      <c r="M441" s="8"/>
      <c r="N441" s="107"/>
      <c r="O441" s="7"/>
      <c r="P441" s="10"/>
      <c r="Q441" s="10"/>
      <c r="R441" s="8"/>
      <c r="S441" s="8"/>
      <c r="T441" s="107"/>
      <c r="U441" s="7"/>
      <c r="V441" s="10"/>
      <c r="W441" s="10"/>
      <c r="X441" s="8"/>
      <c r="Y441" s="7"/>
      <c r="Z441" s="8"/>
      <c r="AA441" s="107"/>
      <c r="AB441" s="7"/>
      <c r="AC441" s="10"/>
      <c r="AD441" s="10"/>
      <c r="AE441" s="8"/>
      <c r="AF441" s="8"/>
      <c r="AG441" s="107"/>
      <c r="AH441" s="7"/>
      <c r="AI441" s="10"/>
      <c r="AJ441" s="10"/>
      <c r="AK441" s="8"/>
      <c r="AL441" s="8"/>
      <c r="AM441" s="107"/>
      <c r="AN441" s="7"/>
      <c r="AO441" s="10"/>
      <c r="AP441" s="10"/>
      <c r="AQ441" s="8"/>
      <c r="AR441" s="8"/>
      <c r="AS441" s="8"/>
      <c r="AT441" s="107"/>
      <c r="AU441" s="7"/>
      <c r="AV441" s="10"/>
      <c r="AW441" s="10"/>
      <c r="AX441" s="8"/>
      <c r="AY441" s="8"/>
      <c r="AZ441" s="8"/>
      <c r="BA441" s="107"/>
      <c r="BB441" s="7"/>
      <c r="BC441" s="10"/>
      <c r="BD441" s="10"/>
      <c r="BE441" s="8"/>
      <c r="BF441" s="8"/>
      <c r="BG441" s="8"/>
      <c r="BH441" s="8"/>
      <c r="BI441" s="107"/>
      <c r="BJ441" s="7"/>
      <c r="BK441" s="10"/>
      <c r="BL441" s="10"/>
      <c r="BM441" s="10"/>
      <c r="BN441" s="8"/>
      <c r="BO441" s="8"/>
      <c r="BP441" s="8"/>
      <c r="BQ441" s="107"/>
      <c r="BR441" s="7"/>
      <c r="BS441" s="10"/>
      <c r="BT441" s="10"/>
      <c r="BU441" s="10"/>
      <c r="BV441" s="8"/>
      <c r="BW441" s="8"/>
      <c r="BX441" s="107"/>
      <c r="BY441" s="7"/>
      <c r="BZ441" s="10"/>
      <c r="CA441" s="10"/>
      <c r="CB441" s="8"/>
      <c r="CC441" s="8"/>
      <c r="CD441" s="8"/>
      <c r="CE441" s="107"/>
      <c r="CF441" s="7"/>
      <c r="CG441" s="10"/>
      <c r="CH441" s="10"/>
      <c r="CI441" s="8"/>
      <c r="CJ441" s="8"/>
      <c r="CK441" s="8"/>
      <c r="CL441" s="8"/>
      <c r="CM441" s="266"/>
      <c r="CN441" s="266"/>
      <c r="CO441" s="266"/>
    </row>
    <row r="442" spans="1:93" s="268" customFormat="1" x14ac:dyDescent="0.25">
      <c r="A442" s="107"/>
      <c r="B442" s="107"/>
      <c r="C442" s="7"/>
      <c r="D442" s="10"/>
      <c r="E442" s="10"/>
      <c r="F442" s="8"/>
      <c r="G442" s="8"/>
      <c r="H442" s="107"/>
      <c r="I442" s="7"/>
      <c r="J442" s="10"/>
      <c r="K442" s="10"/>
      <c r="L442" s="8"/>
      <c r="M442" s="8"/>
      <c r="N442" s="107"/>
      <c r="O442" s="7"/>
      <c r="P442" s="10"/>
      <c r="Q442" s="10"/>
      <c r="R442" s="8"/>
      <c r="S442" s="8"/>
      <c r="T442" s="107"/>
      <c r="U442" s="7"/>
      <c r="V442" s="10"/>
      <c r="W442" s="10"/>
      <c r="X442" s="8"/>
      <c r="Y442" s="7"/>
      <c r="Z442" s="8"/>
      <c r="AA442" s="107"/>
      <c r="AB442" s="7"/>
      <c r="AC442" s="10"/>
      <c r="AD442" s="10"/>
      <c r="AE442" s="8"/>
      <c r="AF442" s="8"/>
      <c r="AG442" s="107"/>
      <c r="AH442" s="7"/>
      <c r="AI442" s="10"/>
      <c r="AJ442" s="10"/>
      <c r="AK442" s="8"/>
      <c r="AL442" s="8"/>
      <c r="AM442" s="107"/>
      <c r="AN442" s="7"/>
      <c r="AO442" s="10"/>
      <c r="AP442" s="10"/>
      <c r="AQ442" s="8"/>
      <c r="AR442" s="8"/>
      <c r="AS442" s="8"/>
      <c r="AT442" s="107"/>
      <c r="AU442" s="7"/>
      <c r="AV442" s="10"/>
      <c r="AW442" s="10"/>
      <c r="AX442" s="8"/>
      <c r="AY442" s="8"/>
      <c r="AZ442" s="8"/>
      <c r="BA442" s="107"/>
      <c r="BB442" s="7"/>
      <c r="BC442" s="10"/>
      <c r="BD442" s="10"/>
      <c r="BE442" s="8"/>
      <c r="BF442" s="8"/>
      <c r="BG442" s="8"/>
      <c r="BH442" s="8"/>
      <c r="BI442" s="107"/>
      <c r="BJ442" s="7"/>
      <c r="BK442" s="10"/>
      <c r="BL442" s="10"/>
      <c r="BM442" s="10"/>
      <c r="BN442" s="8"/>
      <c r="BO442" s="8"/>
      <c r="BP442" s="8"/>
      <c r="BQ442" s="107"/>
      <c r="BR442" s="7"/>
      <c r="BS442" s="10"/>
      <c r="BT442" s="10"/>
      <c r="BU442" s="10"/>
      <c r="BV442" s="8"/>
      <c r="BW442" s="8"/>
      <c r="BX442" s="107"/>
      <c r="BY442" s="7"/>
      <c r="BZ442" s="10"/>
      <c r="CA442" s="10"/>
      <c r="CB442" s="8"/>
      <c r="CC442" s="8"/>
      <c r="CD442" s="8"/>
      <c r="CE442" s="107"/>
      <c r="CF442" s="7"/>
      <c r="CG442" s="10"/>
      <c r="CH442" s="10"/>
      <c r="CI442" s="8"/>
      <c r="CJ442" s="8"/>
      <c r="CK442" s="8"/>
      <c r="CL442" s="8"/>
      <c r="CM442" s="266"/>
      <c r="CN442" s="266"/>
      <c r="CO442" s="266"/>
    </row>
    <row r="443" spans="1:93" s="268" customFormat="1" x14ac:dyDescent="0.25">
      <c r="A443" s="107"/>
      <c r="B443" s="107"/>
      <c r="C443" s="7"/>
      <c r="D443" s="10"/>
      <c r="E443" s="10"/>
      <c r="F443" s="8"/>
      <c r="G443" s="8"/>
      <c r="H443" s="107"/>
      <c r="I443" s="7"/>
      <c r="J443" s="10"/>
      <c r="K443" s="10"/>
      <c r="L443" s="8"/>
      <c r="M443" s="8"/>
      <c r="N443" s="107"/>
      <c r="O443" s="7"/>
      <c r="P443" s="10"/>
      <c r="Q443" s="10"/>
      <c r="R443" s="8"/>
      <c r="S443" s="8"/>
      <c r="T443" s="107"/>
      <c r="U443" s="7"/>
      <c r="V443" s="10"/>
      <c r="W443" s="10"/>
      <c r="X443" s="8"/>
      <c r="Y443" s="7"/>
      <c r="Z443" s="8"/>
      <c r="AA443" s="107"/>
      <c r="AB443" s="7"/>
      <c r="AC443" s="10"/>
      <c r="AD443" s="10"/>
      <c r="AE443" s="8"/>
      <c r="AF443" s="8"/>
      <c r="AG443" s="107"/>
      <c r="AH443" s="7"/>
      <c r="AI443" s="10"/>
      <c r="AJ443" s="10"/>
      <c r="AK443" s="8"/>
      <c r="AL443" s="8"/>
      <c r="AM443" s="107"/>
      <c r="AN443" s="7"/>
      <c r="AO443" s="10"/>
      <c r="AP443" s="10"/>
      <c r="AQ443" s="8"/>
      <c r="AR443" s="8"/>
      <c r="AS443" s="8"/>
      <c r="AT443" s="107"/>
      <c r="AU443" s="7"/>
      <c r="AV443" s="10"/>
      <c r="AW443" s="10"/>
      <c r="AX443" s="8"/>
      <c r="AY443" s="8"/>
      <c r="AZ443" s="8"/>
      <c r="BA443" s="107"/>
      <c r="BB443" s="7"/>
      <c r="BC443" s="10"/>
      <c r="BD443" s="10"/>
      <c r="BE443" s="8"/>
      <c r="BF443" s="8"/>
      <c r="BG443" s="8"/>
      <c r="BH443" s="8"/>
      <c r="BI443" s="107"/>
      <c r="BJ443" s="7"/>
      <c r="BK443" s="10"/>
      <c r="BL443" s="10"/>
      <c r="BM443" s="10"/>
      <c r="BN443" s="8"/>
      <c r="BO443" s="8"/>
      <c r="BP443" s="8"/>
      <c r="BQ443" s="107"/>
      <c r="BR443" s="7"/>
      <c r="BS443" s="10"/>
      <c r="BT443" s="10"/>
      <c r="BU443" s="10"/>
      <c r="BV443" s="8"/>
      <c r="BW443" s="8"/>
      <c r="BX443" s="107"/>
      <c r="BY443" s="7"/>
      <c r="BZ443" s="10"/>
      <c r="CA443" s="10"/>
      <c r="CB443" s="8"/>
      <c r="CC443" s="8"/>
      <c r="CD443" s="8"/>
      <c r="CE443" s="107"/>
      <c r="CF443" s="7"/>
      <c r="CG443" s="10"/>
      <c r="CH443" s="10"/>
      <c r="CI443" s="8"/>
      <c r="CJ443" s="8"/>
      <c r="CK443" s="8"/>
      <c r="CL443" s="8"/>
      <c r="CM443" s="266"/>
      <c r="CN443" s="266"/>
      <c r="CO443" s="266"/>
    </row>
    <row r="444" spans="1:93" s="268" customFormat="1" x14ac:dyDescent="0.25">
      <c r="A444" s="107"/>
      <c r="B444" s="107"/>
      <c r="C444" s="7"/>
      <c r="D444" s="10"/>
      <c r="E444" s="10"/>
      <c r="F444" s="8"/>
      <c r="G444" s="8"/>
      <c r="H444" s="107"/>
      <c r="I444" s="7"/>
      <c r="J444" s="10"/>
      <c r="K444" s="10"/>
      <c r="L444" s="8"/>
      <c r="M444" s="8"/>
      <c r="N444" s="107"/>
      <c r="O444" s="7"/>
      <c r="P444" s="10"/>
      <c r="Q444" s="10"/>
      <c r="R444" s="8"/>
      <c r="S444" s="8"/>
      <c r="T444" s="107"/>
      <c r="U444" s="7"/>
      <c r="V444" s="10"/>
      <c r="W444" s="10"/>
      <c r="X444" s="8"/>
      <c r="Y444" s="7"/>
      <c r="Z444" s="8"/>
      <c r="AA444" s="107"/>
      <c r="AB444" s="7"/>
      <c r="AC444" s="10"/>
      <c r="AD444" s="10"/>
      <c r="AE444" s="8"/>
      <c r="AF444" s="8"/>
      <c r="AG444" s="107"/>
      <c r="AH444" s="7"/>
      <c r="AI444" s="10"/>
      <c r="AJ444" s="10"/>
      <c r="AK444" s="8"/>
      <c r="AL444" s="8"/>
      <c r="AM444" s="107"/>
      <c r="AN444" s="7"/>
      <c r="AO444" s="10"/>
      <c r="AP444" s="10"/>
      <c r="AQ444" s="8"/>
      <c r="AR444" s="8"/>
      <c r="AS444" s="8"/>
      <c r="AT444" s="107"/>
      <c r="AU444" s="7"/>
      <c r="AV444" s="10"/>
      <c r="AW444" s="10"/>
      <c r="AX444" s="8"/>
      <c r="AY444" s="8"/>
      <c r="AZ444" s="8"/>
      <c r="BA444" s="107"/>
      <c r="BB444" s="7"/>
      <c r="BC444" s="10"/>
      <c r="BD444" s="10"/>
      <c r="BE444" s="8"/>
      <c r="BF444" s="8"/>
      <c r="BG444" s="8"/>
      <c r="BH444" s="8"/>
      <c r="BI444" s="107"/>
      <c r="BJ444" s="7"/>
      <c r="BK444" s="10"/>
      <c r="BL444" s="10"/>
      <c r="BM444" s="10"/>
      <c r="BN444" s="8"/>
      <c r="BO444" s="8"/>
      <c r="BP444" s="8"/>
      <c r="BQ444" s="107"/>
      <c r="BR444" s="7"/>
      <c r="BS444" s="10"/>
      <c r="BT444" s="10"/>
      <c r="BU444" s="10"/>
      <c r="BV444" s="8"/>
      <c r="BW444" s="8"/>
      <c r="BX444" s="107"/>
      <c r="BY444" s="7"/>
      <c r="BZ444" s="10"/>
      <c r="CA444" s="10"/>
      <c r="CB444" s="8"/>
      <c r="CC444" s="8"/>
      <c r="CD444" s="8"/>
      <c r="CE444" s="107"/>
      <c r="CF444" s="7"/>
      <c r="CG444" s="10"/>
      <c r="CH444" s="10"/>
      <c r="CI444" s="8"/>
      <c r="CJ444" s="8"/>
      <c r="CK444" s="8"/>
      <c r="CL444" s="8"/>
      <c r="CM444" s="266"/>
      <c r="CN444" s="266"/>
      <c r="CO444" s="266"/>
    </row>
    <row r="445" spans="1:93" s="268" customFormat="1" x14ac:dyDescent="0.25">
      <c r="A445" s="107"/>
      <c r="B445" s="107"/>
      <c r="C445" s="7"/>
      <c r="D445" s="10"/>
      <c r="E445" s="10"/>
      <c r="F445" s="8"/>
      <c r="G445" s="8"/>
      <c r="H445" s="107"/>
      <c r="I445" s="7"/>
      <c r="J445" s="10"/>
      <c r="K445" s="10"/>
      <c r="L445" s="8"/>
      <c r="M445" s="8"/>
      <c r="N445" s="107"/>
      <c r="O445" s="7"/>
      <c r="P445" s="10"/>
      <c r="Q445" s="10"/>
      <c r="R445" s="8"/>
      <c r="S445" s="8"/>
      <c r="T445" s="107"/>
      <c r="U445" s="7"/>
      <c r="V445" s="10"/>
      <c r="W445" s="10"/>
      <c r="X445" s="8"/>
      <c r="Y445" s="7"/>
      <c r="Z445" s="8"/>
      <c r="AA445" s="107"/>
      <c r="AB445" s="7"/>
      <c r="AC445" s="10"/>
      <c r="AD445" s="10"/>
      <c r="AE445" s="8"/>
      <c r="AF445" s="8"/>
      <c r="AG445" s="107"/>
      <c r="AH445" s="7"/>
      <c r="AI445" s="10"/>
      <c r="AJ445" s="10"/>
      <c r="AK445" s="8"/>
      <c r="AL445" s="8"/>
      <c r="AM445" s="107"/>
      <c r="AN445" s="7"/>
      <c r="AO445" s="10"/>
      <c r="AP445" s="10"/>
      <c r="AQ445" s="8"/>
      <c r="AR445" s="8"/>
      <c r="AS445" s="8"/>
      <c r="AT445" s="107"/>
      <c r="AU445" s="7"/>
      <c r="AV445" s="10"/>
      <c r="AW445" s="10"/>
      <c r="AX445" s="8"/>
      <c r="AY445" s="8"/>
      <c r="AZ445" s="8"/>
      <c r="BA445" s="107"/>
      <c r="BB445" s="7"/>
      <c r="BC445" s="10"/>
      <c r="BD445" s="10"/>
      <c r="BE445" s="8"/>
      <c r="BF445" s="8"/>
      <c r="BG445" s="8"/>
      <c r="BH445" s="8"/>
      <c r="BI445" s="107"/>
      <c r="BJ445" s="7"/>
      <c r="BK445" s="10"/>
      <c r="BL445" s="10"/>
      <c r="BM445" s="10"/>
      <c r="BN445" s="8"/>
      <c r="BO445" s="8"/>
      <c r="BP445" s="8"/>
      <c r="BQ445" s="107"/>
      <c r="BR445" s="7"/>
      <c r="BS445" s="10"/>
      <c r="BT445" s="10"/>
      <c r="BU445" s="10"/>
      <c r="BV445" s="8"/>
      <c r="BW445" s="8"/>
      <c r="BX445" s="107"/>
      <c r="BY445" s="7"/>
      <c r="BZ445" s="10"/>
      <c r="CA445" s="10"/>
      <c r="CB445" s="8"/>
      <c r="CC445" s="8"/>
      <c r="CD445" s="8"/>
      <c r="CE445" s="107"/>
      <c r="CF445" s="7"/>
      <c r="CG445" s="10"/>
      <c r="CH445" s="10"/>
      <c r="CI445" s="8"/>
      <c r="CJ445" s="8"/>
      <c r="CK445" s="8"/>
      <c r="CL445" s="8"/>
      <c r="CM445" s="266"/>
      <c r="CN445" s="266"/>
      <c r="CO445" s="266"/>
    </row>
    <row r="446" spans="1:93" s="268" customFormat="1" x14ac:dyDescent="0.25">
      <c r="A446" s="107"/>
      <c r="B446" s="107"/>
      <c r="C446" s="7"/>
      <c r="D446" s="10"/>
      <c r="E446" s="10"/>
      <c r="F446" s="8"/>
      <c r="G446" s="8"/>
      <c r="H446" s="107"/>
      <c r="I446" s="7"/>
      <c r="J446" s="10"/>
      <c r="K446" s="10"/>
      <c r="L446" s="8"/>
      <c r="M446" s="8"/>
      <c r="N446" s="107"/>
      <c r="O446" s="7"/>
      <c r="P446" s="10"/>
      <c r="Q446" s="10"/>
      <c r="R446" s="8"/>
      <c r="S446" s="8"/>
      <c r="T446" s="107"/>
      <c r="U446" s="7"/>
      <c r="V446" s="10"/>
      <c r="W446" s="10"/>
      <c r="X446" s="8"/>
      <c r="Y446" s="7"/>
      <c r="Z446" s="8"/>
      <c r="AA446" s="107"/>
      <c r="AB446" s="7"/>
      <c r="AC446" s="10"/>
      <c r="AD446" s="10"/>
      <c r="AE446" s="8"/>
      <c r="AF446" s="8"/>
      <c r="AG446" s="107"/>
      <c r="AH446" s="7"/>
      <c r="AI446" s="10"/>
      <c r="AJ446" s="10"/>
      <c r="AK446" s="8"/>
      <c r="AL446" s="8"/>
      <c r="AM446" s="107"/>
      <c r="AN446" s="7"/>
      <c r="AO446" s="10"/>
      <c r="AP446" s="10"/>
      <c r="AQ446" s="8"/>
      <c r="AR446" s="8"/>
      <c r="AS446" s="8"/>
      <c r="AT446" s="107"/>
      <c r="AU446" s="7"/>
      <c r="AV446" s="10"/>
      <c r="AW446" s="10"/>
      <c r="AX446" s="8"/>
      <c r="AY446" s="8"/>
      <c r="AZ446" s="8"/>
      <c r="BA446" s="107"/>
      <c r="BB446" s="7"/>
      <c r="BC446" s="10"/>
      <c r="BD446" s="10"/>
      <c r="BE446" s="8"/>
      <c r="BF446" s="8"/>
      <c r="BG446" s="8"/>
      <c r="BH446" s="8"/>
      <c r="BI446" s="107"/>
      <c r="BJ446" s="7"/>
      <c r="BK446" s="10"/>
      <c r="BL446" s="10"/>
      <c r="BM446" s="10"/>
      <c r="BN446" s="8"/>
      <c r="BO446" s="8"/>
      <c r="BP446" s="8"/>
      <c r="BQ446" s="107"/>
      <c r="BR446" s="7"/>
      <c r="BS446" s="10"/>
      <c r="BT446" s="10"/>
      <c r="BU446" s="10"/>
      <c r="BV446" s="8"/>
      <c r="BW446" s="8"/>
      <c r="BX446" s="107"/>
      <c r="BY446" s="7"/>
      <c r="BZ446" s="10"/>
      <c r="CA446" s="10"/>
      <c r="CB446" s="8"/>
      <c r="CC446" s="8"/>
      <c r="CD446" s="8"/>
      <c r="CE446" s="107"/>
      <c r="CF446" s="7"/>
      <c r="CG446" s="10"/>
      <c r="CH446" s="10"/>
      <c r="CI446" s="8"/>
      <c r="CJ446" s="8"/>
      <c r="CK446" s="8"/>
      <c r="CL446" s="8"/>
      <c r="CM446" s="266"/>
      <c r="CN446" s="266"/>
      <c r="CO446" s="266"/>
    </row>
    <row r="447" spans="1:93" s="268" customFormat="1" x14ac:dyDescent="0.25">
      <c r="A447" s="107"/>
      <c r="B447" s="107"/>
      <c r="C447" s="7"/>
      <c r="D447" s="10"/>
      <c r="E447" s="10"/>
      <c r="F447" s="8"/>
      <c r="G447" s="8"/>
      <c r="H447" s="107"/>
      <c r="I447" s="7"/>
      <c r="J447" s="10"/>
      <c r="K447" s="10"/>
      <c r="L447" s="8"/>
      <c r="M447" s="8"/>
      <c r="N447" s="107"/>
      <c r="O447" s="7"/>
      <c r="P447" s="10"/>
      <c r="Q447" s="10"/>
      <c r="R447" s="8"/>
      <c r="S447" s="8"/>
      <c r="T447" s="107"/>
      <c r="U447" s="7"/>
      <c r="V447" s="10"/>
      <c r="W447" s="10"/>
      <c r="X447" s="8"/>
      <c r="Y447" s="7"/>
      <c r="Z447" s="8"/>
      <c r="AA447" s="107"/>
      <c r="AB447" s="7"/>
      <c r="AC447" s="10"/>
      <c r="AD447" s="10"/>
      <c r="AE447" s="8"/>
      <c r="AF447" s="8"/>
      <c r="AG447" s="107"/>
      <c r="AH447" s="7"/>
      <c r="AI447" s="10"/>
      <c r="AJ447" s="10"/>
      <c r="AK447" s="8"/>
      <c r="AL447" s="8"/>
      <c r="AM447" s="107"/>
      <c r="AN447" s="7"/>
      <c r="AO447" s="10"/>
      <c r="AP447" s="10"/>
      <c r="AQ447" s="8"/>
      <c r="AR447" s="8"/>
      <c r="AS447" s="8"/>
      <c r="AT447" s="107"/>
      <c r="AU447" s="7"/>
      <c r="AV447" s="10"/>
      <c r="AW447" s="10"/>
      <c r="AX447" s="8"/>
      <c r="AY447" s="8"/>
      <c r="AZ447" s="8"/>
      <c r="BA447" s="107"/>
      <c r="BB447" s="7"/>
      <c r="BC447" s="10"/>
      <c r="BD447" s="10"/>
      <c r="BE447" s="8"/>
      <c r="BF447" s="8"/>
      <c r="BG447" s="8"/>
      <c r="BH447" s="8"/>
      <c r="BI447" s="107"/>
      <c r="BJ447" s="7"/>
      <c r="BK447" s="10"/>
      <c r="BL447" s="10"/>
      <c r="BM447" s="10"/>
      <c r="BN447" s="8"/>
      <c r="BO447" s="8"/>
      <c r="BP447" s="8"/>
      <c r="BQ447" s="107"/>
      <c r="BR447" s="7"/>
      <c r="BS447" s="10"/>
      <c r="BT447" s="10"/>
      <c r="BU447" s="10"/>
      <c r="BV447" s="8"/>
      <c r="BW447" s="8"/>
      <c r="BX447" s="107"/>
      <c r="BY447" s="7"/>
      <c r="BZ447" s="10"/>
      <c r="CA447" s="10"/>
      <c r="CB447" s="8"/>
      <c r="CC447" s="8"/>
      <c r="CD447" s="8"/>
      <c r="CE447" s="107"/>
      <c r="CF447" s="7"/>
      <c r="CG447" s="10"/>
      <c r="CH447" s="10"/>
      <c r="CI447" s="8"/>
      <c r="CJ447" s="8"/>
      <c r="CK447" s="8"/>
      <c r="CL447" s="8"/>
      <c r="CM447" s="266"/>
      <c r="CN447" s="266"/>
      <c r="CO447" s="266"/>
    </row>
    <row r="448" spans="1:93" s="268" customFormat="1" x14ac:dyDescent="0.25">
      <c r="A448" s="107"/>
      <c r="B448" s="107"/>
      <c r="C448" s="7"/>
      <c r="D448" s="10"/>
      <c r="E448" s="10"/>
      <c r="F448" s="8"/>
      <c r="G448" s="8"/>
      <c r="H448" s="107"/>
      <c r="I448" s="7"/>
      <c r="J448" s="10"/>
      <c r="K448" s="10"/>
      <c r="L448" s="8"/>
      <c r="M448" s="8"/>
      <c r="N448" s="107"/>
      <c r="O448" s="7"/>
      <c r="P448" s="10"/>
      <c r="Q448" s="10"/>
      <c r="R448" s="8"/>
      <c r="S448" s="8"/>
      <c r="T448" s="107"/>
      <c r="U448" s="7"/>
      <c r="V448" s="10"/>
      <c r="W448" s="10"/>
      <c r="X448" s="8"/>
      <c r="Y448" s="7"/>
      <c r="Z448" s="8"/>
      <c r="AA448" s="107"/>
      <c r="AB448" s="7"/>
      <c r="AC448" s="10"/>
      <c r="AD448" s="10"/>
      <c r="AE448" s="8"/>
      <c r="AF448" s="8"/>
      <c r="AG448" s="107"/>
      <c r="AH448" s="7"/>
      <c r="AI448" s="10"/>
      <c r="AJ448" s="10"/>
      <c r="AK448" s="8"/>
      <c r="AL448" s="8"/>
      <c r="AM448" s="107"/>
      <c r="AN448" s="7"/>
      <c r="AO448" s="10"/>
      <c r="AP448" s="10"/>
      <c r="AQ448" s="8"/>
      <c r="AR448" s="8"/>
      <c r="AS448" s="8"/>
      <c r="AT448" s="107"/>
      <c r="AU448" s="7"/>
      <c r="AV448" s="10"/>
      <c r="AW448" s="10"/>
      <c r="AX448" s="8"/>
      <c r="AY448" s="8"/>
      <c r="AZ448" s="8"/>
      <c r="BA448" s="107"/>
      <c r="BB448" s="7"/>
      <c r="BC448" s="10"/>
      <c r="BD448" s="10"/>
      <c r="BE448" s="8"/>
      <c r="BF448" s="8"/>
      <c r="BG448" s="8"/>
      <c r="BH448" s="8"/>
      <c r="BI448" s="107"/>
      <c r="BJ448" s="7"/>
      <c r="BK448" s="10"/>
      <c r="BL448" s="10"/>
      <c r="BM448" s="10"/>
      <c r="BN448" s="8"/>
      <c r="BO448" s="8"/>
      <c r="BP448" s="8"/>
      <c r="BQ448" s="107"/>
      <c r="BR448" s="7"/>
      <c r="BS448" s="10"/>
      <c r="BT448" s="10"/>
      <c r="BU448" s="10"/>
      <c r="BV448" s="8"/>
      <c r="BW448" s="8"/>
      <c r="BX448" s="107"/>
      <c r="BY448" s="7"/>
      <c r="BZ448" s="10"/>
      <c r="CA448" s="10"/>
      <c r="CB448" s="8"/>
      <c r="CC448" s="8"/>
      <c r="CD448" s="8"/>
      <c r="CE448" s="107"/>
      <c r="CF448" s="7"/>
      <c r="CG448" s="10"/>
      <c r="CH448" s="10"/>
      <c r="CI448" s="8"/>
      <c r="CJ448" s="8"/>
      <c r="CK448" s="8"/>
      <c r="CL448" s="8"/>
      <c r="CM448" s="266"/>
      <c r="CN448" s="266"/>
      <c r="CO448" s="266"/>
    </row>
    <row r="449" spans="1:93" s="268" customFormat="1" x14ac:dyDescent="0.25">
      <c r="A449" s="107"/>
      <c r="B449" s="107"/>
      <c r="C449" s="7"/>
      <c r="D449" s="10"/>
      <c r="E449" s="10"/>
      <c r="F449" s="8"/>
      <c r="G449" s="8"/>
      <c r="H449" s="107"/>
      <c r="I449" s="7"/>
      <c r="J449" s="10"/>
      <c r="K449" s="10"/>
      <c r="L449" s="8"/>
      <c r="M449" s="8"/>
      <c r="N449" s="107"/>
      <c r="O449" s="7"/>
      <c r="P449" s="10"/>
      <c r="Q449" s="10"/>
      <c r="R449" s="8"/>
      <c r="S449" s="8"/>
      <c r="T449" s="107"/>
      <c r="U449" s="7"/>
      <c r="V449" s="10"/>
      <c r="W449" s="10"/>
      <c r="X449" s="8"/>
      <c r="Y449" s="7"/>
      <c r="Z449" s="8"/>
      <c r="AA449" s="107"/>
      <c r="AB449" s="7"/>
      <c r="AC449" s="10"/>
      <c r="AD449" s="10"/>
      <c r="AE449" s="8"/>
      <c r="AF449" s="8"/>
      <c r="AG449" s="107"/>
      <c r="AH449" s="7"/>
      <c r="AI449" s="10"/>
      <c r="AJ449" s="10"/>
      <c r="AK449" s="8"/>
      <c r="AL449" s="8"/>
      <c r="AM449" s="107"/>
      <c r="AN449" s="7"/>
      <c r="AO449" s="10"/>
      <c r="AP449" s="10"/>
      <c r="AQ449" s="8"/>
      <c r="AR449" s="8"/>
      <c r="AS449" s="8"/>
      <c r="AT449" s="107"/>
      <c r="AU449" s="7"/>
      <c r="AV449" s="10"/>
      <c r="AW449" s="10"/>
      <c r="AX449" s="8"/>
      <c r="AY449" s="8"/>
      <c r="AZ449" s="8"/>
      <c r="BA449" s="107"/>
      <c r="BB449" s="7"/>
      <c r="BC449" s="10"/>
      <c r="BD449" s="10"/>
      <c r="BE449" s="8"/>
      <c r="BF449" s="8"/>
      <c r="BG449" s="8"/>
      <c r="BH449" s="8"/>
      <c r="BI449" s="107"/>
      <c r="BJ449" s="7"/>
      <c r="BK449" s="10"/>
      <c r="BL449" s="10"/>
      <c r="BM449" s="10"/>
      <c r="BN449" s="8"/>
      <c r="BO449" s="8"/>
      <c r="BP449" s="8"/>
      <c r="BQ449" s="107"/>
      <c r="BR449" s="7"/>
      <c r="BS449" s="10"/>
      <c r="BT449" s="10"/>
      <c r="BU449" s="10"/>
      <c r="BV449" s="8"/>
      <c r="BW449" s="8"/>
      <c r="BX449" s="107"/>
      <c r="BY449" s="7"/>
      <c r="BZ449" s="10"/>
      <c r="CA449" s="10"/>
      <c r="CB449" s="8"/>
      <c r="CC449" s="8"/>
      <c r="CD449" s="8"/>
      <c r="CE449" s="107"/>
      <c r="CF449" s="7"/>
      <c r="CG449" s="10"/>
      <c r="CH449" s="10"/>
      <c r="CI449" s="8"/>
      <c r="CJ449" s="8"/>
      <c r="CK449" s="8"/>
      <c r="CL449" s="8"/>
      <c r="CM449" s="266"/>
      <c r="CN449" s="266"/>
      <c r="CO449" s="266"/>
    </row>
    <row r="450" spans="1:93" s="268" customFormat="1" x14ac:dyDescent="0.25">
      <c r="A450" s="107"/>
      <c r="B450" s="107"/>
      <c r="C450" s="7"/>
      <c r="D450" s="10"/>
      <c r="E450" s="10"/>
      <c r="F450" s="8"/>
      <c r="G450" s="8"/>
      <c r="H450" s="107"/>
      <c r="I450" s="7"/>
      <c r="J450" s="10"/>
      <c r="K450" s="10"/>
      <c r="L450" s="8"/>
      <c r="M450" s="8"/>
      <c r="N450" s="107"/>
      <c r="O450" s="7"/>
      <c r="P450" s="10"/>
      <c r="Q450" s="10"/>
      <c r="R450" s="8"/>
      <c r="S450" s="8"/>
      <c r="T450" s="107"/>
      <c r="U450" s="7"/>
      <c r="V450" s="10"/>
      <c r="W450" s="10"/>
      <c r="X450" s="8"/>
      <c r="Y450" s="7"/>
      <c r="Z450" s="8"/>
      <c r="AA450" s="107"/>
      <c r="AB450" s="7"/>
      <c r="AC450" s="10"/>
      <c r="AD450" s="10"/>
      <c r="AE450" s="8"/>
      <c r="AF450" s="8"/>
      <c r="AG450" s="107"/>
      <c r="AH450" s="7"/>
      <c r="AI450" s="10"/>
      <c r="AJ450" s="10"/>
      <c r="AK450" s="8"/>
      <c r="AL450" s="8"/>
      <c r="AM450" s="107"/>
      <c r="AN450" s="7"/>
      <c r="AO450" s="10"/>
      <c r="AP450" s="10"/>
      <c r="AQ450" s="8"/>
      <c r="AR450" s="8"/>
      <c r="AS450" s="8"/>
      <c r="AT450" s="107"/>
      <c r="AU450" s="7"/>
      <c r="AV450" s="10"/>
      <c r="AW450" s="10"/>
      <c r="AX450" s="8"/>
      <c r="AY450" s="8"/>
      <c r="AZ450" s="8"/>
      <c r="BA450" s="107"/>
      <c r="BB450" s="7"/>
      <c r="BC450" s="10"/>
      <c r="BD450" s="10"/>
      <c r="BE450" s="8"/>
      <c r="BF450" s="8"/>
      <c r="BG450" s="8"/>
      <c r="BH450" s="8"/>
      <c r="BI450" s="107"/>
      <c r="BJ450" s="7"/>
      <c r="BK450" s="10"/>
      <c r="BL450" s="10"/>
      <c r="BM450" s="10"/>
      <c r="BN450" s="8"/>
      <c r="BO450" s="8"/>
      <c r="BP450" s="8"/>
      <c r="BQ450" s="107"/>
      <c r="BR450" s="7"/>
      <c r="BS450" s="10"/>
      <c r="BT450" s="10"/>
      <c r="BU450" s="10"/>
      <c r="BV450" s="8"/>
      <c r="BW450" s="8"/>
      <c r="BX450" s="107"/>
      <c r="BY450" s="7"/>
      <c r="BZ450" s="10"/>
      <c r="CA450" s="10"/>
      <c r="CB450" s="8"/>
      <c r="CC450" s="8"/>
      <c r="CD450" s="8"/>
      <c r="CE450" s="107"/>
      <c r="CF450" s="7"/>
      <c r="CG450" s="10"/>
      <c r="CH450" s="10"/>
      <c r="CI450" s="8"/>
      <c r="CJ450" s="8"/>
      <c r="CK450" s="8"/>
      <c r="CL450" s="8"/>
      <c r="CM450" s="266"/>
      <c r="CN450" s="266"/>
      <c r="CO450" s="266"/>
    </row>
    <row r="451" spans="1:93" s="268" customFormat="1" x14ac:dyDescent="0.25">
      <c r="A451" s="107"/>
      <c r="B451" s="107"/>
      <c r="C451" s="7"/>
      <c r="D451" s="10"/>
      <c r="E451" s="10"/>
      <c r="F451" s="8"/>
      <c r="G451" s="8"/>
      <c r="H451" s="107"/>
      <c r="I451" s="7"/>
      <c r="J451" s="10"/>
      <c r="K451" s="10"/>
      <c r="L451" s="8"/>
      <c r="M451" s="8"/>
      <c r="N451" s="107"/>
      <c r="O451" s="7"/>
      <c r="P451" s="10"/>
      <c r="Q451" s="10"/>
      <c r="R451" s="8"/>
      <c r="S451" s="8"/>
      <c r="T451" s="107"/>
      <c r="U451" s="7"/>
      <c r="V451" s="10"/>
      <c r="W451" s="10"/>
      <c r="X451" s="8"/>
      <c r="Y451" s="7"/>
      <c r="Z451" s="8"/>
      <c r="AA451" s="107"/>
      <c r="AB451" s="7"/>
      <c r="AC451" s="10"/>
      <c r="AD451" s="10"/>
      <c r="AE451" s="8"/>
      <c r="AF451" s="8"/>
      <c r="AG451" s="107"/>
      <c r="AH451" s="7"/>
      <c r="AI451" s="10"/>
      <c r="AJ451" s="10"/>
      <c r="AK451" s="8"/>
      <c r="AL451" s="8"/>
      <c r="AM451" s="107"/>
      <c r="AN451" s="7"/>
      <c r="AO451" s="10"/>
      <c r="AP451" s="10"/>
      <c r="AQ451" s="8"/>
      <c r="AR451" s="8"/>
      <c r="AS451" s="8"/>
      <c r="AT451" s="107"/>
      <c r="AU451" s="7"/>
      <c r="AV451" s="10"/>
      <c r="AW451" s="10"/>
      <c r="AX451" s="8"/>
      <c r="AY451" s="8"/>
      <c r="AZ451" s="8"/>
      <c r="BA451" s="107"/>
      <c r="BB451" s="7"/>
      <c r="BC451" s="10"/>
      <c r="BD451" s="10"/>
      <c r="BE451" s="8"/>
      <c r="BF451" s="8"/>
      <c r="BG451" s="8"/>
      <c r="BH451" s="8"/>
      <c r="BI451" s="107"/>
      <c r="BJ451" s="7"/>
      <c r="BK451" s="10"/>
      <c r="BL451" s="10"/>
      <c r="BM451" s="10"/>
      <c r="BN451" s="8"/>
      <c r="BO451" s="8"/>
      <c r="BP451" s="8"/>
      <c r="BQ451" s="107"/>
      <c r="BR451" s="7"/>
      <c r="BS451" s="10"/>
      <c r="BT451" s="10"/>
      <c r="BU451" s="10"/>
      <c r="BV451" s="8"/>
      <c r="BW451" s="8"/>
      <c r="BX451" s="107"/>
      <c r="BY451" s="7"/>
      <c r="BZ451" s="10"/>
      <c r="CA451" s="10"/>
      <c r="CB451" s="8"/>
      <c r="CC451" s="8"/>
      <c r="CD451" s="8"/>
      <c r="CE451" s="107"/>
      <c r="CF451" s="7"/>
      <c r="CG451" s="10"/>
      <c r="CH451" s="10"/>
      <c r="CI451" s="8"/>
      <c r="CJ451" s="8"/>
      <c r="CK451" s="8"/>
      <c r="CL451" s="8"/>
      <c r="CM451" s="266"/>
      <c r="CN451" s="266"/>
      <c r="CO451" s="266"/>
    </row>
    <row r="452" spans="1:93" s="268" customFormat="1" x14ac:dyDescent="0.25">
      <c r="A452" s="107"/>
      <c r="B452" s="107"/>
      <c r="C452" s="7"/>
      <c r="D452" s="10"/>
      <c r="E452" s="10"/>
      <c r="F452" s="8"/>
      <c r="G452" s="8"/>
      <c r="H452" s="107"/>
      <c r="I452" s="7"/>
      <c r="J452" s="10"/>
      <c r="K452" s="10"/>
      <c r="L452" s="8"/>
      <c r="M452" s="8"/>
      <c r="N452" s="107"/>
      <c r="O452" s="7"/>
      <c r="P452" s="10"/>
      <c r="Q452" s="10"/>
      <c r="R452" s="8"/>
      <c r="S452" s="8"/>
      <c r="T452" s="107"/>
      <c r="U452" s="7"/>
      <c r="V452" s="10"/>
      <c r="W452" s="10"/>
      <c r="X452" s="8"/>
      <c r="Y452" s="7"/>
      <c r="Z452" s="8"/>
      <c r="AA452" s="107"/>
      <c r="AB452" s="7"/>
      <c r="AC452" s="10"/>
      <c r="AD452" s="10"/>
      <c r="AE452" s="8"/>
      <c r="AF452" s="8"/>
      <c r="AG452" s="107"/>
      <c r="AH452" s="7"/>
      <c r="AI452" s="10"/>
      <c r="AJ452" s="10"/>
      <c r="AK452" s="8"/>
      <c r="AL452" s="8"/>
      <c r="AM452" s="107"/>
      <c r="AN452" s="7"/>
      <c r="AO452" s="10"/>
      <c r="AP452" s="10"/>
      <c r="AQ452" s="8"/>
      <c r="AR452" s="8"/>
      <c r="AS452" s="8"/>
      <c r="AT452" s="107"/>
      <c r="AU452" s="7"/>
      <c r="AV452" s="10"/>
      <c r="AW452" s="10"/>
      <c r="AX452" s="8"/>
      <c r="AY452" s="8"/>
      <c r="AZ452" s="8"/>
      <c r="BA452" s="107"/>
      <c r="BB452" s="7"/>
      <c r="BC452" s="10"/>
      <c r="BD452" s="10"/>
      <c r="BE452" s="8"/>
      <c r="BF452" s="8"/>
      <c r="BG452" s="8"/>
      <c r="BH452" s="8"/>
      <c r="BI452" s="107"/>
      <c r="BJ452" s="7"/>
      <c r="BK452" s="10"/>
      <c r="BL452" s="10"/>
      <c r="BM452" s="10"/>
      <c r="BN452" s="8"/>
      <c r="BO452" s="8"/>
      <c r="BP452" s="8"/>
      <c r="BQ452" s="107"/>
      <c r="BR452" s="7"/>
      <c r="BS452" s="10"/>
      <c r="BT452" s="10"/>
      <c r="BU452" s="10"/>
      <c r="BV452" s="8"/>
      <c r="BW452" s="8"/>
      <c r="BX452" s="107"/>
      <c r="BY452" s="7"/>
      <c r="BZ452" s="10"/>
      <c r="CA452" s="10"/>
      <c r="CB452" s="8"/>
      <c r="CC452" s="8"/>
      <c r="CD452" s="8"/>
      <c r="CE452" s="107"/>
      <c r="CF452" s="7"/>
      <c r="CG452" s="10"/>
      <c r="CH452" s="10"/>
      <c r="CI452" s="8"/>
      <c r="CJ452" s="8"/>
      <c r="CK452" s="8"/>
      <c r="CL452" s="8"/>
      <c r="CM452" s="266"/>
      <c r="CN452" s="266"/>
      <c r="CO452" s="266"/>
    </row>
    <row r="453" spans="1:93" s="268" customFormat="1" x14ac:dyDescent="0.25">
      <c r="A453" s="107"/>
      <c r="B453" s="107"/>
      <c r="C453" s="7"/>
      <c r="D453" s="10"/>
      <c r="E453" s="10"/>
      <c r="F453" s="8"/>
      <c r="G453" s="8"/>
      <c r="H453" s="107"/>
      <c r="I453" s="7"/>
      <c r="J453" s="10"/>
      <c r="K453" s="10"/>
      <c r="L453" s="8"/>
      <c r="M453" s="8"/>
      <c r="N453" s="107"/>
      <c r="O453" s="7"/>
      <c r="P453" s="10"/>
      <c r="Q453" s="10"/>
      <c r="R453" s="8"/>
      <c r="S453" s="8"/>
      <c r="T453" s="107"/>
      <c r="U453" s="7"/>
      <c r="V453" s="10"/>
      <c r="W453" s="10"/>
      <c r="X453" s="8"/>
      <c r="Y453" s="7"/>
      <c r="Z453" s="8"/>
      <c r="AA453" s="107"/>
      <c r="AB453" s="7"/>
      <c r="AC453" s="10"/>
      <c r="AD453" s="10"/>
      <c r="AE453" s="8"/>
      <c r="AF453" s="8"/>
      <c r="AG453" s="107"/>
      <c r="AH453" s="7"/>
      <c r="AI453" s="10"/>
      <c r="AJ453" s="10"/>
      <c r="AK453" s="8"/>
      <c r="AL453" s="8"/>
      <c r="AM453" s="107"/>
      <c r="AN453" s="7"/>
      <c r="AO453" s="10"/>
      <c r="AP453" s="10"/>
      <c r="AQ453" s="8"/>
      <c r="AR453" s="8"/>
      <c r="AS453" s="8"/>
      <c r="AT453" s="107"/>
      <c r="AU453" s="7"/>
      <c r="AV453" s="10"/>
      <c r="AW453" s="10"/>
      <c r="AX453" s="8"/>
      <c r="AY453" s="8"/>
      <c r="AZ453" s="8"/>
      <c r="BA453" s="107"/>
      <c r="BB453" s="7"/>
      <c r="BC453" s="10"/>
      <c r="BD453" s="10"/>
      <c r="BE453" s="8"/>
      <c r="BF453" s="8"/>
      <c r="BG453" s="8"/>
      <c r="BH453" s="8"/>
      <c r="BI453" s="107"/>
      <c r="BJ453" s="7"/>
      <c r="BK453" s="10"/>
      <c r="BL453" s="10"/>
      <c r="BM453" s="10"/>
      <c r="BN453" s="8"/>
      <c r="BO453" s="8"/>
      <c r="BP453" s="8"/>
      <c r="BQ453" s="107"/>
      <c r="BR453" s="7"/>
      <c r="BS453" s="10"/>
      <c r="BT453" s="10"/>
      <c r="BU453" s="10"/>
      <c r="BV453" s="8"/>
      <c r="BW453" s="8"/>
      <c r="BX453" s="107"/>
      <c r="BY453" s="7"/>
      <c r="BZ453" s="10"/>
      <c r="CA453" s="10"/>
      <c r="CB453" s="8"/>
      <c r="CC453" s="8"/>
      <c r="CD453" s="8"/>
      <c r="CE453" s="107"/>
      <c r="CF453" s="7"/>
      <c r="CG453" s="10"/>
      <c r="CH453" s="10"/>
      <c r="CI453" s="8"/>
      <c r="CJ453" s="8"/>
      <c r="CK453" s="8"/>
      <c r="CL453" s="8"/>
      <c r="CM453" s="266"/>
      <c r="CN453" s="266"/>
      <c r="CO453" s="266"/>
    </row>
    <row r="454" spans="1:93" s="268" customFormat="1" x14ac:dyDescent="0.25">
      <c r="A454" s="107"/>
      <c r="B454" s="107"/>
      <c r="C454" s="7"/>
      <c r="D454" s="10"/>
      <c r="E454" s="10"/>
      <c r="F454" s="8"/>
      <c r="G454" s="8"/>
      <c r="H454" s="107"/>
      <c r="I454" s="7"/>
      <c r="J454" s="10"/>
      <c r="K454" s="10"/>
      <c r="L454" s="8"/>
      <c r="M454" s="8"/>
      <c r="N454" s="107"/>
      <c r="O454" s="7"/>
      <c r="P454" s="10"/>
      <c r="Q454" s="10"/>
      <c r="R454" s="8"/>
      <c r="S454" s="8"/>
      <c r="T454" s="107"/>
      <c r="U454" s="7"/>
      <c r="V454" s="10"/>
      <c r="W454" s="10"/>
      <c r="X454" s="8"/>
      <c r="Y454" s="7"/>
      <c r="Z454" s="8"/>
      <c r="AA454" s="107"/>
      <c r="AB454" s="7"/>
      <c r="AC454" s="10"/>
      <c r="AD454" s="10"/>
      <c r="AE454" s="8"/>
      <c r="AF454" s="8"/>
      <c r="AG454" s="107"/>
      <c r="AH454" s="7"/>
      <c r="AI454" s="10"/>
      <c r="AJ454" s="10"/>
      <c r="AK454" s="8"/>
      <c r="AL454" s="8"/>
      <c r="AM454" s="107"/>
      <c r="AN454" s="7"/>
      <c r="AO454" s="10"/>
      <c r="AP454" s="10"/>
      <c r="AQ454" s="8"/>
      <c r="AR454" s="8"/>
      <c r="AS454" s="8"/>
      <c r="AT454" s="107"/>
      <c r="AU454" s="7"/>
      <c r="AV454" s="10"/>
      <c r="AW454" s="10"/>
      <c r="AX454" s="8"/>
      <c r="AY454" s="8"/>
      <c r="AZ454" s="8"/>
      <c r="BA454" s="107"/>
      <c r="BB454" s="7"/>
      <c r="BC454" s="10"/>
      <c r="BD454" s="10"/>
      <c r="BE454" s="8"/>
      <c r="BF454" s="8"/>
      <c r="BG454" s="8"/>
      <c r="BH454" s="8"/>
      <c r="BI454" s="107"/>
      <c r="BJ454" s="7"/>
      <c r="BK454" s="10"/>
      <c r="BL454" s="10"/>
      <c r="BM454" s="10"/>
      <c r="BN454" s="8"/>
      <c r="BO454" s="8"/>
      <c r="BP454" s="8"/>
      <c r="BQ454" s="107"/>
      <c r="BR454" s="7"/>
      <c r="BS454" s="10"/>
      <c r="BT454" s="10"/>
      <c r="BU454" s="10"/>
      <c r="BV454" s="8"/>
      <c r="BW454" s="8"/>
      <c r="BX454" s="107"/>
      <c r="BY454" s="7"/>
      <c r="BZ454" s="10"/>
      <c r="CA454" s="10"/>
      <c r="CB454" s="8"/>
      <c r="CC454" s="8"/>
      <c r="CD454" s="8"/>
      <c r="CE454" s="107"/>
      <c r="CF454" s="7"/>
      <c r="CG454" s="10"/>
      <c r="CH454" s="10"/>
      <c r="CI454" s="8"/>
      <c r="CJ454" s="8"/>
      <c r="CK454" s="8"/>
      <c r="CL454" s="8"/>
      <c r="CM454" s="266"/>
      <c r="CN454" s="266"/>
      <c r="CO454" s="266"/>
    </row>
    <row r="455" spans="1:93" s="268" customFormat="1" x14ac:dyDescent="0.25">
      <c r="A455" s="107"/>
      <c r="B455" s="107"/>
      <c r="C455" s="7"/>
      <c r="D455" s="10"/>
      <c r="E455" s="10"/>
      <c r="F455" s="8"/>
      <c r="G455" s="8"/>
      <c r="H455" s="107"/>
      <c r="I455" s="7"/>
      <c r="J455" s="10"/>
      <c r="K455" s="10"/>
      <c r="L455" s="8"/>
      <c r="M455" s="8"/>
      <c r="N455" s="107"/>
      <c r="O455" s="7"/>
      <c r="P455" s="10"/>
      <c r="Q455" s="10"/>
      <c r="R455" s="8"/>
      <c r="S455" s="8"/>
      <c r="T455" s="107"/>
      <c r="U455" s="7"/>
      <c r="V455" s="10"/>
      <c r="W455" s="10"/>
      <c r="X455" s="8"/>
      <c r="Y455" s="7"/>
      <c r="Z455" s="8"/>
      <c r="AA455" s="107"/>
      <c r="AB455" s="7"/>
      <c r="AC455" s="10"/>
      <c r="AD455" s="10"/>
      <c r="AE455" s="8"/>
      <c r="AF455" s="8"/>
      <c r="AG455" s="107"/>
      <c r="AH455" s="7"/>
      <c r="AI455" s="10"/>
      <c r="AJ455" s="10"/>
      <c r="AK455" s="8"/>
      <c r="AL455" s="8"/>
      <c r="AM455" s="107"/>
      <c r="AN455" s="7"/>
      <c r="AO455" s="10"/>
      <c r="AP455" s="10"/>
      <c r="AQ455" s="8"/>
      <c r="AR455" s="8"/>
      <c r="AS455" s="8"/>
      <c r="AT455" s="107"/>
      <c r="AU455" s="7"/>
      <c r="AV455" s="10"/>
      <c r="AW455" s="10"/>
      <c r="AX455" s="8"/>
      <c r="AY455" s="8"/>
      <c r="AZ455" s="8"/>
      <c r="BA455" s="107"/>
      <c r="BB455" s="7"/>
      <c r="BC455" s="10"/>
      <c r="BD455" s="10"/>
      <c r="BE455" s="8"/>
      <c r="BF455" s="8"/>
      <c r="BG455" s="8"/>
      <c r="BH455" s="8"/>
      <c r="BI455" s="107"/>
      <c r="BJ455" s="7"/>
      <c r="BK455" s="10"/>
      <c r="BL455" s="10"/>
      <c r="BM455" s="10"/>
      <c r="BN455" s="8"/>
      <c r="BO455" s="8"/>
      <c r="BP455" s="8"/>
      <c r="BQ455" s="107"/>
      <c r="BR455" s="7"/>
      <c r="BS455" s="10"/>
      <c r="BT455" s="10"/>
      <c r="BU455" s="10"/>
      <c r="BV455" s="8"/>
      <c r="BW455" s="8"/>
      <c r="BX455" s="107"/>
      <c r="BY455" s="7"/>
      <c r="BZ455" s="10"/>
      <c r="CA455" s="10"/>
      <c r="CB455" s="8"/>
      <c r="CC455" s="8"/>
      <c r="CD455" s="8"/>
      <c r="CE455" s="107"/>
      <c r="CF455" s="7"/>
      <c r="CG455" s="10"/>
      <c r="CH455" s="10"/>
      <c r="CI455" s="8"/>
      <c r="CJ455" s="8"/>
      <c r="CK455" s="8"/>
      <c r="CL455" s="8"/>
      <c r="CM455" s="266"/>
      <c r="CN455" s="266"/>
      <c r="CO455" s="266"/>
    </row>
    <row r="456" spans="1:93" s="268" customFormat="1" x14ac:dyDescent="0.25">
      <c r="A456" s="107"/>
      <c r="B456" s="107"/>
      <c r="C456" s="7"/>
      <c r="D456" s="10"/>
      <c r="E456" s="10"/>
      <c r="F456" s="8"/>
      <c r="G456" s="8"/>
      <c r="H456" s="107"/>
      <c r="I456" s="7"/>
      <c r="J456" s="10"/>
      <c r="K456" s="10"/>
      <c r="L456" s="8"/>
      <c r="M456" s="8"/>
      <c r="N456" s="107"/>
      <c r="O456" s="7"/>
      <c r="P456" s="10"/>
      <c r="Q456" s="10"/>
      <c r="R456" s="8"/>
      <c r="S456" s="8"/>
      <c r="T456" s="107"/>
      <c r="U456" s="7"/>
      <c r="V456" s="10"/>
      <c r="W456" s="10"/>
      <c r="X456" s="8"/>
      <c r="Y456" s="7"/>
      <c r="Z456" s="8"/>
      <c r="AA456" s="107"/>
      <c r="AB456" s="7"/>
      <c r="AC456" s="10"/>
      <c r="AD456" s="10"/>
      <c r="AE456" s="8"/>
      <c r="AF456" s="8"/>
      <c r="AG456" s="107"/>
      <c r="AH456" s="7"/>
      <c r="AI456" s="10"/>
      <c r="AJ456" s="10"/>
      <c r="AK456" s="8"/>
      <c r="AL456" s="8"/>
      <c r="AM456" s="107"/>
      <c r="AN456" s="7"/>
      <c r="AO456" s="10"/>
      <c r="AP456" s="10"/>
      <c r="AQ456" s="8"/>
      <c r="AR456" s="8"/>
      <c r="AS456" s="8"/>
      <c r="AT456" s="107"/>
      <c r="AU456" s="7"/>
      <c r="AV456" s="10"/>
      <c r="AW456" s="10"/>
      <c r="AX456" s="8"/>
      <c r="AY456" s="8"/>
      <c r="AZ456" s="8"/>
      <c r="BA456" s="107"/>
      <c r="BB456" s="7"/>
      <c r="BC456" s="10"/>
      <c r="BD456" s="10"/>
      <c r="BE456" s="8"/>
      <c r="BF456" s="8"/>
      <c r="BG456" s="8"/>
      <c r="BH456" s="8"/>
      <c r="BI456" s="107"/>
      <c r="BJ456" s="7"/>
      <c r="BK456" s="10"/>
      <c r="BL456" s="10"/>
      <c r="BM456" s="10"/>
      <c r="BN456" s="8"/>
      <c r="BO456" s="8"/>
      <c r="BP456" s="8"/>
      <c r="BQ456" s="107"/>
      <c r="BR456" s="7"/>
      <c r="BS456" s="10"/>
      <c r="BT456" s="10"/>
      <c r="BU456" s="10"/>
      <c r="BV456" s="8"/>
      <c r="BW456" s="8"/>
      <c r="BX456" s="107"/>
      <c r="BY456" s="7"/>
      <c r="BZ456" s="10"/>
      <c r="CA456" s="10"/>
      <c r="CB456" s="8"/>
      <c r="CC456" s="8"/>
      <c r="CD456" s="8"/>
      <c r="CE456" s="107"/>
      <c r="CF456" s="7"/>
      <c r="CG456" s="10"/>
      <c r="CH456" s="10"/>
      <c r="CI456" s="8"/>
      <c r="CJ456" s="8"/>
      <c r="CK456" s="8"/>
      <c r="CL456" s="8"/>
      <c r="CM456" s="266"/>
      <c r="CN456" s="266"/>
      <c r="CO456" s="266"/>
    </row>
    <row r="457" spans="1:93" s="268" customFormat="1" x14ac:dyDescent="0.25">
      <c r="A457" s="107"/>
      <c r="B457" s="107"/>
      <c r="C457" s="7"/>
      <c r="D457" s="10"/>
      <c r="E457" s="10"/>
      <c r="F457" s="8"/>
      <c r="G457" s="8"/>
      <c r="H457" s="107"/>
      <c r="I457" s="7"/>
      <c r="J457" s="10"/>
      <c r="K457" s="10"/>
      <c r="L457" s="8"/>
      <c r="M457" s="8"/>
      <c r="N457" s="107"/>
      <c r="O457" s="7"/>
      <c r="P457" s="10"/>
      <c r="Q457" s="10"/>
      <c r="R457" s="8"/>
      <c r="S457" s="8"/>
      <c r="T457" s="107"/>
      <c r="U457" s="7"/>
      <c r="V457" s="10"/>
      <c r="W457" s="10"/>
      <c r="X457" s="8"/>
      <c r="Y457" s="7"/>
      <c r="Z457" s="8"/>
      <c r="AA457" s="107"/>
      <c r="AB457" s="7"/>
      <c r="AC457" s="10"/>
      <c r="AD457" s="10"/>
      <c r="AE457" s="8"/>
      <c r="AF457" s="8"/>
      <c r="AG457" s="107"/>
      <c r="AH457" s="7"/>
      <c r="AI457" s="10"/>
      <c r="AJ457" s="10"/>
      <c r="AK457" s="8"/>
      <c r="AL457" s="8"/>
      <c r="AM457" s="107"/>
      <c r="AN457" s="7"/>
      <c r="AO457" s="10"/>
      <c r="AP457" s="10"/>
      <c r="AQ457" s="8"/>
      <c r="AR457" s="8"/>
      <c r="AS457" s="8"/>
      <c r="AT457" s="107"/>
      <c r="AU457" s="7"/>
      <c r="AV457" s="10"/>
      <c r="AW457" s="10"/>
      <c r="AX457" s="8"/>
      <c r="AY457" s="8"/>
      <c r="AZ457" s="8"/>
      <c r="BA457" s="107"/>
      <c r="BB457" s="7"/>
      <c r="BC457" s="10"/>
      <c r="BD457" s="10"/>
      <c r="BE457" s="8"/>
      <c r="BF457" s="8"/>
      <c r="BG457" s="8"/>
      <c r="BH457" s="8"/>
      <c r="BI457" s="107"/>
      <c r="BJ457" s="7"/>
      <c r="BK457" s="10"/>
      <c r="BL457" s="10"/>
      <c r="BM457" s="10"/>
      <c r="BN457" s="8"/>
      <c r="BO457" s="8"/>
      <c r="BP457" s="8"/>
      <c r="BQ457" s="107"/>
      <c r="BR457" s="7"/>
      <c r="BS457" s="10"/>
      <c r="BT457" s="10"/>
      <c r="BU457" s="10"/>
      <c r="BV457" s="8"/>
      <c r="BW457" s="8"/>
      <c r="BX457" s="107"/>
      <c r="BY457" s="7"/>
      <c r="BZ457" s="10"/>
      <c r="CA457" s="10"/>
      <c r="CB457" s="8"/>
      <c r="CC457" s="8"/>
      <c r="CD457" s="8"/>
      <c r="CE457" s="107"/>
      <c r="CF457" s="7"/>
      <c r="CG457" s="10"/>
      <c r="CH457" s="10"/>
      <c r="CI457" s="8"/>
      <c r="CJ457" s="8"/>
      <c r="CK457" s="8"/>
      <c r="CL457" s="8"/>
      <c r="CM457" s="266"/>
      <c r="CN457" s="266"/>
      <c r="CO457" s="266"/>
    </row>
    <row r="458" spans="1:93" s="268" customFormat="1" x14ac:dyDescent="0.25">
      <c r="A458" s="107"/>
      <c r="B458" s="107"/>
      <c r="C458" s="7"/>
      <c r="D458" s="10"/>
      <c r="E458" s="10"/>
      <c r="F458" s="8"/>
      <c r="G458" s="8"/>
      <c r="H458" s="107"/>
      <c r="I458" s="7"/>
      <c r="J458" s="10"/>
      <c r="K458" s="10"/>
      <c r="L458" s="8"/>
      <c r="M458" s="8"/>
      <c r="N458" s="107"/>
      <c r="O458" s="7"/>
      <c r="P458" s="10"/>
      <c r="Q458" s="10"/>
      <c r="R458" s="8"/>
      <c r="S458" s="8"/>
      <c r="T458" s="107"/>
      <c r="U458" s="7"/>
      <c r="V458" s="10"/>
      <c r="W458" s="10"/>
      <c r="X458" s="8"/>
      <c r="Y458" s="7"/>
      <c r="Z458" s="8"/>
      <c r="AA458" s="107"/>
      <c r="AB458" s="7"/>
      <c r="AC458" s="10"/>
      <c r="AD458" s="10"/>
      <c r="AE458" s="8"/>
      <c r="AF458" s="8"/>
      <c r="AG458" s="107"/>
      <c r="AH458" s="7"/>
      <c r="AI458" s="10"/>
      <c r="AJ458" s="10"/>
      <c r="AK458" s="8"/>
      <c r="AL458" s="8"/>
      <c r="AM458" s="107"/>
      <c r="AN458" s="7"/>
      <c r="AO458" s="10"/>
      <c r="AP458" s="10"/>
      <c r="AQ458" s="8"/>
      <c r="AR458" s="8"/>
      <c r="AS458" s="8"/>
      <c r="AT458" s="107"/>
      <c r="AU458" s="7"/>
      <c r="AV458" s="10"/>
      <c r="AW458" s="10"/>
      <c r="AX458" s="8"/>
      <c r="AY458" s="8"/>
      <c r="AZ458" s="8"/>
      <c r="BA458" s="107"/>
      <c r="BB458" s="7"/>
      <c r="BC458" s="10"/>
      <c r="BD458" s="10"/>
      <c r="BE458" s="8"/>
      <c r="BF458" s="8"/>
      <c r="BG458" s="8"/>
      <c r="BH458" s="8"/>
      <c r="BI458" s="107"/>
      <c r="BJ458" s="7"/>
      <c r="BK458" s="10"/>
      <c r="BL458" s="10"/>
      <c r="BM458" s="10"/>
      <c r="BN458" s="8"/>
      <c r="BO458" s="8"/>
      <c r="BP458" s="8"/>
      <c r="BQ458" s="107"/>
      <c r="BR458" s="7"/>
      <c r="BS458" s="10"/>
      <c r="BT458" s="10"/>
      <c r="BU458" s="10"/>
      <c r="BV458" s="8"/>
      <c r="BW458" s="8"/>
      <c r="BX458" s="107"/>
      <c r="BY458" s="7"/>
      <c r="BZ458" s="10"/>
      <c r="CA458" s="10"/>
      <c r="CB458" s="8"/>
      <c r="CC458" s="8"/>
      <c r="CD458" s="8"/>
      <c r="CE458" s="107"/>
      <c r="CF458" s="7"/>
      <c r="CG458" s="10"/>
      <c r="CH458" s="10"/>
      <c r="CI458" s="8"/>
      <c r="CJ458" s="8"/>
      <c r="CK458" s="8"/>
      <c r="CL458" s="8"/>
      <c r="CM458" s="266"/>
      <c r="CN458" s="266"/>
      <c r="CO458" s="266"/>
    </row>
    <row r="459" spans="1:93" s="268" customFormat="1" x14ac:dyDescent="0.25">
      <c r="A459" s="107"/>
      <c r="B459" s="107"/>
      <c r="C459" s="7"/>
      <c r="D459" s="10"/>
      <c r="E459" s="10"/>
      <c r="F459" s="8"/>
      <c r="G459" s="8"/>
      <c r="H459" s="107"/>
      <c r="I459" s="7"/>
      <c r="J459" s="10"/>
      <c r="K459" s="10"/>
      <c r="L459" s="8"/>
      <c r="M459" s="8"/>
      <c r="N459" s="107"/>
      <c r="O459" s="7"/>
      <c r="P459" s="10"/>
      <c r="Q459" s="10"/>
      <c r="R459" s="8"/>
      <c r="S459" s="8"/>
      <c r="T459" s="107"/>
      <c r="U459" s="7"/>
      <c r="V459" s="10"/>
      <c r="W459" s="10"/>
      <c r="X459" s="8"/>
      <c r="Y459" s="7"/>
      <c r="Z459" s="8"/>
      <c r="AA459" s="107"/>
      <c r="AB459" s="7"/>
      <c r="AC459" s="10"/>
      <c r="AD459" s="10"/>
      <c r="AE459" s="8"/>
      <c r="AF459" s="8"/>
      <c r="AG459" s="107"/>
      <c r="AH459" s="7"/>
      <c r="AI459" s="10"/>
      <c r="AJ459" s="10"/>
      <c r="AK459" s="8"/>
      <c r="AL459" s="8"/>
      <c r="AM459" s="107"/>
      <c r="AN459" s="7"/>
      <c r="AO459" s="10"/>
      <c r="AP459" s="10"/>
      <c r="AQ459" s="8"/>
      <c r="AR459" s="8"/>
      <c r="AS459" s="8"/>
      <c r="AT459" s="107"/>
      <c r="AU459" s="7"/>
      <c r="AV459" s="10"/>
      <c r="AW459" s="10"/>
      <c r="AX459" s="8"/>
      <c r="AY459" s="8"/>
      <c r="AZ459" s="8"/>
      <c r="BA459" s="107"/>
      <c r="BB459" s="7"/>
      <c r="BC459" s="10"/>
      <c r="BD459" s="10"/>
      <c r="BE459" s="8"/>
      <c r="BF459" s="8"/>
      <c r="BG459" s="8"/>
      <c r="BH459" s="8"/>
      <c r="BI459" s="107"/>
      <c r="BJ459" s="7"/>
      <c r="BK459" s="10"/>
      <c r="BL459" s="10"/>
      <c r="BM459" s="10"/>
      <c r="BN459" s="8"/>
      <c r="BO459" s="8"/>
      <c r="BP459" s="8"/>
      <c r="BQ459" s="107"/>
      <c r="BR459" s="7"/>
      <c r="BS459" s="10"/>
      <c r="BT459" s="10"/>
      <c r="BU459" s="10"/>
      <c r="BV459" s="8"/>
      <c r="BW459" s="8"/>
      <c r="BX459" s="107"/>
      <c r="BY459" s="7"/>
      <c r="BZ459" s="10"/>
      <c r="CA459" s="10"/>
      <c r="CB459" s="8"/>
      <c r="CC459" s="8"/>
      <c r="CD459" s="8"/>
      <c r="CE459" s="107"/>
      <c r="CF459" s="7"/>
      <c r="CG459" s="10"/>
      <c r="CH459" s="10"/>
      <c r="CI459" s="8"/>
      <c r="CJ459" s="8"/>
      <c r="CK459" s="8"/>
      <c r="CL459" s="8"/>
      <c r="CM459" s="266"/>
      <c r="CN459" s="266"/>
      <c r="CO459" s="266"/>
    </row>
    <row r="460" spans="1:93" s="268" customFormat="1" x14ac:dyDescent="0.25">
      <c r="A460" s="107"/>
      <c r="B460" s="107"/>
      <c r="C460" s="7"/>
      <c r="D460" s="10"/>
      <c r="E460" s="10"/>
      <c r="F460" s="8"/>
      <c r="G460" s="8"/>
      <c r="H460" s="107"/>
      <c r="I460" s="7"/>
      <c r="J460" s="10"/>
      <c r="K460" s="10"/>
      <c r="L460" s="8"/>
      <c r="M460" s="8"/>
      <c r="N460" s="107"/>
      <c r="O460" s="7"/>
      <c r="P460" s="10"/>
      <c r="Q460" s="10"/>
      <c r="R460" s="8"/>
      <c r="S460" s="8"/>
      <c r="T460" s="107"/>
      <c r="U460" s="7"/>
      <c r="V460" s="10"/>
      <c r="W460" s="10"/>
      <c r="X460" s="8"/>
      <c r="Y460" s="7"/>
      <c r="Z460" s="8"/>
      <c r="AA460" s="107"/>
      <c r="AB460" s="7"/>
      <c r="AC460" s="10"/>
      <c r="AD460" s="10"/>
      <c r="AE460" s="8"/>
      <c r="AF460" s="8"/>
      <c r="AG460" s="107"/>
      <c r="AH460" s="7"/>
      <c r="AI460" s="10"/>
      <c r="AJ460" s="10"/>
      <c r="AK460" s="8"/>
      <c r="AL460" s="8"/>
      <c r="AM460" s="107"/>
      <c r="AN460" s="7"/>
      <c r="AO460" s="10"/>
      <c r="AP460" s="10"/>
      <c r="AQ460" s="8"/>
      <c r="AR460" s="8"/>
      <c r="AS460" s="8"/>
      <c r="AT460" s="107"/>
      <c r="AU460" s="7"/>
      <c r="AV460" s="10"/>
      <c r="AW460" s="10"/>
      <c r="AX460" s="8"/>
      <c r="AY460" s="8"/>
      <c r="AZ460" s="8"/>
      <c r="BA460" s="107"/>
      <c r="BB460" s="7"/>
      <c r="BC460" s="10"/>
      <c r="BD460" s="10"/>
      <c r="BE460" s="8"/>
      <c r="BF460" s="8"/>
      <c r="BG460" s="8"/>
      <c r="BH460" s="8"/>
      <c r="BI460" s="107"/>
      <c r="BJ460" s="7"/>
      <c r="BK460" s="10"/>
      <c r="BL460" s="10"/>
      <c r="BM460" s="10"/>
      <c r="BN460" s="8"/>
      <c r="BO460" s="8"/>
      <c r="BP460" s="8"/>
      <c r="BQ460" s="107"/>
      <c r="BR460" s="7"/>
      <c r="BS460" s="10"/>
      <c r="BT460" s="10"/>
      <c r="BU460" s="10"/>
      <c r="BV460" s="8"/>
      <c r="BW460" s="8"/>
      <c r="BX460" s="107"/>
      <c r="BY460" s="7"/>
      <c r="BZ460" s="10"/>
      <c r="CA460" s="10"/>
      <c r="CB460" s="8"/>
      <c r="CC460" s="8"/>
      <c r="CD460" s="8"/>
      <c r="CE460" s="107"/>
      <c r="CF460" s="7"/>
      <c r="CG460" s="10"/>
      <c r="CH460" s="10"/>
      <c r="CI460" s="8"/>
      <c r="CJ460" s="8"/>
      <c r="CK460" s="8"/>
      <c r="CL460" s="8"/>
      <c r="CM460" s="266"/>
      <c r="CN460" s="266"/>
      <c r="CO460" s="266"/>
    </row>
    <row r="461" spans="1:93" s="268" customFormat="1" x14ac:dyDescent="0.25">
      <c r="A461" s="107"/>
      <c r="B461" s="107"/>
      <c r="C461" s="7"/>
      <c r="D461" s="10"/>
      <c r="E461" s="10"/>
      <c r="F461" s="8"/>
      <c r="G461" s="8"/>
      <c r="H461" s="107"/>
      <c r="I461" s="7"/>
      <c r="J461" s="10"/>
      <c r="K461" s="10"/>
      <c r="L461" s="8"/>
      <c r="M461" s="8"/>
      <c r="N461" s="107"/>
      <c r="O461" s="7"/>
      <c r="P461" s="10"/>
      <c r="Q461" s="10"/>
      <c r="R461" s="8"/>
      <c r="S461" s="8"/>
      <c r="T461" s="107"/>
      <c r="U461" s="7"/>
      <c r="V461" s="10"/>
      <c r="W461" s="10"/>
      <c r="X461" s="8"/>
      <c r="Y461" s="7"/>
      <c r="Z461" s="8"/>
      <c r="AA461" s="107"/>
      <c r="AB461" s="7"/>
      <c r="AC461" s="10"/>
      <c r="AD461" s="10"/>
      <c r="AE461" s="8"/>
      <c r="AF461" s="8"/>
      <c r="AG461" s="107"/>
      <c r="AH461" s="7"/>
      <c r="AI461" s="10"/>
      <c r="AJ461" s="10"/>
      <c r="AK461" s="8"/>
      <c r="AL461" s="8"/>
      <c r="AM461" s="107"/>
      <c r="AN461" s="7"/>
      <c r="AO461" s="10"/>
      <c r="AP461" s="10"/>
      <c r="AQ461" s="8"/>
      <c r="AR461" s="8"/>
      <c r="AS461" s="8"/>
      <c r="AT461" s="107"/>
      <c r="AU461" s="7"/>
      <c r="AV461" s="10"/>
      <c r="AW461" s="10"/>
      <c r="AX461" s="8"/>
      <c r="AY461" s="8"/>
      <c r="AZ461" s="8"/>
      <c r="BA461" s="107"/>
      <c r="BB461" s="7"/>
      <c r="BC461" s="10"/>
      <c r="BD461" s="10"/>
      <c r="BE461" s="8"/>
      <c r="BF461" s="8"/>
      <c r="BG461" s="8"/>
      <c r="BH461" s="8"/>
      <c r="BI461" s="107"/>
      <c r="BJ461" s="7"/>
      <c r="BK461" s="10"/>
      <c r="BL461" s="10"/>
      <c r="BM461" s="10"/>
      <c r="BN461" s="8"/>
      <c r="BO461" s="8"/>
      <c r="BP461" s="8"/>
      <c r="BQ461" s="107"/>
      <c r="BR461" s="7"/>
      <c r="BS461" s="10"/>
      <c r="BT461" s="10"/>
      <c r="BU461" s="10"/>
      <c r="BV461" s="8"/>
      <c r="BW461" s="8"/>
      <c r="BX461" s="107"/>
      <c r="BY461" s="7"/>
      <c r="BZ461" s="10"/>
      <c r="CA461" s="10"/>
      <c r="CB461" s="8"/>
      <c r="CC461" s="8"/>
      <c r="CD461" s="8"/>
      <c r="CE461" s="107"/>
      <c r="CF461" s="7"/>
      <c r="CG461" s="10"/>
      <c r="CH461" s="10"/>
      <c r="CI461" s="8"/>
      <c r="CJ461" s="8"/>
      <c r="CK461" s="8"/>
      <c r="CL461" s="8"/>
      <c r="CM461" s="266"/>
      <c r="CN461" s="266"/>
      <c r="CO461" s="266"/>
    </row>
    <row r="462" spans="1:93" s="268" customFormat="1" x14ac:dyDescent="0.25">
      <c r="A462" s="107"/>
      <c r="B462" s="107"/>
      <c r="C462" s="7"/>
      <c r="D462" s="10"/>
      <c r="E462" s="10"/>
      <c r="F462" s="8"/>
      <c r="G462" s="8"/>
      <c r="H462" s="107"/>
      <c r="I462" s="7"/>
      <c r="J462" s="10"/>
      <c r="K462" s="10"/>
      <c r="L462" s="8"/>
      <c r="M462" s="8"/>
      <c r="N462" s="107"/>
      <c r="O462" s="7"/>
      <c r="P462" s="10"/>
      <c r="Q462" s="10"/>
      <c r="R462" s="8"/>
      <c r="S462" s="8"/>
      <c r="T462" s="107"/>
      <c r="U462" s="7"/>
      <c r="V462" s="10"/>
      <c r="W462" s="10"/>
      <c r="X462" s="8"/>
      <c r="Y462" s="7"/>
      <c r="Z462" s="8"/>
      <c r="AA462" s="107"/>
      <c r="AB462" s="7"/>
      <c r="AC462" s="10"/>
      <c r="AD462" s="10"/>
      <c r="AE462" s="8"/>
      <c r="AF462" s="8"/>
      <c r="AG462" s="107"/>
      <c r="AH462" s="7"/>
      <c r="AI462" s="10"/>
      <c r="AJ462" s="10"/>
      <c r="AK462" s="8"/>
      <c r="AL462" s="8"/>
      <c r="AM462" s="107"/>
      <c r="AN462" s="7"/>
      <c r="AO462" s="10"/>
      <c r="AP462" s="10"/>
      <c r="AQ462" s="8"/>
      <c r="AR462" s="8"/>
      <c r="AS462" s="8"/>
      <c r="AT462" s="107"/>
      <c r="AU462" s="7"/>
      <c r="AV462" s="10"/>
      <c r="AW462" s="10"/>
      <c r="AX462" s="8"/>
      <c r="AY462" s="8"/>
      <c r="AZ462" s="8"/>
      <c r="BA462" s="107"/>
      <c r="BB462" s="7"/>
      <c r="BC462" s="10"/>
      <c r="BD462" s="10"/>
      <c r="BE462" s="8"/>
      <c r="BF462" s="8"/>
      <c r="BG462" s="8"/>
      <c r="BH462" s="8"/>
      <c r="BI462" s="107"/>
      <c r="BJ462" s="7"/>
      <c r="BK462" s="10"/>
      <c r="BL462" s="10"/>
      <c r="BM462" s="10"/>
      <c r="BN462" s="8"/>
      <c r="BO462" s="8"/>
      <c r="BP462" s="8"/>
      <c r="BQ462" s="107"/>
      <c r="BR462" s="7"/>
      <c r="BS462" s="10"/>
      <c r="BT462" s="10"/>
      <c r="BU462" s="10"/>
      <c r="BV462" s="8"/>
      <c r="BW462" s="8"/>
      <c r="BX462" s="107"/>
      <c r="BY462" s="7"/>
      <c r="BZ462" s="10"/>
      <c r="CA462" s="10"/>
      <c r="CB462" s="8"/>
      <c r="CC462" s="8"/>
      <c r="CD462" s="8"/>
      <c r="CE462" s="107"/>
      <c r="CF462" s="7"/>
      <c r="CG462" s="10"/>
      <c r="CH462" s="10"/>
      <c r="CI462" s="8"/>
      <c r="CJ462" s="8"/>
      <c r="CK462" s="8"/>
      <c r="CL462" s="8"/>
      <c r="CM462" s="266"/>
      <c r="CN462" s="266"/>
      <c r="CO462" s="266"/>
    </row>
    <row r="463" spans="1:93" s="268" customFormat="1" x14ac:dyDescent="0.25">
      <c r="A463" s="107"/>
      <c r="B463" s="107"/>
      <c r="C463" s="7"/>
      <c r="D463" s="10"/>
      <c r="E463" s="10"/>
      <c r="F463" s="8"/>
      <c r="G463" s="8"/>
      <c r="H463" s="107"/>
      <c r="I463" s="7"/>
      <c r="J463" s="10"/>
      <c r="K463" s="10"/>
      <c r="L463" s="8"/>
      <c r="M463" s="8"/>
      <c r="N463" s="107"/>
      <c r="O463" s="7"/>
      <c r="P463" s="10"/>
      <c r="Q463" s="10"/>
      <c r="R463" s="8"/>
      <c r="S463" s="8"/>
      <c r="T463" s="107"/>
      <c r="U463" s="7"/>
      <c r="V463" s="10"/>
      <c r="W463" s="10"/>
      <c r="X463" s="8"/>
      <c r="Y463" s="7"/>
      <c r="Z463" s="8"/>
      <c r="AA463" s="107"/>
      <c r="AB463" s="7"/>
      <c r="AC463" s="10"/>
      <c r="AD463" s="10"/>
      <c r="AE463" s="8"/>
      <c r="AF463" s="8"/>
      <c r="AG463" s="107"/>
      <c r="AH463" s="7"/>
      <c r="AI463" s="10"/>
      <c r="AJ463" s="10"/>
      <c r="AK463" s="8"/>
      <c r="AL463" s="8"/>
      <c r="AM463" s="107"/>
      <c r="AN463" s="7"/>
      <c r="AO463" s="10"/>
      <c r="AP463" s="10"/>
      <c r="AQ463" s="8"/>
      <c r="AR463" s="8"/>
      <c r="AS463" s="8"/>
      <c r="AT463" s="107"/>
      <c r="AU463" s="7"/>
      <c r="AV463" s="10"/>
      <c r="AW463" s="10"/>
      <c r="AX463" s="8"/>
      <c r="AY463" s="8"/>
      <c r="AZ463" s="8"/>
      <c r="BA463" s="107"/>
      <c r="BB463" s="7"/>
      <c r="BC463" s="10"/>
      <c r="BD463" s="10"/>
      <c r="BE463" s="8"/>
      <c r="BF463" s="8"/>
      <c r="BG463" s="8"/>
      <c r="BH463" s="8"/>
      <c r="BI463" s="107"/>
      <c r="BJ463" s="7"/>
      <c r="BK463" s="10"/>
      <c r="BL463" s="10"/>
      <c r="BM463" s="10"/>
      <c r="BN463" s="8"/>
      <c r="BO463" s="8"/>
      <c r="BP463" s="8"/>
      <c r="BQ463" s="107"/>
      <c r="BR463" s="7"/>
      <c r="BS463" s="10"/>
      <c r="BT463" s="10"/>
      <c r="BU463" s="10"/>
      <c r="BV463" s="8"/>
      <c r="BW463" s="8"/>
      <c r="BX463" s="107"/>
      <c r="BY463" s="7"/>
      <c r="BZ463" s="10"/>
      <c r="CA463" s="10"/>
      <c r="CB463" s="8"/>
      <c r="CC463" s="8"/>
      <c r="CD463" s="8"/>
      <c r="CE463" s="107"/>
      <c r="CF463" s="7"/>
      <c r="CG463" s="10"/>
      <c r="CH463" s="10"/>
      <c r="CI463" s="8"/>
      <c r="CJ463" s="8"/>
      <c r="CK463" s="8"/>
      <c r="CL463" s="8"/>
      <c r="CM463" s="266"/>
      <c r="CN463" s="266"/>
      <c r="CO463" s="266"/>
    </row>
    <row r="464" spans="1:93" s="268" customFormat="1" x14ac:dyDescent="0.25">
      <c r="A464" s="107"/>
      <c r="B464" s="107"/>
      <c r="C464" s="7"/>
      <c r="D464" s="10"/>
      <c r="E464" s="10"/>
      <c r="F464" s="8"/>
      <c r="G464" s="8"/>
      <c r="H464" s="107"/>
      <c r="I464" s="7"/>
      <c r="J464" s="10"/>
      <c r="K464" s="10"/>
      <c r="L464" s="8"/>
      <c r="M464" s="8"/>
      <c r="N464" s="107"/>
      <c r="O464" s="7"/>
      <c r="P464" s="10"/>
      <c r="Q464" s="10"/>
      <c r="R464" s="8"/>
      <c r="S464" s="8"/>
      <c r="T464" s="107"/>
      <c r="U464" s="7"/>
      <c r="V464" s="10"/>
      <c r="W464" s="10"/>
      <c r="X464" s="8"/>
      <c r="Y464" s="7"/>
      <c r="Z464" s="8"/>
      <c r="AA464" s="107"/>
      <c r="AB464" s="7"/>
      <c r="AC464" s="10"/>
      <c r="AD464" s="10"/>
      <c r="AE464" s="8"/>
      <c r="AF464" s="8"/>
      <c r="AG464" s="107"/>
      <c r="AH464" s="7"/>
      <c r="AI464" s="10"/>
      <c r="AJ464" s="10"/>
      <c r="AK464" s="8"/>
      <c r="AL464" s="8"/>
      <c r="AM464" s="107"/>
      <c r="AN464" s="7"/>
      <c r="AO464" s="10"/>
      <c r="AP464" s="10"/>
      <c r="AQ464" s="8"/>
      <c r="AR464" s="8"/>
      <c r="AS464" s="8"/>
      <c r="AT464" s="107"/>
      <c r="AU464" s="7"/>
      <c r="AV464" s="10"/>
      <c r="AW464" s="10"/>
      <c r="AX464" s="8"/>
      <c r="AY464" s="8"/>
      <c r="AZ464" s="8"/>
      <c r="BA464" s="107"/>
      <c r="BB464" s="7"/>
      <c r="BC464" s="10"/>
      <c r="BD464" s="10"/>
      <c r="BE464" s="8"/>
      <c r="BF464" s="8"/>
      <c r="BG464" s="8"/>
      <c r="BH464" s="8"/>
      <c r="BI464" s="107"/>
      <c r="BJ464" s="7"/>
      <c r="BK464" s="10"/>
      <c r="BL464" s="10"/>
      <c r="BM464" s="10"/>
      <c r="BN464" s="8"/>
      <c r="BO464" s="8"/>
      <c r="BP464" s="8"/>
      <c r="BQ464" s="107"/>
      <c r="BR464" s="7"/>
      <c r="BS464" s="10"/>
      <c r="BT464" s="10"/>
      <c r="BU464" s="10"/>
      <c r="BV464" s="8"/>
      <c r="BW464" s="8"/>
      <c r="BX464" s="107"/>
      <c r="BY464" s="7"/>
      <c r="BZ464" s="10"/>
      <c r="CA464" s="10"/>
      <c r="CB464" s="8"/>
      <c r="CC464" s="8"/>
      <c r="CD464" s="8"/>
      <c r="CE464" s="107"/>
      <c r="CF464" s="7"/>
      <c r="CG464" s="10"/>
      <c r="CH464" s="10"/>
      <c r="CI464" s="8"/>
      <c r="CJ464" s="8"/>
      <c r="CK464" s="8"/>
      <c r="CL464" s="8"/>
      <c r="CM464" s="266"/>
      <c r="CN464" s="266"/>
      <c r="CO464" s="266"/>
    </row>
    <row r="465" spans="1:93" s="268" customFormat="1" x14ac:dyDescent="0.25">
      <c r="A465" s="107"/>
      <c r="B465" s="107"/>
      <c r="C465" s="7"/>
      <c r="D465" s="10"/>
      <c r="E465" s="10"/>
      <c r="F465" s="8"/>
      <c r="G465" s="8"/>
      <c r="H465" s="107"/>
      <c r="I465" s="7"/>
      <c r="J465" s="10"/>
      <c r="K465" s="10"/>
      <c r="L465" s="8"/>
      <c r="M465" s="8"/>
      <c r="N465" s="107"/>
      <c r="O465" s="7"/>
      <c r="P465" s="10"/>
      <c r="Q465" s="10"/>
      <c r="R465" s="8"/>
      <c r="S465" s="8"/>
      <c r="T465" s="107"/>
      <c r="U465" s="7"/>
      <c r="V465" s="10"/>
      <c r="W465" s="10"/>
      <c r="X465" s="8"/>
      <c r="Y465" s="7"/>
      <c r="Z465" s="8"/>
      <c r="AA465" s="107"/>
      <c r="AB465" s="7"/>
      <c r="AC465" s="10"/>
      <c r="AD465" s="10"/>
      <c r="AE465" s="8"/>
      <c r="AF465" s="8"/>
      <c r="AG465" s="107"/>
      <c r="AH465" s="7"/>
      <c r="AI465" s="10"/>
      <c r="AJ465" s="10"/>
      <c r="AK465" s="8"/>
      <c r="AL465" s="8"/>
      <c r="AM465" s="107"/>
      <c r="AN465" s="7"/>
      <c r="AO465" s="10"/>
      <c r="AP465" s="10"/>
      <c r="AQ465" s="8"/>
      <c r="AR465" s="8"/>
      <c r="AS465" s="8"/>
      <c r="AT465" s="107"/>
      <c r="AU465" s="7"/>
      <c r="AV465" s="10"/>
      <c r="AW465" s="10"/>
      <c r="AX465" s="8"/>
      <c r="AY465" s="8"/>
      <c r="AZ465" s="8"/>
      <c r="BA465" s="107"/>
      <c r="BB465" s="7"/>
      <c r="BC465" s="10"/>
      <c r="BD465" s="10"/>
      <c r="BE465" s="8"/>
      <c r="BF465" s="8"/>
      <c r="BG465" s="8"/>
      <c r="BH465" s="8"/>
      <c r="BI465" s="107"/>
      <c r="BJ465" s="7"/>
      <c r="BK465" s="10"/>
      <c r="BL465" s="10"/>
      <c r="BM465" s="10"/>
      <c r="BN465" s="8"/>
      <c r="BO465" s="8"/>
      <c r="BP465" s="8"/>
      <c r="BQ465" s="107"/>
      <c r="BR465" s="7"/>
      <c r="BS465" s="10"/>
      <c r="BT465" s="10"/>
      <c r="BU465" s="10"/>
      <c r="BV465" s="8"/>
      <c r="BW465" s="8"/>
      <c r="BX465" s="107"/>
      <c r="BY465" s="7"/>
      <c r="BZ465" s="10"/>
      <c r="CA465" s="10"/>
      <c r="CB465" s="8"/>
      <c r="CC465" s="8"/>
      <c r="CD465" s="8"/>
      <c r="CE465" s="107"/>
      <c r="CF465" s="7"/>
      <c r="CG465" s="10"/>
      <c r="CH465" s="10"/>
      <c r="CI465" s="8"/>
      <c r="CJ465" s="8"/>
      <c r="CK465" s="8"/>
      <c r="CL465" s="8"/>
      <c r="CM465" s="266"/>
      <c r="CN465" s="266"/>
      <c r="CO465" s="266"/>
    </row>
    <row r="466" spans="1:93" s="268" customFormat="1" x14ac:dyDescent="0.25">
      <c r="A466" s="107"/>
      <c r="B466" s="107"/>
      <c r="C466" s="7"/>
      <c r="D466" s="10"/>
      <c r="E466" s="10"/>
      <c r="F466" s="8"/>
      <c r="G466" s="8"/>
      <c r="H466" s="107"/>
      <c r="I466" s="7"/>
      <c r="J466" s="10"/>
      <c r="K466" s="10"/>
      <c r="L466" s="8"/>
      <c r="M466" s="8"/>
      <c r="N466" s="107"/>
      <c r="O466" s="7"/>
      <c r="P466" s="10"/>
      <c r="Q466" s="10"/>
      <c r="R466" s="8"/>
      <c r="S466" s="8"/>
      <c r="T466" s="107"/>
      <c r="U466" s="7"/>
      <c r="V466" s="10"/>
      <c r="W466" s="10"/>
      <c r="X466" s="8"/>
      <c r="Y466" s="7"/>
      <c r="Z466" s="8"/>
      <c r="AA466" s="107"/>
      <c r="AB466" s="7"/>
      <c r="AC466" s="10"/>
      <c r="AD466" s="10"/>
      <c r="AE466" s="8"/>
      <c r="AF466" s="8"/>
      <c r="AG466" s="107"/>
      <c r="AH466" s="7"/>
      <c r="AI466" s="10"/>
      <c r="AJ466" s="10"/>
      <c r="AK466" s="8"/>
      <c r="AL466" s="8"/>
      <c r="AM466" s="107"/>
      <c r="AN466" s="7"/>
      <c r="AO466" s="10"/>
      <c r="AP466" s="10"/>
      <c r="AQ466" s="8"/>
      <c r="AR466" s="8"/>
      <c r="AS466" s="8"/>
      <c r="AT466" s="107"/>
      <c r="AU466" s="7"/>
      <c r="AV466" s="10"/>
      <c r="AW466" s="10"/>
      <c r="AX466" s="8"/>
      <c r="AY466" s="8"/>
      <c r="AZ466" s="8"/>
      <c r="BA466" s="107"/>
      <c r="BB466" s="7"/>
      <c r="BC466" s="10"/>
      <c r="BD466" s="10"/>
      <c r="BE466" s="8"/>
      <c r="BF466" s="8"/>
      <c r="BG466" s="8"/>
      <c r="BH466" s="8"/>
      <c r="BI466" s="107"/>
      <c r="BJ466" s="7"/>
      <c r="BK466" s="10"/>
      <c r="BL466" s="10"/>
      <c r="BM466" s="10"/>
      <c r="BN466" s="8"/>
      <c r="BO466" s="8"/>
      <c r="BP466" s="8"/>
      <c r="BQ466" s="107"/>
      <c r="BR466" s="7"/>
      <c r="BS466" s="10"/>
      <c r="BT466" s="10"/>
      <c r="BU466" s="10"/>
      <c r="BV466" s="8"/>
      <c r="BW466" s="8"/>
      <c r="BX466" s="107"/>
      <c r="BY466" s="7"/>
      <c r="BZ466" s="10"/>
      <c r="CA466" s="10"/>
      <c r="CB466" s="8"/>
      <c r="CC466" s="8"/>
      <c r="CD466" s="8"/>
      <c r="CE466" s="107"/>
      <c r="CF466" s="7"/>
      <c r="CG466" s="10"/>
      <c r="CH466" s="10"/>
      <c r="CI466" s="8"/>
      <c r="CJ466" s="8"/>
      <c r="CK466" s="8"/>
      <c r="CL466" s="8"/>
      <c r="CM466" s="266"/>
      <c r="CN466" s="266"/>
      <c r="CO466" s="266"/>
    </row>
    <row r="467" spans="1:93" s="268" customFormat="1" x14ac:dyDescent="0.25">
      <c r="A467" s="107"/>
      <c r="B467" s="107"/>
      <c r="C467" s="7"/>
      <c r="D467" s="10"/>
      <c r="E467" s="10"/>
      <c r="F467" s="8"/>
      <c r="G467" s="8"/>
      <c r="H467" s="107"/>
      <c r="I467" s="7"/>
      <c r="J467" s="10"/>
      <c r="K467" s="10"/>
      <c r="L467" s="8"/>
      <c r="M467" s="8"/>
      <c r="N467" s="107"/>
      <c r="O467" s="7"/>
      <c r="P467" s="10"/>
      <c r="Q467" s="10"/>
      <c r="R467" s="8"/>
      <c r="S467" s="8"/>
      <c r="T467" s="107"/>
      <c r="U467" s="7"/>
      <c r="V467" s="10"/>
      <c r="W467" s="10"/>
      <c r="X467" s="8"/>
      <c r="Y467" s="7"/>
      <c r="Z467" s="8"/>
      <c r="AA467" s="107"/>
      <c r="AB467" s="7"/>
      <c r="AC467" s="10"/>
      <c r="AD467" s="10"/>
      <c r="AE467" s="8"/>
      <c r="AF467" s="8"/>
      <c r="AG467" s="107"/>
      <c r="AH467" s="7"/>
      <c r="AI467" s="10"/>
      <c r="AJ467" s="10"/>
      <c r="AK467" s="8"/>
      <c r="AL467" s="8"/>
      <c r="AM467" s="107"/>
      <c r="AN467" s="7"/>
      <c r="AO467" s="10"/>
      <c r="AP467" s="10"/>
      <c r="AQ467" s="8"/>
      <c r="AR467" s="8"/>
      <c r="AS467" s="8"/>
      <c r="AT467" s="107"/>
      <c r="AU467" s="7"/>
      <c r="AV467" s="10"/>
      <c r="AW467" s="10"/>
      <c r="AX467" s="8"/>
      <c r="AY467" s="8"/>
      <c r="AZ467" s="8"/>
      <c r="BA467" s="107"/>
      <c r="BB467" s="7"/>
      <c r="BC467" s="10"/>
      <c r="BD467" s="10"/>
      <c r="BE467" s="8"/>
      <c r="BF467" s="8"/>
      <c r="BG467" s="8"/>
      <c r="BH467" s="8"/>
      <c r="BI467" s="107"/>
      <c r="BJ467" s="7"/>
      <c r="BK467" s="10"/>
      <c r="BL467" s="10"/>
      <c r="BM467" s="10"/>
      <c r="BN467" s="8"/>
      <c r="BO467" s="8"/>
      <c r="BP467" s="8"/>
      <c r="BQ467" s="107"/>
      <c r="BR467" s="7"/>
      <c r="BS467" s="10"/>
      <c r="BT467" s="10"/>
      <c r="BU467" s="10"/>
      <c r="BV467" s="8"/>
      <c r="BW467" s="8"/>
      <c r="BX467" s="107"/>
      <c r="BY467" s="7"/>
      <c r="BZ467" s="10"/>
      <c r="CA467" s="10"/>
      <c r="CB467" s="8"/>
      <c r="CC467" s="8"/>
      <c r="CD467" s="8"/>
      <c r="CE467" s="107"/>
      <c r="CF467" s="7"/>
      <c r="CG467" s="10"/>
      <c r="CH467" s="10"/>
      <c r="CI467" s="8"/>
      <c r="CJ467" s="8"/>
      <c r="CK467" s="8"/>
      <c r="CL467" s="8"/>
      <c r="CM467" s="266"/>
      <c r="CN467" s="266"/>
      <c r="CO467" s="266"/>
    </row>
    <row r="468" spans="1:93" s="268" customFormat="1" x14ac:dyDescent="0.25">
      <c r="A468" s="107"/>
      <c r="B468" s="107"/>
      <c r="C468" s="7"/>
      <c r="D468" s="10"/>
      <c r="E468" s="10"/>
      <c r="F468" s="8"/>
      <c r="G468" s="8"/>
      <c r="H468" s="107"/>
      <c r="I468" s="7"/>
      <c r="J468" s="10"/>
      <c r="K468" s="10"/>
      <c r="L468" s="8"/>
      <c r="M468" s="8"/>
      <c r="N468" s="107"/>
      <c r="O468" s="7"/>
      <c r="P468" s="10"/>
      <c r="Q468" s="10"/>
      <c r="R468" s="8"/>
      <c r="S468" s="8"/>
      <c r="T468" s="107"/>
      <c r="U468" s="7"/>
      <c r="V468" s="10"/>
      <c r="W468" s="10"/>
      <c r="X468" s="8"/>
      <c r="Y468" s="7"/>
      <c r="Z468" s="8"/>
      <c r="AA468" s="107"/>
      <c r="AB468" s="7"/>
      <c r="AC468" s="10"/>
      <c r="AD468" s="10"/>
      <c r="AE468" s="8"/>
      <c r="AF468" s="8"/>
      <c r="AG468" s="107"/>
      <c r="AH468" s="7"/>
      <c r="AI468" s="10"/>
      <c r="AJ468" s="10"/>
      <c r="AK468" s="8"/>
      <c r="AL468" s="8"/>
      <c r="AM468" s="107"/>
      <c r="AN468" s="7"/>
      <c r="AO468" s="10"/>
      <c r="AP468" s="10"/>
      <c r="AQ468" s="8"/>
      <c r="AR468" s="8"/>
      <c r="AS468" s="8"/>
      <c r="AT468" s="107"/>
      <c r="AU468" s="7"/>
      <c r="AV468" s="10"/>
      <c r="AW468" s="10"/>
      <c r="AX468" s="8"/>
      <c r="AY468" s="8"/>
      <c r="AZ468" s="8"/>
      <c r="BA468" s="107"/>
      <c r="BB468" s="7"/>
      <c r="BC468" s="10"/>
      <c r="BD468" s="10"/>
      <c r="BE468" s="8"/>
      <c r="BF468" s="8"/>
      <c r="BG468" s="8"/>
      <c r="BH468" s="8"/>
      <c r="BI468" s="107"/>
      <c r="BJ468" s="7"/>
      <c r="BK468" s="10"/>
      <c r="BL468" s="10"/>
      <c r="BM468" s="10"/>
      <c r="BN468" s="8"/>
      <c r="BO468" s="8"/>
      <c r="BP468" s="8"/>
      <c r="BQ468" s="107"/>
      <c r="BR468" s="7"/>
      <c r="BS468" s="10"/>
      <c r="BT468" s="10"/>
      <c r="BU468" s="10"/>
      <c r="BV468" s="8"/>
      <c r="BW468" s="8"/>
      <c r="BX468" s="107"/>
      <c r="BY468" s="7"/>
      <c r="BZ468" s="10"/>
      <c r="CA468" s="10"/>
      <c r="CB468" s="8"/>
      <c r="CC468" s="8"/>
      <c r="CD468" s="8"/>
      <c r="CE468" s="107"/>
      <c r="CF468" s="7"/>
      <c r="CG468" s="10"/>
      <c r="CH468" s="10"/>
      <c r="CI468" s="8"/>
      <c r="CJ468" s="8"/>
      <c r="CK468" s="8"/>
      <c r="CL468" s="8"/>
      <c r="CM468" s="266"/>
      <c r="CN468" s="266"/>
      <c r="CO468" s="266"/>
    </row>
    <row r="469" spans="1:93" s="268" customFormat="1" x14ac:dyDescent="0.25">
      <c r="A469" s="107"/>
      <c r="B469" s="107"/>
      <c r="C469" s="7"/>
      <c r="D469" s="10"/>
      <c r="E469" s="10"/>
      <c r="F469" s="8"/>
      <c r="G469" s="8"/>
      <c r="H469" s="107"/>
      <c r="I469" s="7"/>
      <c r="J469" s="10"/>
      <c r="K469" s="10"/>
      <c r="L469" s="8"/>
      <c r="M469" s="8"/>
      <c r="N469" s="107"/>
      <c r="O469" s="7"/>
      <c r="P469" s="10"/>
      <c r="Q469" s="10"/>
      <c r="R469" s="8"/>
      <c r="S469" s="8"/>
      <c r="T469" s="107"/>
      <c r="U469" s="7"/>
      <c r="V469" s="10"/>
      <c r="W469" s="10"/>
      <c r="X469" s="8"/>
      <c r="Y469" s="7"/>
      <c r="Z469" s="8"/>
      <c r="AA469" s="107"/>
      <c r="AB469" s="7"/>
      <c r="AC469" s="10"/>
      <c r="AD469" s="10"/>
      <c r="AE469" s="8"/>
      <c r="AF469" s="8"/>
      <c r="AG469" s="107"/>
      <c r="AH469" s="7"/>
      <c r="AI469" s="10"/>
      <c r="AJ469" s="10"/>
      <c r="AK469" s="8"/>
      <c r="AL469" s="8"/>
      <c r="AM469" s="107"/>
      <c r="AN469" s="7"/>
      <c r="AO469" s="10"/>
      <c r="AP469" s="10"/>
      <c r="AQ469" s="8"/>
      <c r="AR469" s="8"/>
      <c r="AS469" s="8"/>
      <c r="AT469" s="107"/>
      <c r="AU469" s="7"/>
      <c r="AV469" s="10"/>
      <c r="AW469" s="10"/>
      <c r="AX469" s="8"/>
      <c r="AY469" s="8"/>
      <c r="AZ469" s="8"/>
      <c r="BA469" s="107"/>
      <c r="BB469" s="7"/>
      <c r="BC469" s="10"/>
      <c r="BD469" s="10"/>
      <c r="BE469" s="8"/>
      <c r="BF469" s="8"/>
      <c r="BG469" s="8"/>
      <c r="BH469" s="8"/>
      <c r="BI469" s="107"/>
      <c r="BJ469" s="7"/>
      <c r="BK469" s="10"/>
      <c r="BL469" s="10"/>
      <c r="BM469" s="10"/>
      <c r="BN469" s="8"/>
      <c r="BO469" s="8"/>
      <c r="BP469" s="8"/>
      <c r="BQ469" s="107"/>
      <c r="BR469" s="7"/>
      <c r="BS469" s="10"/>
      <c r="BT469" s="10"/>
      <c r="BU469" s="10"/>
      <c r="BV469" s="8"/>
      <c r="BW469" s="8"/>
      <c r="BX469" s="107"/>
      <c r="BY469" s="7"/>
      <c r="BZ469" s="10"/>
      <c r="CA469" s="10"/>
      <c r="CB469" s="8"/>
      <c r="CC469" s="8"/>
      <c r="CD469" s="8"/>
      <c r="CE469" s="107"/>
      <c r="CF469" s="7"/>
      <c r="CG469" s="10"/>
      <c r="CH469" s="10"/>
      <c r="CI469" s="8"/>
      <c r="CJ469" s="8"/>
      <c r="CK469" s="8"/>
      <c r="CL469" s="8"/>
      <c r="CM469" s="266"/>
      <c r="CN469" s="266"/>
      <c r="CO469" s="266"/>
    </row>
    <row r="470" spans="1:93" s="268" customFormat="1" x14ac:dyDescent="0.25">
      <c r="A470" s="107"/>
      <c r="B470" s="107"/>
      <c r="C470" s="7"/>
      <c r="D470" s="10"/>
      <c r="E470" s="10"/>
      <c r="F470" s="8"/>
      <c r="G470" s="8"/>
      <c r="H470" s="107"/>
      <c r="I470" s="7"/>
      <c r="J470" s="10"/>
      <c r="K470" s="10"/>
      <c r="L470" s="8"/>
      <c r="M470" s="8"/>
      <c r="N470" s="107"/>
      <c r="O470" s="7"/>
      <c r="P470" s="10"/>
      <c r="Q470" s="10"/>
      <c r="R470" s="8"/>
      <c r="S470" s="8"/>
      <c r="T470" s="107"/>
      <c r="U470" s="7"/>
      <c r="V470" s="10"/>
      <c r="W470" s="10"/>
      <c r="X470" s="8"/>
      <c r="Y470" s="7"/>
      <c r="Z470" s="8"/>
      <c r="AA470" s="107"/>
      <c r="AB470" s="7"/>
      <c r="AC470" s="10"/>
      <c r="AD470" s="10"/>
      <c r="AE470" s="8"/>
      <c r="AF470" s="8"/>
      <c r="AG470" s="107"/>
      <c r="AH470" s="7"/>
      <c r="AI470" s="10"/>
      <c r="AJ470" s="10"/>
      <c r="AK470" s="8"/>
      <c r="AL470" s="8"/>
      <c r="AM470" s="107"/>
      <c r="AN470" s="7"/>
      <c r="AO470" s="10"/>
      <c r="AP470" s="10"/>
      <c r="AQ470" s="8"/>
      <c r="AR470" s="8"/>
      <c r="AS470" s="8"/>
      <c r="AT470" s="107"/>
      <c r="AU470" s="7"/>
      <c r="AV470" s="10"/>
      <c r="AW470" s="10"/>
      <c r="AX470" s="8"/>
      <c r="AY470" s="8"/>
      <c r="AZ470" s="8"/>
      <c r="BA470" s="107"/>
      <c r="BB470" s="7"/>
      <c r="BC470" s="10"/>
      <c r="BD470" s="10"/>
      <c r="BE470" s="8"/>
      <c r="BF470" s="8"/>
      <c r="BG470" s="8"/>
      <c r="BH470" s="8"/>
      <c r="BI470" s="107"/>
      <c r="BJ470" s="7"/>
      <c r="BK470" s="10"/>
      <c r="BL470" s="10"/>
      <c r="BM470" s="10"/>
      <c r="BN470" s="8"/>
      <c r="BO470" s="8"/>
      <c r="BP470" s="8"/>
      <c r="BQ470" s="107"/>
      <c r="BR470" s="7"/>
      <c r="BS470" s="10"/>
      <c r="BT470" s="10"/>
      <c r="BU470" s="10"/>
      <c r="BV470" s="8"/>
      <c r="BW470" s="8"/>
      <c r="BX470" s="107"/>
      <c r="BY470" s="7"/>
      <c r="BZ470" s="10"/>
      <c r="CA470" s="10"/>
      <c r="CB470" s="8"/>
      <c r="CC470" s="8"/>
      <c r="CD470" s="8"/>
      <c r="CE470" s="107"/>
      <c r="CF470" s="7"/>
      <c r="CG470" s="10"/>
      <c r="CH470" s="10"/>
      <c r="CI470" s="8"/>
      <c r="CJ470" s="8"/>
      <c r="CK470" s="8"/>
      <c r="CL470" s="8"/>
      <c r="CM470" s="266"/>
      <c r="CN470" s="266"/>
      <c r="CO470" s="266"/>
    </row>
    <row r="471" spans="1:93" s="268" customFormat="1" x14ac:dyDescent="0.25">
      <c r="A471" s="107"/>
      <c r="B471" s="107"/>
      <c r="C471" s="7"/>
      <c r="D471" s="10"/>
      <c r="E471" s="10"/>
      <c r="F471" s="8"/>
      <c r="G471" s="8"/>
      <c r="H471" s="107"/>
      <c r="I471" s="7"/>
      <c r="J471" s="10"/>
      <c r="K471" s="10"/>
      <c r="L471" s="8"/>
      <c r="M471" s="8"/>
      <c r="N471" s="107"/>
      <c r="O471" s="7"/>
      <c r="P471" s="10"/>
      <c r="Q471" s="10"/>
      <c r="R471" s="8"/>
      <c r="S471" s="8"/>
      <c r="T471" s="107"/>
      <c r="U471" s="7"/>
      <c r="V471" s="10"/>
      <c r="W471" s="10"/>
      <c r="X471" s="8"/>
      <c r="Y471" s="7"/>
      <c r="Z471" s="8"/>
      <c r="AA471" s="107"/>
      <c r="AB471" s="7"/>
      <c r="AC471" s="10"/>
      <c r="AD471" s="10"/>
      <c r="AE471" s="8"/>
      <c r="AF471" s="8"/>
      <c r="AG471" s="107"/>
      <c r="AH471" s="7"/>
      <c r="AI471" s="10"/>
      <c r="AJ471" s="10"/>
      <c r="AK471" s="8"/>
      <c r="AL471" s="8"/>
      <c r="AM471" s="107"/>
      <c r="AN471" s="7"/>
      <c r="AO471" s="10"/>
      <c r="AP471" s="10"/>
      <c r="AQ471" s="8"/>
      <c r="AR471" s="8"/>
      <c r="AS471" s="8"/>
      <c r="AT471" s="107"/>
      <c r="AU471" s="7"/>
      <c r="AV471" s="10"/>
      <c r="AW471" s="10"/>
      <c r="AX471" s="8"/>
      <c r="AY471" s="8"/>
      <c r="AZ471" s="8"/>
      <c r="BA471" s="107"/>
      <c r="BB471" s="7"/>
      <c r="BC471" s="10"/>
      <c r="BD471" s="10"/>
      <c r="BE471" s="8"/>
      <c r="BF471" s="8"/>
      <c r="BG471" s="8"/>
      <c r="BH471" s="8"/>
      <c r="BI471" s="107"/>
      <c r="BJ471" s="7"/>
      <c r="BK471" s="10"/>
      <c r="BL471" s="10"/>
      <c r="BM471" s="10"/>
      <c r="BN471" s="8"/>
      <c r="BO471" s="8"/>
      <c r="BP471" s="8"/>
      <c r="BQ471" s="107"/>
      <c r="BR471" s="7"/>
      <c r="BS471" s="10"/>
      <c r="BT471" s="10"/>
      <c r="BU471" s="10"/>
      <c r="BV471" s="8"/>
      <c r="BW471" s="8"/>
      <c r="BX471" s="107"/>
      <c r="BY471" s="7"/>
      <c r="BZ471" s="10"/>
      <c r="CA471" s="10"/>
      <c r="CB471" s="8"/>
      <c r="CC471" s="8"/>
      <c r="CD471" s="8"/>
      <c r="CE471" s="107"/>
      <c r="CF471" s="7"/>
      <c r="CG471" s="10"/>
      <c r="CH471" s="10"/>
      <c r="CI471" s="8"/>
      <c r="CJ471" s="8"/>
      <c r="CK471" s="8"/>
      <c r="CL471" s="8"/>
      <c r="CM471" s="266"/>
      <c r="CN471" s="266"/>
      <c r="CO471" s="266"/>
    </row>
    <row r="472" spans="1:93" s="268" customFormat="1" x14ac:dyDescent="0.25">
      <c r="A472" s="107"/>
      <c r="B472" s="107"/>
      <c r="C472" s="7"/>
      <c r="D472" s="10"/>
      <c r="E472" s="10"/>
      <c r="F472" s="8"/>
      <c r="G472" s="8"/>
      <c r="H472" s="107"/>
      <c r="I472" s="7"/>
      <c r="J472" s="10"/>
      <c r="K472" s="10"/>
      <c r="L472" s="8"/>
      <c r="M472" s="8"/>
      <c r="N472" s="107"/>
      <c r="O472" s="7"/>
      <c r="P472" s="10"/>
      <c r="Q472" s="10"/>
      <c r="R472" s="8"/>
      <c r="S472" s="8"/>
      <c r="T472" s="107"/>
      <c r="U472" s="7"/>
      <c r="V472" s="10"/>
      <c r="W472" s="10"/>
      <c r="X472" s="8"/>
      <c r="Y472" s="7"/>
      <c r="Z472" s="8"/>
      <c r="AA472" s="107"/>
      <c r="AB472" s="7"/>
      <c r="AC472" s="10"/>
      <c r="AD472" s="10"/>
      <c r="AE472" s="8"/>
      <c r="AF472" s="8"/>
      <c r="AG472" s="107"/>
      <c r="AH472" s="7"/>
      <c r="AI472" s="10"/>
      <c r="AJ472" s="10"/>
      <c r="AK472" s="8"/>
      <c r="AL472" s="8"/>
      <c r="AM472" s="107"/>
      <c r="AN472" s="7"/>
      <c r="AO472" s="10"/>
      <c r="AP472" s="10"/>
      <c r="AQ472" s="8"/>
      <c r="AR472" s="8"/>
      <c r="AS472" s="8"/>
      <c r="AT472" s="107"/>
      <c r="AU472" s="7"/>
      <c r="AV472" s="10"/>
      <c r="AW472" s="10"/>
      <c r="AX472" s="8"/>
      <c r="AY472" s="8"/>
      <c r="AZ472" s="8"/>
      <c r="BA472" s="107"/>
      <c r="BB472" s="7"/>
      <c r="BC472" s="10"/>
      <c r="BD472" s="10"/>
      <c r="BE472" s="8"/>
      <c r="BF472" s="8"/>
      <c r="BG472" s="8"/>
      <c r="BH472" s="8"/>
      <c r="BI472" s="107"/>
      <c r="BJ472" s="7"/>
      <c r="BK472" s="10"/>
      <c r="BL472" s="10"/>
      <c r="BM472" s="10"/>
      <c r="BN472" s="8"/>
      <c r="BO472" s="8"/>
      <c r="BP472" s="8"/>
      <c r="BQ472" s="107"/>
      <c r="BR472" s="7"/>
      <c r="BS472" s="10"/>
      <c r="BT472" s="10"/>
      <c r="BU472" s="10"/>
      <c r="BV472" s="8"/>
      <c r="BW472" s="8"/>
      <c r="BX472" s="107"/>
      <c r="BY472" s="7"/>
      <c r="BZ472" s="10"/>
      <c r="CA472" s="10"/>
      <c r="CB472" s="8"/>
      <c r="CC472" s="8"/>
      <c r="CD472" s="8"/>
      <c r="CE472" s="107"/>
      <c r="CF472" s="7"/>
      <c r="CG472" s="10"/>
      <c r="CH472" s="10"/>
      <c r="CI472" s="8"/>
      <c r="CJ472" s="8"/>
      <c r="CK472" s="8"/>
      <c r="CL472" s="8"/>
      <c r="CM472" s="266"/>
      <c r="CN472" s="266"/>
      <c r="CO472" s="266"/>
    </row>
    <row r="473" spans="1:93" s="268" customFormat="1" x14ac:dyDescent="0.25">
      <c r="A473" s="107"/>
      <c r="B473" s="107"/>
      <c r="C473" s="7"/>
      <c r="D473" s="10"/>
      <c r="E473" s="10"/>
      <c r="F473" s="8"/>
      <c r="G473" s="8"/>
      <c r="H473" s="107"/>
      <c r="I473" s="7"/>
      <c r="J473" s="10"/>
      <c r="K473" s="10"/>
      <c r="L473" s="8"/>
      <c r="M473" s="8"/>
      <c r="N473" s="107"/>
      <c r="O473" s="7"/>
      <c r="P473" s="10"/>
      <c r="Q473" s="10"/>
      <c r="R473" s="8"/>
      <c r="S473" s="8"/>
      <c r="T473" s="107"/>
      <c r="U473" s="7"/>
      <c r="V473" s="10"/>
      <c r="W473" s="10"/>
      <c r="X473" s="8"/>
      <c r="Y473" s="7"/>
      <c r="Z473" s="8"/>
      <c r="AA473" s="107"/>
      <c r="AB473" s="7"/>
      <c r="AC473" s="10"/>
      <c r="AD473" s="10"/>
      <c r="AE473" s="8"/>
      <c r="AF473" s="8"/>
      <c r="AG473" s="107"/>
      <c r="AH473" s="7"/>
      <c r="AI473" s="10"/>
      <c r="AJ473" s="10"/>
      <c r="AK473" s="8"/>
      <c r="AL473" s="8"/>
      <c r="AM473" s="107"/>
      <c r="AN473" s="7"/>
      <c r="AO473" s="10"/>
      <c r="AP473" s="10"/>
      <c r="AQ473" s="8"/>
      <c r="AR473" s="8"/>
      <c r="AS473" s="8"/>
      <c r="AT473" s="107"/>
      <c r="AU473" s="7"/>
      <c r="AV473" s="10"/>
      <c r="AW473" s="10"/>
      <c r="AX473" s="8"/>
      <c r="AY473" s="8"/>
      <c r="AZ473" s="8"/>
      <c r="BA473" s="107"/>
      <c r="BB473" s="7"/>
      <c r="BC473" s="10"/>
      <c r="BD473" s="10"/>
      <c r="BE473" s="8"/>
      <c r="BF473" s="8"/>
      <c r="BG473" s="8"/>
      <c r="BH473" s="8"/>
      <c r="BI473" s="107"/>
      <c r="BJ473" s="7"/>
      <c r="BK473" s="10"/>
      <c r="BL473" s="10"/>
      <c r="BM473" s="10"/>
      <c r="BN473" s="8"/>
      <c r="BO473" s="8"/>
      <c r="BP473" s="8"/>
      <c r="BQ473" s="107"/>
      <c r="BR473" s="7"/>
      <c r="BS473" s="10"/>
      <c r="BT473" s="10"/>
      <c r="BU473" s="10"/>
      <c r="BV473" s="8"/>
      <c r="BW473" s="8"/>
      <c r="BX473" s="107"/>
      <c r="BY473" s="7"/>
      <c r="BZ473" s="10"/>
      <c r="CA473" s="10"/>
      <c r="CB473" s="8"/>
      <c r="CC473" s="8"/>
      <c r="CD473" s="8"/>
      <c r="CE473" s="107"/>
      <c r="CF473" s="7"/>
      <c r="CG473" s="10"/>
      <c r="CH473" s="10"/>
      <c r="CI473" s="8"/>
      <c r="CJ473" s="8"/>
      <c r="CK473" s="8"/>
      <c r="CL473" s="8"/>
      <c r="CM473" s="266"/>
      <c r="CN473" s="266"/>
      <c r="CO473" s="266"/>
    </row>
    <row r="474" spans="1:93" s="268" customFormat="1" x14ac:dyDescent="0.25">
      <c r="A474" s="107"/>
      <c r="B474" s="107"/>
      <c r="C474" s="7"/>
      <c r="D474" s="10"/>
      <c r="E474" s="10"/>
      <c r="F474" s="8"/>
      <c r="G474" s="8"/>
      <c r="H474" s="107"/>
      <c r="I474" s="7"/>
      <c r="J474" s="10"/>
      <c r="K474" s="10"/>
      <c r="L474" s="8"/>
      <c r="M474" s="8"/>
      <c r="N474" s="107"/>
      <c r="O474" s="7"/>
      <c r="P474" s="10"/>
      <c r="Q474" s="10"/>
      <c r="R474" s="8"/>
      <c r="S474" s="8"/>
      <c r="T474" s="107"/>
      <c r="U474" s="7"/>
      <c r="V474" s="10"/>
      <c r="W474" s="10"/>
      <c r="X474" s="8"/>
      <c r="Y474" s="7"/>
      <c r="Z474" s="8"/>
      <c r="AA474" s="107"/>
      <c r="AB474" s="7"/>
      <c r="AC474" s="10"/>
      <c r="AD474" s="10"/>
      <c r="AE474" s="8"/>
      <c r="AF474" s="8"/>
      <c r="AG474" s="107"/>
      <c r="AH474" s="7"/>
      <c r="AI474" s="10"/>
      <c r="AJ474" s="10"/>
      <c r="AK474" s="8"/>
      <c r="AL474" s="8"/>
      <c r="AM474" s="107"/>
      <c r="AN474" s="7"/>
      <c r="AO474" s="10"/>
      <c r="AP474" s="10"/>
      <c r="AQ474" s="8"/>
      <c r="AR474" s="8"/>
      <c r="AS474" s="8"/>
      <c r="AT474" s="107"/>
      <c r="AU474" s="7"/>
      <c r="AV474" s="10"/>
      <c r="AW474" s="10"/>
      <c r="AX474" s="8"/>
      <c r="AY474" s="8"/>
      <c r="AZ474" s="8"/>
      <c r="BA474" s="107"/>
      <c r="BB474" s="7"/>
      <c r="BC474" s="10"/>
      <c r="BD474" s="10"/>
      <c r="BE474" s="8"/>
      <c r="BF474" s="8"/>
      <c r="BG474" s="8"/>
      <c r="BH474" s="8"/>
      <c r="BI474" s="107"/>
      <c r="BJ474" s="7"/>
      <c r="BK474" s="10"/>
      <c r="BL474" s="10"/>
      <c r="BM474" s="10"/>
      <c r="BN474" s="8"/>
      <c r="BO474" s="8"/>
      <c r="BP474" s="8"/>
      <c r="BQ474" s="107"/>
      <c r="BR474" s="7"/>
      <c r="BS474" s="10"/>
      <c r="BT474" s="10"/>
      <c r="BU474" s="10"/>
      <c r="BV474" s="8"/>
      <c r="BW474" s="8"/>
      <c r="BX474" s="107"/>
      <c r="BY474" s="7"/>
      <c r="BZ474" s="10"/>
      <c r="CA474" s="10"/>
      <c r="CB474" s="8"/>
      <c r="CC474" s="8"/>
      <c r="CD474" s="8"/>
      <c r="CE474" s="107"/>
      <c r="CF474" s="7"/>
      <c r="CG474" s="10"/>
      <c r="CH474" s="10"/>
      <c r="CI474" s="8"/>
      <c r="CJ474" s="8"/>
      <c r="CK474" s="8"/>
      <c r="CL474" s="8"/>
      <c r="CM474" s="266"/>
      <c r="CN474" s="266"/>
      <c r="CO474" s="266"/>
    </row>
    <row r="475" spans="1:93" s="268" customFormat="1" x14ac:dyDescent="0.25">
      <c r="A475" s="107"/>
      <c r="B475" s="107"/>
      <c r="C475" s="7"/>
      <c r="D475" s="10"/>
      <c r="E475" s="10"/>
      <c r="F475" s="8"/>
      <c r="G475" s="8"/>
      <c r="H475" s="107"/>
      <c r="I475" s="7"/>
      <c r="J475" s="10"/>
      <c r="K475" s="10"/>
      <c r="L475" s="8"/>
      <c r="M475" s="8"/>
      <c r="N475" s="107"/>
      <c r="O475" s="7"/>
      <c r="P475" s="10"/>
      <c r="Q475" s="10"/>
      <c r="R475" s="8"/>
      <c r="S475" s="8"/>
      <c r="T475" s="107"/>
      <c r="U475" s="7"/>
      <c r="V475" s="10"/>
      <c r="W475" s="10"/>
      <c r="X475" s="8"/>
      <c r="Y475" s="7"/>
      <c r="Z475" s="8"/>
      <c r="AA475" s="107"/>
      <c r="AB475" s="7"/>
      <c r="AC475" s="10"/>
      <c r="AD475" s="10"/>
      <c r="AE475" s="8"/>
      <c r="AF475" s="8"/>
      <c r="AG475" s="107"/>
      <c r="AH475" s="7"/>
      <c r="AI475" s="10"/>
      <c r="AJ475" s="10"/>
      <c r="AK475" s="8"/>
      <c r="AL475" s="8"/>
      <c r="AM475" s="107"/>
      <c r="AN475" s="7"/>
      <c r="AO475" s="10"/>
      <c r="AP475" s="10"/>
      <c r="AQ475" s="8"/>
      <c r="AR475" s="8"/>
      <c r="AS475" s="8"/>
      <c r="AT475" s="107"/>
      <c r="AU475" s="7"/>
      <c r="AV475" s="10"/>
      <c r="AW475" s="10"/>
      <c r="AX475" s="8"/>
      <c r="AY475" s="8"/>
      <c r="AZ475" s="8"/>
      <c r="BA475" s="107"/>
      <c r="BB475" s="7"/>
      <c r="BC475" s="10"/>
      <c r="BD475" s="10"/>
      <c r="BE475" s="8"/>
      <c r="BF475" s="8"/>
      <c r="BG475" s="8"/>
      <c r="BH475" s="8"/>
      <c r="BI475" s="107"/>
      <c r="BJ475" s="7"/>
      <c r="BK475" s="10"/>
      <c r="BL475" s="10"/>
      <c r="BM475" s="10"/>
      <c r="BN475" s="8"/>
      <c r="BO475" s="8"/>
      <c r="BP475" s="8"/>
      <c r="BQ475" s="107"/>
      <c r="BR475" s="7"/>
      <c r="BS475" s="10"/>
      <c r="BT475" s="10"/>
      <c r="BU475" s="10"/>
      <c r="BV475" s="8"/>
      <c r="BW475" s="8"/>
      <c r="BX475" s="107"/>
      <c r="BY475" s="7"/>
      <c r="BZ475" s="10"/>
      <c r="CA475" s="10"/>
      <c r="CB475" s="8"/>
      <c r="CC475" s="8"/>
      <c r="CD475" s="8"/>
      <c r="CE475" s="107"/>
      <c r="CF475" s="7"/>
      <c r="CG475" s="10"/>
      <c r="CH475" s="10"/>
      <c r="CI475" s="8"/>
      <c r="CJ475" s="8"/>
      <c r="CK475" s="8"/>
      <c r="CL475" s="8"/>
      <c r="CM475" s="266"/>
      <c r="CN475" s="266"/>
      <c r="CO475" s="266"/>
    </row>
    <row r="476" spans="1:93" s="268" customFormat="1" x14ac:dyDescent="0.25">
      <c r="A476" s="107"/>
      <c r="B476" s="107"/>
      <c r="C476" s="7"/>
      <c r="D476" s="10"/>
      <c r="E476" s="10"/>
      <c r="F476" s="8"/>
      <c r="G476" s="8"/>
      <c r="H476" s="107"/>
      <c r="I476" s="7"/>
      <c r="J476" s="10"/>
      <c r="K476" s="10"/>
      <c r="L476" s="8"/>
      <c r="M476" s="8"/>
      <c r="N476" s="107"/>
      <c r="O476" s="7"/>
      <c r="P476" s="10"/>
      <c r="Q476" s="10"/>
      <c r="R476" s="8"/>
      <c r="S476" s="8"/>
      <c r="T476" s="107"/>
      <c r="U476" s="7"/>
      <c r="V476" s="10"/>
      <c r="W476" s="10"/>
      <c r="X476" s="8"/>
      <c r="Y476" s="7"/>
      <c r="Z476" s="8"/>
      <c r="AA476" s="107"/>
      <c r="AB476" s="7"/>
      <c r="AC476" s="10"/>
      <c r="AD476" s="10"/>
      <c r="AE476" s="8"/>
      <c r="AF476" s="8"/>
      <c r="AG476" s="107"/>
      <c r="AH476" s="7"/>
      <c r="AI476" s="10"/>
      <c r="AJ476" s="10"/>
      <c r="AK476" s="8"/>
      <c r="AL476" s="8"/>
      <c r="AM476" s="107"/>
      <c r="AN476" s="7"/>
      <c r="AO476" s="10"/>
      <c r="AP476" s="10"/>
      <c r="AQ476" s="8"/>
      <c r="AR476" s="8"/>
      <c r="AS476" s="8"/>
      <c r="AT476" s="107"/>
      <c r="AU476" s="7"/>
      <c r="AV476" s="10"/>
      <c r="AW476" s="10"/>
      <c r="AX476" s="8"/>
      <c r="AY476" s="8"/>
      <c r="AZ476" s="8"/>
      <c r="BA476" s="107"/>
      <c r="BB476" s="7"/>
      <c r="BC476" s="10"/>
      <c r="BD476" s="10"/>
      <c r="BE476" s="8"/>
      <c r="BF476" s="8"/>
      <c r="BG476" s="8"/>
      <c r="BH476" s="8"/>
      <c r="BI476" s="107"/>
      <c r="BJ476" s="7"/>
      <c r="BK476" s="10"/>
      <c r="BL476" s="10"/>
      <c r="BM476" s="10"/>
      <c r="BN476" s="8"/>
      <c r="BO476" s="8"/>
      <c r="BP476" s="8"/>
      <c r="BQ476" s="107"/>
      <c r="BR476" s="7"/>
      <c r="BS476" s="10"/>
      <c r="BT476" s="10"/>
      <c r="BU476" s="10"/>
      <c r="BV476" s="8"/>
      <c r="BW476" s="8"/>
      <c r="BX476" s="107"/>
      <c r="BY476" s="7"/>
      <c r="BZ476" s="10"/>
      <c r="CA476" s="10"/>
      <c r="CB476" s="8"/>
      <c r="CC476" s="8"/>
      <c r="CD476" s="8"/>
      <c r="CE476" s="107"/>
      <c r="CF476" s="7"/>
      <c r="CG476" s="10"/>
      <c r="CH476" s="10"/>
      <c r="CI476" s="8"/>
      <c r="CJ476" s="8"/>
      <c r="CK476" s="8"/>
      <c r="CL476" s="8"/>
      <c r="CM476" s="266"/>
      <c r="CN476" s="266"/>
      <c r="CO476" s="266"/>
    </row>
    <row r="477" spans="1:93" s="268" customFormat="1" x14ac:dyDescent="0.25">
      <c r="A477" s="107"/>
      <c r="B477" s="107"/>
      <c r="C477" s="7"/>
      <c r="D477" s="10"/>
      <c r="E477" s="10"/>
      <c r="F477" s="8"/>
      <c r="G477" s="8"/>
      <c r="H477" s="107"/>
      <c r="I477" s="7"/>
      <c r="J477" s="10"/>
      <c r="K477" s="10"/>
      <c r="L477" s="8"/>
      <c r="M477" s="8"/>
      <c r="N477" s="107"/>
      <c r="O477" s="7"/>
      <c r="P477" s="10"/>
      <c r="Q477" s="10"/>
      <c r="R477" s="8"/>
      <c r="S477" s="8"/>
      <c r="T477" s="107"/>
      <c r="U477" s="7"/>
      <c r="V477" s="10"/>
      <c r="W477" s="10"/>
      <c r="X477" s="8"/>
      <c r="Y477" s="7"/>
      <c r="Z477" s="8"/>
      <c r="AA477" s="107"/>
      <c r="AB477" s="7"/>
      <c r="AC477" s="10"/>
      <c r="AD477" s="10"/>
      <c r="AE477" s="8"/>
      <c r="AF477" s="8"/>
      <c r="AG477" s="107"/>
      <c r="AH477" s="7"/>
      <c r="AI477" s="10"/>
      <c r="AJ477" s="10"/>
      <c r="AK477" s="8"/>
      <c r="AL477" s="8"/>
      <c r="AM477" s="107"/>
      <c r="AN477" s="7"/>
      <c r="AO477" s="10"/>
      <c r="AP477" s="10"/>
      <c r="AQ477" s="8"/>
      <c r="AR477" s="8"/>
      <c r="AS477" s="8"/>
      <c r="AT477" s="107"/>
      <c r="AU477" s="7"/>
      <c r="AV477" s="10"/>
      <c r="AW477" s="10"/>
      <c r="AX477" s="8"/>
      <c r="AY477" s="8"/>
      <c r="AZ477" s="8"/>
      <c r="BA477" s="107"/>
      <c r="BB477" s="7"/>
      <c r="BC477" s="10"/>
      <c r="BD477" s="10"/>
      <c r="BE477" s="8"/>
      <c r="BF477" s="8"/>
      <c r="BG477" s="8"/>
      <c r="BH477" s="8"/>
      <c r="BI477" s="107"/>
      <c r="BJ477" s="7"/>
      <c r="BK477" s="10"/>
      <c r="BL477" s="10"/>
      <c r="BM477" s="10"/>
      <c r="BN477" s="8"/>
      <c r="BO477" s="8"/>
      <c r="BP477" s="8"/>
      <c r="BQ477" s="107"/>
      <c r="BR477" s="7"/>
      <c r="BS477" s="10"/>
      <c r="BT477" s="10"/>
      <c r="BU477" s="10"/>
      <c r="BV477" s="8"/>
      <c r="BW477" s="8"/>
      <c r="BX477" s="107"/>
      <c r="BY477" s="7"/>
      <c r="BZ477" s="10"/>
      <c r="CA477" s="10"/>
      <c r="CB477" s="8"/>
      <c r="CC477" s="8"/>
      <c r="CD477" s="8"/>
      <c r="CE477" s="107"/>
      <c r="CF477" s="7"/>
      <c r="CG477" s="10"/>
      <c r="CH477" s="10"/>
      <c r="CI477" s="8"/>
      <c r="CJ477" s="8"/>
      <c r="CK477" s="8"/>
      <c r="CL477" s="8"/>
      <c r="CM477" s="266"/>
      <c r="CN477" s="266"/>
      <c r="CO477" s="266"/>
    </row>
    <row r="478" spans="1:93" s="268" customFormat="1" x14ac:dyDescent="0.25">
      <c r="A478" s="107"/>
      <c r="B478" s="107"/>
      <c r="C478" s="7"/>
      <c r="D478" s="10"/>
      <c r="E478" s="10"/>
      <c r="F478" s="8"/>
      <c r="G478" s="8"/>
      <c r="H478" s="107"/>
      <c r="I478" s="7"/>
      <c r="J478" s="10"/>
      <c r="K478" s="10"/>
      <c r="L478" s="8"/>
      <c r="M478" s="8"/>
      <c r="N478" s="107"/>
      <c r="O478" s="7"/>
      <c r="P478" s="10"/>
      <c r="Q478" s="10"/>
      <c r="R478" s="8"/>
      <c r="S478" s="8"/>
      <c r="T478" s="107"/>
      <c r="U478" s="7"/>
      <c r="V478" s="10"/>
      <c r="W478" s="10"/>
      <c r="X478" s="8"/>
      <c r="Y478" s="7"/>
      <c r="Z478" s="8"/>
      <c r="AA478" s="107"/>
      <c r="AB478" s="7"/>
      <c r="AC478" s="10"/>
      <c r="AD478" s="10"/>
      <c r="AE478" s="8"/>
      <c r="AF478" s="8"/>
      <c r="AG478" s="107"/>
      <c r="AH478" s="7"/>
      <c r="AI478" s="10"/>
      <c r="AJ478" s="10"/>
      <c r="AK478" s="8"/>
      <c r="AL478" s="8"/>
      <c r="AM478" s="107"/>
      <c r="AN478" s="7"/>
      <c r="AO478" s="10"/>
      <c r="AP478" s="10"/>
      <c r="AQ478" s="8"/>
      <c r="AR478" s="8"/>
      <c r="AS478" s="8"/>
      <c r="AT478" s="107"/>
      <c r="AU478" s="7"/>
      <c r="AV478" s="10"/>
      <c r="AW478" s="10"/>
      <c r="AX478" s="8"/>
      <c r="AY478" s="8"/>
      <c r="AZ478" s="8"/>
      <c r="BA478" s="107"/>
      <c r="BB478" s="7"/>
      <c r="BC478" s="10"/>
      <c r="BD478" s="10"/>
      <c r="BE478" s="8"/>
      <c r="BF478" s="8"/>
      <c r="BG478" s="8"/>
      <c r="BH478" s="8"/>
      <c r="BI478" s="107"/>
      <c r="BJ478" s="7"/>
      <c r="BK478" s="10"/>
      <c r="BL478" s="10"/>
      <c r="BM478" s="10"/>
      <c r="BN478" s="8"/>
      <c r="BO478" s="8"/>
      <c r="BP478" s="8"/>
      <c r="BQ478" s="107"/>
      <c r="BR478" s="7"/>
      <c r="BS478" s="10"/>
      <c r="BT478" s="10"/>
      <c r="BU478" s="10"/>
      <c r="BV478" s="8"/>
      <c r="BW478" s="8"/>
      <c r="BX478" s="107"/>
      <c r="BY478" s="7"/>
      <c r="BZ478" s="10"/>
      <c r="CA478" s="10"/>
      <c r="CB478" s="8"/>
      <c r="CC478" s="8"/>
      <c r="CD478" s="8"/>
      <c r="CE478" s="107"/>
      <c r="CF478" s="7"/>
      <c r="CG478" s="10"/>
      <c r="CH478" s="10"/>
      <c r="CI478" s="8"/>
      <c r="CJ478" s="8"/>
      <c r="CK478" s="8"/>
      <c r="CL478" s="8"/>
      <c r="CM478" s="266"/>
      <c r="CN478" s="266"/>
      <c r="CO478" s="266"/>
    </row>
    <row r="479" spans="1:93" s="268" customFormat="1" x14ac:dyDescent="0.25">
      <c r="A479" s="107"/>
      <c r="B479" s="107"/>
      <c r="C479" s="7"/>
      <c r="D479" s="10"/>
      <c r="E479" s="10"/>
      <c r="F479" s="8"/>
      <c r="G479" s="8"/>
      <c r="H479" s="107"/>
      <c r="I479" s="7"/>
      <c r="J479" s="10"/>
      <c r="K479" s="10"/>
      <c r="L479" s="8"/>
      <c r="M479" s="8"/>
      <c r="N479" s="107"/>
      <c r="O479" s="7"/>
      <c r="P479" s="10"/>
      <c r="Q479" s="10"/>
      <c r="R479" s="8"/>
      <c r="S479" s="8"/>
      <c r="T479" s="107"/>
      <c r="U479" s="7"/>
      <c r="V479" s="10"/>
      <c r="W479" s="10"/>
      <c r="X479" s="8"/>
      <c r="Y479" s="7"/>
      <c r="Z479" s="8"/>
      <c r="AA479" s="107"/>
      <c r="AB479" s="7"/>
      <c r="AC479" s="10"/>
      <c r="AD479" s="10"/>
      <c r="AE479" s="8"/>
      <c r="AF479" s="8"/>
      <c r="AG479" s="107"/>
      <c r="AH479" s="7"/>
      <c r="AI479" s="10"/>
      <c r="AJ479" s="10"/>
      <c r="AK479" s="8"/>
      <c r="AL479" s="8"/>
      <c r="AM479" s="107"/>
      <c r="AN479" s="7"/>
      <c r="AO479" s="10"/>
      <c r="AP479" s="10"/>
      <c r="AQ479" s="8"/>
      <c r="AR479" s="8"/>
      <c r="AS479" s="8"/>
      <c r="AT479" s="107"/>
      <c r="AU479" s="7"/>
      <c r="AV479" s="10"/>
      <c r="AW479" s="10"/>
      <c r="AX479" s="8"/>
      <c r="AY479" s="8"/>
      <c r="AZ479" s="8"/>
      <c r="BA479" s="107"/>
      <c r="BB479" s="7"/>
      <c r="BC479" s="10"/>
      <c r="BD479" s="10"/>
      <c r="BE479" s="8"/>
      <c r="BF479" s="8"/>
      <c r="BG479" s="8"/>
      <c r="BH479" s="8"/>
      <c r="BI479" s="107"/>
      <c r="BJ479" s="7"/>
      <c r="BK479" s="10"/>
      <c r="BL479" s="10"/>
      <c r="BM479" s="10"/>
      <c r="BN479" s="8"/>
      <c r="BO479" s="8"/>
      <c r="BP479" s="8"/>
      <c r="BQ479" s="107"/>
      <c r="BR479" s="7"/>
      <c r="BS479" s="10"/>
      <c r="BT479" s="10"/>
      <c r="BU479" s="10"/>
      <c r="BV479" s="8"/>
      <c r="BW479" s="8"/>
      <c r="BX479" s="107"/>
      <c r="BY479" s="7"/>
      <c r="BZ479" s="10"/>
      <c r="CA479" s="10"/>
      <c r="CB479" s="8"/>
      <c r="CC479" s="8"/>
      <c r="CD479" s="8"/>
      <c r="CE479" s="107"/>
      <c r="CF479" s="7"/>
      <c r="CG479" s="10"/>
      <c r="CH479" s="10"/>
      <c r="CI479" s="8"/>
      <c r="CJ479" s="8"/>
      <c r="CK479" s="8"/>
      <c r="CL479" s="8"/>
      <c r="CM479" s="266"/>
      <c r="CN479" s="266"/>
      <c r="CO479" s="266"/>
    </row>
    <row r="480" spans="1:93" s="268" customFormat="1" x14ac:dyDescent="0.25">
      <c r="A480" s="107"/>
      <c r="B480" s="107"/>
      <c r="C480" s="7"/>
      <c r="D480" s="10"/>
      <c r="E480" s="10"/>
      <c r="F480" s="8"/>
      <c r="G480" s="8"/>
      <c r="H480" s="107"/>
      <c r="I480" s="7"/>
      <c r="J480" s="10"/>
      <c r="K480" s="10"/>
      <c r="L480" s="8"/>
      <c r="M480" s="8"/>
      <c r="N480" s="107"/>
      <c r="O480" s="7"/>
      <c r="P480" s="10"/>
      <c r="Q480" s="10"/>
      <c r="R480" s="8"/>
      <c r="S480" s="8"/>
      <c r="T480" s="107"/>
      <c r="U480" s="7"/>
      <c r="V480" s="10"/>
      <c r="W480" s="10"/>
      <c r="X480" s="8"/>
      <c r="Y480" s="7"/>
      <c r="Z480" s="8"/>
      <c r="AA480" s="107"/>
      <c r="AB480" s="7"/>
      <c r="AC480" s="10"/>
      <c r="AD480" s="10"/>
      <c r="AE480" s="8"/>
      <c r="AF480" s="8"/>
      <c r="AG480" s="107"/>
      <c r="AH480" s="7"/>
      <c r="AI480" s="10"/>
      <c r="AJ480" s="10"/>
      <c r="AK480" s="8"/>
      <c r="AL480" s="8"/>
      <c r="AM480" s="107"/>
      <c r="AN480" s="7"/>
      <c r="AO480" s="10"/>
      <c r="AP480" s="10"/>
      <c r="AQ480" s="8"/>
      <c r="AR480" s="8"/>
      <c r="AS480" s="8"/>
      <c r="AT480" s="107"/>
      <c r="AU480" s="7"/>
      <c r="AV480" s="10"/>
      <c r="AW480" s="10"/>
      <c r="AX480" s="8"/>
      <c r="AY480" s="8"/>
      <c r="AZ480" s="8"/>
      <c r="BA480" s="107"/>
      <c r="BB480" s="7"/>
      <c r="BC480" s="10"/>
      <c r="BD480" s="10"/>
      <c r="BE480" s="8"/>
      <c r="BF480" s="8"/>
      <c r="BG480" s="8"/>
      <c r="BH480" s="8"/>
      <c r="BI480" s="107"/>
      <c r="BJ480" s="7"/>
      <c r="BK480" s="10"/>
      <c r="BL480" s="10"/>
      <c r="BM480" s="10"/>
      <c r="BN480" s="8"/>
      <c r="BO480" s="8"/>
      <c r="BP480" s="8"/>
      <c r="BQ480" s="107"/>
      <c r="BR480" s="7"/>
      <c r="BS480" s="10"/>
      <c r="BT480" s="10"/>
      <c r="BU480" s="10"/>
      <c r="BV480" s="8"/>
      <c r="BW480" s="8"/>
      <c r="BX480" s="107"/>
      <c r="BY480" s="7"/>
      <c r="BZ480" s="10"/>
      <c r="CA480" s="10"/>
      <c r="CB480" s="8"/>
      <c r="CC480" s="8"/>
      <c r="CD480" s="8"/>
      <c r="CE480" s="107"/>
      <c r="CF480" s="7"/>
      <c r="CG480" s="10"/>
      <c r="CH480" s="10"/>
      <c r="CI480" s="8"/>
      <c r="CJ480" s="8"/>
      <c r="CK480" s="8"/>
      <c r="CL480" s="8"/>
      <c r="CM480" s="266"/>
      <c r="CN480" s="266"/>
      <c r="CO480" s="266"/>
    </row>
    <row r="481" spans="1:93" s="268" customFormat="1" x14ac:dyDescent="0.25">
      <c r="A481" s="107"/>
      <c r="B481" s="107"/>
      <c r="C481" s="108"/>
      <c r="D481" s="11"/>
      <c r="E481" s="11"/>
      <c r="F481" s="3"/>
      <c r="G481" s="3"/>
      <c r="H481" s="107"/>
      <c r="I481" s="108"/>
      <c r="J481" s="11"/>
      <c r="K481" s="11"/>
      <c r="L481" s="3"/>
      <c r="M481" s="3"/>
      <c r="N481" s="107"/>
      <c r="O481" s="108"/>
      <c r="P481" s="11"/>
      <c r="Q481" s="11"/>
      <c r="R481" s="3"/>
      <c r="S481" s="3"/>
      <c r="T481" s="107"/>
      <c r="U481" s="108"/>
      <c r="V481" s="11"/>
      <c r="W481" s="11"/>
      <c r="X481" s="3"/>
      <c r="Y481" s="108"/>
      <c r="Z481" s="3"/>
      <c r="AA481" s="107"/>
      <c r="AB481" s="108"/>
      <c r="AC481" s="11"/>
      <c r="AD481" s="11"/>
      <c r="AE481" s="3"/>
      <c r="AF481" s="3"/>
      <c r="AG481" s="107"/>
      <c r="AH481" s="108"/>
      <c r="AI481" s="11"/>
      <c r="AJ481" s="11"/>
      <c r="AK481" s="3"/>
      <c r="AL481" s="3"/>
      <c r="AM481" s="107"/>
      <c r="AN481" s="108"/>
      <c r="AO481" s="11"/>
      <c r="AP481" s="11"/>
      <c r="AQ481" s="3"/>
      <c r="AR481" s="3"/>
      <c r="AS481" s="3"/>
      <c r="AT481" s="107"/>
      <c r="AU481" s="108"/>
      <c r="AV481" s="11"/>
      <c r="AW481" s="11"/>
      <c r="AX481" s="3"/>
      <c r="AY481" s="3"/>
      <c r="AZ481" s="3"/>
      <c r="BA481" s="107"/>
      <c r="BB481" s="108"/>
      <c r="BC481" s="11"/>
      <c r="BD481" s="11"/>
      <c r="BE481" s="3"/>
      <c r="BF481" s="3"/>
      <c r="BG481" s="3"/>
      <c r="BH481" s="3"/>
      <c r="BI481" s="107"/>
      <c r="BJ481" s="108"/>
      <c r="BK481" s="11"/>
      <c r="BL481" s="11"/>
      <c r="BM481" s="11"/>
      <c r="BN481" s="3"/>
      <c r="BO481" s="3"/>
      <c r="BP481" s="3"/>
      <c r="BQ481" s="107"/>
      <c r="BR481" s="108"/>
      <c r="BS481" s="11"/>
      <c r="BT481" s="11"/>
      <c r="BU481" s="11"/>
      <c r="BV481" s="3"/>
      <c r="BW481" s="3"/>
      <c r="BX481" s="107"/>
      <c r="BY481" s="108"/>
      <c r="BZ481" s="11"/>
      <c r="CA481" s="11"/>
      <c r="CB481" s="3"/>
      <c r="CC481" s="3"/>
      <c r="CD481" s="3"/>
      <c r="CE481" s="107"/>
      <c r="CF481" s="108"/>
      <c r="CG481" s="11"/>
      <c r="CH481" s="11"/>
      <c r="CI481" s="3"/>
      <c r="CJ481" s="3"/>
      <c r="CK481" s="3"/>
      <c r="CL481" s="3"/>
      <c r="CM481" s="270"/>
      <c r="CN481" s="270"/>
      <c r="CO481" s="270"/>
    </row>
    <row r="482" spans="1:93" s="268" customFormat="1" x14ac:dyDescent="0.25">
      <c r="A482" s="107"/>
      <c r="B482" s="107"/>
      <c r="C482" s="108"/>
      <c r="D482" s="11"/>
      <c r="E482" s="11"/>
      <c r="F482" s="3"/>
      <c r="G482" s="3"/>
      <c r="H482" s="107"/>
      <c r="I482" s="108"/>
      <c r="J482" s="11"/>
      <c r="K482" s="11"/>
      <c r="L482" s="3"/>
      <c r="M482" s="3"/>
      <c r="N482" s="107"/>
      <c r="O482" s="108"/>
      <c r="P482" s="11"/>
      <c r="Q482" s="11"/>
      <c r="R482" s="3"/>
      <c r="S482" s="3"/>
      <c r="T482" s="107"/>
      <c r="U482" s="108"/>
      <c r="V482" s="11"/>
      <c r="W482" s="11"/>
      <c r="X482" s="3"/>
      <c r="Y482" s="108"/>
      <c r="Z482" s="3"/>
      <c r="AA482" s="107"/>
      <c r="AB482" s="108"/>
      <c r="AC482" s="11"/>
      <c r="AD482" s="11"/>
      <c r="AE482" s="3"/>
      <c r="AF482" s="3"/>
      <c r="AG482" s="107"/>
      <c r="AH482" s="108"/>
      <c r="AI482" s="11"/>
      <c r="AJ482" s="11"/>
      <c r="AK482" s="3"/>
      <c r="AL482" s="3"/>
      <c r="AM482" s="107"/>
      <c r="AN482" s="108"/>
      <c r="AO482" s="11"/>
      <c r="AP482" s="11"/>
      <c r="AQ482" s="3"/>
      <c r="AR482" s="3"/>
      <c r="AS482" s="3"/>
      <c r="AT482" s="107"/>
      <c r="AU482" s="108"/>
      <c r="AV482" s="11"/>
      <c r="AW482" s="11"/>
      <c r="AX482" s="3"/>
      <c r="AY482" s="3"/>
      <c r="AZ482" s="3"/>
      <c r="BA482" s="107"/>
      <c r="BB482" s="108"/>
      <c r="BC482" s="11"/>
      <c r="BD482" s="11"/>
      <c r="BE482" s="3"/>
      <c r="BF482" s="3"/>
      <c r="BG482" s="3"/>
      <c r="BH482" s="3"/>
      <c r="BI482" s="107"/>
      <c r="BJ482" s="108"/>
      <c r="BK482" s="11"/>
      <c r="BL482" s="11"/>
      <c r="BM482" s="11"/>
      <c r="BN482" s="3"/>
      <c r="BO482" s="3"/>
      <c r="BP482" s="3"/>
      <c r="BQ482" s="107"/>
      <c r="BR482" s="108"/>
      <c r="BS482" s="11"/>
      <c r="BT482" s="11"/>
      <c r="BU482" s="11"/>
      <c r="BV482" s="3"/>
      <c r="BW482" s="3"/>
      <c r="BX482" s="107"/>
      <c r="BY482" s="108"/>
      <c r="BZ482" s="11"/>
      <c r="CA482" s="11"/>
      <c r="CB482" s="3"/>
      <c r="CC482" s="3"/>
      <c r="CD482" s="3"/>
      <c r="CE482" s="107"/>
      <c r="CF482" s="108"/>
      <c r="CG482" s="11"/>
      <c r="CH482" s="11"/>
      <c r="CI482" s="3"/>
      <c r="CJ482" s="3"/>
      <c r="CK482" s="3"/>
      <c r="CL482" s="3"/>
      <c r="CM482" s="270"/>
      <c r="CN482" s="270"/>
      <c r="CO482" s="270"/>
    </row>
    <row r="483" spans="1:93" s="268" customFormat="1" x14ac:dyDescent="0.25">
      <c r="A483" s="107"/>
      <c r="B483" s="107"/>
      <c r="C483" s="108"/>
      <c r="D483" s="11"/>
      <c r="E483" s="11"/>
      <c r="F483" s="3"/>
      <c r="G483" s="3"/>
      <c r="H483" s="107"/>
      <c r="I483" s="108"/>
      <c r="J483" s="11"/>
      <c r="K483" s="11"/>
      <c r="L483" s="3"/>
      <c r="M483" s="3"/>
      <c r="N483" s="107"/>
      <c r="O483" s="108"/>
      <c r="P483" s="11"/>
      <c r="Q483" s="11"/>
      <c r="R483" s="3"/>
      <c r="S483" s="3"/>
      <c r="T483" s="107"/>
      <c r="U483" s="108"/>
      <c r="V483" s="11"/>
      <c r="W483" s="11"/>
      <c r="X483" s="3"/>
      <c r="Y483" s="108"/>
      <c r="Z483" s="3"/>
      <c r="AA483" s="107"/>
      <c r="AB483" s="108"/>
      <c r="AC483" s="11"/>
      <c r="AD483" s="11"/>
      <c r="AE483" s="3"/>
      <c r="AF483" s="3"/>
      <c r="AG483" s="107"/>
      <c r="AH483" s="108"/>
      <c r="AI483" s="11"/>
      <c r="AJ483" s="11"/>
      <c r="AK483" s="3"/>
      <c r="AL483" s="3"/>
      <c r="AM483" s="107"/>
      <c r="AN483" s="108"/>
      <c r="AO483" s="11"/>
      <c r="AP483" s="11"/>
      <c r="AQ483" s="3"/>
      <c r="AR483" s="3"/>
      <c r="AS483" s="3"/>
      <c r="AT483" s="107"/>
      <c r="AU483" s="108"/>
      <c r="AV483" s="11"/>
      <c r="AW483" s="11"/>
      <c r="AX483" s="3"/>
      <c r="AY483" s="3"/>
      <c r="AZ483" s="3"/>
      <c r="BA483" s="107"/>
      <c r="BB483" s="108"/>
      <c r="BC483" s="11"/>
      <c r="BD483" s="11"/>
      <c r="BE483" s="3"/>
      <c r="BF483" s="3"/>
      <c r="BG483" s="3"/>
      <c r="BH483" s="3"/>
      <c r="BI483" s="107"/>
      <c r="BJ483" s="108"/>
      <c r="BK483" s="11"/>
      <c r="BL483" s="11"/>
      <c r="BM483" s="11"/>
      <c r="BN483" s="3"/>
      <c r="BO483" s="3"/>
      <c r="BP483" s="3"/>
      <c r="BQ483" s="107"/>
      <c r="BR483" s="108"/>
      <c r="BS483" s="11"/>
      <c r="BT483" s="11"/>
      <c r="BU483" s="11"/>
      <c r="BV483" s="3"/>
      <c r="BW483" s="3"/>
      <c r="BX483" s="107"/>
      <c r="BY483" s="108"/>
      <c r="BZ483" s="11"/>
      <c r="CA483" s="11"/>
      <c r="CB483" s="3"/>
      <c r="CC483" s="3"/>
      <c r="CD483" s="3"/>
      <c r="CE483" s="107"/>
      <c r="CF483" s="108"/>
      <c r="CG483" s="11"/>
      <c r="CH483" s="11"/>
      <c r="CI483" s="3"/>
      <c r="CJ483" s="3"/>
      <c r="CK483" s="3"/>
      <c r="CL483" s="3"/>
      <c r="CM483" s="270"/>
      <c r="CN483" s="270"/>
      <c r="CO483" s="270"/>
    </row>
    <row r="484" spans="1:93" s="268" customFormat="1" x14ac:dyDescent="0.25">
      <c r="A484" s="107"/>
      <c r="B484" s="107"/>
      <c r="C484" s="108"/>
      <c r="D484" s="11"/>
      <c r="E484" s="11"/>
      <c r="F484" s="3"/>
      <c r="G484" s="3"/>
      <c r="H484" s="107"/>
      <c r="I484" s="108"/>
      <c r="J484" s="11"/>
      <c r="K484" s="11"/>
      <c r="L484" s="3"/>
      <c r="M484" s="3"/>
      <c r="N484" s="107"/>
      <c r="O484" s="108"/>
      <c r="P484" s="11"/>
      <c r="Q484" s="11"/>
      <c r="R484" s="3"/>
      <c r="S484" s="3"/>
      <c r="T484" s="107"/>
      <c r="U484" s="108"/>
      <c r="V484" s="11"/>
      <c r="W484" s="11"/>
      <c r="X484" s="3"/>
      <c r="Y484" s="108"/>
      <c r="Z484" s="3"/>
      <c r="AA484" s="107"/>
      <c r="AB484" s="108"/>
      <c r="AC484" s="11"/>
      <c r="AD484" s="11"/>
      <c r="AE484" s="3"/>
      <c r="AF484" s="3"/>
      <c r="AG484" s="107"/>
      <c r="AH484" s="108"/>
      <c r="AI484" s="11"/>
      <c r="AJ484" s="11"/>
      <c r="AK484" s="3"/>
      <c r="AL484" s="3"/>
      <c r="AM484" s="107"/>
      <c r="AN484" s="108"/>
      <c r="AO484" s="11"/>
      <c r="AP484" s="11"/>
      <c r="AQ484" s="3"/>
      <c r="AR484" s="3"/>
      <c r="AS484" s="3"/>
      <c r="AT484" s="107"/>
      <c r="AU484" s="108"/>
      <c r="AV484" s="11"/>
      <c r="AW484" s="11"/>
      <c r="AX484" s="3"/>
      <c r="AY484" s="3"/>
      <c r="AZ484" s="3"/>
      <c r="BA484" s="107"/>
      <c r="BB484" s="108"/>
      <c r="BC484" s="11"/>
      <c r="BD484" s="11"/>
      <c r="BE484" s="3"/>
      <c r="BF484" s="3"/>
      <c r="BG484" s="3"/>
      <c r="BH484" s="3"/>
      <c r="BI484" s="107"/>
      <c r="BJ484" s="108"/>
      <c r="BK484" s="11"/>
      <c r="BL484" s="11"/>
      <c r="BM484" s="11"/>
      <c r="BN484" s="3"/>
      <c r="BO484" s="3"/>
      <c r="BP484" s="3"/>
      <c r="BQ484" s="107"/>
      <c r="BR484" s="108"/>
      <c r="BS484" s="11"/>
      <c r="BT484" s="11"/>
      <c r="BU484" s="11"/>
      <c r="BV484" s="3"/>
      <c r="BW484" s="3"/>
      <c r="BX484" s="107"/>
      <c r="BY484" s="108"/>
      <c r="BZ484" s="11"/>
      <c r="CA484" s="11"/>
      <c r="CB484" s="3"/>
      <c r="CC484" s="3"/>
      <c r="CD484" s="3"/>
      <c r="CE484" s="107"/>
      <c r="CF484" s="108"/>
      <c r="CG484" s="11"/>
      <c r="CH484" s="11"/>
      <c r="CI484" s="3"/>
      <c r="CJ484" s="3"/>
      <c r="CK484" s="3"/>
      <c r="CL484" s="3"/>
      <c r="CM484" s="270"/>
      <c r="CN484" s="270"/>
      <c r="CO484" s="270"/>
    </row>
    <row r="485" spans="1:93" s="268" customFormat="1" x14ac:dyDescent="0.25">
      <c r="A485" s="107"/>
      <c r="B485" s="107"/>
      <c r="C485" s="108"/>
      <c r="D485" s="11"/>
      <c r="E485" s="11"/>
      <c r="F485" s="3"/>
      <c r="G485" s="3"/>
      <c r="H485" s="107"/>
      <c r="I485" s="108"/>
      <c r="J485" s="11"/>
      <c r="K485" s="11"/>
      <c r="L485" s="3"/>
      <c r="M485" s="3"/>
      <c r="N485" s="107"/>
      <c r="O485" s="108"/>
      <c r="P485" s="11"/>
      <c r="Q485" s="11"/>
      <c r="R485" s="3"/>
      <c r="S485" s="3"/>
      <c r="T485" s="107"/>
      <c r="U485" s="108"/>
      <c r="V485" s="11"/>
      <c r="W485" s="11"/>
      <c r="X485" s="3"/>
      <c r="Y485" s="108"/>
      <c r="Z485" s="3"/>
      <c r="AA485" s="107"/>
      <c r="AB485" s="108"/>
      <c r="AC485" s="11"/>
      <c r="AD485" s="11"/>
      <c r="AE485" s="3"/>
      <c r="AF485" s="3"/>
      <c r="AG485" s="107"/>
      <c r="AH485" s="108"/>
      <c r="AI485" s="11"/>
      <c r="AJ485" s="11"/>
      <c r="AK485" s="3"/>
      <c r="AL485" s="3"/>
      <c r="AM485" s="107"/>
      <c r="AN485" s="108"/>
      <c r="AO485" s="11"/>
      <c r="AP485" s="11"/>
      <c r="AQ485" s="3"/>
      <c r="AR485" s="3"/>
      <c r="AS485" s="3"/>
      <c r="AT485" s="107"/>
      <c r="AU485" s="108"/>
      <c r="AV485" s="11"/>
      <c r="AW485" s="11"/>
      <c r="AX485" s="3"/>
      <c r="AY485" s="3"/>
      <c r="AZ485" s="3"/>
      <c r="BA485" s="107"/>
      <c r="BB485" s="108"/>
      <c r="BC485" s="11"/>
      <c r="BD485" s="11"/>
      <c r="BE485" s="3"/>
      <c r="BF485" s="3"/>
      <c r="BG485" s="3"/>
      <c r="BH485" s="3"/>
      <c r="BI485" s="107"/>
      <c r="BJ485" s="108"/>
      <c r="BK485" s="11"/>
      <c r="BL485" s="11"/>
      <c r="BM485" s="11"/>
      <c r="BN485" s="3"/>
      <c r="BO485" s="3"/>
      <c r="BP485" s="3"/>
      <c r="BQ485" s="107"/>
      <c r="BR485" s="108"/>
      <c r="BS485" s="11"/>
      <c r="BT485" s="11"/>
      <c r="BU485" s="11"/>
      <c r="BV485" s="3"/>
      <c r="BW485" s="3"/>
      <c r="BX485" s="107"/>
      <c r="BY485" s="108"/>
      <c r="BZ485" s="11"/>
      <c r="CA485" s="11"/>
      <c r="CB485" s="3"/>
      <c r="CC485" s="3"/>
      <c r="CD485" s="3"/>
      <c r="CE485" s="107"/>
      <c r="CF485" s="108"/>
      <c r="CG485" s="11"/>
      <c r="CH485" s="11"/>
      <c r="CI485" s="3"/>
      <c r="CJ485" s="3"/>
      <c r="CK485" s="3"/>
      <c r="CL485" s="3"/>
      <c r="CM485" s="270"/>
      <c r="CN485" s="270"/>
      <c r="CO485" s="270"/>
    </row>
    <row r="486" spans="1:93" s="268" customFormat="1" x14ac:dyDescent="0.25">
      <c r="A486" s="107"/>
      <c r="B486" s="107"/>
      <c r="C486" s="108"/>
      <c r="D486" s="11"/>
      <c r="E486" s="11"/>
      <c r="F486" s="3"/>
      <c r="G486" s="3"/>
      <c r="H486" s="107"/>
      <c r="I486" s="108"/>
      <c r="J486" s="11"/>
      <c r="K486" s="11"/>
      <c r="L486" s="3"/>
      <c r="M486" s="3"/>
      <c r="N486" s="107"/>
      <c r="O486" s="108"/>
      <c r="P486" s="11"/>
      <c r="Q486" s="11"/>
      <c r="R486" s="3"/>
      <c r="S486" s="3"/>
      <c r="T486" s="107"/>
      <c r="U486" s="108"/>
      <c r="V486" s="11"/>
      <c r="W486" s="11"/>
      <c r="X486" s="3"/>
      <c r="Y486" s="108"/>
      <c r="Z486" s="3"/>
      <c r="AA486" s="107"/>
      <c r="AB486" s="108"/>
      <c r="AC486" s="11"/>
      <c r="AD486" s="11"/>
      <c r="AE486" s="3"/>
      <c r="AF486" s="3"/>
      <c r="AG486" s="107"/>
      <c r="AH486" s="108"/>
      <c r="AI486" s="11"/>
      <c r="AJ486" s="11"/>
      <c r="AK486" s="3"/>
      <c r="AL486" s="3"/>
      <c r="AM486" s="107"/>
      <c r="AN486" s="108"/>
      <c r="AO486" s="11"/>
      <c r="AP486" s="11"/>
      <c r="AQ486" s="3"/>
      <c r="AR486" s="3"/>
      <c r="AS486" s="3"/>
      <c r="AT486" s="107"/>
      <c r="AU486" s="108"/>
      <c r="AV486" s="11"/>
      <c r="AW486" s="11"/>
      <c r="AX486" s="3"/>
      <c r="AY486" s="3"/>
      <c r="AZ486" s="3"/>
      <c r="BA486" s="107"/>
      <c r="BB486" s="108"/>
      <c r="BC486" s="11"/>
      <c r="BD486" s="11"/>
      <c r="BE486" s="3"/>
      <c r="BF486" s="3"/>
      <c r="BG486" s="3"/>
      <c r="BH486" s="3"/>
      <c r="BI486" s="107"/>
      <c r="BJ486" s="108"/>
      <c r="BK486" s="11"/>
      <c r="BL486" s="11"/>
      <c r="BM486" s="11"/>
      <c r="BN486" s="3"/>
      <c r="BO486" s="3"/>
      <c r="BP486" s="3"/>
      <c r="BQ486" s="107"/>
      <c r="BR486" s="108"/>
      <c r="BS486" s="11"/>
      <c r="BT486" s="11"/>
      <c r="BU486" s="11"/>
      <c r="BV486" s="3"/>
      <c r="BW486" s="3"/>
      <c r="BX486" s="107"/>
      <c r="BY486" s="108"/>
      <c r="BZ486" s="11"/>
      <c r="CA486" s="11"/>
      <c r="CB486" s="3"/>
      <c r="CC486" s="3"/>
      <c r="CD486" s="3"/>
      <c r="CE486" s="107"/>
      <c r="CF486" s="108"/>
      <c r="CG486" s="11"/>
      <c r="CH486" s="11"/>
      <c r="CI486" s="3"/>
      <c r="CJ486" s="3"/>
      <c r="CK486" s="3"/>
      <c r="CL486" s="3"/>
      <c r="CM486" s="270"/>
      <c r="CN486" s="270"/>
      <c r="CO486" s="270"/>
    </row>
    <row r="487" spans="1:93" s="268" customFormat="1" x14ac:dyDescent="0.25">
      <c r="A487" s="107"/>
      <c r="B487" s="107"/>
      <c r="C487" s="108"/>
      <c r="D487" s="11"/>
      <c r="E487" s="11"/>
      <c r="F487" s="3"/>
      <c r="G487" s="3"/>
      <c r="H487" s="107"/>
      <c r="I487" s="108"/>
      <c r="J487" s="11"/>
      <c r="K487" s="11"/>
      <c r="L487" s="3"/>
      <c r="M487" s="3"/>
      <c r="N487" s="107"/>
      <c r="O487" s="108"/>
      <c r="P487" s="11"/>
      <c r="Q487" s="11"/>
      <c r="R487" s="3"/>
      <c r="S487" s="3"/>
      <c r="T487" s="107"/>
      <c r="U487" s="108"/>
      <c r="V487" s="11"/>
      <c r="W487" s="11"/>
      <c r="X487" s="3"/>
      <c r="Y487" s="108"/>
      <c r="Z487" s="3"/>
      <c r="AA487" s="107"/>
      <c r="AB487" s="108"/>
      <c r="AC487" s="11"/>
      <c r="AD487" s="11"/>
      <c r="AE487" s="3"/>
      <c r="AF487" s="3"/>
      <c r="AG487" s="107"/>
      <c r="AH487" s="108"/>
      <c r="AI487" s="11"/>
      <c r="AJ487" s="11"/>
      <c r="AK487" s="3"/>
      <c r="AL487" s="3"/>
      <c r="AM487" s="107"/>
      <c r="AN487" s="108"/>
      <c r="AO487" s="11"/>
      <c r="AP487" s="11"/>
      <c r="AQ487" s="3"/>
      <c r="AR487" s="3"/>
      <c r="AS487" s="3"/>
      <c r="AT487" s="107"/>
      <c r="AU487" s="108"/>
      <c r="AV487" s="11"/>
      <c r="AW487" s="11"/>
      <c r="AX487" s="3"/>
      <c r="AY487" s="3"/>
      <c r="AZ487" s="3"/>
      <c r="BA487" s="107"/>
      <c r="BB487" s="108"/>
      <c r="BC487" s="11"/>
      <c r="BD487" s="11"/>
      <c r="BE487" s="3"/>
      <c r="BF487" s="3"/>
      <c r="BG487" s="3"/>
      <c r="BH487" s="3"/>
      <c r="BI487" s="107"/>
      <c r="BJ487" s="108"/>
      <c r="BK487" s="11"/>
      <c r="BL487" s="11"/>
      <c r="BM487" s="11"/>
      <c r="BN487" s="3"/>
      <c r="BO487" s="3"/>
      <c r="BP487" s="3"/>
      <c r="BQ487" s="107"/>
      <c r="BR487" s="108"/>
      <c r="BS487" s="11"/>
      <c r="BT487" s="11"/>
      <c r="BU487" s="11"/>
      <c r="BV487" s="3"/>
      <c r="BW487" s="3"/>
      <c r="BX487" s="107"/>
      <c r="BY487" s="108"/>
      <c r="BZ487" s="11"/>
      <c r="CA487" s="11"/>
      <c r="CB487" s="3"/>
      <c r="CC487" s="3"/>
      <c r="CD487" s="3"/>
      <c r="CE487" s="107"/>
      <c r="CF487" s="108"/>
      <c r="CG487" s="11"/>
      <c r="CH487" s="11"/>
      <c r="CI487" s="3"/>
      <c r="CJ487" s="3"/>
      <c r="CK487" s="3"/>
      <c r="CL487" s="3"/>
      <c r="CM487" s="270"/>
      <c r="CN487" s="270"/>
      <c r="CO487" s="270"/>
    </row>
    <row r="488" spans="1:93" s="268" customFormat="1" x14ac:dyDescent="0.25">
      <c r="A488" s="107"/>
      <c r="B488" s="107"/>
      <c r="C488" s="108"/>
      <c r="D488" s="11"/>
      <c r="E488" s="11"/>
      <c r="F488" s="3"/>
      <c r="G488" s="3"/>
      <c r="H488" s="107"/>
      <c r="I488" s="108"/>
      <c r="J488" s="11"/>
      <c r="K488" s="11"/>
      <c r="L488" s="3"/>
      <c r="M488" s="3"/>
      <c r="N488" s="107"/>
      <c r="O488" s="108"/>
      <c r="P488" s="11"/>
      <c r="Q488" s="11"/>
      <c r="R488" s="3"/>
      <c r="S488" s="3"/>
      <c r="T488" s="107"/>
      <c r="U488" s="108"/>
      <c r="V488" s="11"/>
      <c r="W488" s="11"/>
      <c r="X488" s="3"/>
      <c r="Y488" s="108"/>
      <c r="Z488" s="3"/>
      <c r="AA488" s="107"/>
      <c r="AB488" s="108"/>
      <c r="AC488" s="11"/>
      <c r="AD488" s="11"/>
      <c r="AE488" s="3"/>
      <c r="AF488" s="3"/>
      <c r="AG488" s="107"/>
      <c r="AH488" s="108"/>
      <c r="AI488" s="11"/>
      <c r="AJ488" s="11"/>
      <c r="AK488" s="3"/>
      <c r="AL488" s="3"/>
      <c r="AM488" s="107"/>
      <c r="AN488" s="108"/>
      <c r="AO488" s="11"/>
      <c r="AP488" s="11"/>
      <c r="AQ488" s="3"/>
      <c r="AR488" s="3"/>
      <c r="AS488" s="3"/>
      <c r="AT488" s="107"/>
      <c r="AU488" s="108"/>
      <c r="AV488" s="11"/>
      <c r="AW488" s="11"/>
      <c r="AX488" s="3"/>
      <c r="AY488" s="3"/>
      <c r="AZ488" s="3"/>
      <c r="BA488" s="107"/>
      <c r="BB488" s="108"/>
      <c r="BC488" s="11"/>
      <c r="BD488" s="11"/>
      <c r="BE488" s="3"/>
      <c r="BF488" s="3"/>
      <c r="BG488" s="3"/>
      <c r="BH488" s="3"/>
      <c r="BI488" s="107"/>
      <c r="BJ488" s="108"/>
      <c r="BK488" s="11"/>
      <c r="BL488" s="11"/>
      <c r="BM488" s="11"/>
      <c r="BN488" s="3"/>
      <c r="BO488" s="3"/>
      <c r="BP488" s="3"/>
      <c r="BQ488" s="107"/>
      <c r="BR488" s="108"/>
      <c r="BS488" s="11"/>
      <c r="BT488" s="11"/>
      <c r="BU488" s="11"/>
      <c r="BV488" s="3"/>
      <c r="BW488" s="3"/>
      <c r="BX488" s="107"/>
      <c r="BY488" s="108"/>
      <c r="BZ488" s="11"/>
      <c r="CA488" s="11"/>
      <c r="CB488" s="3"/>
      <c r="CC488" s="3"/>
      <c r="CD488" s="3"/>
      <c r="CE488" s="107"/>
      <c r="CF488" s="108"/>
      <c r="CG488" s="11"/>
      <c r="CH488" s="11"/>
      <c r="CI488" s="3"/>
      <c r="CJ488" s="3"/>
      <c r="CK488" s="3"/>
      <c r="CL488" s="3"/>
      <c r="CM488" s="270"/>
      <c r="CN488" s="270"/>
      <c r="CO488" s="270"/>
    </row>
    <row r="489" spans="1:93" s="268" customFormat="1" x14ac:dyDescent="0.25">
      <c r="A489" s="107"/>
      <c r="B489" s="107"/>
      <c r="C489" s="108"/>
      <c r="D489" s="11"/>
      <c r="E489" s="11"/>
      <c r="F489" s="3"/>
      <c r="G489" s="3"/>
      <c r="H489" s="107"/>
      <c r="I489" s="108"/>
      <c r="J489" s="11"/>
      <c r="K489" s="11"/>
      <c r="L489" s="3"/>
      <c r="M489" s="3"/>
      <c r="N489" s="107"/>
      <c r="O489" s="108"/>
      <c r="P489" s="11"/>
      <c r="Q489" s="11"/>
      <c r="R489" s="3"/>
      <c r="S489" s="3"/>
      <c r="T489" s="107"/>
      <c r="U489" s="108"/>
      <c r="V489" s="11"/>
      <c r="W489" s="11"/>
      <c r="X489" s="3"/>
      <c r="Y489" s="108"/>
      <c r="Z489" s="3"/>
      <c r="AA489" s="107"/>
      <c r="AB489" s="108"/>
      <c r="AC489" s="11"/>
      <c r="AD489" s="11"/>
      <c r="AE489" s="3"/>
      <c r="AF489" s="3"/>
      <c r="AG489" s="107"/>
      <c r="AH489" s="108"/>
      <c r="AI489" s="11"/>
      <c r="AJ489" s="11"/>
      <c r="AK489" s="3"/>
      <c r="AL489" s="3"/>
      <c r="AM489" s="107"/>
      <c r="AN489" s="108"/>
      <c r="AO489" s="11"/>
      <c r="AP489" s="11"/>
      <c r="AQ489" s="3"/>
      <c r="AR489" s="3"/>
      <c r="AS489" s="3"/>
      <c r="AT489" s="107"/>
      <c r="AU489" s="108"/>
      <c r="AV489" s="11"/>
      <c r="AW489" s="11"/>
      <c r="AX489" s="3"/>
      <c r="AY489" s="3"/>
      <c r="AZ489" s="3"/>
      <c r="BA489" s="107"/>
      <c r="BB489" s="108"/>
      <c r="BC489" s="11"/>
      <c r="BD489" s="11"/>
      <c r="BE489" s="3"/>
      <c r="BF489" s="3"/>
      <c r="BG489" s="3"/>
      <c r="BH489" s="3"/>
      <c r="BI489" s="107"/>
      <c r="BJ489" s="108"/>
      <c r="BK489" s="11"/>
      <c r="BL489" s="11"/>
      <c r="BM489" s="11"/>
      <c r="BN489" s="3"/>
      <c r="BO489" s="3"/>
      <c r="BP489" s="3"/>
      <c r="BQ489" s="107"/>
      <c r="BR489" s="108"/>
      <c r="BS489" s="11"/>
      <c r="BT489" s="11"/>
      <c r="BU489" s="11"/>
      <c r="BV489" s="3"/>
      <c r="BW489" s="3"/>
      <c r="BX489" s="107"/>
      <c r="BY489" s="108"/>
      <c r="BZ489" s="11"/>
      <c r="CA489" s="11"/>
      <c r="CB489" s="3"/>
      <c r="CC489" s="3"/>
      <c r="CD489" s="3"/>
      <c r="CE489" s="107"/>
      <c r="CF489" s="108"/>
      <c r="CG489" s="11"/>
      <c r="CH489" s="11"/>
      <c r="CI489" s="3"/>
      <c r="CJ489" s="3"/>
      <c r="CK489" s="3"/>
      <c r="CL489" s="3"/>
      <c r="CM489" s="270"/>
      <c r="CN489" s="270"/>
      <c r="CO489" s="270"/>
    </row>
    <row r="490" spans="1:93" s="268" customFormat="1" x14ac:dyDescent="0.25">
      <c r="A490" s="107"/>
      <c r="B490" s="107"/>
      <c r="C490" s="108"/>
      <c r="D490" s="11"/>
      <c r="E490" s="11"/>
      <c r="F490" s="3"/>
      <c r="G490" s="3"/>
      <c r="H490" s="107"/>
      <c r="I490" s="108"/>
      <c r="J490" s="11"/>
      <c r="K490" s="11"/>
      <c r="L490" s="3"/>
      <c r="M490" s="3"/>
      <c r="N490" s="107"/>
      <c r="O490" s="108"/>
      <c r="P490" s="11"/>
      <c r="Q490" s="11"/>
      <c r="R490" s="3"/>
      <c r="S490" s="3"/>
      <c r="T490" s="107"/>
      <c r="U490" s="108"/>
      <c r="V490" s="11"/>
      <c r="W490" s="11"/>
      <c r="X490" s="3"/>
      <c r="Y490" s="108"/>
      <c r="Z490" s="3"/>
      <c r="AA490" s="107"/>
      <c r="AB490" s="108"/>
      <c r="AC490" s="11"/>
      <c r="AD490" s="11"/>
      <c r="AE490" s="3"/>
      <c r="AF490" s="3"/>
      <c r="AG490" s="107"/>
      <c r="AH490" s="108"/>
      <c r="AI490" s="11"/>
      <c r="AJ490" s="11"/>
      <c r="AK490" s="3"/>
      <c r="AL490" s="3"/>
      <c r="AM490" s="107"/>
      <c r="AN490" s="108"/>
      <c r="AO490" s="11"/>
      <c r="AP490" s="11"/>
      <c r="AQ490" s="3"/>
      <c r="AR490" s="3"/>
      <c r="AS490" s="3"/>
      <c r="AT490" s="107"/>
      <c r="AU490" s="108"/>
      <c r="AV490" s="11"/>
      <c r="AW490" s="11"/>
      <c r="AX490" s="3"/>
      <c r="AY490" s="3"/>
      <c r="AZ490" s="3"/>
      <c r="BA490" s="107"/>
      <c r="BB490" s="108"/>
      <c r="BC490" s="11"/>
      <c r="BD490" s="11"/>
      <c r="BE490" s="3"/>
      <c r="BF490" s="3"/>
      <c r="BG490" s="3"/>
      <c r="BH490" s="3"/>
      <c r="BI490" s="107"/>
      <c r="BJ490" s="108"/>
      <c r="BK490" s="11"/>
      <c r="BL490" s="11"/>
      <c r="BM490" s="11"/>
      <c r="BN490" s="3"/>
      <c r="BO490" s="3"/>
      <c r="BP490" s="3"/>
      <c r="BQ490" s="107"/>
      <c r="BR490" s="108"/>
      <c r="BS490" s="11"/>
      <c r="BT490" s="11"/>
      <c r="BU490" s="11"/>
      <c r="BV490" s="3"/>
      <c r="BW490" s="3"/>
      <c r="BX490" s="107"/>
      <c r="BY490" s="108"/>
      <c r="BZ490" s="11"/>
      <c r="CA490" s="11"/>
      <c r="CB490" s="3"/>
      <c r="CC490" s="3"/>
      <c r="CD490" s="3"/>
      <c r="CE490" s="107"/>
      <c r="CF490" s="108"/>
      <c r="CG490" s="11"/>
      <c r="CH490" s="11"/>
      <c r="CI490" s="3"/>
      <c r="CJ490" s="3"/>
      <c r="CK490" s="3"/>
      <c r="CL490" s="3"/>
      <c r="CM490" s="270"/>
      <c r="CN490" s="270"/>
      <c r="CO490" s="270"/>
    </row>
    <row r="491" spans="1:93" s="268" customFormat="1" x14ac:dyDescent="0.25">
      <c r="A491" s="107"/>
      <c r="B491" s="107"/>
      <c r="C491" s="108"/>
      <c r="D491" s="11"/>
      <c r="E491" s="11"/>
      <c r="F491" s="3"/>
      <c r="G491" s="3"/>
      <c r="H491" s="107"/>
      <c r="I491" s="108"/>
      <c r="J491" s="11"/>
      <c r="K491" s="11"/>
      <c r="L491" s="3"/>
      <c r="M491" s="3"/>
      <c r="N491" s="107"/>
      <c r="O491" s="108"/>
      <c r="P491" s="11"/>
      <c r="Q491" s="11"/>
      <c r="R491" s="3"/>
      <c r="S491" s="3"/>
      <c r="T491" s="107"/>
      <c r="U491" s="108"/>
      <c r="V491" s="11"/>
      <c r="W491" s="11"/>
      <c r="X491" s="3"/>
      <c r="Y491" s="108"/>
      <c r="Z491" s="3"/>
      <c r="AA491" s="107"/>
      <c r="AB491" s="108"/>
      <c r="AC491" s="11"/>
      <c r="AD491" s="11"/>
      <c r="AE491" s="3"/>
      <c r="AF491" s="3"/>
      <c r="AG491" s="107"/>
      <c r="AH491" s="108"/>
      <c r="AI491" s="11"/>
      <c r="AJ491" s="11"/>
      <c r="AK491" s="3"/>
      <c r="AL491" s="3"/>
      <c r="AM491" s="107"/>
      <c r="AN491" s="108"/>
      <c r="AO491" s="11"/>
      <c r="AP491" s="11"/>
      <c r="AQ491" s="3"/>
      <c r="AR491" s="3"/>
      <c r="AS491" s="3"/>
      <c r="AT491" s="107"/>
      <c r="AU491" s="108"/>
      <c r="AV491" s="11"/>
      <c r="AW491" s="11"/>
      <c r="AX491" s="3"/>
      <c r="AY491" s="3"/>
      <c r="AZ491" s="3"/>
      <c r="BA491" s="107"/>
      <c r="BB491" s="108"/>
      <c r="BC491" s="11"/>
      <c r="BD491" s="11"/>
      <c r="BE491" s="3"/>
      <c r="BF491" s="3"/>
      <c r="BG491" s="3"/>
      <c r="BH491" s="3"/>
      <c r="BI491" s="107"/>
      <c r="BJ491" s="108"/>
      <c r="BK491" s="11"/>
      <c r="BL491" s="11"/>
      <c r="BM491" s="11"/>
      <c r="BN491" s="3"/>
      <c r="BO491" s="3"/>
      <c r="BP491" s="3"/>
      <c r="BQ491" s="107"/>
      <c r="BR491" s="108"/>
      <c r="BS491" s="11"/>
      <c r="BT491" s="11"/>
      <c r="BU491" s="11"/>
      <c r="BV491" s="3"/>
      <c r="BW491" s="3"/>
      <c r="BX491" s="107"/>
      <c r="BY491" s="108"/>
      <c r="BZ491" s="11"/>
      <c r="CA491" s="11"/>
      <c r="CB491" s="3"/>
      <c r="CC491" s="3"/>
      <c r="CD491" s="3"/>
      <c r="CE491" s="107"/>
      <c r="CF491" s="108"/>
      <c r="CG491" s="11"/>
      <c r="CH491" s="11"/>
      <c r="CI491" s="3"/>
      <c r="CJ491" s="3"/>
      <c r="CK491" s="3"/>
      <c r="CL491" s="3"/>
      <c r="CM491" s="270"/>
      <c r="CN491" s="270"/>
      <c r="CO491" s="270"/>
    </row>
    <row r="492" spans="1:93" s="268" customFormat="1" x14ac:dyDescent="0.25">
      <c r="A492" s="107"/>
      <c r="B492" s="107"/>
      <c r="C492" s="108"/>
      <c r="D492" s="11"/>
      <c r="E492" s="11"/>
      <c r="F492" s="3"/>
      <c r="G492" s="3"/>
      <c r="H492" s="107"/>
      <c r="I492" s="108"/>
      <c r="J492" s="11"/>
      <c r="K492" s="11"/>
      <c r="L492" s="3"/>
      <c r="M492" s="3"/>
      <c r="N492" s="107"/>
      <c r="O492" s="108"/>
      <c r="P492" s="11"/>
      <c r="Q492" s="11"/>
      <c r="R492" s="3"/>
      <c r="S492" s="3"/>
      <c r="T492" s="107"/>
      <c r="U492" s="108"/>
      <c r="V492" s="11"/>
      <c r="W492" s="11"/>
      <c r="X492" s="3"/>
      <c r="Y492" s="108"/>
      <c r="Z492" s="3"/>
      <c r="AA492" s="107"/>
      <c r="AB492" s="108"/>
      <c r="AC492" s="11"/>
      <c r="AD492" s="11"/>
      <c r="AE492" s="3"/>
      <c r="AF492" s="3"/>
      <c r="AG492" s="107"/>
      <c r="AH492" s="108"/>
      <c r="AI492" s="11"/>
      <c r="AJ492" s="11"/>
      <c r="AK492" s="3"/>
      <c r="AL492" s="3"/>
      <c r="AM492" s="107"/>
      <c r="AN492" s="108"/>
      <c r="AO492" s="11"/>
      <c r="AP492" s="11"/>
      <c r="AQ492" s="3"/>
      <c r="AR492" s="3"/>
      <c r="AS492" s="3"/>
      <c r="AT492" s="107"/>
      <c r="AU492" s="108"/>
      <c r="AV492" s="11"/>
      <c r="AW492" s="11"/>
      <c r="AX492" s="3"/>
      <c r="AY492" s="3"/>
      <c r="AZ492" s="3"/>
      <c r="BA492" s="107"/>
      <c r="BB492" s="108"/>
      <c r="BC492" s="11"/>
      <c r="BD492" s="11"/>
      <c r="BE492" s="3"/>
      <c r="BF492" s="3"/>
      <c r="BG492" s="3"/>
      <c r="BH492" s="3"/>
      <c r="BI492" s="107"/>
      <c r="BJ492" s="108"/>
      <c r="BK492" s="11"/>
      <c r="BL492" s="11"/>
      <c r="BM492" s="11"/>
      <c r="BN492" s="3"/>
      <c r="BO492" s="3"/>
      <c r="BP492" s="3"/>
      <c r="BQ492" s="107"/>
      <c r="BR492" s="108"/>
      <c r="BS492" s="11"/>
      <c r="BT492" s="11"/>
      <c r="BU492" s="11"/>
      <c r="BV492" s="3"/>
      <c r="BW492" s="3"/>
      <c r="BX492" s="107"/>
      <c r="BY492" s="108"/>
      <c r="BZ492" s="11"/>
      <c r="CA492" s="11"/>
      <c r="CB492" s="3"/>
      <c r="CC492" s="3"/>
      <c r="CD492" s="3"/>
      <c r="CE492" s="107"/>
      <c r="CF492" s="108"/>
      <c r="CG492" s="11"/>
      <c r="CH492" s="11"/>
      <c r="CI492" s="3"/>
      <c r="CJ492" s="3"/>
      <c r="CK492" s="3"/>
      <c r="CL492" s="3"/>
      <c r="CM492" s="270"/>
      <c r="CN492" s="270"/>
      <c r="CO492" s="270"/>
    </row>
    <row r="493" spans="1:93" s="268" customFormat="1" x14ac:dyDescent="0.25">
      <c r="A493" s="107"/>
      <c r="B493" s="107"/>
      <c r="C493" s="108"/>
      <c r="D493" s="11"/>
      <c r="E493" s="11"/>
      <c r="F493" s="3"/>
      <c r="G493" s="3"/>
      <c r="H493" s="107"/>
      <c r="I493" s="108"/>
      <c r="J493" s="11"/>
      <c r="K493" s="11"/>
      <c r="L493" s="3"/>
      <c r="M493" s="3"/>
      <c r="N493" s="107"/>
      <c r="O493" s="108"/>
      <c r="P493" s="11"/>
      <c r="Q493" s="11"/>
      <c r="R493" s="3"/>
      <c r="S493" s="3"/>
      <c r="T493" s="107"/>
      <c r="U493" s="108"/>
      <c r="V493" s="11"/>
      <c r="W493" s="11"/>
      <c r="X493" s="3"/>
      <c r="Y493" s="108"/>
      <c r="Z493" s="3"/>
      <c r="AA493" s="107"/>
      <c r="AB493" s="108"/>
      <c r="AC493" s="11"/>
      <c r="AD493" s="11"/>
      <c r="AE493" s="3"/>
      <c r="AF493" s="3"/>
      <c r="AG493" s="107"/>
      <c r="AH493" s="108"/>
      <c r="AI493" s="11"/>
      <c r="AJ493" s="11"/>
      <c r="AK493" s="3"/>
      <c r="AL493" s="3"/>
      <c r="AM493" s="107"/>
      <c r="AN493" s="108"/>
      <c r="AO493" s="11"/>
      <c r="AP493" s="11"/>
      <c r="AQ493" s="3"/>
      <c r="AR493" s="3"/>
      <c r="AS493" s="3"/>
      <c r="AT493" s="107"/>
      <c r="AU493" s="108"/>
      <c r="AV493" s="11"/>
      <c r="AW493" s="11"/>
      <c r="AX493" s="3"/>
      <c r="AY493" s="3"/>
      <c r="AZ493" s="3"/>
      <c r="BA493" s="107"/>
      <c r="BB493" s="108"/>
      <c r="BC493" s="11"/>
      <c r="BD493" s="11"/>
      <c r="BE493" s="3"/>
      <c r="BF493" s="3"/>
      <c r="BG493" s="3"/>
      <c r="BH493" s="3"/>
      <c r="BI493" s="107"/>
      <c r="BJ493" s="108"/>
      <c r="BK493" s="11"/>
      <c r="BL493" s="11"/>
      <c r="BM493" s="11"/>
      <c r="BN493" s="3"/>
      <c r="BO493" s="3"/>
      <c r="BP493" s="3"/>
      <c r="BQ493" s="107"/>
      <c r="BR493" s="108"/>
      <c r="BS493" s="11"/>
      <c r="BT493" s="11"/>
      <c r="BU493" s="11"/>
      <c r="BV493" s="3"/>
      <c r="BW493" s="3"/>
      <c r="BX493" s="107"/>
      <c r="BY493" s="108"/>
      <c r="BZ493" s="11"/>
      <c r="CA493" s="11"/>
      <c r="CB493" s="3"/>
      <c r="CC493" s="3"/>
      <c r="CD493" s="3"/>
      <c r="CE493" s="107"/>
      <c r="CF493" s="108"/>
      <c r="CG493" s="11"/>
      <c r="CH493" s="11"/>
      <c r="CI493" s="3"/>
      <c r="CJ493" s="3"/>
      <c r="CK493" s="3"/>
      <c r="CL493" s="3"/>
      <c r="CM493" s="270"/>
      <c r="CN493" s="270"/>
      <c r="CO493" s="270"/>
    </row>
    <row r="494" spans="1:93" s="268" customFormat="1" x14ac:dyDescent="0.25">
      <c r="A494" s="107"/>
      <c r="B494" s="107"/>
      <c r="C494" s="108"/>
      <c r="D494" s="11"/>
      <c r="E494" s="11"/>
      <c r="F494" s="3"/>
      <c r="G494" s="3"/>
      <c r="H494" s="107"/>
      <c r="I494" s="108"/>
      <c r="J494" s="11"/>
      <c r="K494" s="11"/>
      <c r="L494" s="3"/>
      <c r="M494" s="3"/>
      <c r="N494" s="107"/>
      <c r="O494" s="108"/>
      <c r="P494" s="11"/>
      <c r="Q494" s="11"/>
      <c r="R494" s="3"/>
      <c r="S494" s="3"/>
      <c r="T494" s="107"/>
      <c r="U494" s="108"/>
      <c r="V494" s="11"/>
      <c r="W494" s="11"/>
      <c r="X494" s="3"/>
      <c r="Y494" s="108"/>
      <c r="Z494" s="3"/>
      <c r="AA494" s="107"/>
      <c r="AB494" s="108"/>
      <c r="AC494" s="11"/>
      <c r="AD494" s="11"/>
      <c r="AE494" s="3"/>
      <c r="AF494" s="3"/>
      <c r="AG494" s="107"/>
      <c r="AH494" s="108"/>
      <c r="AI494" s="11"/>
      <c r="AJ494" s="11"/>
      <c r="AK494" s="3"/>
      <c r="AL494" s="3"/>
      <c r="AM494" s="107"/>
      <c r="AN494" s="108"/>
      <c r="AO494" s="11"/>
      <c r="AP494" s="11"/>
      <c r="AQ494" s="3"/>
      <c r="AR494" s="3"/>
      <c r="AS494" s="3"/>
      <c r="AT494" s="107"/>
      <c r="AU494" s="108"/>
      <c r="AV494" s="11"/>
      <c r="AW494" s="11"/>
      <c r="AX494" s="3"/>
      <c r="AY494" s="3"/>
      <c r="AZ494" s="3"/>
      <c r="BA494" s="107"/>
      <c r="BB494" s="108"/>
      <c r="BC494" s="11"/>
      <c r="BD494" s="11"/>
      <c r="BE494" s="3"/>
      <c r="BF494" s="3"/>
      <c r="BG494" s="3"/>
      <c r="BH494" s="3"/>
      <c r="BI494" s="107"/>
      <c r="BJ494" s="108"/>
      <c r="BK494" s="11"/>
      <c r="BL494" s="11"/>
      <c r="BM494" s="11"/>
      <c r="BN494" s="3"/>
      <c r="BO494" s="3"/>
      <c r="BP494" s="3"/>
      <c r="BQ494" s="107"/>
      <c r="BR494" s="108"/>
      <c r="BS494" s="11"/>
      <c r="BT494" s="11"/>
      <c r="BU494" s="11"/>
      <c r="BV494" s="3"/>
      <c r="BW494" s="3"/>
      <c r="BX494" s="107"/>
      <c r="BY494" s="108"/>
      <c r="BZ494" s="11"/>
      <c r="CA494" s="11"/>
      <c r="CB494" s="3"/>
      <c r="CC494" s="3"/>
      <c r="CD494" s="3"/>
      <c r="CE494" s="107"/>
      <c r="CF494" s="108"/>
      <c r="CG494" s="11"/>
      <c r="CH494" s="11"/>
      <c r="CI494" s="3"/>
      <c r="CJ494" s="3"/>
      <c r="CK494" s="3"/>
      <c r="CL494" s="3"/>
      <c r="CM494" s="270"/>
      <c r="CN494" s="270"/>
      <c r="CO494" s="270"/>
    </row>
    <row r="495" spans="1:93" s="268" customFormat="1" x14ac:dyDescent="0.25">
      <c r="A495" s="107"/>
      <c r="B495" s="107"/>
      <c r="C495" s="108"/>
      <c r="D495" s="11"/>
      <c r="E495" s="11"/>
      <c r="F495" s="3"/>
      <c r="G495" s="3"/>
      <c r="H495" s="107"/>
      <c r="I495" s="108"/>
      <c r="J495" s="11"/>
      <c r="K495" s="11"/>
      <c r="L495" s="3"/>
      <c r="M495" s="3"/>
      <c r="N495" s="107"/>
      <c r="O495" s="108"/>
      <c r="P495" s="11"/>
      <c r="Q495" s="11"/>
      <c r="R495" s="3"/>
      <c r="S495" s="3"/>
      <c r="T495" s="107"/>
      <c r="U495" s="108"/>
      <c r="V495" s="11"/>
      <c r="W495" s="11"/>
      <c r="X495" s="3"/>
      <c r="Y495" s="108"/>
      <c r="Z495" s="3"/>
      <c r="AA495" s="107"/>
      <c r="AB495" s="108"/>
      <c r="AC495" s="11"/>
      <c r="AD495" s="11"/>
      <c r="AE495" s="3"/>
      <c r="AF495" s="3"/>
      <c r="AG495" s="107"/>
      <c r="AH495" s="108"/>
      <c r="AI495" s="11"/>
      <c r="AJ495" s="11"/>
      <c r="AK495" s="3"/>
      <c r="AL495" s="3"/>
      <c r="AM495" s="107"/>
      <c r="AN495" s="108"/>
      <c r="AO495" s="11"/>
      <c r="AP495" s="11"/>
      <c r="AQ495" s="3"/>
      <c r="AR495" s="3"/>
      <c r="AS495" s="3"/>
      <c r="AT495" s="107"/>
      <c r="AU495" s="108"/>
      <c r="AV495" s="11"/>
      <c r="AW495" s="11"/>
      <c r="AX495" s="3"/>
      <c r="AY495" s="3"/>
      <c r="AZ495" s="3"/>
      <c r="BA495" s="107"/>
      <c r="BB495" s="108"/>
      <c r="BC495" s="11"/>
      <c r="BD495" s="11"/>
      <c r="BE495" s="3"/>
      <c r="BF495" s="3"/>
      <c r="BG495" s="3"/>
      <c r="BH495" s="3"/>
      <c r="BI495" s="107"/>
      <c r="BJ495" s="108"/>
      <c r="BK495" s="11"/>
      <c r="BL495" s="11"/>
      <c r="BM495" s="11"/>
      <c r="BN495" s="3"/>
      <c r="BO495" s="3"/>
      <c r="BP495" s="3"/>
      <c r="BQ495" s="107"/>
      <c r="BR495" s="108"/>
      <c r="BS495" s="11"/>
      <c r="BT495" s="11"/>
      <c r="BU495" s="11"/>
      <c r="BV495" s="3"/>
      <c r="BW495" s="3"/>
      <c r="BX495" s="107"/>
      <c r="BY495" s="108"/>
      <c r="BZ495" s="11"/>
      <c r="CA495" s="11"/>
      <c r="CB495" s="3"/>
      <c r="CC495" s="3"/>
      <c r="CD495" s="3"/>
      <c r="CE495" s="107"/>
      <c r="CF495" s="108"/>
      <c r="CG495" s="11"/>
      <c r="CH495" s="11"/>
      <c r="CI495" s="3"/>
      <c r="CJ495" s="3"/>
      <c r="CK495" s="3"/>
      <c r="CL495" s="3"/>
      <c r="CM495" s="270"/>
      <c r="CN495" s="270"/>
      <c r="CO495" s="270"/>
    </row>
  </sheetData>
  <mergeCells count="116">
    <mergeCell ref="CE1:CL1"/>
    <mergeCell ref="CE2:CG2"/>
    <mergeCell ref="CH2:CI2"/>
    <mergeCell ref="CL2:CL4"/>
    <mergeCell ref="CE3:CE4"/>
    <mergeCell ref="CF3:CF4"/>
    <mergeCell ref="CG3:CG4"/>
    <mergeCell ref="CH3:CI3"/>
    <mergeCell ref="CJ2:CK2"/>
    <mergeCell ref="CJ3:CJ4"/>
    <mergeCell ref="CK3:CK4"/>
    <mergeCell ref="BX2:BZ2"/>
    <mergeCell ref="CA2:CB2"/>
    <mergeCell ref="CD2:CD4"/>
    <mergeCell ref="BX3:BX4"/>
    <mergeCell ref="BY3:BY4"/>
    <mergeCell ref="BZ3:BZ4"/>
    <mergeCell ref="CA3:CB3"/>
    <mergeCell ref="BX1:CD1"/>
    <mergeCell ref="CC2:CC4"/>
    <mergeCell ref="BQ1:BW1"/>
    <mergeCell ref="BQ2:BS2"/>
    <mergeCell ref="BT2:BV2"/>
    <mergeCell ref="BW2:BW4"/>
    <mergeCell ref="BQ3:BQ4"/>
    <mergeCell ref="BR3:BR4"/>
    <mergeCell ref="BS3:BS4"/>
    <mergeCell ref="BT3:BT4"/>
    <mergeCell ref="BU3:BV3"/>
    <mergeCell ref="BI1:BP1"/>
    <mergeCell ref="BI2:BK2"/>
    <mergeCell ref="BP2:BP4"/>
    <mergeCell ref="BI3:BI4"/>
    <mergeCell ref="BJ3:BJ4"/>
    <mergeCell ref="BK3:BK4"/>
    <mergeCell ref="BM3:BN3"/>
    <mergeCell ref="BL2:BN2"/>
    <mergeCell ref="BL3:BL4"/>
    <mergeCell ref="BO2:BO4"/>
    <mergeCell ref="BA1:BH1"/>
    <mergeCell ref="BA2:BC2"/>
    <mergeCell ref="BD2:BE2"/>
    <mergeCell ref="BH2:BH4"/>
    <mergeCell ref="BA3:BA4"/>
    <mergeCell ref="BB3:BB4"/>
    <mergeCell ref="BC3:BC4"/>
    <mergeCell ref="BD3:BE3"/>
    <mergeCell ref="BF2:BF4"/>
    <mergeCell ref="BG2:BG4"/>
    <mergeCell ref="AT1:AZ1"/>
    <mergeCell ref="AT2:AV2"/>
    <mergeCell ref="AW2:AX2"/>
    <mergeCell ref="AZ2:AZ4"/>
    <mergeCell ref="AT3:AT4"/>
    <mergeCell ref="AU3:AU4"/>
    <mergeCell ref="AV3:AV4"/>
    <mergeCell ref="AW3:AX3"/>
    <mergeCell ref="AM1:AS1"/>
    <mergeCell ref="AM2:AO2"/>
    <mergeCell ref="AP2:AQ2"/>
    <mergeCell ref="AS2:AS4"/>
    <mergeCell ref="AM3:AM4"/>
    <mergeCell ref="AN3:AN4"/>
    <mergeCell ref="AO3:AO4"/>
    <mergeCell ref="AP3:AQ3"/>
    <mergeCell ref="AR2:AR4"/>
    <mergeCell ref="AY2:AY4"/>
    <mergeCell ref="B3:B4"/>
    <mergeCell ref="C3:C4"/>
    <mergeCell ref="D3:D4"/>
    <mergeCell ref="G2:G4"/>
    <mergeCell ref="B1:G1"/>
    <mergeCell ref="H1:M1"/>
    <mergeCell ref="H2:J2"/>
    <mergeCell ref="M2:M4"/>
    <mergeCell ref="J3:J4"/>
    <mergeCell ref="E2:F2"/>
    <mergeCell ref="E3:F3"/>
    <mergeCell ref="K3:L3"/>
    <mergeCell ref="K2:L2"/>
    <mergeCell ref="B2:D2"/>
    <mergeCell ref="H3:H4"/>
    <mergeCell ref="I3:I4"/>
    <mergeCell ref="N1:S1"/>
    <mergeCell ref="N2:P2"/>
    <mergeCell ref="S2:S4"/>
    <mergeCell ref="N3:N4"/>
    <mergeCell ref="O3:O4"/>
    <mergeCell ref="P3:P4"/>
    <mergeCell ref="Q2:R2"/>
    <mergeCell ref="Q3:R3"/>
    <mergeCell ref="V3:V4"/>
    <mergeCell ref="T1:Z1"/>
    <mergeCell ref="T2:V2"/>
    <mergeCell ref="Z2:Z4"/>
    <mergeCell ref="T3:T4"/>
    <mergeCell ref="U3:U4"/>
    <mergeCell ref="Y2:Y4"/>
    <mergeCell ref="AG1:AL1"/>
    <mergeCell ref="AG2:AI2"/>
    <mergeCell ref="AJ2:AK2"/>
    <mergeCell ref="AL2:AL4"/>
    <mergeCell ref="AG3:AG4"/>
    <mergeCell ref="AH3:AH4"/>
    <mergeCell ref="AI3:AI4"/>
    <mergeCell ref="AJ3:AK3"/>
    <mergeCell ref="W2:X2"/>
    <mergeCell ref="W3:X3"/>
    <mergeCell ref="AA1:AF1"/>
    <mergeCell ref="AA2:AC2"/>
    <mergeCell ref="AD2:AE2"/>
    <mergeCell ref="AF2:AF4"/>
    <mergeCell ref="AA3:AA4"/>
    <mergeCell ref="AB3:AB4"/>
    <mergeCell ref="AC3:AC4"/>
    <mergeCell ref="AD3:AE3"/>
  </mergeCells>
  <pageMargins left="0.7" right="0.7" top="0.75" bottom="0.75" header="0.3" footer="0.3"/>
  <pageSetup orientation="portrait" r:id="rId1"/>
  <ignoredErrors>
    <ignoredError sqref="CO60 CO73 CO86 CO99 CO116 CO6 CO1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8046-0683-4F66-9179-A3C5326EF0FD}">
  <dimension ref="A1:BJ368"/>
  <sheetViews>
    <sheetView topLeftCell="BH1" zoomScale="70" zoomScaleNormal="70" workbookViewId="0">
      <pane ySplit="3" topLeftCell="A4" activePane="bottomLeft" state="frozen"/>
      <selection activeCell="T1" sqref="T1"/>
      <selection pane="bottomLeft" activeCell="BH4" sqref="BH4"/>
    </sheetView>
  </sheetViews>
  <sheetFormatPr baseColWidth="10" defaultRowHeight="15" x14ac:dyDescent="0.25"/>
  <cols>
    <col min="1" max="1" width="6.140625" style="107" customWidth="1"/>
    <col min="2" max="6" width="5.28515625" style="107" customWidth="1"/>
    <col min="7" max="7" width="9.28515625" style="107" customWidth="1"/>
    <col min="8" max="8" width="8.85546875" style="107" customWidth="1"/>
    <col min="9" max="9" width="7.140625" style="107" bestFit="1" customWidth="1"/>
    <col min="10" max="10" width="7.140625" style="107" customWidth="1"/>
    <col min="11" max="12" width="7" style="107" customWidth="1"/>
    <col min="13" max="42" width="5.7109375" style="107" customWidth="1"/>
    <col min="43" max="44" width="10.140625" style="107" customWidth="1"/>
    <col min="45" max="45" width="9.28515625" style="107" customWidth="1"/>
    <col min="46" max="46" width="9.42578125" style="107" customWidth="1"/>
    <col min="47" max="47" width="10.140625" style="107" customWidth="1"/>
    <col min="48" max="48" width="9.28515625" style="107" customWidth="1"/>
    <col min="49" max="49" width="9.42578125" style="107" customWidth="1"/>
    <col min="50" max="50" width="6.140625" style="107" customWidth="1"/>
    <col min="51" max="51" width="6.7109375" style="107" customWidth="1"/>
    <col min="52" max="52" width="7.42578125" style="107" bestFit="1" customWidth="1"/>
    <col min="53" max="55" width="5.7109375" style="107" customWidth="1"/>
    <col min="56" max="57" width="6.7109375" style="107" customWidth="1"/>
    <col min="58" max="58" width="56" style="268" bestFit="1" customWidth="1"/>
    <col min="59" max="59" width="234.85546875" style="268" customWidth="1"/>
    <col min="60" max="60" width="139.5703125" style="268" bestFit="1" customWidth="1"/>
    <col min="61" max="61" width="103.7109375" style="268" bestFit="1" customWidth="1"/>
    <col min="62" max="16384" width="11.42578125" style="107"/>
  </cols>
  <sheetData>
    <row r="1" spans="1:61" s="12" customFormat="1" ht="30" customHeight="1" x14ac:dyDescent="0.25">
      <c r="B1" s="531" t="s">
        <v>554</v>
      </c>
      <c r="C1" s="524"/>
      <c r="D1" s="524"/>
      <c r="E1" s="524"/>
      <c r="F1" s="524"/>
      <c r="G1" s="515" t="s">
        <v>658</v>
      </c>
      <c r="H1" s="516"/>
      <c r="I1" s="515" t="s">
        <v>206</v>
      </c>
      <c r="J1" s="524"/>
      <c r="K1" s="516"/>
      <c r="L1" s="515" t="s">
        <v>971</v>
      </c>
      <c r="M1" s="524"/>
      <c r="N1" s="524"/>
      <c r="O1" s="524"/>
      <c r="P1" s="524"/>
      <c r="Q1" s="524"/>
      <c r="R1" s="524"/>
      <c r="S1" s="524"/>
      <c r="T1" s="524"/>
      <c r="U1" s="524"/>
      <c r="V1" s="524"/>
      <c r="W1" s="524"/>
      <c r="X1" s="524"/>
      <c r="Y1" s="524"/>
      <c r="Z1" s="524"/>
      <c r="AA1" s="524"/>
      <c r="AB1" s="524"/>
      <c r="AC1" s="524"/>
      <c r="AD1" s="524"/>
      <c r="AE1" s="524"/>
      <c r="AF1" s="524"/>
      <c r="AG1" s="524"/>
      <c r="AH1" s="524"/>
      <c r="AI1" s="524"/>
      <c r="AJ1" s="524"/>
      <c r="AK1" s="524"/>
      <c r="AL1" s="524"/>
      <c r="AM1" s="524"/>
      <c r="AN1" s="524"/>
      <c r="AO1" s="524"/>
      <c r="AP1" s="524"/>
      <c r="AQ1" s="524"/>
      <c r="AR1" s="524"/>
      <c r="AS1" s="524"/>
      <c r="AT1" s="524"/>
      <c r="AU1" s="524"/>
      <c r="AV1" s="524"/>
      <c r="AW1" s="524"/>
      <c r="AX1" s="524"/>
      <c r="AY1" s="524"/>
      <c r="AZ1" s="524"/>
      <c r="BA1" s="515" t="s">
        <v>973</v>
      </c>
      <c r="BB1" s="524"/>
      <c r="BC1" s="516"/>
      <c r="BD1" s="517" t="s">
        <v>667</v>
      </c>
      <c r="BE1" s="545"/>
      <c r="BF1" s="263"/>
      <c r="BG1" s="263"/>
      <c r="BH1" s="264"/>
      <c r="BI1" s="264"/>
    </row>
    <row r="2" spans="1:61" s="12" customFormat="1" ht="26.25" customHeight="1" x14ac:dyDescent="0.25">
      <c r="B2" s="614" t="s">
        <v>456</v>
      </c>
      <c r="C2" s="616" t="s">
        <v>448</v>
      </c>
      <c r="D2" s="629" t="s">
        <v>335</v>
      </c>
      <c r="E2" s="520" t="s">
        <v>1470</v>
      </c>
      <c r="F2" s="629" t="s">
        <v>933</v>
      </c>
      <c r="G2" s="525" t="s">
        <v>88</v>
      </c>
      <c r="H2" s="539"/>
      <c r="I2" s="548" t="s">
        <v>88</v>
      </c>
      <c r="J2" s="540" t="s">
        <v>508</v>
      </c>
      <c r="K2" s="540" t="s">
        <v>847</v>
      </c>
      <c r="L2" s="540" t="s">
        <v>89</v>
      </c>
      <c r="M2" s="515" t="s">
        <v>934</v>
      </c>
      <c r="N2" s="524"/>
      <c r="O2" s="524"/>
      <c r="P2" s="524"/>
      <c r="Q2" s="524"/>
      <c r="R2" s="524"/>
      <c r="S2" s="524"/>
      <c r="T2" s="524"/>
      <c r="U2" s="524"/>
      <c r="V2" s="524"/>
      <c r="W2" s="524"/>
      <c r="X2" s="516"/>
      <c r="Y2" s="515" t="s">
        <v>947</v>
      </c>
      <c r="Z2" s="524"/>
      <c r="AA2" s="524"/>
      <c r="AB2" s="524"/>
      <c r="AC2" s="524"/>
      <c r="AD2" s="524"/>
      <c r="AE2" s="524"/>
      <c r="AF2" s="524"/>
      <c r="AG2" s="524"/>
      <c r="AH2" s="524"/>
      <c r="AI2" s="524"/>
      <c r="AJ2" s="524"/>
      <c r="AK2" s="524"/>
      <c r="AL2" s="524"/>
      <c r="AM2" s="524"/>
      <c r="AN2" s="524"/>
      <c r="AO2" s="524"/>
      <c r="AP2" s="516"/>
      <c r="AQ2" s="513" t="s">
        <v>964</v>
      </c>
      <c r="AR2" s="513" t="s">
        <v>965</v>
      </c>
      <c r="AS2" s="513" t="s">
        <v>966</v>
      </c>
      <c r="AT2" s="513" t="s">
        <v>967</v>
      </c>
      <c r="AU2" s="513" t="s">
        <v>968</v>
      </c>
      <c r="AV2" s="513" t="s">
        <v>969</v>
      </c>
      <c r="AW2" s="513" t="s">
        <v>970</v>
      </c>
      <c r="AX2" s="540" t="s">
        <v>508</v>
      </c>
      <c r="AY2" s="540" t="s">
        <v>847</v>
      </c>
      <c r="AZ2" s="443" t="s">
        <v>554</v>
      </c>
      <c r="BA2" s="540" t="s">
        <v>886</v>
      </c>
      <c r="BB2" s="515" t="s">
        <v>554</v>
      </c>
      <c r="BC2" s="516"/>
      <c r="BD2" s="540" t="s">
        <v>668</v>
      </c>
      <c r="BE2" s="628" t="s">
        <v>355</v>
      </c>
      <c r="BF2" s="263"/>
      <c r="BG2" s="263"/>
      <c r="BH2" s="264"/>
      <c r="BI2" s="264"/>
    </row>
    <row r="3" spans="1:61" s="12" customFormat="1" ht="78.75" customHeight="1" x14ac:dyDescent="0.25">
      <c r="B3" s="615"/>
      <c r="C3" s="617"/>
      <c r="D3" s="630"/>
      <c r="E3" s="521"/>
      <c r="F3" s="630"/>
      <c r="G3" s="444" t="s">
        <v>562</v>
      </c>
      <c r="H3" s="444" t="s">
        <v>563</v>
      </c>
      <c r="I3" s="548"/>
      <c r="J3" s="540"/>
      <c r="K3" s="540"/>
      <c r="L3" s="540"/>
      <c r="M3" s="366" t="s">
        <v>935</v>
      </c>
      <c r="N3" s="366" t="s">
        <v>936</v>
      </c>
      <c r="O3" s="445" t="s">
        <v>937</v>
      </c>
      <c r="P3" s="366" t="s">
        <v>938</v>
      </c>
      <c r="Q3" s="366" t="s">
        <v>939</v>
      </c>
      <c r="R3" s="366" t="s">
        <v>940</v>
      </c>
      <c r="S3" s="366" t="s">
        <v>941</v>
      </c>
      <c r="T3" s="366" t="s">
        <v>942</v>
      </c>
      <c r="U3" s="366" t="s">
        <v>943</v>
      </c>
      <c r="V3" s="366" t="s">
        <v>944</v>
      </c>
      <c r="W3" s="366" t="s">
        <v>945</v>
      </c>
      <c r="X3" s="445" t="s">
        <v>946</v>
      </c>
      <c r="Y3" s="366" t="s">
        <v>561</v>
      </c>
      <c r="Z3" s="446" t="s">
        <v>948</v>
      </c>
      <c r="AA3" s="445" t="s">
        <v>949</v>
      </c>
      <c r="AB3" s="446" t="s">
        <v>950</v>
      </c>
      <c r="AC3" s="446" t="s">
        <v>951</v>
      </c>
      <c r="AD3" s="446" t="s">
        <v>952</v>
      </c>
      <c r="AE3" s="446" t="s">
        <v>953</v>
      </c>
      <c r="AF3" s="446" t="s">
        <v>954</v>
      </c>
      <c r="AG3" s="446" t="s">
        <v>955</v>
      </c>
      <c r="AH3" s="446" t="s">
        <v>956</v>
      </c>
      <c r="AI3" s="446" t="s">
        <v>957</v>
      </c>
      <c r="AJ3" s="446" t="s">
        <v>958</v>
      </c>
      <c r="AK3" s="446" t="s">
        <v>959</v>
      </c>
      <c r="AL3" s="446" t="s">
        <v>960</v>
      </c>
      <c r="AM3" s="446" t="s">
        <v>961</v>
      </c>
      <c r="AN3" s="446" t="s">
        <v>1</v>
      </c>
      <c r="AO3" s="446" t="s">
        <v>962</v>
      </c>
      <c r="AP3" s="445" t="s">
        <v>963</v>
      </c>
      <c r="AQ3" s="514"/>
      <c r="AR3" s="514"/>
      <c r="AS3" s="514"/>
      <c r="AT3" s="514"/>
      <c r="AU3" s="514"/>
      <c r="AV3" s="514"/>
      <c r="AW3" s="514"/>
      <c r="AX3" s="540"/>
      <c r="AY3" s="540"/>
      <c r="AZ3" s="455" t="s">
        <v>972</v>
      </c>
      <c r="BA3" s="540"/>
      <c r="BB3" s="455" t="s">
        <v>668</v>
      </c>
      <c r="BC3" s="455" t="s">
        <v>355</v>
      </c>
      <c r="BD3" s="540"/>
      <c r="BE3" s="628"/>
      <c r="BF3" s="263" t="s">
        <v>549</v>
      </c>
      <c r="BG3" s="264" t="s">
        <v>981</v>
      </c>
      <c r="BH3" s="264" t="s">
        <v>7</v>
      </c>
      <c r="BI3" s="265" t="s">
        <v>8</v>
      </c>
    </row>
    <row r="4" spans="1:61" s="109" customFormat="1" ht="15" customHeight="1" x14ac:dyDescent="0.25">
      <c r="A4" s="23"/>
      <c r="B4" s="20"/>
      <c r="C4" s="13"/>
      <c r="D4" s="13"/>
      <c r="E4" s="13"/>
      <c r="F4" s="13">
        <v>1</v>
      </c>
      <c r="G4" s="454"/>
      <c r="H4" s="454">
        <v>1</v>
      </c>
      <c r="I4" s="111"/>
      <c r="J4" s="111"/>
      <c r="K4" s="13"/>
      <c r="L4" s="13"/>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13"/>
      <c r="AR4" s="13"/>
      <c r="AS4" s="13"/>
      <c r="AT4" s="13"/>
      <c r="AU4" s="13"/>
      <c r="AV4" s="13"/>
      <c r="AW4" s="13"/>
      <c r="AX4" s="13"/>
      <c r="AY4" s="13"/>
      <c r="AZ4" s="13"/>
      <c r="BA4" s="289"/>
      <c r="BB4" s="289"/>
      <c r="BC4" s="289"/>
      <c r="BD4" s="289"/>
      <c r="BE4" s="453"/>
      <c r="BF4" s="266" t="s">
        <v>974</v>
      </c>
      <c r="BG4" s="266" t="str">
        <f>CONCATENATE("Acceder al sistema Gemma con usuario y perfil activo para la funcionalidad modulo Maestro - Vehiculo, hacer clic en el boton ","",IF(B4=1,"Agregar","")," , ",IF(C4=1,"Modificar un registro",""),"  ",IF(D4=1,"Eliminar un registro",""),"",IF(F4=1,"Exportar Documento Excel",""), ,IF(E4=1,"Link Marca ","")," sin seleccionar datos en el filtro")</f>
        <v>Acceder al sistema Gemma con usuario y perfil activo para la funcionalidad modulo Maestro - Vehiculo, hacer clic en el boton  ,   Exportar Documento Excel sin seleccionar datos en el filtro</v>
      </c>
      <c r="BH4" s="267" t="str">
        <f>CONCATENATE(" Validar funcionalidad Maestro Vehiculo seleccionando la opcion "," ",IF(B4=1,$B$2,IF(C4=1,$C$2,IF(D4=1,$D$2,IF(F4=1,$F$2,""))))," sin seleccionar valores en el filtro",)</f>
        <v xml:space="preserve"> Validar funcionalidad Maestro Vehiculo seleccionando la opcion  Exportar Excel sin seleccionar valores en el filtro</v>
      </c>
      <c r="BI4" s="267" t="s">
        <v>1342</v>
      </c>
    </row>
    <row r="5" spans="1:61" s="109" customFormat="1" ht="15" customHeight="1" x14ac:dyDescent="0.25">
      <c r="A5" s="23"/>
      <c r="B5" s="20">
        <v>1</v>
      </c>
      <c r="C5" s="13"/>
      <c r="D5" s="13"/>
      <c r="E5" s="13"/>
      <c r="F5" s="103"/>
      <c r="G5" s="454"/>
      <c r="H5" s="454"/>
      <c r="I5" s="111">
        <v>1</v>
      </c>
      <c r="J5" s="111">
        <v>1</v>
      </c>
      <c r="K5" s="13">
        <v>1</v>
      </c>
      <c r="L5" s="13">
        <v>1</v>
      </c>
      <c r="M5" s="289"/>
      <c r="N5" s="289"/>
      <c r="O5" s="289">
        <v>1</v>
      </c>
      <c r="P5" s="289"/>
      <c r="Q5" s="289"/>
      <c r="R5" s="289"/>
      <c r="S5" s="289"/>
      <c r="T5" s="289"/>
      <c r="U5" s="289"/>
      <c r="V5" s="289"/>
      <c r="W5" s="289"/>
      <c r="X5" s="289"/>
      <c r="Y5" s="289"/>
      <c r="Z5" s="289"/>
      <c r="AA5" s="289">
        <v>1</v>
      </c>
      <c r="AB5" s="289"/>
      <c r="AC5" s="289"/>
      <c r="AD5" s="289"/>
      <c r="AE5" s="289"/>
      <c r="AF5" s="289"/>
      <c r="AG5" s="289"/>
      <c r="AH5" s="289"/>
      <c r="AI5" s="289"/>
      <c r="AJ5" s="289"/>
      <c r="AK5" s="289"/>
      <c r="AL5" s="289"/>
      <c r="AM5" s="289"/>
      <c r="AN5" s="289"/>
      <c r="AO5" s="289"/>
      <c r="AP5" s="289"/>
      <c r="AQ5" s="13"/>
      <c r="AR5" s="13"/>
      <c r="AS5" s="13"/>
      <c r="AT5" s="13"/>
      <c r="AU5" s="13"/>
      <c r="AV5" s="13"/>
      <c r="AW5" s="13"/>
      <c r="AX5" s="13"/>
      <c r="AY5" s="13"/>
      <c r="AZ5" s="13"/>
      <c r="BA5" s="289"/>
      <c r="BB5" s="289"/>
      <c r="BC5" s="289"/>
      <c r="BD5" s="289">
        <v>1</v>
      </c>
      <c r="BE5" s="453"/>
      <c r="BF5" s="266" t="s">
        <v>1467</v>
      </c>
      <c r="BG5" s="266" t="str">
        <f>CONCATENATE("Acceder al sistema Gemma con usuario y perfil activo para la funcionalidad modulo Maestro - Vehiculo, hacer clic en el boton ","",IF(B5=1,"Agregar","")," colocando todos los campos obligatorios, y adicionar un Modelo de Vehiculo",IF(C5=1,"Modificar un registro","")," presionar el boton Confirmar ",IF(D5=1,"Eliminar un registro","")," ",IF(F5=1,"Exportar Documento Excel",""), ,IF(E5=1,"Link Marca ","")," ")</f>
        <v xml:space="preserve">Acceder al sistema Gemma con usuario y perfil activo para la funcionalidad modulo Maestro - Vehiculo, hacer clic en el boton Agregar colocando todos los campos obligatorios, y adicionar un Modelo de Vehiculo presionar el boton Confirmar   </v>
      </c>
      <c r="BH5" s="267" t="str">
        <f>CONCATENATE(" Validar funcionalidad Maestro Vehiculo seleccionando la opcion "," ",IF(B5=1,$B$2,IF(C5=1,$C$2,IF(D5=1,$D$2,IF(F5=1,$F$2,""))))," nuevo registro, considerando todos los campos obligatorios y Un modelo de vehiculo",)</f>
        <v xml:space="preserve"> Validar funcionalidad Maestro Vehiculo seleccionando la opcion  Agregar nuevo registro, considerando todos los campos obligatorios y Un modelo de vehiculo</v>
      </c>
      <c r="BI5" s="267" t="s">
        <v>982</v>
      </c>
    </row>
    <row r="6" spans="1:61" s="109" customFormat="1" ht="15" customHeight="1" x14ac:dyDescent="0.25">
      <c r="A6" s="23"/>
      <c r="B6" s="20">
        <v>1</v>
      </c>
      <c r="C6" s="13"/>
      <c r="D6" s="13"/>
      <c r="E6" s="13"/>
      <c r="F6" s="103"/>
      <c r="G6" s="454">
        <v>1</v>
      </c>
      <c r="H6" s="454"/>
      <c r="I6" s="111">
        <v>1</v>
      </c>
      <c r="J6" s="111"/>
      <c r="K6" s="13"/>
      <c r="L6" s="13"/>
      <c r="M6" s="289"/>
      <c r="N6" s="289"/>
      <c r="O6" s="289"/>
      <c r="P6" s="289"/>
      <c r="Q6" s="289"/>
      <c r="R6" s="289"/>
      <c r="S6" s="289">
        <v>1</v>
      </c>
      <c r="T6" s="289"/>
      <c r="U6" s="289"/>
      <c r="V6" s="289"/>
      <c r="W6" s="289"/>
      <c r="X6" s="289"/>
      <c r="Y6" s="289"/>
      <c r="Z6" s="289"/>
      <c r="AA6" s="289"/>
      <c r="AB6" s="289"/>
      <c r="AC6" s="289"/>
      <c r="AD6" s="289"/>
      <c r="AE6" s="289">
        <v>1</v>
      </c>
      <c r="AF6" s="289"/>
      <c r="AG6" s="289"/>
      <c r="AH6" s="289"/>
      <c r="AI6" s="289"/>
      <c r="AJ6" s="289"/>
      <c r="AK6" s="289"/>
      <c r="AL6" s="289"/>
      <c r="AM6" s="289"/>
      <c r="AN6" s="289"/>
      <c r="AO6" s="289"/>
      <c r="AP6" s="289"/>
      <c r="AQ6" s="13"/>
      <c r="AR6" s="13"/>
      <c r="AS6" s="13"/>
      <c r="AT6" s="13"/>
      <c r="AU6" s="13"/>
      <c r="AV6" s="13"/>
      <c r="AW6" s="13"/>
      <c r="AX6" s="13"/>
      <c r="AY6" s="13"/>
      <c r="AZ6" s="13"/>
      <c r="BA6" s="289"/>
      <c r="BB6" s="289"/>
      <c r="BC6" s="289"/>
      <c r="BD6" s="289">
        <v>1</v>
      </c>
      <c r="BE6" s="453"/>
      <c r="BF6" s="266" t="s">
        <v>1468</v>
      </c>
      <c r="BG6" s="266" t="str">
        <f>CONCATENATE("Acceder al sistema Gemma con usuario y perfil activo para la funcionalidad modulo Maestro - Vehiculo, hacer clic en el boton ","",IF(B6=1,"Agregar","")," colocando todos los campos, y adicionar mas un Modelo de Vehiculo",IF(C6=1,"Modificar un registro","")," presionar el boton Confirmar ",IF(D6=1,"Eliminar un registro","")," ",IF(F6=1,"Exportar Documento Excel",""), ,IF(E6=1,"Link Marca ","")," ")</f>
        <v xml:space="preserve">Acceder al sistema Gemma con usuario y perfil activo para la funcionalidad modulo Maestro - Vehiculo, hacer clic en el boton Agregar colocando todos los campos, y adicionar mas un Modelo de Vehiculo presionar el boton Confirmar   </v>
      </c>
      <c r="BH6" s="267" t="str">
        <f>CONCATENATE(" Validar funcionalidad Maestro Vehiculo seleccionando la opcion "," ",IF(B6=1,$B$2,IF(C6=1,$C$2,IF(D6=1,$D$2,IF(F6=1,$F$2,""))))," nuevo registro, considerando todos los campos y Mas de un modelo de vehiculo",)</f>
        <v xml:space="preserve"> Validar funcionalidad Maestro Vehiculo seleccionando la opcion  Agregar nuevo registro, considerando todos los campos y Mas de un modelo de vehiculo</v>
      </c>
      <c r="BI6" s="267" t="s">
        <v>982</v>
      </c>
    </row>
    <row r="7" spans="1:61" s="109" customFormat="1" ht="15" customHeight="1" x14ac:dyDescent="0.25">
      <c r="A7" s="23"/>
      <c r="B7" s="20"/>
      <c r="C7" s="13"/>
      <c r="D7" s="13"/>
      <c r="E7" s="13">
        <v>1</v>
      </c>
      <c r="F7" s="103"/>
      <c r="G7" s="454">
        <v>1</v>
      </c>
      <c r="H7" s="454">
        <v>1</v>
      </c>
      <c r="I7" s="111"/>
      <c r="J7" s="111"/>
      <c r="K7" s="13"/>
      <c r="L7" s="13"/>
      <c r="M7" s="289"/>
      <c r="N7" s="289"/>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13"/>
      <c r="AR7" s="13"/>
      <c r="AS7" s="13"/>
      <c r="AT7" s="13"/>
      <c r="AU7" s="13"/>
      <c r="AV7" s="13"/>
      <c r="AW7" s="13"/>
      <c r="AX7" s="13"/>
      <c r="AY7" s="13"/>
      <c r="AZ7" s="13"/>
      <c r="BA7" s="289"/>
      <c r="BB7" s="289"/>
      <c r="BC7" s="289"/>
      <c r="BD7" s="289"/>
      <c r="BE7" s="453">
        <v>1</v>
      </c>
      <c r="BF7" s="266" t="s">
        <v>1469</v>
      </c>
      <c r="BG7" s="266" t="str">
        <f>CONCATENATE("Acceder al sistema Gemma con usuario y perfil activo para la funcionalidad modulo Maestro - Vehiculo, ","",IF(B7=1,"Agregar","")," al colocar un valor o no en el filtro y seleccionar ",IF(C7=1,"Modificar un registro","")," ",IF(D7=1,"Eliminar un registro",""),"",IF(F7=1,"Exportar Documento Excel",""), ,IF(E7=1,"Link Marca ",""),"verificar datos y volver al presionar Cancelar. ")</f>
        <v xml:space="preserve">Acceder al sistema Gemma con usuario y perfil activo para la funcionalidad modulo Maestro - Vehiculo,  al colocar un valor o no en el filtro y seleccionar  Link Marca verificar datos y volver al presionar Cancelar. </v>
      </c>
      <c r="BH7" s="267" t="str">
        <f>CONCATENATE(" Validar funcionalidad Maestro Vehiculo seleccionando la opcion "," ",IF(B7=1,$B$2,IF(C7=1,$C$2,IF(D7=1,$D$2,IF(F7=1,$F$2,""))))," consultar registro mediante el link Marca",)</f>
        <v xml:space="preserve"> Validar funcionalidad Maestro Vehiculo seleccionando la opcion   consultar registro mediante el link Marca</v>
      </c>
      <c r="BI7" s="267" t="s">
        <v>1472</v>
      </c>
    </row>
    <row r="8" spans="1:61" s="109" customFormat="1" ht="15" customHeight="1" x14ac:dyDescent="0.25">
      <c r="A8" s="23"/>
      <c r="B8" s="20"/>
      <c r="C8" s="13">
        <v>1</v>
      </c>
      <c r="D8" s="13"/>
      <c r="E8" s="13"/>
      <c r="F8" s="13">
        <v>1</v>
      </c>
      <c r="G8" s="13">
        <v>1</v>
      </c>
      <c r="H8" s="111"/>
      <c r="I8" s="111">
        <v>1</v>
      </c>
      <c r="J8" s="111"/>
      <c r="K8" s="13"/>
      <c r="L8" s="13"/>
      <c r="M8" s="289"/>
      <c r="N8" s="289"/>
      <c r="O8" s="289"/>
      <c r="P8" s="289"/>
      <c r="Q8" s="289"/>
      <c r="R8" s="289"/>
      <c r="S8" s="289"/>
      <c r="T8" s="289">
        <v>1</v>
      </c>
      <c r="U8" s="289"/>
      <c r="V8" s="289"/>
      <c r="W8" s="289"/>
      <c r="X8" s="289"/>
      <c r="Y8" s="289"/>
      <c r="Z8" s="289"/>
      <c r="AA8" s="289"/>
      <c r="AB8" s="289"/>
      <c r="AC8" s="289"/>
      <c r="AD8" s="289"/>
      <c r="AE8" s="289"/>
      <c r="AF8" s="289"/>
      <c r="AG8" s="289"/>
      <c r="AH8" s="289"/>
      <c r="AI8" s="289"/>
      <c r="AJ8" s="289"/>
      <c r="AK8" s="289"/>
      <c r="AL8" s="289"/>
      <c r="AM8" s="289"/>
      <c r="AN8" s="289"/>
      <c r="AO8" s="289"/>
      <c r="AP8" s="289"/>
      <c r="AQ8" s="13"/>
      <c r="AR8" s="13"/>
      <c r="AS8" s="13"/>
      <c r="AT8" s="13"/>
      <c r="AU8" s="13"/>
      <c r="AV8" s="13"/>
      <c r="AW8" s="13"/>
      <c r="AX8" s="13"/>
      <c r="AY8" s="13"/>
      <c r="AZ8" s="13"/>
      <c r="BA8" s="289"/>
      <c r="BB8" s="289"/>
      <c r="BC8" s="289"/>
      <c r="BD8" s="289">
        <v>1</v>
      </c>
      <c r="BE8" s="453"/>
      <c r="BF8" s="266" t="s">
        <v>975</v>
      </c>
      <c r="BG8" s="266" t="str">
        <f>CONCATENATE("Acceder al sistema Gemma con usuario y perfil activo para la funcionalidad modulo Maestro - Vehiculo, hacer clic en el boton ","",IF(B8=1,"Agregar","")," sin colocar la Marca en el filtro, hacer clic en el boton ",IF(C8=1,"Modificar","")," luego del ajuste, presionar el boton Confirmar ",IF(D8=1,"Eliminar un registro","")," ",IF(F8=1,"Exportar Documento Excel",""), ,IF(E8=1,"Link Marca ","")," ")</f>
        <v xml:space="preserve">Acceder al sistema Gemma con usuario y perfil activo para la funcionalidad modulo Maestro - Vehiculo, hacer clic en el boton  sin colocar la Marca en el filtro, hacer clic en el boton Modificar luego del ajuste, presionar el boton Confirmar  Exportar Documento Excel </v>
      </c>
      <c r="BH8" s="267" t="str">
        <f>CONCATENATE(" Validar funcionalidad Maestro Vehiculo seleccionando la opcion "," ",IF(B8=1,$B$2,IF(C8=1,$C$2,IF(D8=1,$D$2,IF(F8=1,$F$2,""))))," considerando el filtro buscar por marca",)</f>
        <v xml:space="preserve"> Validar funcionalidad Maestro Vehiculo seleccionando la opcion  Modificar considerando el filtro buscar por marca</v>
      </c>
      <c r="BI8" s="267" t="s">
        <v>983</v>
      </c>
    </row>
    <row r="9" spans="1:61" s="109" customFormat="1" ht="15" customHeight="1" x14ac:dyDescent="0.25">
      <c r="A9" s="23"/>
      <c r="B9" s="20"/>
      <c r="C9" s="13">
        <v>1</v>
      </c>
      <c r="D9" s="13"/>
      <c r="E9" s="13"/>
      <c r="F9" s="103"/>
      <c r="G9" s="13"/>
      <c r="H9" s="111">
        <v>1</v>
      </c>
      <c r="I9" s="111"/>
      <c r="J9" s="111"/>
      <c r="K9" s="13">
        <v>1</v>
      </c>
      <c r="L9" s="13">
        <v>1</v>
      </c>
      <c r="M9" s="289"/>
      <c r="N9" s="289"/>
      <c r="O9" s="289"/>
      <c r="P9" s="289"/>
      <c r="Q9" s="289">
        <v>1</v>
      </c>
      <c r="R9" s="289"/>
      <c r="S9" s="289"/>
      <c r="T9" s="289"/>
      <c r="U9" s="289"/>
      <c r="V9" s="289"/>
      <c r="W9" s="289"/>
      <c r="X9" s="289"/>
      <c r="Y9" s="289"/>
      <c r="Z9" s="289"/>
      <c r="AA9" s="289"/>
      <c r="AB9" s="289"/>
      <c r="AC9" s="289"/>
      <c r="AD9" s="289"/>
      <c r="AE9" s="289"/>
      <c r="AF9" s="289"/>
      <c r="AG9" s="289"/>
      <c r="AH9" s="289"/>
      <c r="AI9" s="289"/>
      <c r="AJ9" s="289"/>
      <c r="AK9" s="289"/>
      <c r="AL9" s="289"/>
      <c r="AM9" s="289"/>
      <c r="AN9" s="289"/>
      <c r="AO9" s="289"/>
      <c r="AP9" s="289"/>
      <c r="AQ9" s="13">
        <v>1</v>
      </c>
      <c r="AR9" s="13"/>
      <c r="AS9" s="13">
        <v>1</v>
      </c>
      <c r="AT9" s="13"/>
      <c r="AU9" s="13"/>
      <c r="AV9" s="13"/>
      <c r="AW9" s="13"/>
      <c r="AX9" s="13">
        <v>1</v>
      </c>
      <c r="AY9" s="13"/>
      <c r="AZ9" s="13">
        <v>1</v>
      </c>
      <c r="BA9" s="289">
        <v>1</v>
      </c>
      <c r="BB9" s="289">
        <v>1</v>
      </c>
      <c r="BC9" s="289"/>
      <c r="BD9" s="289">
        <v>1</v>
      </c>
      <c r="BE9" s="453"/>
      <c r="BF9" s="266" t="s">
        <v>976</v>
      </c>
      <c r="BG9" s="266" t="str">
        <f>CONCATENATE("Acceder al sistema Gemma con usuario y perfil activo para la funcionalidad modulo Maestro - Vehiculo, hacer clic en el boton ","",IF(B9=1,"Agregar","")," colocando la Marca en el filtro, hacer clic en el boton ",IF(C9=1,"Modificar","")," luego del ajuste, presionar el boton Confirmar ",IF(D9=1,"Eliminar un registro","")," ",IF(F9=1,"Exportar Documento Excel",""), ,IF(E9=1,"Link Marca ","")," ")</f>
        <v xml:space="preserve">Acceder al sistema Gemma con usuario y perfil activo para la funcionalidad modulo Maestro - Vehiculo, hacer clic en el boton  colocando la Marca en el filtro, hacer clic en el boton Modificar luego del ajuste, presionar el boton Confirmar   </v>
      </c>
      <c r="BH9" s="267" t="str">
        <f>CONCATENATE(" Validar funcionalidad Maestro Vehiculo seleccionando la opcion "," ",IF(B9=1,$B$2,IF(C9=1,$C$2,IF(D9=1,$D$2,IF(F9=1,$F$2,""))))," sin considerar el filtro para buscar marca ","al cargar PDF ",IF(BA9=1,$BA$1,""),)</f>
        <v xml:space="preserve"> Validar funcionalidad Maestro Vehiculo seleccionando la opcion  Modificar sin considerar el filtro para buscar marca al cargar PDF Subir PDF</v>
      </c>
      <c r="BI9" s="267" t="s">
        <v>983</v>
      </c>
    </row>
    <row r="10" spans="1:61" s="109" customFormat="1" ht="15" customHeight="1" x14ac:dyDescent="0.25">
      <c r="A10" s="23"/>
      <c r="B10" s="20"/>
      <c r="C10" s="13"/>
      <c r="D10" s="13">
        <v>1</v>
      </c>
      <c r="E10" s="13"/>
      <c r="F10" s="103"/>
      <c r="G10" s="13">
        <v>1</v>
      </c>
      <c r="H10" s="111"/>
      <c r="I10" s="450"/>
      <c r="J10" s="450"/>
      <c r="K10" s="13"/>
      <c r="L10" s="13"/>
      <c r="M10" s="13"/>
      <c r="N10" s="13"/>
      <c r="O10" s="103"/>
      <c r="P10" s="13"/>
      <c r="Q10" s="13"/>
      <c r="R10" s="13"/>
      <c r="S10" s="13"/>
      <c r="T10" s="13"/>
      <c r="U10" s="13"/>
      <c r="V10" s="13"/>
      <c r="W10" s="13"/>
      <c r="X10" s="103"/>
      <c r="Y10" s="13"/>
      <c r="Z10" s="13"/>
      <c r="AA10" s="103"/>
      <c r="AB10" s="13"/>
      <c r="AC10" s="13"/>
      <c r="AD10" s="13"/>
      <c r="AE10" s="13"/>
      <c r="AF10" s="13"/>
      <c r="AG10" s="13"/>
      <c r="AH10" s="13"/>
      <c r="AI10" s="13"/>
      <c r="AJ10" s="13"/>
      <c r="AK10" s="13"/>
      <c r="AL10" s="13"/>
      <c r="AM10" s="13"/>
      <c r="AN10" s="13"/>
      <c r="AO10" s="13"/>
      <c r="AP10" s="103"/>
      <c r="AQ10" s="13"/>
      <c r="AR10" s="13"/>
      <c r="AS10" s="13"/>
      <c r="AT10" s="13"/>
      <c r="AU10" s="13"/>
      <c r="AV10" s="13"/>
      <c r="AW10" s="13"/>
      <c r="AX10" s="13"/>
      <c r="AY10" s="13"/>
      <c r="AZ10" s="13"/>
      <c r="BA10" s="289"/>
      <c r="BB10" s="289"/>
      <c r="BC10" s="289"/>
      <c r="BD10" s="289">
        <v>1</v>
      </c>
      <c r="BE10" s="453"/>
      <c r="BF10" s="266" t="s">
        <v>977</v>
      </c>
      <c r="BG10" s="266" t="str">
        <f>CONCATENATE("Acceder al sistema Gemma con usuario y perfil activo para la funcionalidad modulo Maestro - Vehiculo, hacer clic en el boton ","",IF(B10=1,"Agregar","")," colocando la Marca en el filtro, ",IF(C10=1,"Modificar un registro","")," presionar el boton ",IF(D10=1,"Eliminar un registro","")," Confirmar ",IF(F10=1,"Exportar Documento Excel",""), ,IF(E10=1,"Link Marca ","")," ")</f>
        <v xml:space="preserve">Acceder al sistema Gemma con usuario y perfil activo para la funcionalidad modulo Maestro - Vehiculo, hacer clic en el boton  colocando la Marca en el filtro,  presionar el boton Eliminar un registro Confirmar  </v>
      </c>
      <c r="BH10" s="267" t="str">
        <f>CONCATENATE(" Validar funcionalidad Maestro Vehiculo seleccionando la opcion "," ",IF(B10=1,$B$2,IF(C10=1,$C$2,IF(D10=1,$D$2,IF(F10=1,$F$2,""))))," considerando el filtro buscar por marca",)</f>
        <v xml:space="preserve"> Validar funcionalidad Maestro Vehiculo seleccionando la opcion  Eliminar considerando el filtro buscar por marca</v>
      </c>
      <c r="BI10" s="267" t="s">
        <v>984</v>
      </c>
    </row>
    <row r="11" spans="1:61" s="109" customFormat="1" ht="15" customHeight="1" thickBot="1" x14ac:dyDescent="0.3">
      <c r="A11" s="23"/>
      <c r="B11" s="291"/>
      <c r="C11" s="272"/>
      <c r="D11" s="272">
        <v>1</v>
      </c>
      <c r="E11" s="272"/>
      <c r="F11" s="13">
        <v>1</v>
      </c>
      <c r="G11" s="272"/>
      <c r="H11" s="273">
        <v>1</v>
      </c>
      <c r="I11" s="273"/>
      <c r="J11" s="273"/>
      <c r="K11" s="272"/>
      <c r="L11" s="272"/>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272"/>
      <c r="AR11" s="272"/>
      <c r="AS11" s="272"/>
      <c r="AT11" s="272"/>
      <c r="AU11" s="272"/>
      <c r="AV11" s="272"/>
      <c r="AW11" s="272"/>
      <c r="AX11" s="272"/>
      <c r="AY11" s="272"/>
      <c r="AZ11" s="456"/>
      <c r="BA11" s="396"/>
      <c r="BB11" s="396"/>
      <c r="BC11" s="396"/>
      <c r="BD11" s="447">
        <v>1</v>
      </c>
      <c r="BE11" s="457"/>
      <c r="BF11" s="266" t="s">
        <v>978</v>
      </c>
      <c r="BG11" s="266" t="str">
        <f>CONCATENATE("Acceder al sistema Gemma con usuario y perfil activo para la funcionalidad modulo Maestro - Vehiculo, hacer clic en el boton ","",IF(B11=1,"Agregar","")," sin colocar la Marca, ",IF(C11=1,"Modificar un registro","")," seleccionar de la tabla consulta y presionar ",IF(D11=1,"Eliminar","")," y luego presionar ",IF(F11=1,"Exportar Documento Excel",""), ,IF(E11=1,"Link Marca ","")," ")</f>
        <v xml:space="preserve">Acceder al sistema Gemma con usuario y perfil activo para la funcionalidad modulo Maestro - Vehiculo, hacer clic en el boton  sin colocar la Marca,  seleccionar de la tabla consulta y presionar Eliminar y luego presionar Exportar Documento Excel </v>
      </c>
      <c r="BH11" s="267" t="str">
        <f>CONCATENATE(" Validar funcionalidad Maestro Vehiculo seleccionando la opcion "," ",IF(B11=1,$B$2,IF(C11=1,$C$2,IF(D11=1,$D$2,IF(F11=1,$F$2,""))))," sin considerar el filtro buscar por marca",)</f>
        <v xml:space="preserve"> Validar funcionalidad Maestro Vehiculo seleccionando la opcion  Eliminar sin considerar el filtro buscar por marca</v>
      </c>
      <c r="BI11" s="267" t="s">
        <v>984</v>
      </c>
    </row>
    <row r="12" spans="1:61" s="109" customFormat="1" ht="15" customHeight="1" thickTop="1" x14ac:dyDescent="0.25">
      <c r="A12" s="23"/>
      <c r="B12" s="292">
        <v>1</v>
      </c>
      <c r="C12" s="293"/>
      <c r="D12" s="293"/>
      <c r="E12" s="293"/>
      <c r="F12" s="293"/>
      <c r="G12" s="293"/>
      <c r="H12" s="106"/>
      <c r="I12" s="106">
        <v>1</v>
      </c>
      <c r="J12" s="106">
        <v>1</v>
      </c>
      <c r="K12" s="293">
        <v>1</v>
      </c>
      <c r="L12" s="293"/>
      <c r="M12" s="398"/>
      <c r="N12" s="398"/>
      <c r="O12" s="398"/>
      <c r="P12" s="398"/>
      <c r="Q12" s="398"/>
      <c r="R12" s="398">
        <v>1</v>
      </c>
      <c r="S12" s="398"/>
      <c r="T12" s="398"/>
      <c r="U12" s="398"/>
      <c r="V12" s="398"/>
      <c r="W12" s="398"/>
      <c r="X12" s="398"/>
      <c r="Y12" s="398"/>
      <c r="Z12" s="398"/>
      <c r="AA12" s="398"/>
      <c r="AB12" s="398"/>
      <c r="AC12" s="398"/>
      <c r="AD12" s="398"/>
      <c r="AE12" s="398"/>
      <c r="AF12" s="398"/>
      <c r="AG12" s="398"/>
      <c r="AH12" s="398"/>
      <c r="AI12" s="398"/>
      <c r="AJ12" s="398"/>
      <c r="AK12" s="398"/>
      <c r="AL12" s="398"/>
      <c r="AM12" s="398"/>
      <c r="AN12" s="398"/>
      <c r="AO12" s="398"/>
      <c r="AP12" s="398"/>
      <c r="AQ12" s="293"/>
      <c r="AR12" s="293"/>
      <c r="AS12" s="293"/>
      <c r="AT12" s="293"/>
      <c r="AU12" s="293"/>
      <c r="AV12" s="293"/>
      <c r="AW12" s="293"/>
      <c r="AX12" s="293"/>
      <c r="AY12" s="293"/>
      <c r="AZ12" s="293"/>
      <c r="BA12" s="398"/>
      <c r="BB12" s="398"/>
      <c r="BC12" s="398"/>
      <c r="BD12" s="398">
        <v>1</v>
      </c>
      <c r="BE12" s="458"/>
      <c r="BF12" s="266" t="s">
        <v>1471</v>
      </c>
      <c r="BG12" s="266" t="str">
        <f>CONCATENATE("Acceder al sistema Gemma con usuario y perfil activo para la funcionalidad modulo Maestro - Vehiculo, hacer clic en el boton ","",IF(B12=1,"Agregar","")," colocando la descripcion, ",IF(C12=1,"Modificar un registro","")," sin colocar valores en los campos Obligatorios, presionar el boton Confirmar",IF(D12=1,"Eliminar un registro",""),"",IF(F12=1,"Exportar Documento Excel",""), ,IF(E12=1,"Link Marca ","")," ")</f>
        <v xml:space="preserve">Acceder al sistema Gemma con usuario y perfil activo para la funcionalidad modulo Maestro - Vehiculo, hacer clic en el boton Agregar colocando la descripcion,  sin colocar valores en los campos Obligatorios, presionar el boton Confirmar </v>
      </c>
      <c r="BH12" s="267" t="str">
        <f>CONCATENATE(" Validar funcionalidad Maestro Vehiculo seleccionando la opcion "," ",IF(B12=1,$B$2,IF(C12=1,$C$2,IF(D12=1,$D$2,IF(F12=1,$F$2,""))))," y cancelar transacción",)</f>
        <v xml:space="preserve"> Validar funcionalidad Maestro Vehiculo seleccionando la opcion  Agregar y cancelar transacción</v>
      </c>
      <c r="BI12" s="267" t="s">
        <v>1473</v>
      </c>
    </row>
    <row r="13" spans="1:61" s="109" customFormat="1" ht="15" customHeight="1" x14ac:dyDescent="0.25">
      <c r="A13" s="23"/>
      <c r="B13" s="20"/>
      <c r="C13" s="13">
        <v>1</v>
      </c>
      <c r="D13" s="13"/>
      <c r="E13" s="13"/>
      <c r="F13" s="13"/>
      <c r="G13" s="13">
        <v>1</v>
      </c>
      <c r="H13" s="111"/>
      <c r="I13" s="21"/>
      <c r="J13" s="450">
        <v>1</v>
      </c>
      <c r="K13" s="111"/>
      <c r="L13" s="111"/>
      <c r="M13" s="451"/>
      <c r="N13" s="289">
        <v>1</v>
      </c>
      <c r="O13" s="451"/>
      <c r="P13" s="289"/>
      <c r="Q13" s="289"/>
      <c r="R13" s="289"/>
      <c r="S13" s="289"/>
      <c r="T13" s="289"/>
      <c r="U13" s="289"/>
      <c r="V13" s="289"/>
      <c r="W13" s="289"/>
      <c r="X13" s="451"/>
      <c r="Y13" s="451"/>
      <c r="Z13" s="289"/>
      <c r="AA13" s="451"/>
      <c r="AB13" s="289"/>
      <c r="AC13" s="289"/>
      <c r="AD13" s="289"/>
      <c r="AE13" s="289"/>
      <c r="AF13" s="289"/>
      <c r="AG13" s="289"/>
      <c r="AH13" s="289"/>
      <c r="AI13" s="289"/>
      <c r="AJ13" s="289"/>
      <c r="AK13" s="289"/>
      <c r="AL13" s="289"/>
      <c r="AM13" s="289"/>
      <c r="AN13" s="289"/>
      <c r="AO13" s="289"/>
      <c r="AP13" s="452"/>
      <c r="AQ13" s="111"/>
      <c r="AR13" s="111"/>
      <c r="AS13" s="111"/>
      <c r="AT13" s="111"/>
      <c r="AU13" s="111"/>
      <c r="AV13" s="111"/>
      <c r="AW13" s="111"/>
      <c r="AX13" s="111"/>
      <c r="AY13" s="111"/>
      <c r="AZ13" s="13"/>
      <c r="BA13" s="451"/>
      <c r="BB13" s="451"/>
      <c r="BC13" s="451"/>
      <c r="BD13" s="451">
        <v>1</v>
      </c>
      <c r="BE13" s="453"/>
      <c r="BF13" s="266" t="s">
        <v>979</v>
      </c>
      <c r="BG13" s="266" t="str">
        <f>CONCATENATE("Acceder al sistema Gemma con usuario y perfil activo para la funcionalidad modulo Maestro - Vehiculo, hacer clic en el boton ","",IF(B13=1,"Agregar","")," ",IF(C13=1,"Modificar un registro","")," y Confirmar cambios dejando en blanco campos Obligatorios ",IF(D13=1,"Eliminar un registro","")," ",IF(F13=1,"Exportar Documento Excel",""), ,IF(E13=1,"Link Marca ","")," ")</f>
        <v xml:space="preserve">Acceder al sistema Gemma con usuario y perfil activo para la funcionalidad modulo Maestro - Vehiculo, hacer clic en el boton  Modificar un registro y Confirmar cambios dejando en blanco campos Obligatorios   </v>
      </c>
      <c r="BH13" s="267" t="str">
        <f>CONCATENATE(" Validar funcionalidad Maestro Vehiculo seleccionando la opcion "," ",IF(B13=1,$B$2,IF(C13=1,$C$2,IF(D13=1,$D$2,IF(F13=1,$F$2,""))))," y cancelar transacción",)</f>
        <v xml:space="preserve"> Validar funcionalidad Maestro Vehiculo seleccionando la opcion  Modificar y cancelar transacción</v>
      </c>
      <c r="BI13" s="267" t="s">
        <v>1474</v>
      </c>
    </row>
    <row r="14" spans="1:61" s="109" customFormat="1" ht="15" customHeight="1" x14ac:dyDescent="0.25">
      <c r="A14" s="23"/>
      <c r="B14" s="20"/>
      <c r="C14" s="13"/>
      <c r="D14" s="13">
        <v>1</v>
      </c>
      <c r="E14" s="13"/>
      <c r="F14" s="13"/>
      <c r="G14" s="13"/>
      <c r="H14" s="111">
        <v>1</v>
      </c>
      <c r="I14" s="21"/>
      <c r="J14" s="450"/>
      <c r="K14" s="111"/>
      <c r="L14" s="111"/>
      <c r="M14" s="451"/>
      <c r="N14" s="289"/>
      <c r="O14" s="451"/>
      <c r="P14" s="289"/>
      <c r="Q14" s="289"/>
      <c r="R14" s="289"/>
      <c r="S14" s="289"/>
      <c r="T14" s="289"/>
      <c r="U14" s="289"/>
      <c r="V14" s="289"/>
      <c r="W14" s="289"/>
      <c r="X14" s="451"/>
      <c r="Y14" s="451"/>
      <c r="Z14" s="289"/>
      <c r="AA14" s="451"/>
      <c r="AB14" s="289"/>
      <c r="AC14" s="289"/>
      <c r="AD14" s="289"/>
      <c r="AE14" s="289"/>
      <c r="AF14" s="289"/>
      <c r="AG14" s="289"/>
      <c r="AH14" s="289"/>
      <c r="AI14" s="289"/>
      <c r="AJ14" s="289"/>
      <c r="AK14" s="289"/>
      <c r="AL14" s="289"/>
      <c r="AM14" s="289"/>
      <c r="AN14" s="289"/>
      <c r="AO14" s="289"/>
      <c r="AP14" s="452"/>
      <c r="AQ14" s="111"/>
      <c r="AR14" s="111"/>
      <c r="AS14" s="111"/>
      <c r="AT14" s="111"/>
      <c r="AU14" s="111"/>
      <c r="AV14" s="111"/>
      <c r="AW14" s="111"/>
      <c r="AX14" s="111"/>
      <c r="AY14" s="111"/>
      <c r="AZ14" s="13"/>
      <c r="BA14" s="451"/>
      <c r="BB14" s="451"/>
      <c r="BC14" s="451"/>
      <c r="BD14" s="451">
        <v>1</v>
      </c>
      <c r="BE14" s="453"/>
      <c r="BF14" s="266" t="s">
        <v>980</v>
      </c>
      <c r="BG14" s="266" t="str">
        <f>CONCATENATE("Acceder al sistema Gemma con usuario y perfil activo para la funcionalidad modulo Maestro - Vehiculo, hacer clic en el boton ","",IF(B14=1,"Agregar","")," ",IF(C14=1,"Modificar un registro","")," ",IF(D14=1,"Eliminar un registro","")," que esta en uso.",IF(F14=1,"Exportar Documento Excel",""), ,IF(E14=1,"Link Marca ","")," ")</f>
        <v xml:space="preserve">Acceder al sistema Gemma con usuario y perfil activo para la funcionalidad modulo Maestro - Vehiculo, hacer clic en el boton   Eliminar un registro que esta en uso. </v>
      </c>
      <c r="BH14" s="267" t="str">
        <f>CONCATENATE(" Validar funcionalidad Maestro Vehiculo seleccionando la opcion "," ",IF(B14=1,$B$2,IF(C14=1,$C$2,IF(D14=1,$D$2,IF(F14=1,$F$2,""))))," y cancelar transacción",)</f>
        <v xml:space="preserve"> Validar funcionalidad Maestro Vehiculo seleccionando la opcion  Eliminar y cancelar transacción</v>
      </c>
      <c r="BI14" s="267" t="s">
        <v>1475</v>
      </c>
    </row>
    <row r="15" spans="1:61" s="109" customFormat="1" x14ac:dyDescent="0.25">
      <c r="B15" s="14"/>
      <c r="C15" s="110"/>
      <c r="D15" s="110"/>
      <c r="E15" s="110"/>
      <c r="F15" s="110"/>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278"/>
      <c r="BF15" s="266"/>
      <c r="BG15" s="266"/>
      <c r="BH15" s="267"/>
      <c r="BI15" s="267"/>
    </row>
    <row r="16" spans="1:61" s="109" customFormat="1" x14ac:dyDescent="0.25">
      <c r="B16" s="14"/>
      <c r="C16" s="110"/>
      <c r="D16" s="110"/>
      <c r="E16" s="110"/>
      <c r="F16" s="110"/>
      <c r="G16" s="110"/>
      <c r="H16" s="110"/>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278"/>
      <c r="BF16" s="266"/>
      <c r="BG16" s="266"/>
      <c r="BH16" s="267"/>
      <c r="BI16" s="267"/>
    </row>
    <row r="17" spans="2:61" s="109" customFormat="1" x14ac:dyDescent="0.25">
      <c r="B17" s="14"/>
      <c r="C17" s="110"/>
      <c r="D17" s="110"/>
      <c r="E17" s="110"/>
      <c r="F17" s="110"/>
      <c r="G17" s="110"/>
      <c r="H17" s="110"/>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278"/>
      <c r="BF17" s="266"/>
      <c r="BG17" s="266"/>
      <c r="BH17" s="267"/>
      <c r="BI17" s="267"/>
    </row>
    <row r="18" spans="2:61" s="109" customFormat="1" x14ac:dyDescent="0.25">
      <c r="B18" s="14"/>
      <c r="C18" s="110"/>
      <c r="D18" s="110"/>
      <c r="E18" s="110"/>
      <c r="F18" s="110"/>
      <c r="G18" s="110"/>
      <c r="H18" s="110"/>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278"/>
      <c r="BF18" s="266"/>
      <c r="BG18" s="266"/>
      <c r="BH18" s="267"/>
      <c r="BI18" s="267"/>
    </row>
    <row r="19" spans="2:61" s="109" customFormat="1" x14ac:dyDescent="0.25">
      <c r="B19" s="14"/>
      <c r="C19" s="110"/>
      <c r="D19" s="110"/>
      <c r="E19" s="110"/>
      <c r="F19" s="110"/>
      <c r="G19" s="110"/>
      <c r="H19" s="110"/>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278"/>
      <c r="BF19" s="266"/>
      <c r="BG19" s="266"/>
      <c r="BH19" s="267"/>
      <c r="BI19" s="267"/>
    </row>
    <row r="20" spans="2:61" s="109" customFormat="1" x14ac:dyDescent="0.25">
      <c r="B20" s="14"/>
      <c r="C20" s="110"/>
      <c r="D20" s="110"/>
      <c r="E20" s="110"/>
      <c r="F20" s="110"/>
      <c r="G20" s="110"/>
      <c r="H20" s="110"/>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278"/>
      <c r="BF20" s="266"/>
      <c r="BG20" s="266"/>
      <c r="BH20" s="267"/>
      <c r="BI20" s="267"/>
    </row>
    <row r="21" spans="2:61" s="109" customFormat="1" x14ac:dyDescent="0.25">
      <c r="B21" s="14"/>
      <c r="C21" s="110"/>
      <c r="D21" s="110"/>
      <c r="E21" s="110"/>
      <c r="F21" s="110"/>
      <c r="G21" s="16"/>
      <c r="H21" s="16"/>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278"/>
      <c r="BF21" s="266"/>
      <c r="BG21" s="266"/>
      <c r="BH21" s="267"/>
      <c r="BI21" s="267"/>
    </row>
    <row r="22" spans="2:61" s="109" customFormat="1" ht="15.75" thickBot="1" x14ac:dyDescent="0.3">
      <c r="B22" s="14"/>
      <c r="C22" s="110"/>
      <c r="D22" s="110"/>
      <c r="E22" s="110"/>
      <c r="F22" s="110"/>
      <c r="G22" s="16"/>
      <c r="H22" s="16"/>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278"/>
      <c r="BF22" s="266"/>
      <c r="BG22" s="266"/>
      <c r="BH22" s="267"/>
      <c r="BI22" s="267"/>
    </row>
    <row r="23" spans="2:61" s="109" customFormat="1" ht="15.75" thickTop="1" x14ac:dyDescent="0.25">
      <c r="B23" s="14"/>
      <c r="C23" s="110"/>
      <c r="D23" s="110"/>
      <c r="E23" s="110"/>
      <c r="F23" s="110"/>
      <c r="G23" s="335"/>
      <c r="H23" s="335"/>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278"/>
      <c r="BF23" s="266"/>
      <c r="BG23" s="266"/>
      <c r="BH23" s="267"/>
      <c r="BI23" s="267"/>
    </row>
    <row r="24" spans="2:61" s="109" customFormat="1" x14ac:dyDescent="0.25">
      <c r="B24" s="14"/>
      <c r="C24" s="110"/>
      <c r="D24" s="110"/>
      <c r="E24" s="110"/>
      <c r="F24" s="110"/>
      <c r="G24" s="284"/>
      <c r="H24" s="284"/>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278"/>
      <c r="BF24" s="266"/>
      <c r="BG24" s="266"/>
      <c r="BH24" s="267"/>
      <c r="BI24" s="267"/>
    </row>
    <row r="25" spans="2:61" s="109" customFormat="1" x14ac:dyDescent="0.25">
      <c r="B25" s="14"/>
      <c r="C25" s="110"/>
      <c r="D25" s="110"/>
      <c r="E25" s="110"/>
      <c r="F25" s="110"/>
      <c r="G25" s="110"/>
      <c r="H25" s="110"/>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278"/>
      <c r="BF25" s="266"/>
      <c r="BG25" s="266"/>
      <c r="BH25" s="267"/>
      <c r="BI25" s="267"/>
    </row>
    <row r="26" spans="2:61" s="109" customFormat="1" ht="15.75" thickBot="1" x14ac:dyDescent="0.3">
      <c r="B26" s="18"/>
      <c r="C26" s="13"/>
      <c r="D26" s="13"/>
      <c r="E26" s="13"/>
      <c r="F26" s="13"/>
      <c r="G26" s="304"/>
      <c r="H26" s="304"/>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278"/>
      <c r="BF26" s="266"/>
      <c r="BG26" s="266"/>
      <c r="BH26" s="267"/>
      <c r="BI26" s="267"/>
    </row>
    <row r="27" spans="2:61" s="109" customFormat="1" ht="15.75" thickTop="1" x14ac:dyDescent="0.25">
      <c r="B27" s="18"/>
      <c r="C27" s="13"/>
      <c r="D27" s="13"/>
      <c r="E27" s="13"/>
      <c r="F27" s="13"/>
      <c r="G27" s="25"/>
      <c r="H27" s="25"/>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c r="AM27" s="110"/>
      <c r="AN27" s="110"/>
      <c r="AO27" s="110"/>
      <c r="AP27" s="110"/>
      <c r="AQ27" s="110"/>
      <c r="AR27" s="110"/>
      <c r="AS27" s="110"/>
      <c r="AT27" s="110"/>
      <c r="AU27" s="110"/>
      <c r="AV27" s="110"/>
      <c r="AW27" s="110"/>
      <c r="AX27" s="110"/>
      <c r="AY27" s="110"/>
      <c r="AZ27" s="110"/>
      <c r="BA27" s="110"/>
      <c r="BB27" s="110"/>
      <c r="BC27" s="110"/>
      <c r="BD27" s="110"/>
      <c r="BE27" s="17"/>
      <c r="BF27" s="270"/>
      <c r="BG27" s="270"/>
      <c r="BH27" s="267"/>
      <c r="BI27" s="267"/>
    </row>
    <row r="28" spans="2:61" s="109" customFormat="1" x14ac:dyDescent="0.25">
      <c r="B28" s="18"/>
      <c r="C28" s="13"/>
      <c r="D28" s="13"/>
      <c r="E28" s="13"/>
      <c r="F28" s="13"/>
      <c r="G28" s="13"/>
      <c r="H28" s="13"/>
      <c r="I28" s="110"/>
      <c r="J28" s="110"/>
      <c r="K28" s="110"/>
      <c r="L28" s="110"/>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c r="AM28" s="110"/>
      <c r="AN28" s="110"/>
      <c r="AO28" s="110"/>
      <c r="AP28" s="110"/>
      <c r="AQ28" s="110"/>
      <c r="AR28" s="110"/>
      <c r="AS28" s="110"/>
      <c r="AT28" s="110"/>
      <c r="AU28" s="110"/>
      <c r="AV28" s="110"/>
      <c r="AW28" s="110"/>
      <c r="AX28" s="110"/>
      <c r="AY28" s="110"/>
      <c r="AZ28" s="110"/>
      <c r="BA28" s="110"/>
      <c r="BB28" s="110"/>
      <c r="BC28" s="110"/>
      <c r="BD28" s="110"/>
      <c r="BE28" s="17"/>
      <c r="BF28" s="270"/>
      <c r="BG28" s="270"/>
      <c r="BH28" s="267"/>
      <c r="BI28" s="267"/>
    </row>
    <row r="29" spans="2:61" s="109" customFormat="1" x14ac:dyDescent="0.25">
      <c r="B29" s="18"/>
      <c r="C29" s="13"/>
      <c r="D29" s="13"/>
      <c r="E29" s="13"/>
      <c r="F29" s="13"/>
      <c r="G29" s="13"/>
      <c r="H29" s="13"/>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c r="AM29" s="110"/>
      <c r="AN29" s="110"/>
      <c r="AO29" s="110"/>
      <c r="AP29" s="110"/>
      <c r="AQ29" s="110"/>
      <c r="AR29" s="110"/>
      <c r="AS29" s="110"/>
      <c r="AT29" s="110"/>
      <c r="AU29" s="110"/>
      <c r="AV29" s="110"/>
      <c r="AW29" s="110"/>
      <c r="AX29" s="110"/>
      <c r="AY29" s="110"/>
      <c r="AZ29" s="110"/>
      <c r="BA29" s="110"/>
      <c r="BB29" s="110"/>
      <c r="BC29" s="110"/>
      <c r="BD29" s="110"/>
      <c r="BE29" s="17"/>
      <c r="BF29" s="270"/>
      <c r="BG29" s="270"/>
      <c r="BH29" s="267"/>
      <c r="BI29" s="267"/>
    </row>
    <row r="30" spans="2:61" s="109" customFormat="1" x14ac:dyDescent="0.25">
      <c r="B30" s="18"/>
      <c r="C30" s="13"/>
      <c r="D30" s="13"/>
      <c r="E30" s="13"/>
      <c r="F30" s="13"/>
      <c r="G30" s="13"/>
      <c r="H30" s="13"/>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110"/>
      <c r="AP30" s="110"/>
      <c r="AQ30" s="110"/>
      <c r="AR30" s="110"/>
      <c r="AS30" s="110"/>
      <c r="AT30" s="110"/>
      <c r="AU30" s="110"/>
      <c r="AV30" s="110"/>
      <c r="AW30" s="110"/>
      <c r="AX30" s="110"/>
      <c r="AY30" s="110"/>
      <c r="AZ30" s="110"/>
      <c r="BA30" s="110"/>
      <c r="BB30" s="110"/>
      <c r="BC30" s="110"/>
      <c r="BD30" s="110"/>
      <c r="BE30" s="17"/>
      <c r="BF30" s="270"/>
      <c r="BG30" s="270"/>
      <c r="BH30" s="267"/>
      <c r="BI30" s="267"/>
    </row>
    <row r="31" spans="2:61" s="109" customFormat="1" x14ac:dyDescent="0.25">
      <c r="B31" s="18"/>
      <c r="C31" s="13"/>
      <c r="D31" s="13"/>
      <c r="E31" s="13"/>
      <c r="F31" s="13"/>
      <c r="G31" s="13"/>
      <c r="H31" s="13"/>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0"/>
      <c r="BD31" s="110"/>
      <c r="BE31" s="17"/>
      <c r="BF31" s="270"/>
      <c r="BG31" s="270"/>
      <c r="BH31" s="267"/>
      <c r="BI31" s="267"/>
    </row>
    <row r="32" spans="2:61" s="109" customFormat="1" x14ac:dyDescent="0.25">
      <c r="B32" s="18"/>
      <c r="C32" s="13"/>
      <c r="D32" s="13"/>
      <c r="E32" s="13"/>
      <c r="F32" s="13"/>
      <c r="G32" s="13"/>
      <c r="H32" s="13"/>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110"/>
      <c r="AO32" s="110"/>
      <c r="AP32" s="110"/>
      <c r="AQ32" s="110"/>
      <c r="AR32" s="110"/>
      <c r="AS32" s="110"/>
      <c r="AT32" s="110"/>
      <c r="AU32" s="110"/>
      <c r="AV32" s="110"/>
      <c r="AW32" s="110"/>
      <c r="AX32" s="110"/>
      <c r="AY32" s="110"/>
      <c r="AZ32" s="110"/>
      <c r="BA32" s="110"/>
      <c r="BB32" s="110"/>
      <c r="BC32" s="110"/>
      <c r="BD32" s="110"/>
      <c r="BE32" s="17"/>
      <c r="BF32" s="270"/>
      <c r="BG32" s="270"/>
      <c r="BH32" s="267"/>
      <c r="BI32" s="267"/>
    </row>
    <row r="33" spans="2:61" s="109" customFormat="1" x14ac:dyDescent="0.25">
      <c r="B33" s="18"/>
      <c r="C33" s="13"/>
      <c r="D33" s="13"/>
      <c r="E33" s="13"/>
      <c r="F33" s="13"/>
      <c r="G33" s="13"/>
      <c r="H33" s="13"/>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110"/>
      <c r="AO33" s="110"/>
      <c r="AP33" s="110"/>
      <c r="AQ33" s="110"/>
      <c r="AR33" s="110"/>
      <c r="AS33" s="110"/>
      <c r="AT33" s="110"/>
      <c r="AU33" s="110"/>
      <c r="AV33" s="110"/>
      <c r="AW33" s="110"/>
      <c r="AX33" s="110"/>
      <c r="AY33" s="110"/>
      <c r="AZ33" s="110"/>
      <c r="BA33" s="110"/>
      <c r="BB33" s="110"/>
      <c r="BC33" s="110"/>
      <c r="BD33" s="110"/>
      <c r="BE33" s="17"/>
      <c r="BF33" s="270"/>
      <c r="BG33" s="270"/>
      <c r="BH33" s="267"/>
      <c r="BI33" s="267"/>
    </row>
    <row r="34" spans="2:61" s="109" customFormat="1" x14ac:dyDescent="0.25">
      <c r="B34" s="18"/>
      <c r="C34" s="13"/>
      <c r="D34" s="13"/>
      <c r="E34" s="13"/>
      <c r="F34" s="13"/>
      <c r="G34" s="13"/>
      <c r="H34" s="13"/>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0"/>
      <c r="AO34" s="110"/>
      <c r="AP34" s="110"/>
      <c r="AQ34" s="110"/>
      <c r="AR34" s="110"/>
      <c r="AS34" s="110"/>
      <c r="AT34" s="110"/>
      <c r="AU34" s="110"/>
      <c r="AV34" s="110"/>
      <c r="AW34" s="110"/>
      <c r="AX34" s="110"/>
      <c r="AY34" s="110"/>
      <c r="AZ34" s="110"/>
      <c r="BA34" s="110"/>
      <c r="BB34" s="110"/>
      <c r="BC34" s="110"/>
      <c r="BD34" s="110"/>
      <c r="BE34" s="17"/>
      <c r="BF34" s="270"/>
      <c r="BG34" s="270"/>
      <c r="BH34" s="267"/>
      <c r="BI34" s="267"/>
    </row>
    <row r="35" spans="2:61" s="109" customFormat="1" x14ac:dyDescent="0.25">
      <c r="B35" s="18"/>
      <c r="C35" s="13"/>
      <c r="D35" s="13"/>
      <c r="E35" s="13"/>
      <c r="F35" s="13"/>
      <c r="G35" s="13"/>
      <c r="H35" s="13"/>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110"/>
      <c r="AO35" s="110"/>
      <c r="AP35" s="110"/>
      <c r="AQ35" s="110"/>
      <c r="AR35" s="110"/>
      <c r="AS35" s="110"/>
      <c r="AT35" s="110"/>
      <c r="AU35" s="110"/>
      <c r="AV35" s="110"/>
      <c r="AW35" s="110"/>
      <c r="AX35" s="110"/>
      <c r="AY35" s="110"/>
      <c r="AZ35" s="110"/>
      <c r="BA35" s="110"/>
      <c r="BB35" s="110"/>
      <c r="BC35" s="110"/>
      <c r="BD35" s="110"/>
      <c r="BE35" s="17"/>
      <c r="BF35" s="270"/>
      <c r="BG35" s="270"/>
      <c r="BH35" s="267"/>
      <c r="BI35" s="267"/>
    </row>
    <row r="36" spans="2:61" s="109" customFormat="1" x14ac:dyDescent="0.25">
      <c r="B36" s="18"/>
      <c r="C36" s="13"/>
      <c r="D36" s="13"/>
      <c r="E36" s="13"/>
      <c r="F36" s="13"/>
      <c r="G36" s="13"/>
      <c r="H36" s="13"/>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110"/>
      <c r="AO36" s="110"/>
      <c r="AP36" s="110"/>
      <c r="AQ36" s="110"/>
      <c r="AR36" s="110"/>
      <c r="AS36" s="110"/>
      <c r="AT36" s="110"/>
      <c r="AU36" s="110"/>
      <c r="AV36" s="110"/>
      <c r="AW36" s="110"/>
      <c r="AX36" s="110"/>
      <c r="AY36" s="110"/>
      <c r="AZ36" s="110"/>
      <c r="BA36" s="110"/>
      <c r="BB36" s="110"/>
      <c r="BC36" s="110"/>
      <c r="BD36" s="110"/>
      <c r="BE36" s="17"/>
      <c r="BF36" s="270"/>
      <c r="BG36" s="270"/>
      <c r="BH36" s="267"/>
      <c r="BI36" s="267"/>
    </row>
    <row r="37" spans="2:61" s="109" customFormat="1" x14ac:dyDescent="0.25">
      <c r="B37" s="18"/>
      <c r="C37" s="13"/>
      <c r="D37" s="13"/>
      <c r="E37" s="13"/>
      <c r="F37" s="13"/>
      <c r="G37" s="13"/>
      <c r="H37" s="13"/>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110"/>
      <c r="AO37" s="110"/>
      <c r="AP37" s="110"/>
      <c r="AQ37" s="110"/>
      <c r="AR37" s="110"/>
      <c r="AS37" s="110"/>
      <c r="AT37" s="110"/>
      <c r="AU37" s="110"/>
      <c r="AV37" s="110"/>
      <c r="AW37" s="110"/>
      <c r="AX37" s="110"/>
      <c r="AY37" s="110"/>
      <c r="AZ37" s="110"/>
      <c r="BA37" s="110"/>
      <c r="BB37" s="110"/>
      <c r="BC37" s="110"/>
      <c r="BD37" s="110"/>
      <c r="BE37" s="17"/>
      <c r="BF37" s="270"/>
      <c r="BG37" s="270"/>
      <c r="BH37" s="267"/>
      <c r="BI37" s="267"/>
    </row>
    <row r="38" spans="2:61" s="109" customFormat="1" x14ac:dyDescent="0.25">
      <c r="B38" s="18"/>
      <c r="C38" s="13"/>
      <c r="D38" s="13"/>
      <c r="E38" s="13"/>
      <c r="F38" s="13"/>
      <c r="G38" s="13"/>
      <c r="H38" s="13"/>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7"/>
      <c r="BF38" s="270"/>
      <c r="BG38" s="270"/>
      <c r="BH38" s="267"/>
      <c r="BI38" s="267"/>
    </row>
    <row r="39" spans="2:61" s="109" customFormat="1" ht="15.75" thickBot="1" x14ac:dyDescent="0.3">
      <c r="B39" s="18"/>
      <c r="C39" s="13"/>
      <c r="D39" s="13"/>
      <c r="E39" s="13"/>
      <c r="F39" s="13"/>
      <c r="G39" s="281"/>
      <c r="H39" s="281"/>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c r="AM39" s="110"/>
      <c r="AN39" s="110"/>
      <c r="AO39" s="110"/>
      <c r="AP39" s="110"/>
      <c r="AQ39" s="110"/>
      <c r="AR39" s="110"/>
      <c r="AS39" s="110"/>
      <c r="AT39" s="110"/>
      <c r="AU39" s="110"/>
      <c r="AV39" s="110"/>
      <c r="AW39" s="110"/>
      <c r="AX39" s="110"/>
      <c r="AY39" s="110"/>
      <c r="AZ39" s="110"/>
      <c r="BA39" s="110"/>
      <c r="BB39" s="110"/>
      <c r="BC39" s="110"/>
      <c r="BD39" s="110"/>
      <c r="BE39" s="17"/>
      <c r="BF39" s="270"/>
      <c r="BG39" s="270"/>
      <c r="BH39" s="267"/>
      <c r="BI39" s="267"/>
    </row>
    <row r="40" spans="2:61" s="109" customFormat="1" ht="15.75" thickTop="1" x14ac:dyDescent="0.25">
      <c r="B40" s="18"/>
      <c r="C40" s="13"/>
      <c r="D40" s="13"/>
      <c r="E40" s="13"/>
      <c r="F40" s="13"/>
      <c r="G40" s="25"/>
      <c r="H40" s="25"/>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c r="AM40" s="110"/>
      <c r="AN40" s="110"/>
      <c r="AO40" s="110"/>
      <c r="AP40" s="110"/>
      <c r="AQ40" s="110"/>
      <c r="AR40" s="110"/>
      <c r="AS40" s="110"/>
      <c r="AT40" s="110"/>
      <c r="AU40" s="110"/>
      <c r="AV40" s="110"/>
      <c r="AW40" s="110"/>
      <c r="AX40" s="110"/>
      <c r="AY40" s="110"/>
      <c r="AZ40" s="110"/>
      <c r="BA40" s="110"/>
      <c r="BB40" s="110"/>
      <c r="BC40" s="110"/>
      <c r="BD40" s="110"/>
      <c r="BE40" s="17"/>
      <c r="BF40" s="270"/>
      <c r="BG40" s="270"/>
      <c r="BH40" s="267"/>
      <c r="BI40" s="267"/>
    </row>
    <row r="41" spans="2:61" s="109" customFormat="1" x14ac:dyDescent="0.25">
      <c r="B41" s="18"/>
      <c r="C41" s="13"/>
      <c r="D41" s="13"/>
      <c r="E41" s="13"/>
      <c r="F41" s="13"/>
      <c r="G41" s="13"/>
      <c r="H41" s="13"/>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10"/>
      <c r="AX41" s="110"/>
      <c r="AY41" s="110"/>
      <c r="AZ41" s="110"/>
      <c r="BA41" s="110"/>
      <c r="BB41" s="110"/>
      <c r="BC41" s="110"/>
      <c r="BD41" s="110"/>
      <c r="BE41" s="17"/>
      <c r="BF41" s="270"/>
      <c r="BG41" s="270"/>
      <c r="BH41" s="267"/>
      <c r="BI41" s="267"/>
    </row>
    <row r="42" spans="2:61" s="109" customFormat="1" x14ac:dyDescent="0.25">
      <c r="B42" s="18"/>
      <c r="C42" s="13"/>
      <c r="D42" s="13"/>
      <c r="E42" s="13"/>
      <c r="F42" s="13"/>
      <c r="G42" s="13"/>
      <c r="H42" s="13"/>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110"/>
      <c r="AO42" s="110"/>
      <c r="AP42" s="110"/>
      <c r="AQ42" s="110"/>
      <c r="AR42" s="110"/>
      <c r="AS42" s="110"/>
      <c r="AT42" s="110"/>
      <c r="AU42" s="110"/>
      <c r="AV42" s="110"/>
      <c r="AW42" s="110"/>
      <c r="AX42" s="110"/>
      <c r="AY42" s="110"/>
      <c r="AZ42" s="110"/>
      <c r="BA42" s="110"/>
      <c r="BB42" s="110"/>
      <c r="BC42" s="110"/>
      <c r="BD42" s="110"/>
      <c r="BE42" s="17"/>
      <c r="BF42" s="270"/>
      <c r="BG42" s="270"/>
      <c r="BH42" s="267"/>
      <c r="BI42" s="267"/>
    </row>
    <row r="43" spans="2:61" s="109" customFormat="1" x14ac:dyDescent="0.25">
      <c r="B43" s="18"/>
      <c r="C43" s="13"/>
      <c r="D43" s="13"/>
      <c r="E43" s="13"/>
      <c r="F43" s="13"/>
      <c r="G43" s="13"/>
      <c r="H43" s="13"/>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10"/>
      <c r="AP43" s="110"/>
      <c r="AQ43" s="110"/>
      <c r="AR43" s="110"/>
      <c r="AS43" s="110"/>
      <c r="AT43" s="110"/>
      <c r="AU43" s="110"/>
      <c r="AV43" s="110"/>
      <c r="AW43" s="110"/>
      <c r="AX43" s="110"/>
      <c r="AY43" s="110"/>
      <c r="AZ43" s="110"/>
      <c r="BA43" s="110"/>
      <c r="BB43" s="110"/>
      <c r="BC43" s="110"/>
      <c r="BD43" s="110"/>
      <c r="BE43" s="17"/>
      <c r="BF43" s="270"/>
      <c r="BG43" s="270"/>
      <c r="BH43" s="267"/>
      <c r="BI43" s="267"/>
    </row>
    <row r="44" spans="2:61" s="109" customFormat="1" x14ac:dyDescent="0.25">
      <c r="B44" s="18"/>
      <c r="C44" s="13"/>
      <c r="D44" s="13"/>
      <c r="E44" s="13"/>
      <c r="F44" s="13"/>
      <c r="G44" s="13"/>
      <c r="H44" s="13"/>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10"/>
      <c r="BB44" s="110"/>
      <c r="BC44" s="110"/>
      <c r="BD44" s="110"/>
      <c r="BE44" s="17"/>
      <c r="BF44" s="270"/>
      <c r="BG44" s="270"/>
      <c r="BH44" s="267"/>
      <c r="BI44" s="267"/>
    </row>
    <row r="45" spans="2:61" s="109" customFormat="1" x14ac:dyDescent="0.25">
      <c r="B45" s="18"/>
      <c r="C45" s="13"/>
      <c r="D45" s="13"/>
      <c r="E45" s="13"/>
      <c r="F45" s="13"/>
      <c r="G45" s="13"/>
      <c r="H45" s="13"/>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c r="AW45" s="110"/>
      <c r="AX45" s="110"/>
      <c r="AY45" s="110"/>
      <c r="AZ45" s="110"/>
      <c r="BA45" s="110"/>
      <c r="BB45" s="110"/>
      <c r="BC45" s="110"/>
      <c r="BD45" s="110"/>
      <c r="BE45" s="17"/>
      <c r="BF45" s="270"/>
      <c r="BG45" s="270"/>
      <c r="BH45" s="267"/>
      <c r="BI45" s="267"/>
    </row>
    <row r="46" spans="2:61" s="109" customFormat="1" x14ac:dyDescent="0.25">
      <c r="B46" s="18"/>
      <c r="C46" s="13"/>
      <c r="D46" s="13"/>
      <c r="E46" s="13"/>
      <c r="F46" s="13"/>
      <c r="G46" s="13"/>
      <c r="H46" s="13"/>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110"/>
      <c r="AO46" s="110"/>
      <c r="AP46" s="110"/>
      <c r="AQ46" s="110"/>
      <c r="AR46" s="110"/>
      <c r="AS46" s="110"/>
      <c r="AT46" s="110"/>
      <c r="AU46" s="110"/>
      <c r="AV46" s="110"/>
      <c r="AW46" s="110"/>
      <c r="AX46" s="110"/>
      <c r="AY46" s="110"/>
      <c r="AZ46" s="110"/>
      <c r="BA46" s="110"/>
      <c r="BB46" s="110"/>
      <c r="BC46" s="110"/>
      <c r="BD46" s="110"/>
      <c r="BE46" s="17"/>
      <c r="BF46" s="270"/>
      <c r="BG46" s="270"/>
      <c r="BH46" s="267"/>
      <c r="BI46" s="267"/>
    </row>
    <row r="47" spans="2:61" s="109" customFormat="1" x14ac:dyDescent="0.25">
      <c r="B47" s="18"/>
      <c r="C47" s="13"/>
      <c r="D47" s="13"/>
      <c r="E47" s="13"/>
      <c r="F47" s="13"/>
      <c r="G47" s="13"/>
      <c r="H47" s="13"/>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10"/>
      <c r="AX47" s="110"/>
      <c r="AY47" s="110"/>
      <c r="AZ47" s="110"/>
      <c r="BA47" s="110"/>
      <c r="BB47" s="110"/>
      <c r="BC47" s="110"/>
      <c r="BD47" s="110"/>
      <c r="BE47" s="17"/>
      <c r="BF47" s="270"/>
      <c r="BG47" s="270"/>
      <c r="BH47" s="267"/>
      <c r="BI47" s="267"/>
    </row>
    <row r="48" spans="2:61" s="109" customFormat="1" x14ac:dyDescent="0.25">
      <c r="B48" s="18"/>
      <c r="C48" s="13"/>
      <c r="D48" s="13"/>
      <c r="E48" s="13"/>
      <c r="F48" s="13"/>
      <c r="G48" s="13"/>
      <c r="H48" s="13"/>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c r="AM48" s="110"/>
      <c r="AN48" s="110"/>
      <c r="AO48" s="110"/>
      <c r="AP48" s="110"/>
      <c r="AQ48" s="110"/>
      <c r="AR48" s="110"/>
      <c r="AS48" s="110"/>
      <c r="AT48" s="110"/>
      <c r="AU48" s="110"/>
      <c r="AV48" s="110"/>
      <c r="AW48" s="110"/>
      <c r="AX48" s="110"/>
      <c r="AY48" s="110"/>
      <c r="AZ48" s="110"/>
      <c r="BA48" s="110"/>
      <c r="BB48" s="110"/>
      <c r="BC48" s="110"/>
      <c r="BD48" s="110"/>
      <c r="BE48" s="17"/>
      <c r="BF48" s="270"/>
      <c r="BG48" s="270"/>
      <c r="BH48" s="267"/>
      <c r="BI48" s="267"/>
    </row>
    <row r="49" spans="2:61" s="109" customFormat="1" x14ac:dyDescent="0.25">
      <c r="B49" s="18"/>
      <c r="C49" s="13"/>
      <c r="D49" s="13"/>
      <c r="E49" s="13"/>
      <c r="F49" s="13"/>
      <c r="G49" s="13"/>
      <c r="H49" s="13"/>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0"/>
      <c r="BA49" s="110"/>
      <c r="BB49" s="110"/>
      <c r="BC49" s="110"/>
      <c r="BD49" s="110"/>
      <c r="BE49" s="17"/>
      <c r="BF49" s="270"/>
      <c r="BG49" s="270"/>
      <c r="BH49" s="267"/>
      <c r="BI49" s="267"/>
    </row>
    <row r="50" spans="2:61" s="109" customFormat="1" x14ac:dyDescent="0.25">
      <c r="B50" s="18"/>
      <c r="C50" s="13"/>
      <c r="D50" s="13"/>
      <c r="E50" s="13"/>
      <c r="F50" s="13"/>
      <c r="G50" s="13"/>
      <c r="H50" s="13"/>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10"/>
      <c r="AP50" s="110"/>
      <c r="AQ50" s="110"/>
      <c r="AR50" s="110"/>
      <c r="AS50" s="110"/>
      <c r="AT50" s="110"/>
      <c r="AU50" s="110"/>
      <c r="AV50" s="110"/>
      <c r="AW50" s="110"/>
      <c r="AX50" s="110"/>
      <c r="AY50" s="110"/>
      <c r="AZ50" s="110"/>
      <c r="BA50" s="110"/>
      <c r="BB50" s="110"/>
      <c r="BC50" s="110"/>
      <c r="BD50" s="110"/>
      <c r="BE50" s="17"/>
      <c r="BF50" s="270"/>
      <c r="BG50" s="270"/>
      <c r="BH50" s="267"/>
      <c r="BI50" s="267"/>
    </row>
    <row r="51" spans="2:61" s="109" customFormat="1" ht="15.75" thickBot="1" x14ac:dyDescent="0.3">
      <c r="B51" s="323"/>
      <c r="C51" s="281"/>
      <c r="D51" s="281"/>
      <c r="E51" s="281"/>
      <c r="F51" s="281"/>
      <c r="G51" s="13"/>
      <c r="H51" s="13"/>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38"/>
      <c r="BF51" s="270"/>
      <c r="BG51" s="270"/>
      <c r="BH51" s="267"/>
      <c r="BI51" s="267"/>
    </row>
    <row r="52" spans="2:61" s="109" customFormat="1" ht="16.5" thickTop="1" thickBot="1" x14ac:dyDescent="0.3">
      <c r="B52" s="108"/>
      <c r="C52" s="108"/>
      <c r="D52" s="108"/>
      <c r="E52" s="108"/>
      <c r="F52" s="108"/>
      <c r="G52" s="281"/>
      <c r="H52" s="281"/>
      <c r="I52" s="108"/>
      <c r="J52" s="108"/>
      <c r="K52" s="108"/>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c r="BF52" s="270"/>
      <c r="BG52" s="270"/>
      <c r="BH52" s="267"/>
      <c r="BI52" s="267"/>
    </row>
    <row r="53" spans="2:61" s="109" customFormat="1" ht="15.75" thickTop="1" x14ac:dyDescent="0.25">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270"/>
      <c r="BG53" s="270"/>
      <c r="BH53" s="267"/>
      <c r="BI53" s="267"/>
    </row>
    <row r="54" spans="2:61" s="109" customFormat="1" x14ac:dyDescent="0.2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c r="BF54" s="270"/>
      <c r="BG54" s="270"/>
      <c r="BH54" s="267"/>
      <c r="BI54" s="267"/>
    </row>
    <row r="55" spans="2:61" s="109" customFormat="1" x14ac:dyDescent="0.2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270"/>
      <c r="BG55" s="270"/>
      <c r="BH55" s="267"/>
      <c r="BI55" s="267"/>
    </row>
    <row r="56" spans="2:61" s="109" customFormat="1" x14ac:dyDescent="0.2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c r="BF56" s="270"/>
      <c r="BG56" s="270"/>
      <c r="BH56" s="267"/>
      <c r="BI56" s="267"/>
    </row>
    <row r="57" spans="2:61" s="109" customFormat="1" x14ac:dyDescent="0.2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c r="BF57" s="270"/>
      <c r="BG57" s="270"/>
      <c r="BH57" s="267"/>
      <c r="BI57" s="267"/>
    </row>
    <row r="58" spans="2:61" s="109" customFormat="1" x14ac:dyDescent="0.2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8"/>
      <c r="BE58" s="108"/>
      <c r="BF58" s="270"/>
      <c r="BG58" s="270"/>
      <c r="BH58" s="267"/>
      <c r="BI58" s="267"/>
    </row>
    <row r="59" spans="2:61" s="109" customFormat="1" x14ac:dyDescent="0.2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c r="BF59" s="270"/>
      <c r="BG59" s="270"/>
      <c r="BH59" s="267"/>
      <c r="BI59" s="267"/>
    </row>
    <row r="60" spans="2:61" s="109" customFormat="1" x14ac:dyDescent="0.2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c r="BF60" s="270"/>
      <c r="BG60" s="270"/>
      <c r="BH60" s="267"/>
      <c r="BI60" s="267"/>
    </row>
    <row r="61" spans="2:61" s="109" customFormat="1" x14ac:dyDescent="0.2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08"/>
      <c r="BE61" s="108"/>
      <c r="BF61" s="270"/>
      <c r="BG61" s="270"/>
      <c r="BH61" s="267"/>
      <c r="BI61" s="267"/>
    </row>
    <row r="62" spans="2:61" s="109" customFormat="1" x14ac:dyDescent="0.2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270"/>
      <c r="BG62" s="270"/>
      <c r="BH62" s="267"/>
      <c r="BI62" s="267"/>
    </row>
    <row r="63" spans="2:61" s="109" customFormat="1" x14ac:dyDescent="0.2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108"/>
      <c r="BA63" s="108"/>
      <c r="BB63" s="108"/>
      <c r="BC63" s="108"/>
      <c r="BD63" s="108"/>
      <c r="BE63" s="108"/>
      <c r="BF63" s="270"/>
      <c r="BG63" s="270"/>
      <c r="BH63" s="267"/>
      <c r="BI63" s="267"/>
    </row>
    <row r="64" spans="2:61" s="109" customFormat="1" x14ac:dyDescent="0.2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108"/>
      <c r="AY64" s="108"/>
      <c r="AZ64" s="108"/>
      <c r="BA64" s="108"/>
      <c r="BB64" s="108"/>
      <c r="BC64" s="108"/>
      <c r="BD64" s="108"/>
      <c r="BE64" s="108"/>
      <c r="BF64" s="270"/>
      <c r="BG64" s="270"/>
      <c r="BH64" s="267"/>
      <c r="BI64" s="267"/>
    </row>
    <row r="65" spans="2:61" s="109" customFormat="1" x14ac:dyDescent="0.2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8"/>
      <c r="AO65" s="108"/>
      <c r="AP65" s="108"/>
      <c r="AQ65" s="108"/>
      <c r="AR65" s="108"/>
      <c r="AS65" s="108"/>
      <c r="AT65" s="108"/>
      <c r="AU65" s="108"/>
      <c r="AV65" s="108"/>
      <c r="AW65" s="108"/>
      <c r="AX65" s="108"/>
      <c r="AY65" s="108"/>
      <c r="AZ65" s="108"/>
      <c r="BA65" s="108"/>
      <c r="BB65" s="108"/>
      <c r="BC65" s="108"/>
      <c r="BD65" s="108"/>
      <c r="BE65" s="108"/>
      <c r="BF65" s="270"/>
      <c r="BG65" s="270"/>
      <c r="BH65" s="267"/>
      <c r="BI65" s="267"/>
    </row>
    <row r="66" spans="2:61" s="109" customFormat="1" x14ac:dyDescent="0.2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270"/>
      <c r="BG66" s="270"/>
      <c r="BH66" s="267"/>
      <c r="BI66" s="267"/>
    </row>
    <row r="67" spans="2:61" s="109" customFormat="1" x14ac:dyDescent="0.2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270"/>
      <c r="BG67" s="270"/>
      <c r="BH67" s="267"/>
      <c r="BI67" s="267"/>
    </row>
    <row r="68" spans="2:61" s="109" customFormat="1" x14ac:dyDescent="0.2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8"/>
      <c r="BE68" s="108"/>
      <c r="BF68" s="270"/>
      <c r="BG68" s="270"/>
      <c r="BH68" s="267"/>
      <c r="BI68" s="267"/>
    </row>
    <row r="69" spans="2:61" s="109" customFormat="1" x14ac:dyDescent="0.2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108"/>
      <c r="AY69" s="108"/>
      <c r="AZ69" s="108"/>
      <c r="BA69" s="108"/>
      <c r="BB69" s="108"/>
      <c r="BC69" s="108"/>
      <c r="BD69" s="108"/>
      <c r="BE69" s="108"/>
      <c r="BF69" s="270"/>
      <c r="BG69" s="270"/>
      <c r="BH69" s="267"/>
      <c r="BI69" s="267"/>
    </row>
    <row r="70" spans="2:61" s="109" customFormat="1" x14ac:dyDescent="0.2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108"/>
      <c r="AY70" s="108"/>
      <c r="AZ70" s="108"/>
      <c r="BA70" s="108"/>
      <c r="BB70" s="108"/>
      <c r="BC70" s="108"/>
      <c r="BD70" s="108"/>
      <c r="BE70" s="108"/>
      <c r="BF70" s="270"/>
      <c r="BG70" s="270"/>
      <c r="BH70" s="267"/>
      <c r="BI70" s="267"/>
    </row>
    <row r="71" spans="2:61" s="109" customFormat="1" x14ac:dyDescent="0.2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270"/>
      <c r="BG71" s="270"/>
      <c r="BH71" s="267"/>
      <c r="BI71" s="267"/>
    </row>
    <row r="72" spans="2:61" s="109" customFormat="1" x14ac:dyDescent="0.2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08"/>
      <c r="BD72" s="108"/>
      <c r="BE72" s="108"/>
      <c r="BF72" s="270"/>
      <c r="BG72" s="270"/>
      <c r="BH72" s="267"/>
      <c r="BI72" s="267"/>
    </row>
    <row r="73" spans="2:61" s="109" customFormat="1" x14ac:dyDescent="0.2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108"/>
      <c r="AQ73" s="108"/>
      <c r="AR73" s="108"/>
      <c r="AS73" s="108"/>
      <c r="AT73" s="108"/>
      <c r="AU73" s="108"/>
      <c r="AV73" s="108"/>
      <c r="AW73" s="108"/>
      <c r="AX73" s="108"/>
      <c r="AY73" s="108"/>
      <c r="AZ73" s="108"/>
      <c r="BA73" s="108"/>
      <c r="BB73" s="108"/>
      <c r="BC73" s="108"/>
      <c r="BD73" s="108"/>
      <c r="BE73" s="108"/>
      <c r="BF73" s="270"/>
      <c r="BG73" s="270"/>
      <c r="BH73" s="267"/>
      <c r="BI73" s="267"/>
    </row>
    <row r="74" spans="2:61" s="109" customFormat="1" x14ac:dyDescent="0.2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270"/>
      <c r="BG74" s="270"/>
      <c r="BH74" s="267"/>
      <c r="BI74" s="267"/>
    </row>
    <row r="75" spans="2:61" s="109" customFormat="1" x14ac:dyDescent="0.2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108"/>
      <c r="AQ75" s="108"/>
      <c r="AR75" s="108"/>
      <c r="AS75" s="108"/>
      <c r="AT75" s="108"/>
      <c r="AU75" s="108"/>
      <c r="AV75" s="108"/>
      <c r="AW75" s="108"/>
      <c r="AX75" s="108"/>
      <c r="AY75" s="108"/>
      <c r="AZ75" s="108"/>
      <c r="BA75" s="108"/>
      <c r="BB75" s="108"/>
      <c r="BC75" s="108"/>
      <c r="BD75" s="108"/>
      <c r="BE75" s="108"/>
      <c r="BF75" s="270"/>
      <c r="BG75" s="270"/>
      <c r="BH75" s="267"/>
      <c r="BI75" s="267"/>
    </row>
    <row r="76" spans="2:61" s="109" customFormat="1" x14ac:dyDescent="0.2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270"/>
      <c r="BG76" s="270"/>
      <c r="BH76" s="267"/>
      <c r="BI76" s="267"/>
    </row>
    <row r="77" spans="2:61" s="109" customFormat="1" x14ac:dyDescent="0.2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c r="BF77" s="270"/>
      <c r="BG77" s="270"/>
      <c r="BH77" s="267"/>
      <c r="BI77" s="267"/>
    </row>
    <row r="78" spans="2:61" s="109" customFormat="1" x14ac:dyDescent="0.2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108"/>
      <c r="AP78" s="108"/>
      <c r="AQ78" s="108"/>
      <c r="AR78" s="108"/>
      <c r="AS78" s="108"/>
      <c r="AT78" s="108"/>
      <c r="AU78" s="108"/>
      <c r="AV78" s="108"/>
      <c r="AW78" s="108"/>
      <c r="AX78" s="108"/>
      <c r="AY78" s="108"/>
      <c r="AZ78" s="108"/>
      <c r="BA78" s="108"/>
      <c r="BB78" s="108"/>
      <c r="BC78" s="108"/>
      <c r="BD78" s="108"/>
      <c r="BE78" s="108"/>
      <c r="BF78" s="270"/>
      <c r="BG78" s="270"/>
      <c r="BH78" s="267"/>
      <c r="BI78" s="267"/>
    </row>
    <row r="79" spans="2:61" s="109" customFormat="1" x14ac:dyDescent="0.2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8"/>
      <c r="BE79" s="108"/>
      <c r="BF79" s="270"/>
      <c r="BG79" s="270"/>
      <c r="BH79" s="267"/>
      <c r="BI79" s="267"/>
    </row>
    <row r="80" spans="2:61" s="109" customFormat="1" x14ac:dyDescent="0.2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08"/>
      <c r="BD80" s="108"/>
      <c r="BE80" s="108"/>
      <c r="BF80" s="270"/>
      <c r="BG80" s="270"/>
      <c r="BH80" s="267"/>
      <c r="BI80" s="267"/>
    </row>
    <row r="81" spans="2:61" s="109" customFormat="1" x14ac:dyDescent="0.2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108"/>
      <c r="AP81" s="108"/>
      <c r="AQ81" s="108"/>
      <c r="AR81" s="108"/>
      <c r="AS81" s="108"/>
      <c r="AT81" s="108"/>
      <c r="AU81" s="108"/>
      <c r="AV81" s="108"/>
      <c r="AW81" s="108"/>
      <c r="AX81" s="108"/>
      <c r="AY81" s="108"/>
      <c r="AZ81" s="108"/>
      <c r="BA81" s="108"/>
      <c r="BB81" s="108"/>
      <c r="BC81" s="108"/>
      <c r="BD81" s="108"/>
      <c r="BE81" s="108"/>
      <c r="BF81" s="270"/>
      <c r="BG81" s="270"/>
      <c r="BH81" s="267"/>
      <c r="BI81" s="267"/>
    </row>
    <row r="82" spans="2:61" s="109" customFormat="1" x14ac:dyDescent="0.25">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108"/>
      <c r="AM82" s="108"/>
      <c r="AN82" s="108"/>
      <c r="AO82" s="108"/>
      <c r="AP82" s="108"/>
      <c r="AQ82" s="108"/>
      <c r="AR82" s="108"/>
      <c r="AS82" s="108"/>
      <c r="AT82" s="108"/>
      <c r="AU82" s="108"/>
      <c r="AV82" s="108"/>
      <c r="AW82" s="108"/>
      <c r="AX82" s="108"/>
      <c r="AY82" s="108"/>
      <c r="AZ82" s="108"/>
      <c r="BA82" s="108"/>
      <c r="BB82" s="108"/>
      <c r="BC82" s="108"/>
      <c r="BD82" s="108"/>
      <c r="BE82" s="108"/>
      <c r="BF82" s="270"/>
      <c r="BG82" s="270"/>
      <c r="BH82" s="267"/>
      <c r="BI82" s="267"/>
    </row>
    <row r="83" spans="2:61" s="109" customFormat="1" x14ac:dyDescent="0.25">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108"/>
      <c r="AM83" s="108"/>
      <c r="AN83" s="108"/>
      <c r="AO83" s="108"/>
      <c r="AP83" s="108"/>
      <c r="AQ83" s="108"/>
      <c r="AR83" s="108"/>
      <c r="AS83" s="108"/>
      <c r="AT83" s="108"/>
      <c r="AU83" s="108"/>
      <c r="AV83" s="108"/>
      <c r="AW83" s="108"/>
      <c r="AX83" s="108"/>
      <c r="AY83" s="108"/>
      <c r="AZ83" s="108"/>
      <c r="BA83" s="108"/>
      <c r="BB83" s="108"/>
      <c r="BC83" s="108"/>
      <c r="BD83" s="108"/>
      <c r="BE83" s="108"/>
      <c r="BF83" s="270"/>
      <c r="BG83" s="270"/>
      <c r="BH83" s="267"/>
      <c r="BI83" s="267"/>
    </row>
    <row r="84" spans="2:61" s="109" customFormat="1" x14ac:dyDescent="0.2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c r="AQ84" s="108"/>
      <c r="AR84" s="108"/>
      <c r="AS84" s="108"/>
      <c r="AT84" s="108"/>
      <c r="AU84" s="108"/>
      <c r="AV84" s="108"/>
      <c r="AW84" s="108"/>
      <c r="AX84" s="108"/>
      <c r="AY84" s="108"/>
      <c r="AZ84" s="108"/>
      <c r="BA84" s="108"/>
      <c r="BB84" s="108"/>
      <c r="BC84" s="108"/>
      <c r="BD84" s="108"/>
      <c r="BE84" s="108"/>
      <c r="BF84" s="270"/>
      <c r="BG84" s="270"/>
      <c r="BH84" s="267"/>
      <c r="BI84" s="267"/>
    </row>
    <row r="85" spans="2:61" s="109" customFormat="1" x14ac:dyDescent="0.2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108"/>
      <c r="AY85" s="108"/>
      <c r="AZ85" s="108"/>
      <c r="BA85" s="108"/>
      <c r="BB85" s="108"/>
      <c r="BC85" s="108"/>
      <c r="BD85" s="108"/>
      <c r="BE85" s="108"/>
      <c r="BF85" s="270"/>
      <c r="BG85" s="270"/>
      <c r="BH85" s="267"/>
      <c r="BI85" s="267"/>
    </row>
    <row r="86" spans="2:61" s="109" customFormat="1" x14ac:dyDescent="0.2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c r="BF86" s="270"/>
      <c r="BG86" s="270"/>
      <c r="BH86" s="267"/>
      <c r="BI86" s="267"/>
    </row>
    <row r="87" spans="2:61" s="109" customFormat="1" x14ac:dyDescent="0.2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108"/>
      <c r="AY87" s="108"/>
      <c r="AZ87" s="108"/>
      <c r="BA87" s="108"/>
      <c r="BB87" s="108"/>
      <c r="BC87" s="108"/>
      <c r="BD87" s="108"/>
      <c r="BE87" s="108"/>
      <c r="BF87" s="270"/>
      <c r="BG87" s="270"/>
      <c r="BH87" s="267"/>
      <c r="BI87" s="267"/>
    </row>
    <row r="88" spans="2:61" s="109" customFormat="1" x14ac:dyDescent="0.2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c r="BF88" s="270"/>
      <c r="BG88" s="270"/>
      <c r="BH88" s="267"/>
      <c r="BI88" s="267"/>
    </row>
    <row r="89" spans="2:61" s="109" customFormat="1" x14ac:dyDescent="0.2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c r="BF89" s="270"/>
      <c r="BG89" s="270"/>
      <c r="BH89" s="267"/>
      <c r="BI89" s="267"/>
    </row>
    <row r="90" spans="2:61" s="109" customFormat="1" x14ac:dyDescent="0.2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8"/>
      <c r="BE90" s="108"/>
      <c r="BF90" s="270"/>
      <c r="BG90" s="270"/>
      <c r="BH90" s="267"/>
      <c r="BI90" s="267"/>
    </row>
    <row r="91" spans="2:61" s="109" customFormat="1" x14ac:dyDescent="0.2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270"/>
      <c r="BG91" s="270"/>
      <c r="BH91" s="267"/>
      <c r="BI91" s="267"/>
    </row>
    <row r="92" spans="2:61" s="109" customFormat="1" x14ac:dyDescent="0.2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c r="BF92" s="270"/>
      <c r="BG92" s="270"/>
      <c r="BH92" s="267"/>
      <c r="BI92" s="267"/>
    </row>
    <row r="93" spans="2:61" s="109" customFormat="1" x14ac:dyDescent="0.2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c r="BA93" s="108"/>
      <c r="BB93" s="108"/>
      <c r="BC93" s="108"/>
      <c r="BD93" s="108"/>
      <c r="BE93" s="108"/>
      <c r="BF93" s="270"/>
      <c r="BG93" s="270"/>
      <c r="BH93" s="268"/>
      <c r="BI93" s="267"/>
    </row>
    <row r="94" spans="2:61" x14ac:dyDescent="0.2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108"/>
      <c r="AP94" s="108"/>
      <c r="AQ94" s="108"/>
      <c r="AR94" s="108"/>
      <c r="AS94" s="108"/>
      <c r="AT94" s="108"/>
      <c r="AU94" s="108"/>
      <c r="AV94" s="108"/>
      <c r="AW94" s="108"/>
      <c r="AX94" s="108"/>
      <c r="AY94" s="108"/>
      <c r="AZ94" s="108"/>
      <c r="BA94" s="108"/>
      <c r="BB94" s="108"/>
      <c r="BC94" s="108"/>
      <c r="BD94" s="108"/>
      <c r="BE94" s="108"/>
      <c r="BF94" s="270"/>
      <c r="BG94" s="270"/>
    </row>
    <row r="95" spans="2:61" x14ac:dyDescent="0.2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c r="BA95" s="108"/>
      <c r="BB95" s="108"/>
      <c r="BC95" s="108"/>
      <c r="BD95" s="108"/>
      <c r="BE95" s="108"/>
      <c r="BF95" s="270"/>
      <c r="BG95" s="270"/>
    </row>
    <row r="96" spans="2:61" x14ac:dyDescent="0.2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108"/>
      <c r="AP96" s="108"/>
      <c r="AQ96" s="108"/>
      <c r="AR96" s="108"/>
      <c r="AS96" s="108"/>
      <c r="AT96" s="108"/>
      <c r="AU96" s="108"/>
      <c r="AV96" s="108"/>
      <c r="AW96" s="108"/>
      <c r="AX96" s="108"/>
      <c r="AY96" s="108"/>
      <c r="AZ96" s="108"/>
      <c r="BA96" s="108"/>
      <c r="BB96" s="108"/>
      <c r="BC96" s="108"/>
      <c r="BD96" s="108"/>
      <c r="BE96" s="108"/>
      <c r="BF96" s="270"/>
      <c r="BG96" s="270"/>
    </row>
    <row r="97" spans="1:62" s="268" customFormat="1" x14ac:dyDescent="0.25">
      <c r="A97" s="107"/>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108"/>
      <c r="AP97" s="108"/>
      <c r="AQ97" s="108"/>
      <c r="AR97" s="108"/>
      <c r="AS97" s="108"/>
      <c r="AT97" s="108"/>
      <c r="AU97" s="108"/>
      <c r="AV97" s="108"/>
      <c r="AW97" s="108"/>
      <c r="AX97" s="108"/>
      <c r="AY97" s="108"/>
      <c r="AZ97" s="108"/>
      <c r="BA97" s="108"/>
      <c r="BB97" s="108"/>
      <c r="BC97" s="108"/>
      <c r="BD97" s="108"/>
      <c r="BE97" s="108"/>
      <c r="BF97" s="270"/>
      <c r="BG97" s="270"/>
      <c r="BJ97" s="107"/>
    </row>
    <row r="98" spans="1:62" s="268" customFormat="1" x14ac:dyDescent="0.25">
      <c r="A98" s="107"/>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c r="BA98" s="108"/>
      <c r="BB98" s="108"/>
      <c r="BC98" s="108"/>
      <c r="BD98" s="108"/>
      <c r="BE98" s="108"/>
      <c r="BF98" s="270"/>
      <c r="BG98" s="270"/>
      <c r="BJ98" s="107"/>
    </row>
    <row r="99" spans="1:62"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108"/>
      <c r="AP99" s="108"/>
      <c r="AQ99" s="108"/>
      <c r="AR99" s="108"/>
      <c r="AS99" s="108"/>
      <c r="AT99" s="108"/>
      <c r="AU99" s="108"/>
      <c r="AV99" s="108"/>
      <c r="AW99" s="108"/>
      <c r="AX99" s="108"/>
      <c r="AY99" s="108"/>
      <c r="AZ99" s="108"/>
      <c r="BA99" s="108"/>
      <c r="BB99" s="108"/>
      <c r="BC99" s="108"/>
      <c r="BD99" s="108"/>
      <c r="BE99" s="108"/>
      <c r="BF99" s="270"/>
      <c r="BG99" s="270"/>
      <c r="BJ99" s="107"/>
    </row>
    <row r="100" spans="1:62"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270"/>
      <c r="BG100" s="270"/>
      <c r="BJ100" s="107"/>
    </row>
    <row r="101" spans="1:62"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270"/>
      <c r="BG101" s="270"/>
      <c r="BJ101" s="107"/>
    </row>
    <row r="102" spans="1:62"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270"/>
      <c r="BG102" s="270"/>
      <c r="BJ102" s="107"/>
    </row>
    <row r="103" spans="1:62"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270"/>
      <c r="BG103" s="270"/>
      <c r="BJ103" s="107"/>
    </row>
    <row r="104" spans="1:62"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270"/>
      <c r="BG104" s="270"/>
      <c r="BJ104" s="107"/>
    </row>
    <row r="105" spans="1:62" s="268" customFormat="1" x14ac:dyDescent="0.2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270"/>
      <c r="BG105" s="270"/>
    </row>
    <row r="106" spans="1:62" s="268" customFormat="1" x14ac:dyDescent="0.25">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270"/>
      <c r="BG106" s="270"/>
    </row>
    <row r="107" spans="1:62" s="268" customFormat="1" x14ac:dyDescent="0.25">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108"/>
      <c r="AP107" s="108"/>
      <c r="AQ107" s="108"/>
      <c r="AR107" s="108"/>
      <c r="AS107" s="108"/>
      <c r="AT107" s="108"/>
      <c r="AU107" s="108"/>
      <c r="AV107" s="108"/>
      <c r="AW107" s="108"/>
      <c r="AX107" s="108"/>
      <c r="AY107" s="108"/>
      <c r="AZ107" s="108"/>
      <c r="BA107" s="108"/>
      <c r="BB107" s="108"/>
      <c r="BC107" s="108"/>
      <c r="BD107" s="108"/>
      <c r="BE107" s="108"/>
      <c r="BF107" s="270"/>
      <c r="BG107" s="270"/>
    </row>
    <row r="108" spans="1:62" s="268" customFormat="1" x14ac:dyDescent="0.25">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270"/>
      <c r="BG108" s="270"/>
    </row>
    <row r="109" spans="1:62" s="268" customFormat="1" x14ac:dyDescent="0.25">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270"/>
      <c r="BG109" s="270"/>
    </row>
    <row r="110" spans="1:62" s="268" customFormat="1" x14ac:dyDescent="0.25">
      <c r="A110" s="107"/>
      <c r="B110" s="108"/>
      <c r="C110" s="108"/>
      <c r="D110" s="108"/>
      <c r="E110" s="108"/>
      <c r="F110" s="108"/>
      <c r="G110" s="108"/>
      <c r="H110" s="108"/>
      <c r="I110" s="107"/>
      <c r="J110" s="107"/>
      <c r="K110" s="9"/>
      <c r="L110" s="9"/>
      <c r="M110" s="9"/>
      <c r="N110" s="9"/>
      <c r="O110" s="107"/>
      <c r="P110" s="9"/>
      <c r="Q110" s="9"/>
      <c r="R110" s="9"/>
      <c r="S110" s="9"/>
      <c r="T110" s="9"/>
      <c r="U110" s="9"/>
      <c r="V110" s="9"/>
      <c r="W110" s="9"/>
      <c r="X110" s="107"/>
      <c r="Y110" s="9"/>
      <c r="Z110" s="9"/>
      <c r="AA110" s="107"/>
      <c r="AB110" s="9"/>
      <c r="AC110" s="9"/>
      <c r="AD110" s="9"/>
      <c r="AE110" s="9"/>
      <c r="AF110" s="9"/>
      <c r="AG110" s="9"/>
      <c r="AH110" s="9"/>
      <c r="AI110" s="9"/>
      <c r="AJ110" s="9"/>
      <c r="AK110" s="9"/>
      <c r="AL110" s="9"/>
      <c r="AM110" s="9"/>
      <c r="AN110" s="9"/>
      <c r="AO110" s="9"/>
      <c r="AP110" s="107"/>
      <c r="AQ110" s="9"/>
      <c r="AR110" s="9"/>
      <c r="AS110" s="9"/>
      <c r="AT110" s="9"/>
      <c r="AU110" s="9"/>
      <c r="AV110" s="9"/>
      <c r="AW110" s="9"/>
      <c r="AX110" s="9"/>
      <c r="AY110" s="9"/>
      <c r="AZ110" s="9"/>
      <c r="BA110" s="9"/>
      <c r="BB110" s="9"/>
      <c r="BC110" s="9"/>
      <c r="BD110" s="107"/>
      <c r="BE110" s="107"/>
    </row>
    <row r="111" spans="1:62" s="268" customFormat="1" x14ac:dyDescent="0.25">
      <c r="A111" s="107"/>
      <c r="B111" s="108"/>
      <c r="C111" s="108"/>
      <c r="D111" s="108"/>
      <c r="E111" s="108"/>
      <c r="F111" s="108"/>
      <c r="G111" s="108"/>
      <c r="H111" s="108"/>
      <c r="I111" s="107"/>
      <c r="J111" s="107"/>
      <c r="K111" s="9"/>
      <c r="L111" s="9"/>
      <c r="M111" s="9"/>
      <c r="N111" s="9"/>
      <c r="O111" s="107"/>
      <c r="P111" s="9"/>
      <c r="Q111" s="9"/>
      <c r="R111" s="9"/>
      <c r="S111" s="9"/>
      <c r="T111" s="9"/>
      <c r="U111" s="9"/>
      <c r="V111" s="9"/>
      <c r="W111" s="9"/>
      <c r="X111" s="107"/>
      <c r="Y111" s="9"/>
      <c r="Z111" s="9"/>
      <c r="AA111" s="107"/>
      <c r="AB111" s="9"/>
      <c r="AC111" s="9"/>
      <c r="AD111" s="9"/>
      <c r="AE111" s="9"/>
      <c r="AF111" s="9"/>
      <c r="AG111" s="9"/>
      <c r="AH111" s="9"/>
      <c r="AI111" s="9"/>
      <c r="AJ111" s="9"/>
      <c r="AK111" s="9"/>
      <c r="AL111" s="9"/>
      <c r="AM111" s="9"/>
      <c r="AN111" s="9"/>
      <c r="AO111" s="9"/>
      <c r="AP111" s="107"/>
      <c r="AQ111" s="9"/>
      <c r="AR111" s="9"/>
      <c r="AS111" s="9"/>
      <c r="AT111" s="9"/>
      <c r="AU111" s="9"/>
      <c r="AV111" s="9"/>
      <c r="AW111" s="9"/>
      <c r="AX111" s="9"/>
      <c r="AY111" s="9"/>
      <c r="AZ111" s="9"/>
      <c r="BA111" s="9"/>
      <c r="BB111" s="9"/>
      <c r="BC111" s="9"/>
      <c r="BD111" s="107"/>
      <c r="BE111" s="107"/>
    </row>
    <row r="112" spans="1:62" s="268" customFormat="1" x14ac:dyDescent="0.25">
      <c r="A112" s="107"/>
      <c r="B112" s="108"/>
      <c r="C112" s="108"/>
      <c r="D112" s="108"/>
      <c r="E112" s="108"/>
      <c r="F112" s="108"/>
      <c r="G112" s="108"/>
      <c r="H112" s="108"/>
      <c r="I112" s="107"/>
      <c r="J112" s="107"/>
      <c r="K112" s="9"/>
      <c r="L112" s="9"/>
      <c r="M112" s="9"/>
      <c r="N112" s="9"/>
      <c r="O112" s="107"/>
      <c r="P112" s="9"/>
      <c r="Q112" s="9"/>
      <c r="R112" s="9"/>
      <c r="S112" s="9"/>
      <c r="T112" s="9"/>
      <c r="U112" s="9"/>
      <c r="V112" s="9"/>
      <c r="W112" s="9"/>
      <c r="X112" s="107"/>
      <c r="Y112" s="9"/>
      <c r="Z112" s="9"/>
      <c r="AA112" s="107"/>
      <c r="AB112" s="9"/>
      <c r="AC112" s="9"/>
      <c r="AD112" s="9"/>
      <c r="AE112" s="9"/>
      <c r="AF112" s="9"/>
      <c r="AG112" s="9"/>
      <c r="AH112" s="9"/>
      <c r="AI112" s="9"/>
      <c r="AJ112" s="9"/>
      <c r="AK112" s="9"/>
      <c r="AL112" s="9"/>
      <c r="AM112" s="9"/>
      <c r="AN112" s="9"/>
      <c r="AO112" s="9"/>
      <c r="AP112" s="107"/>
      <c r="AQ112" s="9"/>
      <c r="AR112" s="9"/>
      <c r="AS112" s="9"/>
      <c r="AT112" s="9"/>
      <c r="AU112" s="9"/>
      <c r="AV112" s="9"/>
      <c r="AW112" s="9"/>
      <c r="AX112" s="9"/>
      <c r="AY112" s="9"/>
      <c r="AZ112" s="9"/>
      <c r="BA112" s="9"/>
      <c r="BB112" s="9"/>
      <c r="BC112" s="9"/>
      <c r="BD112" s="107"/>
      <c r="BE112" s="107"/>
    </row>
    <row r="113" spans="1:57" s="268" customFormat="1" x14ac:dyDescent="0.25">
      <c r="A113" s="107"/>
      <c r="B113" s="108"/>
      <c r="C113" s="108"/>
      <c r="D113" s="108"/>
      <c r="E113" s="108"/>
      <c r="F113" s="108"/>
      <c r="G113" s="108"/>
      <c r="H113" s="108"/>
      <c r="I113" s="107"/>
      <c r="J113" s="107"/>
      <c r="K113" s="9"/>
      <c r="L113" s="9"/>
      <c r="M113" s="9"/>
      <c r="N113" s="9"/>
      <c r="O113" s="107"/>
      <c r="P113" s="9"/>
      <c r="Q113" s="9"/>
      <c r="R113" s="9"/>
      <c r="S113" s="9"/>
      <c r="T113" s="9"/>
      <c r="U113" s="9"/>
      <c r="V113" s="9"/>
      <c r="W113" s="9"/>
      <c r="X113" s="107"/>
      <c r="Y113" s="9"/>
      <c r="Z113" s="9"/>
      <c r="AA113" s="107"/>
      <c r="AB113" s="9"/>
      <c r="AC113" s="9"/>
      <c r="AD113" s="9"/>
      <c r="AE113" s="9"/>
      <c r="AF113" s="9"/>
      <c r="AG113" s="9"/>
      <c r="AH113" s="9"/>
      <c r="AI113" s="9"/>
      <c r="AJ113" s="9"/>
      <c r="AK113" s="9"/>
      <c r="AL113" s="9"/>
      <c r="AM113" s="9"/>
      <c r="AN113" s="9"/>
      <c r="AO113" s="9"/>
      <c r="AP113" s="107"/>
      <c r="AQ113" s="9"/>
      <c r="AR113" s="9"/>
      <c r="AS113" s="9"/>
      <c r="AT113" s="9"/>
      <c r="AU113" s="9"/>
      <c r="AV113" s="9"/>
      <c r="AW113" s="9"/>
      <c r="AX113" s="9"/>
      <c r="AY113" s="9"/>
      <c r="AZ113" s="9"/>
      <c r="BA113" s="9"/>
      <c r="BB113" s="9"/>
      <c r="BC113" s="9"/>
      <c r="BD113" s="107"/>
      <c r="BE113" s="107"/>
    </row>
    <row r="114" spans="1:57" s="268" customFormat="1" x14ac:dyDescent="0.25">
      <c r="A114" s="107"/>
      <c r="B114" s="108"/>
      <c r="C114" s="108"/>
      <c r="D114" s="108"/>
      <c r="E114" s="108"/>
      <c r="F114" s="108"/>
      <c r="G114" s="108"/>
      <c r="H114" s="108"/>
      <c r="I114" s="107"/>
      <c r="J114" s="107"/>
      <c r="K114" s="9"/>
      <c r="L114" s="9"/>
      <c r="M114" s="9"/>
      <c r="N114" s="9"/>
      <c r="O114" s="107"/>
      <c r="P114" s="9"/>
      <c r="Q114" s="9"/>
      <c r="R114" s="9"/>
      <c r="S114" s="9"/>
      <c r="T114" s="9"/>
      <c r="U114" s="9"/>
      <c r="V114" s="9"/>
      <c r="W114" s="9"/>
      <c r="X114" s="107"/>
      <c r="Y114" s="9"/>
      <c r="Z114" s="9"/>
      <c r="AA114" s="107"/>
      <c r="AB114" s="9"/>
      <c r="AC114" s="9"/>
      <c r="AD114" s="9"/>
      <c r="AE114" s="9"/>
      <c r="AF114" s="9"/>
      <c r="AG114" s="9"/>
      <c r="AH114" s="9"/>
      <c r="AI114" s="9"/>
      <c r="AJ114" s="9"/>
      <c r="AK114" s="9"/>
      <c r="AL114" s="9"/>
      <c r="AM114" s="9"/>
      <c r="AN114" s="9"/>
      <c r="AO114" s="9"/>
      <c r="AP114" s="107"/>
      <c r="AQ114" s="9"/>
      <c r="AR114" s="9"/>
      <c r="AS114" s="9"/>
      <c r="AT114" s="9"/>
      <c r="AU114" s="9"/>
      <c r="AV114" s="9"/>
      <c r="AW114" s="9"/>
      <c r="AX114" s="9"/>
      <c r="AY114" s="9"/>
      <c r="AZ114" s="9"/>
      <c r="BA114" s="9"/>
      <c r="BB114" s="9"/>
      <c r="BC114" s="9"/>
      <c r="BD114" s="107"/>
      <c r="BE114" s="107"/>
    </row>
    <row r="115" spans="1:57" s="268" customFormat="1" x14ac:dyDescent="0.25">
      <c r="A115" s="107"/>
      <c r="B115" s="108"/>
      <c r="C115" s="108"/>
      <c r="D115" s="108"/>
      <c r="E115" s="108"/>
      <c r="F115" s="108"/>
      <c r="G115" s="108"/>
      <c r="H115" s="108"/>
      <c r="I115" s="107"/>
      <c r="J115" s="107"/>
      <c r="K115" s="9"/>
      <c r="L115" s="9"/>
      <c r="M115" s="9"/>
      <c r="N115" s="9"/>
      <c r="O115" s="107"/>
      <c r="P115" s="9"/>
      <c r="Q115" s="9"/>
      <c r="R115" s="9"/>
      <c r="S115" s="9"/>
      <c r="T115" s="9"/>
      <c r="U115" s="9"/>
      <c r="V115" s="9"/>
      <c r="W115" s="9"/>
      <c r="X115" s="107"/>
      <c r="Y115" s="9"/>
      <c r="Z115" s="9"/>
      <c r="AA115" s="107"/>
      <c r="AB115" s="9"/>
      <c r="AC115" s="9"/>
      <c r="AD115" s="9"/>
      <c r="AE115" s="9"/>
      <c r="AF115" s="9"/>
      <c r="AG115" s="9"/>
      <c r="AH115" s="9"/>
      <c r="AI115" s="9"/>
      <c r="AJ115" s="9"/>
      <c r="AK115" s="9"/>
      <c r="AL115" s="9"/>
      <c r="AM115" s="9"/>
      <c r="AN115" s="9"/>
      <c r="AO115" s="9"/>
      <c r="AP115" s="107"/>
      <c r="AQ115" s="9"/>
      <c r="AR115" s="9"/>
      <c r="AS115" s="9"/>
      <c r="AT115" s="9"/>
      <c r="AU115" s="9"/>
      <c r="AV115" s="9"/>
      <c r="AW115" s="9"/>
      <c r="AX115" s="9"/>
      <c r="AY115" s="9"/>
      <c r="AZ115" s="9"/>
      <c r="BA115" s="9"/>
      <c r="BB115" s="9"/>
      <c r="BC115" s="9"/>
      <c r="BD115" s="107"/>
      <c r="BE115" s="107"/>
    </row>
    <row r="116" spans="1:57" s="268" customFormat="1" x14ac:dyDescent="0.25">
      <c r="A116" s="107"/>
      <c r="B116" s="108"/>
      <c r="C116" s="108"/>
      <c r="D116" s="108"/>
      <c r="E116" s="108"/>
      <c r="F116" s="108"/>
      <c r="G116" s="108"/>
      <c r="H116" s="108"/>
      <c r="I116" s="107"/>
      <c r="J116" s="107"/>
      <c r="K116" s="9"/>
      <c r="L116" s="9"/>
      <c r="M116" s="9"/>
      <c r="N116" s="9"/>
      <c r="O116" s="107"/>
      <c r="P116" s="9"/>
      <c r="Q116" s="9"/>
      <c r="R116" s="9"/>
      <c r="S116" s="9"/>
      <c r="T116" s="9"/>
      <c r="U116" s="9"/>
      <c r="V116" s="9"/>
      <c r="W116" s="9"/>
      <c r="X116" s="107"/>
      <c r="Y116" s="9"/>
      <c r="Z116" s="9"/>
      <c r="AA116" s="107"/>
      <c r="AB116" s="9"/>
      <c r="AC116" s="9"/>
      <c r="AD116" s="9"/>
      <c r="AE116" s="9"/>
      <c r="AF116" s="9"/>
      <c r="AG116" s="9"/>
      <c r="AH116" s="9"/>
      <c r="AI116" s="9"/>
      <c r="AJ116" s="9"/>
      <c r="AK116" s="9"/>
      <c r="AL116" s="9"/>
      <c r="AM116" s="9"/>
      <c r="AN116" s="9"/>
      <c r="AO116" s="9"/>
      <c r="AP116" s="107"/>
      <c r="AQ116" s="9"/>
      <c r="AR116" s="9"/>
      <c r="AS116" s="9"/>
      <c r="AT116" s="9"/>
      <c r="AU116" s="9"/>
      <c r="AV116" s="9"/>
      <c r="AW116" s="9"/>
      <c r="AX116" s="9"/>
      <c r="AY116" s="9"/>
      <c r="AZ116" s="9"/>
      <c r="BA116" s="9"/>
      <c r="BB116" s="9"/>
      <c r="BC116" s="9"/>
      <c r="BD116" s="107"/>
      <c r="BE116" s="107"/>
    </row>
    <row r="117" spans="1:57" s="268" customFormat="1" x14ac:dyDescent="0.25">
      <c r="A117" s="107"/>
      <c r="B117" s="108"/>
      <c r="C117" s="108"/>
      <c r="D117" s="108"/>
      <c r="E117" s="108"/>
      <c r="F117" s="108"/>
      <c r="G117" s="108"/>
      <c r="H117" s="108"/>
      <c r="I117" s="107"/>
      <c r="J117" s="107"/>
      <c r="K117" s="9"/>
      <c r="L117" s="9"/>
      <c r="M117" s="9"/>
      <c r="N117" s="9"/>
      <c r="O117" s="107"/>
      <c r="P117" s="9"/>
      <c r="Q117" s="9"/>
      <c r="R117" s="9"/>
      <c r="S117" s="9"/>
      <c r="T117" s="9"/>
      <c r="U117" s="9"/>
      <c r="V117" s="9"/>
      <c r="W117" s="9"/>
      <c r="X117" s="107"/>
      <c r="Y117" s="9"/>
      <c r="Z117" s="9"/>
      <c r="AA117" s="107"/>
      <c r="AB117" s="9"/>
      <c r="AC117" s="9"/>
      <c r="AD117" s="9"/>
      <c r="AE117" s="9"/>
      <c r="AF117" s="9"/>
      <c r="AG117" s="9"/>
      <c r="AH117" s="9"/>
      <c r="AI117" s="9"/>
      <c r="AJ117" s="9"/>
      <c r="AK117" s="9"/>
      <c r="AL117" s="9"/>
      <c r="AM117" s="9"/>
      <c r="AN117" s="9"/>
      <c r="AO117" s="9"/>
      <c r="AP117" s="107"/>
      <c r="AQ117" s="9"/>
      <c r="AR117" s="9"/>
      <c r="AS117" s="9"/>
      <c r="AT117" s="9"/>
      <c r="AU117" s="9"/>
      <c r="AV117" s="9"/>
      <c r="AW117" s="9"/>
      <c r="AX117" s="9"/>
      <c r="AY117" s="9"/>
      <c r="AZ117" s="9"/>
      <c r="BA117" s="9"/>
      <c r="BB117" s="9"/>
      <c r="BC117" s="9"/>
      <c r="BD117" s="107"/>
      <c r="BE117" s="107"/>
    </row>
    <row r="118" spans="1:57" s="268" customFormat="1" x14ac:dyDescent="0.25">
      <c r="A118" s="107"/>
      <c r="B118" s="108"/>
      <c r="C118" s="108"/>
      <c r="D118" s="108"/>
      <c r="E118" s="108"/>
      <c r="F118" s="108"/>
      <c r="G118" s="108"/>
      <c r="H118" s="108"/>
      <c r="I118" s="107"/>
      <c r="J118" s="107"/>
      <c r="K118" s="9"/>
      <c r="L118" s="9"/>
      <c r="M118" s="9"/>
      <c r="N118" s="9"/>
      <c r="O118" s="107"/>
      <c r="P118" s="9"/>
      <c r="Q118" s="9"/>
      <c r="R118" s="9"/>
      <c r="S118" s="9"/>
      <c r="T118" s="9"/>
      <c r="U118" s="9"/>
      <c r="V118" s="9"/>
      <c r="W118" s="9"/>
      <c r="X118" s="107"/>
      <c r="Y118" s="9"/>
      <c r="Z118" s="9"/>
      <c r="AA118" s="107"/>
      <c r="AB118" s="9"/>
      <c r="AC118" s="9"/>
      <c r="AD118" s="9"/>
      <c r="AE118" s="9"/>
      <c r="AF118" s="9"/>
      <c r="AG118" s="9"/>
      <c r="AH118" s="9"/>
      <c r="AI118" s="9"/>
      <c r="AJ118" s="9"/>
      <c r="AK118" s="9"/>
      <c r="AL118" s="9"/>
      <c r="AM118" s="9"/>
      <c r="AN118" s="9"/>
      <c r="AO118" s="9"/>
      <c r="AP118" s="107"/>
      <c r="AQ118" s="9"/>
      <c r="AR118" s="9"/>
      <c r="AS118" s="9"/>
      <c r="AT118" s="9"/>
      <c r="AU118" s="9"/>
      <c r="AV118" s="9"/>
      <c r="AW118" s="9"/>
      <c r="AX118" s="9"/>
      <c r="AY118" s="9"/>
      <c r="AZ118" s="9"/>
      <c r="BA118" s="9"/>
      <c r="BB118" s="9"/>
      <c r="BC118" s="9"/>
      <c r="BD118" s="107"/>
      <c r="BE118" s="107"/>
    </row>
    <row r="119" spans="1:57" s="268" customFormat="1" x14ac:dyDescent="0.25">
      <c r="A119" s="107"/>
      <c r="B119" s="108"/>
      <c r="C119" s="108"/>
      <c r="D119" s="108"/>
      <c r="E119" s="108"/>
      <c r="F119" s="108"/>
      <c r="G119" s="108"/>
      <c r="H119" s="108"/>
      <c r="I119" s="107"/>
      <c r="J119" s="107"/>
      <c r="K119" s="9"/>
      <c r="L119" s="9"/>
      <c r="M119" s="9"/>
      <c r="N119" s="9"/>
      <c r="O119" s="107"/>
      <c r="P119" s="9"/>
      <c r="Q119" s="9"/>
      <c r="R119" s="9"/>
      <c r="S119" s="9"/>
      <c r="T119" s="9"/>
      <c r="U119" s="9"/>
      <c r="V119" s="9"/>
      <c r="W119" s="9"/>
      <c r="X119" s="107"/>
      <c r="Y119" s="9"/>
      <c r="Z119" s="9"/>
      <c r="AA119" s="107"/>
      <c r="AB119" s="9"/>
      <c r="AC119" s="9"/>
      <c r="AD119" s="9"/>
      <c r="AE119" s="9"/>
      <c r="AF119" s="9"/>
      <c r="AG119" s="9"/>
      <c r="AH119" s="9"/>
      <c r="AI119" s="9"/>
      <c r="AJ119" s="9"/>
      <c r="AK119" s="9"/>
      <c r="AL119" s="9"/>
      <c r="AM119" s="9"/>
      <c r="AN119" s="9"/>
      <c r="AO119" s="9"/>
      <c r="AP119" s="107"/>
      <c r="AQ119" s="9"/>
      <c r="AR119" s="9"/>
      <c r="AS119" s="9"/>
      <c r="AT119" s="9"/>
      <c r="AU119" s="9"/>
      <c r="AV119" s="9"/>
      <c r="AW119" s="9"/>
      <c r="AX119" s="9"/>
      <c r="AY119" s="9"/>
      <c r="AZ119" s="9"/>
      <c r="BA119" s="9"/>
      <c r="BB119" s="9"/>
      <c r="BC119" s="9"/>
      <c r="BD119" s="107"/>
      <c r="BE119" s="107"/>
    </row>
    <row r="120" spans="1:57" s="268" customFormat="1" x14ac:dyDescent="0.25">
      <c r="A120" s="107"/>
      <c r="B120" s="108"/>
      <c r="C120" s="108"/>
      <c r="D120" s="108"/>
      <c r="E120" s="108"/>
      <c r="F120" s="108"/>
      <c r="G120" s="108"/>
      <c r="H120" s="108"/>
      <c r="I120" s="107"/>
      <c r="J120" s="107"/>
      <c r="K120" s="9"/>
      <c r="L120" s="9"/>
      <c r="M120" s="9"/>
      <c r="N120" s="9"/>
      <c r="O120" s="107"/>
      <c r="P120" s="9"/>
      <c r="Q120" s="9"/>
      <c r="R120" s="9"/>
      <c r="S120" s="9"/>
      <c r="T120" s="9"/>
      <c r="U120" s="9"/>
      <c r="V120" s="9"/>
      <c r="W120" s="9"/>
      <c r="X120" s="107"/>
      <c r="Y120" s="9"/>
      <c r="Z120" s="9"/>
      <c r="AA120" s="107"/>
      <c r="AB120" s="9"/>
      <c r="AC120" s="9"/>
      <c r="AD120" s="9"/>
      <c r="AE120" s="9"/>
      <c r="AF120" s="9"/>
      <c r="AG120" s="9"/>
      <c r="AH120" s="9"/>
      <c r="AI120" s="9"/>
      <c r="AJ120" s="9"/>
      <c r="AK120" s="9"/>
      <c r="AL120" s="9"/>
      <c r="AM120" s="9"/>
      <c r="AN120" s="9"/>
      <c r="AO120" s="9"/>
      <c r="AP120" s="107"/>
      <c r="AQ120" s="9"/>
      <c r="AR120" s="9"/>
      <c r="AS120" s="9"/>
      <c r="AT120" s="9"/>
      <c r="AU120" s="9"/>
      <c r="AV120" s="9"/>
      <c r="AW120" s="9"/>
      <c r="AX120" s="9"/>
      <c r="AY120" s="9"/>
      <c r="AZ120" s="9"/>
      <c r="BA120" s="9"/>
      <c r="BB120" s="9"/>
      <c r="BC120" s="9"/>
      <c r="BD120" s="107"/>
      <c r="BE120" s="107"/>
    </row>
    <row r="121" spans="1:57" s="268" customFormat="1" x14ac:dyDescent="0.25">
      <c r="A121" s="107"/>
      <c r="B121" s="108"/>
      <c r="C121" s="108"/>
      <c r="D121" s="108"/>
      <c r="E121" s="108"/>
      <c r="F121" s="108"/>
      <c r="G121" s="108"/>
      <c r="H121" s="108"/>
      <c r="I121" s="107"/>
      <c r="J121" s="107"/>
      <c r="K121" s="9"/>
      <c r="L121" s="9"/>
      <c r="M121" s="9"/>
      <c r="N121" s="9"/>
      <c r="O121" s="107"/>
      <c r="P121" s="9"/>
      <c r="Q121" s="9"/>
      <c r="R121" s="9"/>
      <c r="S121" s="9"/>
      <c r="T121" s="9"/>
      <c r="U121" s="9"/>
      <c r="V121" s="9"/>
      <c r="W121" s="9"/>
      <c r="X121" s="107"/>
      <c r="Y121" s="9"/>
      <c r="Z121" s="9"/>
      <c r="AA121" s="107"/>
      <c r="AB121" s="9"/>
      <c r="AC121" s="9"/>
      <c r="AD121" s="9"/>
      <c r="AE121" s="9"/>
      <c r="AF121" s="9"/>
      <c r="AG121" s="9"/>
      <c r="AH121" s="9"/>
      <c r="AI121" s="9"/>
      <c r="AJ121" s="9"/>
      <c r="AK121" s="9"/>
      <c r="AL121" s="9"/>
      <c r="AM121" s="9"/>
      <c r="AN121" s="9"/>
      <c r="AO121" s="9"/>
      <c r="AP121" s="107"/>
      <c r="AQ121" s="9"/>
      <c r="AR121" s="9"/>
      <c r="AS121" s="9"/>
      <c r="AT121" s="9"/>
      <c r="AU121" s="9"/>
      <c r="AV121" s="9"/>
      <c r="AW121" s="9"/>
      <c r="AX121" s="9"/>
      <c r="AY121" s="9"/>
      <c r="AZ121" s="9"/>
      <c r="BA121" s="9"/>
      <c r="BB121" s="9"/>
      <c r="BC121" s="9"/>
      <c r="BD121" s="107"/>
      <c r="BE121" s="107"/>
    </row>
    <row r="122" spans="1:57" s="268" customFormat="1" x14ac:dyDescent="0.25">
      <c r="A122" s="107"/>
      <c r="B122" s="108"/>
      <c r="C122" s="108"/>
      <c r="D122" s="108"/>
      <c r="E122" s="108"/>
      <c r="F122" s="108"/>
      <c r="G122" s="108"/>
      <c r="H122" s="108"/>
      <c r="I122" s="107"/>
      <c r="J122" s="107"/>
      <c r="K122" s="9"/>
      <c r="L122" s="9"/>
      <c r="M122" s="9"/>
      <c r="N122" s="9"/>
      <c r="O122" s="107"/>
      <c r="P122" s="9"/>
      <c r="Q122" s="9"/>
      <c r="R122" s="9"/>
      <c r="S122" s="9"/>
      <c r="T122" s="9"/>
      <c r="U122" s="9"/>
      <c r="V122" s="9"/>
      <c r="W122" s="9"/>
      <c r="X122" s="107"/>
      <c r="Y122" s="9"/>
      <c r="Z122" s="9"/>
      <c r="AA122" s="107"/>
      <c r="AB122" s="9"/>
      <c r="AC122" s="9"/>
      <c r="AD122" s="9"/>
      <c r="AE122" s="9"/>
      <c r="AF122" s="9"/>
      <c r="AG122" s="9"/>
      <c r="AH122" s="9"/>
      <c r="AI122" s="9"/>
      <c r="AJ122" s="9"/>
      <c r="AK122" s="9"/>
      <c r="AL122" s="9"/>
      <c r="AM122" s="9"/>
      <c r="AN122" s="9"/>
      <c r="AO122" s="9"/>
      <c r="AP122" s="107"/>
      <c r="AQ122" s="9"/>
      <c r="AR122" s="9"/>
      <c r="AS122" s="9"/>
      <c r="AT122" s="9"/>
      <c r="AU122" s="9"/>
      <c r="AV122" s="9"/>
      <c r="AW122" s="9"/>
      <c r="AX122" s="9"/>
      <c r="AY122" s="9"/>
      <c r="AZ122" s="9"/>
      <c r="BA122" s="9"/>
      <c r="BB122" s="9"/>
      <c r="BC122" s="9"/>
      <c r="BD122" s="107"/>
      <c r="BE122" s="107"/>
    </row>
    <row r="123" spans="1:57" s="268" customFormat="1" x14ac:dyDescent="0.25">
      <c r="A123" s="107"/>
      <c r="B123" s="108"/>
      <c r="C123" s="108"/>
      <c r="D123" s="108"/>
      <c r="E123" s="108"/>
      <c r="F123" s="108"/>
      <c r="G123" s="108"/>
      <c r="H123" s="108"/>
      <c r="I123" s="107"/>
      <c r="J123" s="107"/>
      <c r="K123" s="9"/>
      <c r="L123" s="9"/>
      <c r="M123" s="9"/>
      <c r="N123" s="9"/>
      <c r="O123" s="107"/>
      <c r="P123" s="9"/>
      <c r="Q123" s="9"/>
      <c r="R123" s="9"/>
      <c r="S123" s="9"/>
      <c r="T123" s="9"/>
      <c r="U123" s="9"/>
      <c r="V123" s="9"/>
      <c r="W123" s="9"/>
      <c r="X123" s="107"/>
      <c r="Y123" s="9"/>
      <c r="Z123" s="9"/>
      <c r="AA123" s="107"/>
      <c r="AB123" s="9"/>
      <c r="AC123" s="9"/>
      <c r="AD123" s="9"/>
      <c r="AE123" s="9"/>
      <c r="AF123" s="9"/>
      <c r="AG123" s="9"/>
      <c r="AH123" s="9"/>
      <c r="AI123" s="9"/>
      <c r="AJ123" s="9"/>
      <c r="AK123" s="9"/>
      <c r="AL123" s="9"/>
      <c r="AM123" s="9"/>
      <c r="AN123" s="9"/>
      <c r="AO123" s="9"/>
      <c r="AP123" s="107"/>
      <c r="AQ123" s="9"/>
      <c r="AR123" s="9"/>
      <c r="AS123" s="9"/>
      <c r="AT123" s="9"/>
      <c r="AU123" s="9"/>
      <c r="AV123" s="9"/>
      <c r="AW123" s="9"/>
      <c r="AX123" s="9"/>
      <c r="AY123" s="9"/>
      <c r="AZ123" s="9"/>
      <c r="BA123" s="9"/>
      <c r="BB123" s="9"/>
      <c r="BC123" s="9"/>
      <c r="BD123" s="107"/>
      <c r="BE123" s="107"/>
    </row>
    <row r="124" spans="1:57" s="268" customFormat="1" x14ac:dyDescent="0.25">
      <c r="A124" s="107"/>
      <c r="B124" s="108"/>
      <c r="C124" s="108"/>
      <c r="D124" s="108"/>
      <c r="E124" s="108"/>
      <c r="F124" s="108"/>
      <c r="G124" s="108"/>
      <c r="H124" s="108"/>
      <c r="I124" s="107"/>
      <c r="J124" s="107"/>
      <c r="K124" s="9"/>
      <c r="L124" s="9"/>
      <c r="M124" s="9"/>
      <c r="N124" s="9"/>
      <c r="O124" s="107"/>
      <c r="P124" s="9"/>
      <c r="Q124" s="9"/>
      <c r="R124" s="9"/>
      <c r="S124" s="9"/>
      <c r="T124" s="9"/>
      <c r="U124" s="9"/>
      <c r="V124" s="9"/>
      <c r="W124" s="9"/>
      <c r="X124" s="107"/>
      <c r="Y124" s="9"/>
      <c r="Z124" s="9"/>
      <c r="AA124" s="107"/>
      <c r="AB124" s="9"/>
      <c r="AC124" s="9"/>
      <c r="AD124" s="9"/>
      <c r="AE124" s="9"/>
      <c r="AF124" s="9"/>
      <c r="AG124" s="9"/>
      <c r="AH124" s="9"/>
      <c r="AI124" s="9"/>
      <c r="AJ124" s="9"/>
      <c r="AK124" s="9"/>
      <c r="AL124" s="9"/>
      <c r="AM124" s="9"/>
      <c r="AN124" s="9"/>
      <c r="AO124" s="9"/>
      <c r="AP124" s="107"/>
      <c r="AQ124" s="9"/>
      <c r="AR124" s="9"/>
      <c r="AS124" s="9"/>
      <c r="AT124" s="9"/>
      <c r="AU124" s="9"/>
      <c r="AV124" s="9"/>
      <c r="AW124" s="9"/>
      <c r="AX124" s="9"/>
      <c r="AY124" s="9"/>
      <c r="AZ124" s="9"/>
      <c r="BA124" s="9"/>
      <c r="BB124" s="9"/>
      <c r="BC124" s="9"/>
      <c r="BD124" s="107"/>
      <c r="BE124" s="107"/>
    </row>
    <row r="125" spans="1:57" s="268" customFormat="1" x14ac:dyDescent="0.25">
      <c r="A125" s="107"/>
      <c r="B125" s="108"/>
      <c r="C125" s="108"/>
      <c r="D125" s="108"/>
      <c r="E125" s="108"/>
      <c r="F125" s="108"/>
      <c r="G125" s="108"/>
      <c r="H125" s="108"/>
      <c r="I125" s="107"/>
      <c r="J125" s="107"/>
      <c r="K125" s="9"/>
      <c r="L125" s="9"/>
      <c r="M125" s="9"/>
      <c r="N125" s="9"/>
      <c r="O125" s="107"/>
      <c r="P125" s="9"/>
      <c r="Q125" s="9"/>
      <c r="R125" s="9"/>
      <c r="S125" s="9"/>
      <c r="T125" s="9"/>
      <c r="U125" s="9"/>
      <c r="V125" s="9"/>
      <c r="W125" s="9"/>
      <c r="X125" s="107"/>
      <c r="Y125" s="9"/>
      <c r="Z125" s="9"/>
      <c r="AA125" s="107"/>
      <c r="AB125" s="9"/>
      <c r="AC125" s="9"/>
      <c r="AD125" s="9"/>
      <c r="AE125" s="9"/>
      <c r="AF125" s="9"/>
      <c r="AG125" s="9"/>
      <c r="AH125" s="9"/>
      <c r="AI125" s="9"/>
      <c r="AJ125" s="9"/>
      <c r="AK125" s="9"/>
      <c r="AL125" s="9"/>
      <c r="AM125" s="9"/>
      <c r="AN125" s="9"/>
      <c r="AO125" s="9"/>
      <c r="AP125" s="107"/>
      <c r="AQ125" s="9"/>
      <c r="AR125" s="9"/>
      <c r="AS125" s="9"/>
      <c r="AT125" s="9"/>
      <c r="AU125" s="9"/>
      <c r="AV125" s="9"/>
      <c r="AW125" s="9"/>
      <c r="AX125" s="9"/>
      <c r="AY125" s="9"/>
      <c r="AZ125" s="9"/>
      <c r="BA125" s="9"/>
      <c r="BB125" s="9"/>
      <c r="BC125" s="9"/>
      <c r="BD125" s="107"/>
      <c r="BE125" s="107"/>
    </row>
    <row r="126" spans="1:57" s="268" customFormat="1" x14ac:dyDescent="0.25">
      <c r="A126" s="107"/>
      <c r="B126" s="108"/>
      <c r="C126" s="108"/>
      <c r="D126" s="108"/>
      <c r="E126" s="108"/>
      <c r="F126" s="108"/>
      <c r="G126" s="108"/>
      <c r="H126" s="108"/>
      <c r="I126" s="107"/>
      <c r="J126" s="107"/>
      <c r="K126" s="9"/>
      <c r="L126" s="9"/>
      <c r="M126" s="9"/>
      <c r="N126" s="9"/>
      <c r="O126" s="107"/>
      <c r="P126" s="9"/>
      <c r="Q126" s="9"/>
      <c r="R126" s="9"/>
      <c r="S126" s="9"/>
      <c r="T126" s="9"/>
      <c r="U126" s="9"/>
      <c r="V126" s="9"/>
      <c r="W126" s="9"/>
      <c r="X126" s="107"/>
      <c r="Y126" s="9"/>
      <c r="Z126" s="9"/>
      <c r="AA126" s="107"/>
      <c r="AB126" s="9"/>
      <c r="AC126" s="9"/>
      <c r="AD126" s="9"/>
      <c r="AE126" s="9"/>
      <c r="AF126" s="9"/>
      <c r="AG126" s="9"/>
      <c r="AH126" s="9"/>
      <c r="AI126" s="9"/>
      <c r="AJ126" s="9"/>
      <c r="AK126" s="9"/>
      <c r="AL126" s="9"/>
      <c r="AM126" s="9"/>
      <c r="AN126" s="9"/>
      <c r="AO126" s="9"/>
      <c r="AP126" s="107"/>
      <c r="AQ126" s="9"/>
      <c r="AR126" s="9"/>
      <c r="AS126" s="9"/>
      <c r="AT126" s="9"/>
      <c r="AU126" s="9"/>
      <c r="AV126" s="9"/>
      <c r="AW126" s="9"/>
      <c r="AX126" s="9"/>
      <c r="AY126" s="9"/>
      <c r="AZ126" s="9"/>
      <c r="BA126" s="9"/>
      <c r="BB126" s="9"/>
      <c r="BC126" s="9"/>
      <c r="BD126" s="107"/>
      <c r="BE126" s="107"/>
    </row>
    <row r="127" spans="1:57" s="268" customFormat="1" x14ac:dyDescent="0.25">
      <c r="A127" s="107"/>
      <c r="B127" s="108"/>
      <c r="C127" s="108"/>
      <c r="D127" s="108"/>
      <c r="E127" s="108"/>
      <c r="F127" s="108"/>
      <c r="G127" s="108"/>
      <c r="H127" s="108"/>
      <c r="I127" s="107"/>
      <c r="J127" s="107"/>
      <c r="K127" s="9"/>
      <c r="L127" s="9"/>
      <c r="M127" s="9"/>
      <c r="N127" s="9"/>
      <c r="O127" s="107"/>
      <c r="P127" s="9"/>
      <c r="Q127" s="9"/>
      <c r="R127" s="9"/>
      <c r="S127" s="9"/>
      <c r="T127" s="9"/>
      <c r="U127" s="9"/>
      <c r="V127" s="9"/>
      <c r="W127" s="9"/>
      <c r="X127" s="107"/>
      <c r="Y127" s="9"/>
      <c r="Z127" s="9"/>
      <c r="AA127" s="107"/>
      <c r="AB127" s="9"/>
      <c r="AC127" s="9"/>
      <c r="AD127" s="9"/>
      <c r="AE127" s="9"/>
      <c r="AF127" s="9"/>
      <c r="AG127" s="9"/>
      <c r="AH127" s="9"/>
      <c r="AI127" s="9"/>
      <c r="AJ127" s="9"/>
      <c r="AK127" s="9"/>
      <c r="AL127" s="9"/>
      <c r="AM127" s="9"/>
      <c r="AN127" s="9"/>
      <c r="AO127" s="9"/>
      <c r="AP127" s="107"/>
      <c r="AQ127" s="9"/>
      <c r="AR127" s="9"/>
      <c r="AS127" s="9"/>
      <c r="AT127" s="9"/>
      <c r="AU127" s="9"/>
      <c r="AV127" s="9"/>
      <c r="AW127" s="9"/>
      <c r="AX127" s="9"/>
      <c r="AY127" s="9"/>
      <c r="AZ127" s="9"/>
      <c r="BA127" s="9"/>
      <c r="BB127" s="9"/>
      <c r="BC127" s="9"/>
      <c r="BD127" s="107"/>
      <c r="BE127" s="107"/>
    </row>
    <row r="128" spans="1:57" s="268" customFormat="1" x14ac:dyDescent="0.25">
      <c r="A128" s="107"/>
      <c r="B128" s="108"/>
      <c r="C128" s="108"/>
      <c r="D128" s="108"/>
      <c r="E128" s="108"/>
      <c r="F128" s="108"/>
      <c r="G128" s="108"/>
      <c r="H128" s="108"/>
      <c r="I128" s="107"/>
      <c r="J128" s="107"/>
      <c r="K128" s="9"/>
      <c r="L128" s="9"/>
      <c r="M128" s="9"/>
      <c r="N128" s="9"/>
      <c r="O128" s="107"/>
      <c r="P128" s="9"/>
      <c r="Q128" s="9"/>
      <c r="R128" s="9"/>
      <c r="S128" s="9"/>
      <c r="T128" s="9"/>
      <c r="U128" s="9"/>
      <c r="V128" s="9"/>
      <c r="W128" s="9"/>
      <c r="X128" s="107"/>
      <c r="Y128" s="9"/>
      <c r="Z128" s="9"/>
      <c r="AA128" s="107"/>
      <c r="AB128" s="9"/>
      <c r="AC128" s="9"/>
      <c r="AD128" s="9"/>
      <c r="AE128" s="9"/>
      <c r="AF128" s="9"/>
      <c r="AG128" s="9"/>
      <c r="AH128" s="9"/>
      <c r="AI128" s="9"/>
      <c r="AJ128" s="9"/>
      <c r="AK128" s="9"/>
      <c r="AL128" s="9"/>
      <c r="AM128" s="9"/>
      <c r="AN128" s="9"/>
      <c r="AO128" s="9"/>
      <c r="AP128" s="107"/>
      <c r="AQ128" s="9"/>
      <c r="AR128" s="9"/>
      <c r="AS128" s="9"/>
      <c r="AT128" s="9"/>
      <c r="AU128" s="9"/>
      <c r="AV128" s="9"/>
      <c r="AW128" s="9"/>
      <c r="AX128" s="9"/>
      <c r="AY128" s="9"/>
      <c r="AZ128" s="9"/>
      <c r="BA128" s="9"/>
      <c r="BB128" s="9"/>
      <c r="BC128" s="9"/>
      <c r="BD128" s="107"/>
      <c r="BE128" s="107"/>
    </row>
    <row r="129" spans="1:61" s="268" customFormat="1" x14ac:dyDescent="0.25">
      <c r="A129" s="107"/>
      <c r="B129" s="108"/>
      <c r="C129" s="108"/>
      <c r="D129" s="108"/>
      <c r="E129" s="108"/>
      <c r="F129" s="108"/>
      <c r="G129" s="108"/>
      <c r="H129" s="108"/>
      <c r="I129" s="107"/>
      <c r="J129" s="107"/>
      <c r="K129" s="9"/>
      <c r="L129" s="9"/>
      <c r="M129" s="9"/>
      <c r="N129" s="9"/>
      <c r="O129" s="107"/>
      <c r="P129" s="9"/>
      <c r="Q129" s="9"/>
      <c r="R129" s="9"/>
      <c r="S129" s="9"/>
      <c r="T129" s="9"/>
      <c r="U129" s="9"/>
      <c r="V129" s="9"/>
      <c r="W129" s="9"/>
      <c r="X129" s="107"/>
      <c r="Y129" s="9"/>
      <c r="Z129" s="9"/>
      <c r="AA129" s="107"/>
      <c r="AB129" s="9"/>
      <c r="AC129" s="9"/>
      <c r="AD129" s="9"/>
      <c r="AE129" s="9"/>
      <c r="AF129" s="9"/>
      <c r="AG129" s="9"/>
      <c r="AH129" s="9"/>
      <c r="AI129" s="9"/>
      <c r="AJ129" s="9"/>
      <c r="AK129" s="9"/>
      <c r="AL129" s="9"/>
      <c r="AM129" s="9"/>
      <c r="AN129" s="9"/>
      <c r="AO129" s="9"/>
      <c r="AP129" s="107"/>
      <c r="AQ129" s="9"/>
      <c r="AR129" s="9"/>
      <c r="AS129" s="9"/>
      <c r="AT129" s="9"/>
      <c r="AU129" s="9"/>
      <c r="AV129" s="9"/>
      <c r="AW129" s="9"/>
      <c r="AX129" s="9"/>
      <c r="AY129" s="9"/>
      <c r="AZ129" s="9"/>
      <c r="BA129" s="9"/>
      <c r="BB129" s="9"/>
      <c r="BC129" s="9"/>
      <c r="BD129" s="107"/>
      <c r="BE129" s="107"/>
    </row>
    <row r="130" spans="1:61" s="268" customFormat="1" x14ac:dyDescent="0.25">
      <c r="A130" s="107"/>
      <c r="B130" s="108"/>
      <c r="C130" s="108"/>
      <c r="D130" s="108"/>
      <c r="E130" s="108"/>
      <c r="F130" s="108"/>
      <c r="G130" s="108"/>
      <c r="H130" s="108"/>
      <c r="I130" s="107"/>
      <c r="J130" s="107"/>
      <c r="K130" s="9"/>
      <c r="L130" s="9"/>
      <c r="M130" s="9"/>
      <c r="N130" s="9"/>
      <c r="O130" s="107"/>
      <c r="P130" s="9"/>
      <c r="Q130" s="9"/>
      <c r="R130" s="9"/>
      <c r="S130" s="9"/>
      <c r="T130" s="9"/>
      <c r="U130" s="9"/>
      <c r="V130" s="9"/>
      <c r="W130" s="9"/>
      <c r="X130" s="107"/>
      <c r="Y130" s="9"/>
      <c r="Z130" s="9"/>
      <c r="AA130" s="107"/>
      <c r="AB130" s="9"/>
      <c r="AC130" s="9"/>
      <c r="AD130" s="9"/>
      <c r="AE130" s="9"/>
      <c r="AF130" s="9"/>
      <c r="AG130" s="9"/>
      <c r="AH130" s="9"/>
      <c r="AI130" s="9"/>
      <c r="AJ130" s="9"/>
      <c r="AK130" s="9"/>
      <c r="AL130" s="9"/>
      <c r="AM130" s="9"/>
      <c r="AN130" s="9"/>
      <c r="AO130" s="9"/>
      <c r="AP130" s="107"/>
      <c r="AQ130" s="9"/>
      <c r="AR130" s="9"/>
      <c r="AS130" s="9"/>
      <c r="AT130" s="9"/>
      <c r="AU130" s="9"/>
      <c r="AV130" s="9"/>
      <c r="AW130" s="9"/>
      <c r="AX130" s="9"/>
      <c r="AY130" s="9"/>
      <c r="AZ130" s="9"/>
      <c r="BA130" s="9"/>
      <c r="BB130" s="9"/>
      <c r="BC130" s="9"/>
      <c r="BD130" s="107"/>
      <c r="BE130" s="107"/>
    </row>
    <row r="131" spans="1:61" s="268" customFormat="1" x14ac:dyDescent="0.25">
      <c r="A131" s="107"/>
      <c r="B131" s="108"/>
      <c r="C131" s="108"/>
      <c r="D131" s="108"/>
      <c r="E131" s="108"/>
      <c r="F131" s="108"/>
      <c r="G131" s="108"/>
      <c r="H131" s="108"/>
      <c r="I131" s="107"/>
      <c r="J131" s="107"/>
      <c r="K131" s="9"/>
      <c r="L131" s="9"/>
      <c r="M131" s="9"/>
      <c r="N131" s="9"/>
      <c r="O131" s="107"/>
      <c r="P131" s="9"/>
      <c r="Q131" s="9"/>
      <c r="R131" s="9"/>
      <c r="S131" s="9"/>
      <c r="T131" s="9"/>
      <c r="U131" s="9"/>
      <c r="V131" s="9"/>
      <c r="W131" s="9"/>
      <c r="X131" s="107"/>
      <c r="Y131" s="9"/>
      <c r="Z131" s="9"/>
      <c r="AA131" s="107"/>
      <c r="AB131" s="9"/>
      <c r="AC131" s="9"/>
      <c r="AD131" s="9"/>
      <c r="AE131" s="9"/>
      <c r="AF131" s="9"/>
      <c r="AG131" s="9"/>
      <c r="AH131" s="9"/>
      <c r="AI131" s="9"/>
      <c r="AJ131" s="9"/>
      <c r="AK131" s="9"/>
      <c r="AL131" s="9"/>
      <c r="AM131" s="9"/>
      <c r="AN131" s="9"/>
      <c r="AO131" s="9"/>
      <c r="AP131" s="107"/>
      <c r="AQ131" s="9"/>
      <c r="AR131" s="9"/>
      <c r="AS131" s="9"/>
      <c r="AT131" s="9"/>
      <c r="AU131" s="9"/>
      <c r="AV131" s="9"/>
      <c r="AW131" s="9"/>
      <c r="AX131" s="9"/>
      <c r="AY131" s="9"/>
      <c r="AZ131" s="9"/>
      <c r="BA131" s="9"/>
      <c r="BB131" s="9"/>
      <c r="BC131" s="9"/>
      <c r="BD131" s="107"/>
      <c r="BE131" s="107"/>
    </row>
    <row r="132" spans="1:61" s="268" customFormat="1" x14ac:dyDescent="0.25">
      <c r="A132" s="107"/>
      <c r="B132" s="108"/>
      <c r="C132" s="108"/>
      <c r="D132" s="108"/>
      <c r="E132" s="108"/>
      <c r="F132" s="108"/>
      <c r="G132" s="108"/>
      <c r="H132" s="108"/>
      <c r="I132" s="107"/>
      <c r="J132" s="107"/>
      <c r="K132" s="9"/>
      <c r="L132" s="9"/>
      <c r="M132" s="9"/>
      <c r="N132" s="9"/>
      <c r="O132" s="107"/>
      <c r="P132" s="9"/>
      <c r="Q132" s="9"/>
      <c r="R132" s="9"/>
      <c r="S132" s="9"/>
      <c r="T132" s="9"/>
      <c r="U132" s="9"/>
      <c r="V132" s="9"/>
      <c r="W132" s="9"/>
      <c r="X132" s="107"/>
      <c r="Y132" s="9"/>
      <c r="Z132" s="9"/>
      <c r="AA132" s="107"/>
      <c r="AB132" s="9"/>
      <c r="AC132" s="9"/>
      <c r="AD132" s="9"/>
      <c r="AE132" s="9"/>
      <c r="AF132" s="9"/>
      <c r="AG132" s="9"/>
      <c r="AH132" s="9"/>
      <c r="AI132" s="9"/>
      <c r="AJ132" s="9"/>
      <c r="AK132" s="9"/>
      <c r="AL132" s="9"/>
      <c r="AM132" s="9"/>
      <c r="AN132" s="9"/>
      <c r="AO132" s="9"/>
      <c r="AP132" s="107"/>
      <c r="AQ132" s="9"/>
      <c r="AR132" s="9"/>
      <c r="AS132" s="9"/>
      <c r="AT132" s="9"/>
      <c r="AU132" s="9"/>
      <c r="AV132" s="9"/>
      <c r="AW132" s="9"/>
      <c r="AX132" s="9"/>
      <c r="AY132" s="9"/>
      <c r="AZ132" s="9"/>
      <c r="BA132" s="9"/>
      <c r="BB132" s="9"/>
      <c r="BC132" s="9"/>
      <c r="BD132" s="107"/>
      <c r="BE132" s="107"/>
    </row>
    <row r="133" spans="1:61" s="268" customFormat="1" x14ac:dyDescent="0.25">
      <c r="A133" s="107"/>
      <c r="B133" s="108"/>
      <c r="C133" s="108"/>
      <c r="D133" s="108"/>
      <c r="E133" s="108"/>
      <c r="F133" s="108"/>
      <c r="G133" s="108"/>
      <c r="H133" s="108"/>
      <c r="I133" s="107"/>
      <c r="J133" s="107"/>
      <c r="K133" s="9"/>
      <c r="L133" s="9"/>
      <c r="M133" s="9"/>
      <c r="N133" s="9"/>
      <c r="O133" s="107"/>
      <c r="P133" s="9"/>
      <c r="Q133" s="9"/>
      <c r="R133" s="9"/>
      <c r="S133" s="9"/>
      <c r="T133" s="9"/>
      <c r="U133" s="9"/>
      <c r="V133" s="9"/>
      <c r="W133" s="9"/>
      <c r="X133" s="107"/>
      <c r="Y133" s="9"/>
      <c r="Z133" s="9"/>
      <c r="AA133" s="107"/>
      <c r="AB133" s="9"/>
      <c r="AC133" s="9"/>
      <c r="AD133" s="9"/>
      <c r="AE133" s="9"/>
      <c r="AF133" s="9"/>
      <c r="AG133" s="9"/>
      <c r="AH133" s="9"/>
      <c r="AI133" s="9"/>
      <c r="AJ133" s="9"/>
      <c r="AK133" s="9"/>
      <c r="AL133" s="9"/>
      <c r="AM133" s="9"/>
      <c r="AN133" s="9"/>
      <c r="AO133" s="9"/>
      <c r="AP133" s="107"/>
      <c r="AQ133" s="9"/>
      <c r="AR133" s="9"/>
      <c r="AS133" s="9"/>
      <c r="AT133" s="9"/>
      <c r="AU133" s="9"/>
      <c r="AV133" s="9"/>
      <c r="AW133" s="9"/>
      <c r="AX133" s="9"/>
      <c r="AY133" s="9"/>
      <c r="AZ133" s="9"/>
      <c r="BA133" s="9"/>
      <c r="BB133" s="9"/>
      <c r="BC133" s="9"/>
      <c r="BD133" s="107"/>
      <c r="BE133" s="107"/>
    </row>
    <row r="134" spans="1:61" s="268" customFormat="1" x14ac:dyDescent="0.25">
      <c r="A134" s="107"/>
      <c r="B134" s="108"/>
      <c r="C134" s="108"/>
      <c r="D134" s="108"/>
      <c r="E134" s="108"/>
      <c r="F134" s="108"/>
      <c r="G134" s="108"/>
      <c r="H134" s="108"/>
      <c r="I134" s="107"/>
      <c r="J134" s="107"/>
      <c r="K134" s="9"/>
      <c r="L134" s="9"/>
      <c r="M134" s="9"/>
      <c r="N134" s="9"/>
      <c r="O134" s="107"/>
      <c r="P134" s="9"/>
      <c r="Q134" s="9"/>
      <c r="R134" s="9"/>
      <c r="S134" s="9"/>
      <c r="T134" s="9"/>
      <c r="U134" s="9"/>
      <c r="V134" s="9"/>
      <c r="W134" s="9"/>
      <c r="X134" s="107"/>
      <c r="Y134" s="9"/>
      <c r="Z134" s="9"/>
      <c r="AA134" s="107"/>
      <c r="AB134" s="9"/>
      <c r="AC134" s="9"/>
      <c r="AD134" s="9"/>
      <c r="AE134" s="9"/>
      <c r="AF134" s="9"/>
      <c r="AG134" s="9"/>
      <c r="AH134" s="9"/>
      <c r="AI134" s="9"/>
      <c r="AJ134" s="9"/>
      <c r="AK134" s="9"/>
      <c r="AL134" s="9"/>
      <c r="AM134" s="9"/>
      <c r="AN134" s="9"/>
      <c r="AO134" s="9"/>
      <c r="AP134" s="107"/>
      <c r="AQ134" s="9"/>
      <c r="AR134" s="9"/>
      <c r="AS134" s="9"/>
      <c r="AT134" s="9"/>
      <c r="AU134" s="9"/>
      <c r="AV134" s="9"/>
      <c r="AW134" s="9"/>
      <c r="AX134" s="9"/>
      <c r="AY134" s="9"/>
      <c r="AZ134" s="9"/>
      <c r="BA134" s="9"/>
      <c r="BB134" s="9"/>
      <c r="BC134" s="9"/>
      <c r="BD134" s="107"/>
      <c r="BE134" s="107"/>
    </row>
    <row r="135" spans="1:61" s="268" customFormat="1" x14ac:dyDescent="0.25">
      <c r="A135" s="107"/>
      <c r="B135" s="107"/>
      <c r="C135" s="9"/>
      <c r="D135" s="9"/>
      <c r="E135" s="9"/>
      <c r="F135" s="107"/>
      <c r="G135" s="108"/>
      <c r="H135" s="108"/>
      <c r="I135" s="107"/>
      <c r="J135" s="107"/>
      <c r="K135" s="9"/>
      <c r="L135" s="9"/>
      <c r="M135" s="9"/>
      <c r="N135" s="9"/>
      <c r="O135" s="107"/>
      <c r="P135" s="9"/>
      <c r="Q135" s="9"/>
      <c r="R135" s="9"/>
      <c r="S135" s="9"/>
      <c r="T135" s="9"/>
      <c r="U135" s="9"/>
      <c r="V135" s="9"/>
      <c r="W135" s="9"/>
      <c r="X135" s="107"/>
      <c r="Y135" s="9"/>
      <c r="Z135" s="9"/>
      <c r="AA135" s="107"/>
      <c r="AB135" s="9"/>
      <c r="AC135" s="9"/>
      <c r="AD135" s="9"/>
      <c r="AE135" s="9"/>
      <c r="AF135" s="9"/>
      <c r="AG135" s="9"/>
      <c r="AH135" s="9"/>
      <c r="AI135" s="9"/>
      <c r="AJ135" s="9"/>
      <c r="AK135" s="9"/>
      <c r="AL135" s="9"/>
      <c r="AM135" s="9"/>
      <c r="AN135" s="9"/>
      <c r="AO135" s="9"/>
      <c r="AP135" s="107"/>
      <c r="AQ135" s="9"/>
      <c r="AR135" s="9"/>
      <c r="AS135" s="9"/>
      <c r="AT135" s="9"/>
      <c r="AU135" s="9"/>
      <c r="AV135" s="9"/>
      <c r="AW135" s="9"/>
      <c r="AX135" s="9"/>
      <c r="AY135" s="9"/>
      <c r="AZ135" s="9"/>
      <c r="BA135" s="9"/>
      <c r="BB135" s="9"/>
      <c r="BC135" s="9"/>
      <c r="BD135" s="107"/>
      <c r="BE135" s="107"/>
    </row>
    <row r="136" spans="1:61" s="268" customFormat="1" x14ac:dyDescent="0.25">
      <c r="A136" s="107"/>
      <c r="B136" s="107"/>
      <c r="C136" s="9"/>
      <c r="D136" s="9"/>
      <c r="E136" s="9"/>
      <c r="F136" s="107"/>
      <c r="G136" s="107"/>
      <c r="H136" s="107"/>
      <c r="I136" s="107"/>
      <c r="J136" s="107"/>
      <c r="K136" s="9"/>
      <c r="L136" s="9"/>
      <c r="M136" s="9"/>
      <c r="N136" s="9"/>
      <c r="O136" s="107"/>
      <c r="P136" s="9"/>
      <c r="Q136" s="9"/>
      <c r="R136" s="9"/>
      <c r="S136" s="9"/>
      <c r="T136" s="9"/>
      <c r="U136" s="9"/>
      <c r="V136" s="9"/>
      <c r="W136" s="9"/>
      <c r="X136" s="107"/>
      <c r="Y136" s="9"/>
      <c r="Z136" s="9"/>
      <c r="AA136" s="107"/>
      <c r="AB136" s="9"/>
      <c r="AC136" s="9"/>
      <c r="AD136" s="9"/>
      <c r="AE136" s="9"/>
      <c r="AF136" s="9"/>
      <c r="AG136" s="9"/>
      <c r="AH136" s="9"/>
      <c r="AI136" s="9"/>
      <c r="AJ136" s="9"/>
      <c r="AK136" s="9"/>
      <c r="AL136" s="9"/>
      <c r="AM136" s="9"/>
      <c r="AN136" s="9"/>
      <c r="AO136" s="9"/>
      <c r="AP136" s="107"/>
      <c r="AQ136" s="9"/>
      <c r="AR136" s="9"/>
      <c r="AS136" s="9"/>
      <c r="AT136" s="9"/>
      <c r="AU136" s="9"/>
      <c r="AV136" s="9"/>
      <c r="AW136" s="9"/>
      <c r="AX136" s="9"/>
      <c r="AY136" s="9"/>
      <c r="AZ136" s="9"/>
      <c r="BA136" s="9"/>
      <c r="BB136" s="9"/>
      <c r="BC136" s="9"/>
      <c r="BD136" s="107"/>
      <c r="BE136" s="107"/>
    </row>
    <row r="137" spans="1:61" x14ac:dyDescent="0.25">
      <c r="C137" s="9"/>
      <c r="D137" s="9"/>
      <c r="E137" s="9"/>
      <c r="K137" s="9"/>
      <c r="L137" s="9"/>
      <c r="M137" s="9"/>
      <c r="N137" s="9"/>
      <c r="P137" s="9"/>
      <c r="Q137" s="9"/>
      <c r="R137" s="9"/>
      <c r="S137" s="9"/>
      <c r="T137" s="9"/>
      <c r="U137" s="9"/>
      <c r="V137" s="9"/>
      <c r="W137" s="9"/>
      <c r="Y137" s="9"/>
      <c r="Z137" s="9"/>
      <c r="AB137" s="9"/>
      <c r="AC137" s="9"/>
      <c r="AD137" s="9"/>
      <c r="AE137" s="9"/>
      <c r="AF137" s="9"/>
      <c r="AG137" s="9"/>
      <c r="AH137" s="9"/>
      <c r="AI137" s="9"/>
      <c r="AJ137" s="9"/>
      <c r="AK137" s="9"/>
      <c r="AL137" s="9"/>
      <c r="AM137" s="9"/>
      <c r="AN137" s="9"/>
      <c r="AO137" s="9"/>
      <c r="AQ137" s="9"/>
      <c r="AR137" s="9"/>
      <c r="AS137" s="9"/>
      <c r="AT137" s="9"/>
      <c r="AU137" s="9"/>
      <c r="AV137" s="9"/>
      <c r="AW137" s="9"/>
      <c r="AX137" s="9"/>
      <c r="AY137" s="9"/>
      <c r="AZ137" s="9"/>
      <c r="BA137" s="9"/>
      <c r="BB137" s="9"/>
      <c r="BC137" s="9"/>
      <c r="BF137" s="107"/>
      <c r="BG137" s="107"/>
      <c r="BH137" s="107"/>
      <c r="BI137" s="107"/>
    </row>
    <row r="138" spans="1:61" x14ac:dyDescent="0.25">
      <c r="C138" s="9"/>
      <c r="D138" s="9"/>
      <c r="E138" s="9"/>
      <c r="K138" s="9"/>
      <c r="L138" s="9"/>
      <c r="M138" s="9"/>
      <c r="N138" s="9"/>
      <c r="P138" s="9"/>
      <c r="Q138" s="9"/>
      <c r="R138" s="9"/>
      <c r="S138" s="9"/>
      <c r="T138" s="9"/>
      <c r="U138" s="9"/>
      <c r="V138" s="9"/>
      <c r="W138" s="9"/>
      <c r="Y138" s="9"/>
      <c r="Z138" s="9"/>
      <c r="AB138" s="9"/>
      <c r="AC138" s="9"/>
      <c r="AD138" s="9"/>
      <c r="AE138" s="9"/>
      <c r="AF138" s="9"/>
      <c r="AG138" s="9"/>
      <c r="AH138" s="9"/>
      <c r="AI138" s="9"/>
      <c r="AJ138" s="9"/>
      <c r="AK138" s="9"/>
      <c r="AL138" s="9"/>
      <c r="AM138" s="9"/>
      <c r="AN138" s="9"/>
      <c r="AO138" s="9"/>
      <c r="AQ138" s="9"/>
      <c r="AR138" s="9"/>
      <c r="AS138" s="9"/>
      <c r="AT138" s="9"/>
      <c r="AU138" s="9"/>
      <c r="AV138" s="9"/>
      <c r="AW138" s="9"/>
      <c r="AX138" s="9"/>
      <c r="AY138" s="9"/>
      <c r="AZ138" s="9"/>
      <c r="BA138" s="9"/>
      <c r="BB138" s="9"/>
      <c r="BC138" s="9"/>
      <c r="BF138" s="107"/>
      <c r="BG138" s="107"/>
      <c r="BH138" s="107"/>
      <c r="BI138" s="107"/>
    </row>
    <row r="139" spans="1:61" x14ac:dyDescent="0.25">
      <c r="C139" s="9"/>
      <c r="D139" s="9"/>
      <c r="E139" s="9"/>
      <c r="K139" s="9"/>
      <c r="L139" s="9"/>
      <c r="M139" s="9"/>
      <c r="N139" s="9"/>
      <c r="P139" s="9"/>
      <c r="Q139" s="9"/>
      <c r="R139" s="9"/>
      <c r="S139" s="9"/>
      <c r="T139" s="9"/>
      <c r="U139" s="9"/>
      <c r="V139" s="9"/>
      <c r="W139" s="9"/>
      <c r="Y139" s="9"/>
      <c r="Z139" s="9"/>
      <c r="AB139" s="9"/>
      <c r="AC139" s="9"/>
      <c r="AD139" s="9"/>
      <c r="AE139" s="9"/>
      <c r="AF139" s="9"/>
      <c r="AG139" s="9"/>
      <c r="AH139" s="9"/>
      <c r="AI139" s="9"/>
      <c r="AJ139" s="9"/>
      <c r="AK139" s="9"/>
      <c r="AL139" s="9"/>
      <c r="AM139" s="9"/>
      <c r="AN139" s="9"/>
      <c r="AO139" s="9"/>
      <c r="AQ139" s="9"/>
      <c r="AR139" s="9"/>
      <c r="AS139" s="9"/>
      <c r="AT139" s="9"/>
      <c r="AU139" s="9"/>
      <c r="AV139" s="9"/>
      <c r="AW139" s="9"/>
      <c r="AX139" s="9"/>
      <c r="AY139" s="9"/>
      <c r="AZ139" s="9"/>
      <c r="BA139" s="9"/>
      <c r="BB139" s="9"/>
      <c r="BC139" s="9"/>
      <c r="BF139" s="107"/>
      <c r="BG139" s="107"/>
      <c r="BH139" s="107"/>
      <c r="BI139" s="107"/>
    </row>
    <row r="140" spans="1:61" x14ac:dyDescent="0.25">
      <c r="C140" s="9"/>
      <c r="D140" s="9"/>
      <c r="E140" s="9"/>
      <c r="K140" s="9"/>
      <c r="L140" s="9"/>
      <c r="M140" s="9"/>
      <c r="N140" s="9"/>
      <c r="P140" s="9"/>
      <c r="Q140" s="9"/>
      <c r="R140" s="9"/>
      <c r="S140" s="9"/>
      <c r="T140" s="9"/>
      <c r="U140" s="9"/>
      <c r="V140" s="9"/>
      <c r="W140" s="9"/>
      <c r="Y140" s="9"/>
      <c r="Z140" s="9"/>
      <c r="AB140" s="9"/>
      <c r="AC140" s="9"/>
      <c r="AD140" s="9"/>
      <c r="AE140" s="9"/>
      <c r="AF140" s="9"/>
      <c r="AG140" s="9"/>
      <c r="AH140" s="9"/>
      <c r="AI140" s="9"/>
      <c r="AJ140" s="9"/>
      <c r="AK140" s="9"/>
      <c r="AL140" s="9"/>
      <c r="AM140" s="9"/>
      <c r="AN140" s="9"/>
      <c r="AO140" s="9"/>
      <c r="AQ140" s="9"/>
      <c r="AR140" s="9"/>
      <c r="AS140" s="9"/>
      <c r="AT140" s="9"/>
      <c r="AU140" s="9"/>
      <c r="AV140" s="9"/>
      <c r="AW140" s="9"/>
      <c r="AX140" s="9"/>
      <c r="AY140" s="9"/>
      <c r="AZ140" s="9"/>
      <c r="BA140" s="9"/>
      <c r="BB140" s="9"/>
      <c r="BC140" s="9"/>
      <c r="BF140" s="107"/>
      <c r="BG140" s="107"/>
      <c r="BH140" s="107"/>
      <c r="BI140" s="107"/>
    </row>
    <row r="141" spans="1:61" x14ac:dyDescent="0.25">
      <c r="C141" s="9"/>
      <c r="D141" s="9"/>
      <c r="E141" s="9"/>
      <c r="K141" s="9"/>
      <c r="L141" s="9"/>
      <c r="M141" s="9"/>
      <c r="N141" s="9"/>
      <c r="P141" s="9"/>
      <c r="Q141" s="9"/>
      <c r="R141" s="9"/>
      <c r="S141" s="9"/>
      <c r="T141" s="9"/>
      <c r="U141" s="9"/>
      <c r="V141" s="9"/>
      <c r="W141" s="9"/>
      <c r="Y141" s="9"/>
      <c r="Z141" s="9"/>
      <c r="AB141" s="9"/>
      <c r="AC141" s="9"/>
      <c r="AD141" s="9"/>
      <c r="AE141" s="9"/>
      <c r="AF141" s="9"/>
      <c r="AG141" s="9"/>
      <c r="AH141" s="9"/>
      <c r="AI141" s="9"/>
      <c r="AJ141" s="9"/>
      <c r="AK141" s="9"/>
      <c r="AL141" s="9"/>
      <c r="AM141" s="9"/>
      <c r="AN141" s="9"/>
      <c r="AO141" s="9"/>
      <c r="AQ141" s="9"/>
      <c r="AR141" s="9"/>
      <c r="AS141" s="9"/>
      <c r="AT141" s="9"/>
      <c r="AU141" s="9"/>
      <c r="AV141" s="9"/>
      <c r="AW141" s="9"/>
      <c r="AX141" s="9"/>
      <c r="AY141" s="9"/>
      <c r="AZ141" s="9"/>
      <c r="BA141" s="9"/>
      <c r="BB141" s="9"/>
      <c r="BC141" s="9"/>
      <c r="BF141" s="107"/>
      <c r="BG141" s="107"/>
      <c r="BH141" s="107"/>
      <c r="BI141" s="107"/>
    </row>
    <row r="142" spans="1:61" x14ac:dyDescent="0.25">
      <c r="C142" s="9"/>
      <c r="D142" s="9"/>
      <c r="E142" s="9"/>
      <c r="K142" s="9"/>
      <c r="L142" s="9"/>
      <c r="M142" s="9"/>
      <c r="N142" s="9"/>
      <c r="P142" s="9"/>
      <c r="Q142" s="9"/>
      <c r="R142" s="9"/>
      <c r="S142" s="9"/>
      <c r="T142" s="9"/>
      <c r="U142" s="9"/>
      <c r="V142" s="9"/>
      <c r="W142" s="9"/>
      <c r="Y142" s="9"/>
      <c r="Z142" s="9"/>
      <c r="AB142" s="9"/>
      <c r="AC142" s="9"/>
      <c r="AD142" s="9"/>
      <c r="AE142" s="9"/>
      <c r="AF142" s="9"/>
      <c r="AG142" s="9"/>
      <c r="AH142" s="9"/>
      <c r="AI142" s="9"/>
      <c r="AJ142" s="9"/>
      <c r="AK142" s="9"/>
      <c r="AL142" s="9"/>
      <c r="AM142" s="9"/>
      <c r="AN142" s="9"/>
      <c r="AO142" s="9"/>
      <c r="AQ142" s="9"/>
      <c r="AR142" s="9"/>
      <c r="AS142" s="9"/>
      <c r="AT142" s="9"/>
      <c r="AU142" s="9"/>
      <c r="AV142" s="9"/>
      <c r="AW142" s="9"/>
      <c r="AX142" s="9"/>
      <c r="AY142" s="9"/>
      <c r="AZ142" s="9"/>
      <c r="BA142" s="9"/>
      <c r="BB142" s="9"/>
      <c r="BC142" s="9"/>
      <c r="BF142" s="107"/>
      <c r="BG142" s="107"/>
      <c r="BH142" s="107"/>
      <c r="BI142" s="107"/>
    </row>
    <row r="143" spans="1:61" x14ac:dyDescent="0.25">
      <c r="C143" s="9"/>
      <c r="D143" s="9"/>
      <c r="E143" s="9"/>
      <c r="K143" s="9"/>
      <c r="L143" s="9"/>
      <c r="M143" s="9"/>
      <c r="N143" s="9"/>
      <c r="P143" s="9"/>
      <c r="Q143" s="9"/>
      <c r="R143" s="9"/>
      <c r="S143" s="9"/>
      <c r="T143" s="9"/>
      <c r="U143" s="9"/>
      <c r="V143" s="9"/>
      <c r="W143" s="9"/>
      <c r="Y143" s="9"/>
      <c r="Z143" s="9"/>
      <c r="AB143" s="9"/>
      <c r="AC143" s="9"/>
      <c r="AD143" s="9"/>
      <c r="AE143" s="9"/>
      <c r="AF143" s="9"/>
      <c r="AG143" s="9"/>
      <c r="AH143" s="9"/>
      <c r="AI143" s="9"/>
      <c r="AJ143" s="9"/>
      <c r="AK143" s="9"/>
      <c r="AL143" s="9"/>
      <c r="AM143" s="9"/>
      <c r="AN143" s="9"/>
      <c r="AO143" s="9"/>
      <c r="AQ143" s="9"/>
      <c r="AR143" s="9"/>
      <c r="AS143" s="9"/>
      <c r="AT143" s="9"/>
      <c r="AU143" s="9"/>
      <c r="AV143" s="9"/>
      <c r="AW143" s="9"/>
      <c r="AX143" s="9"/>
      <c r="AY143" s="9"/>
      <c r="AZ143" s="9"/>
      <c r="BA143" s="9"/>
      <c r="BB143" s="9"/>
      <c r="BC143" s="9"/>
      <c r="BF143" s="107"/>
      <c r="BG143" s="107"/>
      <c r="BH143" s="107"/>
      <c r="BI143" s="107"/>
    </row>
    <row r="144" spans="1:61" x14ac:dyDescent="0.25">
      <c r="C144" s="9"/>
      <c r="D144" s="9"/>
      <c r="E144" s="9"/>
      <c r="K144" s="9"/>
      <c r="L144" s="9"/>
      <c r="M144" s="9"/>
      <c r="N144" s="9"/>
      <c r="P144" s="9"/>
      <c r="Q144" s="9"/>
      <c r="R144" s="9"/>
      <c r="S144" s="9"/>
      <c r="T144" s="9"/>
      <c r="U144" s="9"/>
      <c r="V144" s="9"/>
      <c r="W144" s="9"/>
      <c r="Y144" s="9"/>
      <c r="Z144" s="9"/>
      <c r="AB144" s="9"/>
      <c r="AC144" s="9"/>
      <c r="AD144" s="9"/>
      <c r="AE144" s="9"/>
      <c r="AF144" s="9"/>
      <c r="AG144" s="9"/>
      <c r="AH144" s="9"/>
      <c r="AI144" s="9"/>
      <c r="AJ144" s="9"/>
      <c r="AK144" s="9"/>
      <c r="AL144" s="9"/>
      <c r="AM144" s="9"/>
      <c r="AN144" s="9"/>
      <c r="AO144" s="9"/>
      <c r="AQ144" s="9"/>
      <c r="AR144" s="9"/>
      <c r="AS144" s="9"/>
      <c r="AT144" s="9"/>
      <c r="AU144" s="9"/>
      <c r="AV144" s="9"/>
      <c r="AW144" s="9"/>
      <c r="AX144" s="9"/>
      <c r="AY144" s="9"/>
      <c r="AZ144" s="9"/>
      <c r="BA144" s="9"/>
      <c r="BB144" s="9"/>
      <c r="BC144" s="9"/>
      <c r="BF144" s="107"/>
      <c r="BG144" s="107"/>
      <c r="BH144" s="107"/>
      <c r="BI144" s="107"/>
    </row>
    <row r="145" spans="3:61" x14ac:dyDescent="0.25">
      <c r="C145" s="9"/>
      <c r="D145" s="9"/>
      <c r="E145" s="9"/>
      <c r="K145" s="9"/>
      <c r="L145" s="9"/>
      <c r="M145" s="9"/>
      <c r="N145" s="9"/>
      <c r="P145" s="9"/>
      <c r="Q145" s="9"/>
      <c r="R145" s="9"/>
      <c r="S145" s="9"/>
      <c r="T145" s="9"/>
      <c r="U145" s="9"/>
      <c r="V145" s="9"/>
      <c r="W145" s="9"/>
      <c r="Y145" s="9"/>
      <c r="Z145" s="9"/>
      <c r="AB145" s="9"/>
      <c r="AC145" s="9"/>
      <c r="AD145" s="9"/>
      <c r="AE145" s="9"/>
      <c r="AF145" s="9"/>
      <c r="AG145" s="9"/>
      <c r="AH145" s="9"/>
      <c r="AI145" s="9"/>
      <c r="AJ145" s="9"/>
      <c r="AK145" s="9"/>
      <c r="AL145" s="9"/>
      <c r="AM145" s="9"/>
      <c r="AN145" s="9"/>
      <c r="AO145" s="9"/>
      <c r="AQ145" s="9"/>
      <c r="AR145" s="9"/>
      <c r="AS145" s="9"/>
      <c r="AT145" s="9"/>
      <c r="AU145" s="9"/>
      <c r="AV145" s="9"/>
      <c r="AW145" s="9"/>
      <c r="AX145" s="9"/>
      <c r="AY145" s="9"/>
      <c r="AZ145" s="9"/>
      <c r="BA145" s="9"/>
      <c r="BB145" s="9"/>
      <c r="BC145" s="9"/>
      <c r="BF145" s="107"/>
      <c r="BG145" s="107"/>
      <c r="BH145" s="107"/>
      <c r="BI145" s="107"/>
    </row>
    <row r="146" spans="3:61" x14ac:dyDescent="0.25">
      <c r="C146" s="9"/>
      <c r="D146" s="9"/>
      <c r="E146" s="9"/>
      <c r="K146" s="9"/>
      <c r="L146" s="9"/>
      <c r="M146" s="9"/>
      <c r="N146" s="9"/>
      <c r="P146" s="9"/>
      <c r="Q146" s="9"/>
      <c r="R146" s="9"/>
      <c r="S146" s="9"/>
      <c r="T146" s="9"/>
      <c r="U146" s="9"/>
      <c r="V146" s="9"/>
      <c r="W146" s="9"/>
      <c r="Y146" s="9"/>
      <c r="Z146" s="9"/>
      <c r="AB146" s="9"/>
      <c r="AC146" s="9"/>
      <c r="AD146" s="9"/>
      <c r="AE146" s="9"/>
      <c r="AF146" s="9"/>
      <c r="AG146" s="9"/>
      <c r="AH146" s="9"/>
      <c r="AI146" s="9"/>
      <c r="AJ146" s="9"/>
      <c r="AK146" s="9"/>
      <c r="AL146" s="9"/>
      <c r="AM146" s="9"/>
      <c r="AN146" s="9"/>
      <c r="AO146" s="9"/>
      <c r="AQ146" s="9"/>
      <c r="AR146" s="9"/>
      <c r="AS146" s="9"/>
      <c r="AT146" s="9"/>
      <c r="AU146" s="9"/>
      <c r="AV146" s="9"/>
      <c r="AW146" s="9"/>
      <c r="AX146" s="9"/>
      <c r="AY146" s="9"/>
      <c r="AZ146" s="9"/>
      <c r="BA146" s="9"/>
      <c r="BB146" s="9"/>
      <c r="BC146" s="9"/>
      <c r="BF146" s="107"/>
      <c r="BG146" s="107"/>
      <c r="BH146" s="107"/>
      <c r="BI146" s="107"/>
    </row>
    <row r="147" spans="3:61" x14ac:dyDescent="0.25">
      <c r="C147" s="9"/>
      <c r="D147" s="9"/>
      <c r="E147" s="9"/>
      <c r="K147" s="9"/>
      <c r="L147" s="9"/>
      <c r="M147" s="9"/>
      <c r="N147" s="9"/>
      <c r="P147" s="9"/>
      <c r="Q147" s="9"/>
      <c r="R147" s="9"/>
      <c r="S147" s="9"/>
      <c r="T147" s="9"/>
      <c r="U147" s="9"/>
      <c r="V147" s="9"/>
      <c r="W147" s="9"/>
      <c r="Y147" s="9"/>
      <c r="Z147" s="9"/>
      <c r="AB147" s="9"/>
      <c r="AC147" s="9"/>
      <c r="AD147" s="9"/>
      <c r="AE147" s="9"/>
      <c r="AF147" s="9"/>
      <c r="AG147" s="9"/>
      <c r="AH147" s="9"/>
      <c r="AI147" s="9"/>
      <c r="AJ147" s="9"/>
      <c r="AK147" s="9"/>
      <c r="AL147" s="9"/>
      <c r="AM147" s="9"/>
      <c r="AN147" s="9"/>
      <c r="AO147" s="9"/>
      <c r="AQ147" s="9"/>
      <c r="AR147" s="9"/>
      <c r="AS147" s="9"/>
      <c r="AT147" s="9"/>
      <c r="AU147" s="9"/>
      <c r="AV147" s="9"/>
      <c r="AW147" s="9"/>
      <c r="AX147" s="9"/>
      <c r="AY147" s="9"/>
      <c r="AZ147" s="9"/>
      <c r="BA147" s="9"/>
      <c r="BB147" s="9"/>
      <c r="BC147" s="9"/>
      <c r="BF147" s="107"/>
      <c r="BG147" s="107"/>
      <c r="BH147" s="107"/>
      <c r="BI147" s="107"/>
    </row>
    <row r="148" spans="3:61" x14ac:dyDescent="0.25">
      <c r="C148" s="9"/>
      <c r="D148" s="9"/>
      <c r="E148" s="9"/>
      <c r="K148" s="9"/>
      <c r="L148" s="9"/>
      <c r="M148" s="9"/>
      <c r="N148" s="9"/>
      <c r="P148" s="9"/>
      <c r="Q148" s="9"/>
      <c r="R148" s="9"/>
      <c r="S148" s="9"/>
      <c r="T148" s="9"/>
      <c r="U148" s="9"/>
      <c r="V148" s="9"/>
      <c r="W148" s="9"/>
      <c r="Y148" s="9"/>
      <c r="Z148" s="9"/>
      <c r="AB148" s="9"/>
      <c r="AC148" s="9"/>
      <c r="AD148" s="9"/>
      <c r="AE148" s="9"/>
      <c r="AF148" s="9"/>
      <c r="AG148" s="9"/>
      <c r="AH148" s="9"/>
      <c r="AI148" s="9"/>
      <c r="AJ148" s="9"/>
      <c r="AK148" s="9"/>
      <c r="AL148" s="9"/>
      <c r="AM148" s="9"/>
      <c r="AN148" s="9"/>
      <c r="AO148" s="9"/>
      <c r="AQ148" s="9"/>
      <c r="AR148" s="9"/>
      <c r="AS148" s="9"/>
      <c r="AT148" s="9"/>
      <c r="AU148" s="9"/>
      <c r="AV148" s="9"/>
      <c r="AW148" s="9"/>
      <c r="AX148" s="9"/>
      <c r="AY148" s="9"/>
      <c r="AZ148" s="9"/>
      <c r="BA148" s="9"/>
      <c r="BB148" s="9"/>
      <c r="BC148" s="9"/>
      <c r="BF148" s="107"/>
      <c r="BG148" s="107"/>
      <c r="BH148" s="107"/>
      <c r="BI148" s="107"/>
    </row>
    <row r="149" spans="3:61" x14ac:dyDescent="0.25">
      <c r="C149" s="9"/>
      <c r="D149" s="9"/>
      <c r="E149" s="9"/>
      <c r="K149" s="9"/>
      <c r="L149" s="9"/>
      <c r="M149" s="9"/>
      <c r="N149" s="9"/>
      <c r="P149" s="9"/>
      <c r="Q149" s="9"/>
      <c r="R149" s="9"/>
      <c r="S149" s="9"/>
      <c r="T149" s="9"/>
      <c r="U149" s="9"/>
      <c r="V149" s="9"/>
      <c r="W149" s="9"/>
      <c r="Y149" s="9"/>
      <c r="Z149" s="9"/>
      <c r="AB149" s="9"/>
      <c r="AC149" s="9"/>
      <c r="AD149" s="9"/>
      <c r="AE149" s="9"/>
      <c r="AF149" s="9"/>
      <c r="AG149" s="9"/>
      <c r="AH149" s="9"/>
      <c r="AI149" s="9"/>
      <c r="AJ149" s="9"/>
      <c r="AK149" s="9"/>
      <c r="AL149" s="9"/>
      <c r="AM149" s="9"/>
      <c r="AN149" s="9"/>
      <c r="AO149" s="9"/>
      <c r="AQ149" s="9"/>
      <c r="AR149" s="9"/>
      <c r="AS149" s="9"/>
      <c r="AT149" s="9"/>
      <c r="AU149" s="9"/>
      <c r="AV149" s="9"/>
      <c r="AW149" s="9"/>
      <c r="AX149" s="9"/>
      <c r="AY149" s="9"/>
      <c r="AZ149" s="9"/>
      <c r="BA149" s="9"/>
      <c r="BB149" s="9"/>
      <c r="BC149" s="9"/>
      <c r="BF149" s="107"/>
      <c r="BG149" s="107"/>
      <c r="BH149" s="107"/>
      <c r="BI149" s="107"/>
    </row>
    <row r="150" spans="3:61" x14ac:dyDescent="0.25">
      <c r="C150" s="9"/>
      <c r="D150" s="9"/>
      <c r="E150" s="9"/>
      <c r="K150" s="9"/>
      <c r="L150" s="9"/>
      <c r="M150" s="9"/>
      <c r="N150" s="9"/>
      <c r="P150" s="9"/>
      <c r="Q150" s="9"/>
      <c r="R150" s="9"/>
      <c r="S150" s="9"/>
      <c r="T150" s="9"/>
      <c r="U150" s="9"/>
      <c r="V150" s="9"/>
      <c r="W150" s="9"/>
      <c r="Y150" s="9"/>
      <c r="Z150" s="9"/>
      <c r="AB150" s="9"/>
      <c r="AC150" s="9"/>
      <c r="AD150" s="9"/>
      <c r="AE150" s="9"/>
      <c r="AF150" s="9"/>
      <c r="AG150" s="9"/>
      <c r="AH150" s="9"/>
      <c r="AI150" s="9"/>
      <c r="AJ150" s="9"/>
      <c r="AK150" s="9"/>
      <c r="AL150" s="9"/>
      <c r="AM150" s="9"/>
      <c r="AN150" s="9"/>
      <c r="AO150" s="9"/>
      <c r="AQ150" s="9"/>
      <c r="AR150" s="9"/>
      <c r="AS150" s="9"/>
      <c r="AT150" s="9"/>
      <c r="AU150" s="9"/>
      <c r="AV150" s="9"/>
      <c r="AW150" s="9"/>
      <c r="AX150" s="9"/>
      <c r="AY150" s="9"/>
      <c r="AZ150" s="9"/>
      <c r="BA150" s="9"/>
      <c r="BB150" s="9"/>
      <c r="BC150" s="9"/>
      <c r="BF150" s="107"/>
      <c r="BG150" s="107"/>
      <c r="BH150" s="107"/>
      <c r="BI150" s="107"/>
    </row>
    <row r="151" spans="3:61" x14ac:dyDescent="0.25">
      <c r="C151" s="9"/>
      <c r="D151" s="9"/>
      <c r="E151" s="9"/>
      <c r="K151" s="9"/>
      <c r="L151" s="9"/>
      <c r="M151" s="9"/>
      <c r="N151" s="9"/>
      <c r="P151" s="9"/>
      <c r="Q151" s="9"/>
      <c r="R151" s="9"/>
      <c r="S151" s="9"/>
      <c r="T151" s="9"/>
      <c r="U151" s="9"/>
      <c r="V151" s="9"/>
      <c r="W151" s="9"/>
      <c r="Y151" s="9"/>
      <c r="Z151" s="9"/>
      <c r="AB151" s="9"/>
      <c r="AC151" s="9"/>
      <c r="AD151" s="9"/>
      <c r="AE151" s="9"/>
      <c r="AF151" s="9"/>
      <c r="AG151" s="9"/>
      <c r="AH151" s="9"/>
      <c r="AI151" s="9"/>
      <c r="AJ151" s="9"/>
      <c r="AK151" s="9"/>
      <c r="AL151" s="9"/>
      <c r="AM151" s="9"/>
      <c r="AN151" s="9"/>
      <c r="AO151" s="9"/>
      <c r="AQ151" s="9"/>
      <c r="AR151" s="9"/>
      <c r="AS151" s="9"/>
      <c r="AT151" s="9"/>
      <c r="AU151" s="9"/>
      <c r="AV151" s="9"/>
      <c r="AW151" s="9"/>
      <c r="AX151" s="9"/>
      <c r="AY151" s="9"/>
      <c r="AZ151" s="9"/>
      <c r="BA151" s="9"/>
      <c r="BB151" s="9"/>
      <c r="BC151" s="9"/>
      <c r="BF151" s="107"/>
      <c r="BG151" s="107"/>
      <c r="BH151" s="107"/>
      <c r="BI151" s="107"/>
    </row>
    <row r="152" spans="3:61" x14ac:dyDescent="0.25">
      <c r="C152" s="9"/>
      <c r="D152" s="9"/>
      <c r="E152" s="9"/>
      <c r="K152" s="9"/>
      <c r="L152" s="9"/>
      <c r="M152" s="9"/>
      <c r="N152" s="9"/>
      <c r="P152" s="9"/>
      <c r="Q152" s="9"/>
      <c r="R152" s="9"/>
      <c r="S152" s="9"/>
      <c r="T152" s="9"/>
      <c r="U152" s="9"/>
      <c r="V152" s="9"/>
      <c r="W152" s="9"/>
      <c r="Y152" s="9"/>
      <c r="Z152" s="9"/>
      <c r="AB152" s="9"/>
      <c r="AC152" s="9"/>
      <c r="AD152" s="9"/>
      <c r="AE152" s="9"/>
      <c r="AF152" s="9"/>
      <c r="AG152" s="9"/>
      <c r="AH152" s="9"/>
      <c r="AI152" s="9"/>
      <c r="AJ152" s="9"/>
      <c r="AK152" s="9"/>
      <c r="AL152" s="9"/>
      <c r="AM152" s="9"/>
      <c r="AN152" s="9"/>
      <c r="AO152" s="9"/>
      <c r="AQ152" s="9"/>
      <c r="AR152" s="9"/>
      <c r="AS152" s="9"/>
      <c r="AT152" s="9"/>
      <c r="AU152" s="9"/>
      <c r="AV152" s="9"/>
      <c r="AW152" s="9"/>
      <c r="AX152" s="9"/>
      <c r="AY152" s="9"/>
      <c r="AZ152" s="9"/>
      <c r="BA152" s="9"/>
      <c r="BB152" s="9"/>
      <c r="BC152" s="9"/>
      <c r="BF152" s="107"/>
      <c r="BG152" s="107"/>
      <c r="BH152" s="107"/>
      <c r="BI152" s="107"/>
    </row>
    <row r="153" spans="3:61" x14ac:dyDescent="0.25">
      <c r="C153" s="9"/>
      <c r="D153" s="9"/>
      <c r="E153" s="9"/>
      <c r="K153" s="9"/>
      <c r="L153" s="9"/>
      <c r="M153" s="9"/>
      <c r="N153" s="9"/>
      <c r="P153" s="9"/>
      <c r="Q153" s="9"/>
      <c r="R153" s="9"/>
      <c r="S153" s="9"/>
      <c r="T153" s="9"/>
      <c r="U153" s="9"/>
      <c r="V153" s="9"/>
      <c r="W153" s="9"/>
      <c r="Y153" s="9"/>
      <c r="Z153" s="9"/>
      <c r="AB153" s="9"/>
      <c r="AC153" s="9"/>
      <c r="AD153" s="9"/>
      <c r="AE153" s="9"/>
      <c r="AF153" s="9"/>
      <c r="AG153" s="9"/>
      <c r="AH153" s="9"/>
      <c r="AI153" s="9"/>
      <c r="AJ153" s="9"/>
      <c r="AK153" s="9"/>
      <c r="AL153" s="9"/>
      <c r="AM153" s="9"/>
      <c r="AN153" s="9"/>
      <c r="AO153" s="9"/>
      <c r="AQ153" s="9"/>
      <c r="AR153" s="9"/>
      <c r="AS153" s="9"/>
      <c r="AT153" s="9"/>
      <c r="AU153" s="9"/>
      <c r="AV153" s="9"/>
      <c r="AW153" s="9"/>
      <c r="AX153" s="9"/>
      <c r="AY153" s="9"/>
      <c r="AZ153" s="9"/>
      <c r="BA153" s="9"/>
      <c r="BB153" s="9"/>
      <c r="BC153" s="9"/>
      <c r="BF153" s="107"/>
      <c r="BG153" s="107"/>
      <c r="BH153" s="107"/>
      <c r="BI153" s="107"/>
    </row>
    <row r="154" spans="3:61" x14ac:dyDescent="0.25">
      <c r="C154" s="9"/>
      <c r="D154" s="9"/>
      <c r="E154" s="9"/>
      <c r="K154" s="9"/>
      <c r="L154" s="9"/>
      <c r="M154" s="9"/>
      <c r="N154" s="9"/>
      <c r="P154" s="9"/>
      <c r="Q154" s="9"/>
      <c r="R154" s="9"/>
      <c r="S154" s="9"/>
      <c r="T154" s="9"/>
      <c r="U154" s="9"/>
      <c r="V154" s="9"/>
      <c r="W154" s="9"/>
      <c r="Y154" s="9"/>
      <c r="Z154" s="9"/>
      <c r="AB154" s="9"/>
      <c r="AC154" s="9"/>
      <c r="AD154" s="9"/>
      <c r="AE154" s="9"/>
      <c r="AF154" s="9"/>
      <c r="AG154" s="9"/>
      <c r="AH154" s="9"/>
      <c r="AI154" s="9"/>
      <c r="AJ154" s="9"/>
      <c r="AK154" s="9"/>
      <c r="AL154" s="9"/>
      <c r="AM154" s="9"/>
      <c r="AN154" s="9"/>
      <c r="AO154" s="9"/>
      <c r="AQ154" s="9"/>
      <c r="AR154" s="9"/>
      <c r="AS154" s="9"/>
      <c r="AT154" s="9"/>
      <c r="AU154" s="9"/>
      <c r="AV154" s="9"/>
      <c r="AW154" s="9"/>
      <c r="AX154" s="9"/>
      <c r="AY154" s="9"/>
      <c r="AZ154" s="9"/>
      <c r="BA154" s="9"/>
      <c r="BB154" s="9"/>
      <c r="BC154" s="9"/>
      <c r="BF154" s="107"/>
      <c r="BG154" s="107"/>
      <c r="BH154" s="107"/>
      <c r="BI154" s="107"/>
    </row>
    <row r="155" spans="3:61" x14ac:dyDescent="0.25">
      <c r="C155" s="9"/>
      <c r="D155" s="9"/>
      <c r="E155" s="9"/>
      <c r="K155" s="9"/>
      <c r="L155" s="9"/>
      <c r="M155" s="9"/>
      <c r="N155" s="9"/>
      <c r="P155" s="9"/>
      <c r="Q155" s="9"/>
      <c r="R155" s="9"/>
      <c r="S155" s="9"/>
      <c r="T155" s="9"/>
      <c r="U155" s="9"/>
      <c r="V155" s="9"/>
      <c r="W155" s="9"/>
      <c r="Y155" s="9"/>
      <c r="Z155" s="9"/>
      <c r="AB155" s="9"/>
      <c r="AC155" s="9"/>
      <c r="AD155" s="9"/>
      <c r="AE155" s="9"/>
      <c r="AF155" s="9"/>
      <c r="AG155" s="9"/>
      <c r="AH155" s="9"/>
      <c r="AI155" s="9"/>
      <c r="AJ155" s="9"/>
      <c r="AK155" s="9"/>
      <c r="AL155" s="9"/>
      <c r="AM155" s="9"/>
      <c r="AN155" s="9"/>
      <c r="AO155" s="9"/>
      <c r="AQ155" s="9"/>
      <c r="AR155" s="9"/>
      <c r="AS155" s="9"/>
      <c r="AT155" s="9"/>
      <c r="AU155" s="9"/>
      <c r="AV155" s="9"/>
      <c r="AW155" s="9"/>
      <c r="AX155" s="9"/>
      <c r="AY155" s="9"/>
      <c r="AZ155" s="9"/>
      <c r="BA155" s="9"/>
      <c r="BB155" s="9"/>
      <c r="BC155" s="9"/>
      <c r="BF155" s="107"/>
      <c r="BG155" s="107"/>
      <c r="BH155" s="107"/>
      <c r="BI155" s="107"/>
    </row>
    <row r="156" spans="3:61" x14ac:dyDescent="0.25">
      <c r="C156" s="9"/>
      <c r="D156" s="9"/>
      <c r="E156" s="9"/>
      <c r="K156" s="9"/>
      <c r="L156" s="9"/>
      <c r="M156" s="9"/>
      <c r="N156" s="9"/>
      <c r="P156" s="9"/>
      <c r="Q156" s="9"/>
      <c r="R156" s="9"/>
      <c r="S156" s="9"/>
      <c r="T156" s="9"/>
      <c r="U156" s="9"/>
      <c r="V156" s="9"/>
      <c r="W156" s="9"/>
      <c r="Y156" s="9"/>
      <c r="Z156" s="9"/>
      <c r="AB156" s="9"/>
      <c r="AC156" s="9"/>
      <c r="AD156" s="9"/>
      <c r="AE156" s="9"/>
      <c r="AF156" s="9"/>
      <c r="AG156" s="9"/>
      <c r="AH156" s="9"/>
      <c r="AI156" s="9"/>
      <c r="AJ156" s="9"/>
      <c r="AK156" s="9"/>
      <c r="AL156" s="9"/>
      <c r="AM156" s="9"/>
      <c r="AN156" s="9"/>
      <c r="AO156" s="9"/>
      <c r="AQ156" s="9"/>
      <c r="AR156" s="9"/>
      <c r="AS156" s="9"/>
      <c r="AT156" s="9"/>
      <c r="AU156" s="9"/>
      <c r="AV156" s="9"/>
      <c r="AW156" s="9"/>
      <c r="AX156" s="9"/>
      <c r="AY156" s="9"/>
      <c r="AZ156" s="9"/>
      <c r="BA156" s="9"/>
      <c r="BB156" s="9"/>
      <c r="BC156" s="9"/>
      <c r="BF156" s="107"/>
      <c r="BG156" s="107"/>
      <c r="BH156" s="107"/>
      <c r="BI156" s="107"/>
    </row>
    <row r="157" spans="3:61" x14ac:dyDescent="0.25">
      <c r="C157" s="9"/>
      <c r="D157" s="9"/>
      <c r="E157" s="9"/>
      <c r="K157" s="9"/>
      <c r="L157" s="9"/>
      <c r="M157" s="9"/>
      <c r="N157" s="9"/>
      <c r="P157" s="9"/>
      <c r="Q157" s="9"/>
      <c r="R157" s="9"/>
      <c r="S157" s="9"/>
      <c r="T157" s="9"/>
      <c r="U157" s="9"/>
      <c r="V157" s="9"/>
      <c r="W157" s="9"/>
      <c r="Y157" s="9"/>
      <c r="Z157" s="9"/>
      <c r="AB157" s="9"/>
      <c r="AC157" s="9"/>
      <c r="AD157" s="9"/>
      <c r="AE157" s="9"/>
      <c r="AF157" s="9"/>
      <c r="AG157" s="9"/>
      <c r="AH157" s="9"/>
      <c r="AI157" s="9"/>
      <c r="AJ157" s="9"/>
      <c r="AK157" s="9"/>
      <c r="AL157" s="9"/>
      <c r="AM157" s="9"/>
      <c r="AN157" s="9"/>
      <c r="AO157" s="9"/>
      <c r="AQ157" s="9"/>
      <c r="AR157" s="9"/>
      <c r="AS157" s="9"/>
      <c r="AT157" s="9"/>
      <c r="AU157" s="9"/>
      <c r="AV157" s="9"/>
      <c r="AW157" s="9"/>
      <c r="AX157" s="9"/>
      <c r="AY157" s="9"/>
      <c r="AZ157" s="9"/>
      <c r="BA157" s="9"/>
      <c r="BB157" s="9"/>
      <c r="BC157" s="9"/>
      <c r="BF157" s="107"/>
      <c r="BG157" s="107"/>
      <c r="BH157" s="107"/>
      <c r="BI157" s="107"/>
    </row>
    <row r="158" spans="3:61" x14ac:dyDescent="0.25">
      <c r="C158" s="9"/>
      <c r="D158" s="9"/>
      <c r="E158" s="9"/>
      <c r="K158" s="9"/>
      <c r="L158" s="9"/>
      <c r="M158" s="9"/>
      <c r="N158" s="9"/>
      <c r="P158" s="9"/>
      <c r="Q158" s="9"/>
      <c r="R158" s="9"/>
      <c r="S158" s="9"/>
      <c r="T158" s="9"/>
      <c r="U158" s="9"/>
      <c r="V158" s="9"/>
      <c r="W158" s="9"/>
      <c r="Y158" s="9"/>
      <c r="Z158" s="9"/>
      <c r="AB158" s="9"/>
      <c r="AC158" s="9"/>
      <c r="AD158" s="9"/>
      <c r="AE158" s="9"/>
      <c r="AF158" s="9"/>
      <c r="AG158" s="9"/>
      <c r="AH158" s="9"/>
      <c r="AI158" s="9"/>
      <c r="AJ158" s="9"/>
      <c r="AK158" s="9"/>
      <c r="AL158" s="9"/>
      <c r="AM158" s="9"/>
      <c r="AN158" s="9"/>
      <c r="AO158" s="9"/>
      <c r="AQ158" s="9"/>
      <c r="AR158" s="9"/>
      <c r="AS158" s="9"/>
      <c r="AT158" s="9"/>
      <c r="AU158" s="9"/>
      <c r="AV158" s="9"/>
      <c r="AW158" s="9"/>
      <c r="AX158" s="9"/>
      <c r="AY158" s="9"/>
      <c r="AZ158" s="9"/>
      <c r="BA158" s="9"/>
      <c r="BB158" s="9"/>
      <c r="BC158" s="9"/>
      <c r="BF158" s="107"/>
      <c r="BG158" s="107"/>
      <c r="BH158" s="107"/>
      <c r="BI158" s="107"/>
    </row>
    <row r="159" spans="3:61" x14ac:dyDescent="0.25">
      <c r="C159" s="9"/>
      <c r="D159" s="9"/>
      <c r="E159" s="9"/>
      <c r="K159" s="9"/>
      <c r="L159" s="9"/>
      <c r="M159" s="9"/>
      <c r="N159" s="9"/>
      <c r="P159" s="9"/>
      <c r="Q159" s="9"/>
      <c r="R159" s="9"/>
      <c r="S159" s="9"/>
      <c r="T159" s="9"/>
      <c r="U159" s="9"/>
      <c r="V159" s="9"/>
      <c r="W159" s="9"/>
      <c r="Y159" s="9"/>
      <c r="Z159" s="9"/>
      <c r="AB159" s="9"/>
      <c r="AC159" s="9"/>
      <c r="AD159" s="9"/>
      <c r="AE159" s="9"/>
      <c r="AF159" s="9"/>
      <c r="AG159" s="9"/>
      <c r="AH159" s="9"/>
      <c r="AI159" s="9"/>
      <c r="AJ159" s="9"/>
      <c r="AK159" s="9"/>
      <c r="AL159" s="9"/>
      <c r="AM159" s="9"/>
      <c r="AN159" s="9"/>
      <c r="AO159" s="9"/>
      <c r="AQ159" s="9"/>
      <c r="AR159" s="9"/>
      <c r="AS159" s="9"/>
      <c r="AT159" s="9"/>
      <c r="AU159" s="9"/>
      <c r="AV159" s="9"/>
      <c r="AW159" s="9"/>
      <c r="AX159" s="9"/>
      <c r="AY159" s="9"/>
      <c r="AZ159" s="9"/>
      <c r="BA159" s="9"/>
      <c r="BB159" s="9"/>
      <c r="BC159" s="9"/>
      <c r="BF159" s="107"/>
      <c r="BG159" s="107"/>
      <c r="BH159" s="107"/>
      <c r="BI159" s="107"/>
    </row>
    <row r="160" spans="3:61" x14ac:dyDescent="0.25">
      <c r="C160" s="9"/>
      <c r="D160" s="9"/>
      <c r="E160" s="9"/>
      <c r="K160" s="9"/>
      <c r="L160" s="9"/>
      <c r="M160" s="9"/>
      <c r="N160" s="9"/>
      <c r="P160" s="9"/>
      <c r="Q160" s="9"/>
      <c r="R160" s="9"/>
      <c r="S160" s="9"/>
      <c r="T160" s="9"/>
      <c r="U160" s="9"/>
      <c r="V160" s="9"/>
      <c r="W160" s="9"/>
      <c r="Y160" s="9"/>
      <c r="Z160" s="9"/>
      <c r="AB160" s="9"/>
      <c r="AC160" s="9"/>
      <c r="AD160" s="9"/>
      <c r="AE160" s="9"/>
      <c r="AF160" s="9"/>
      <c r="AG160" s="9"/>
      <c r="AH160" s="9"/>
      <c r="AI160" s="9"/>
      <c r="AJ160" s="9"/>
      <c r="AK160" s="9"/>
      <c r="AL160" s="9"/>
      <c r="AM160" s="9"/>
      <c r="AN160" s="9"/>
      <c r="AO160" s="9"/>
      <c r="AQ160" s="9"/>
      <c r="AR160" s="9"/>
      <c r="AS160" s="9"/>
      <c r="AT160" s="9"/>
      <c r="AU160" s="9"/>
      <c r="AV160" s="9"/>
      <c r="AW160" s="9"/>
      <c r="AX160" s="9"/>
      <c r="AY160" s="9"/>
      <c r="AZ160" s="9"/>
      <c r="BA160" s="9"/>
      <c r="BB160" s="9"/>
      <c r="BC160" s="9"/>
      <c r="BF160" s="107"/>
      <c r="BG160" s="107"/>
      <c r="BH160" s="107"/>
      <c r="BI160" s="107"/>
    </row>
    <row r="161" spans="1:61" x14ac:dyDescent="0.25">
      <c r="C161" s="9"/>
      <c r="D161" s="9"/>
      <c r="E161" s="9"/>
      <c r="K161" s="9"/>
      <c r="L161" s="9"/>
      <c r="M161" s="9"/>
      <c r="N161" s="9"/>
      <c r="P161" s="9"/>
      <c r="Q161" s="9"/>
      <c r="R161" s="9"/>
      <c r="S161" s="9"/>
      <c r="T161" s="9"/>
      <c r="U161" s="9"/>
      <c r="V161" s="9"/>
      <c r="W161" s="9"/>
      <c r="Y161" s="9"/>
      <c r="Z161" s="9"/>
      <c r="AB161" s="9"/>
      <c r="AC161" s="9"/>
      <c r="AD161" s="9"/>
      <c r="AE161" s="9"/>
      <c r="AF161" s="9"/>
      <c r="AG161" s="9"/>
      <c r="AH161" s="9"/>
      <c r="AI161" s="9"/>
      <c r="AJ161" s="9"/>
      <c r="AK161" s="9"/>
      <c r="AL161" s="9"/>
      <c r="AM161" s="9"/>
      <c r="AN161" s="9"/>
      <c r="AO161" s="9"/>
      <c r="AQ161" s="9"/>
      <c r="AR161" s="9"/>
      <c r="AS161" s="9"/>
      <c r="AT161" s="9"/>
      <c r="AU161" s="9"/>
      <c r="AV161" s="9"/>
      <c r="AW161" s="9"/>
      <c r="AX161" s="9"/>
      <c r="AY161" s="9"/>
      <c r="AZ161" s="9"/>
      <c r="BA161" s="9"/>
      <c r="BB161" s="9"/>
      <c r="BC161" s="9"/>
      <c r="BF161" s="107"/>
      <c r="BG161" s="107"/>
      <c r="BH161" s="107"/>
      <c r="BI161" s="107"/>
    </row>
    <row r="162" spans="1:61" x14ac:dyDescent="0.25">
      <c r="C162" s="9"/>
      <c r="D162" s="9"/>
      <c r="E162" s="9"/>
      <c r="K162" s="9"/>
      <c r="L162" s="9"/>
      <c r="M162" s="9"/>
      <c r="N162" s="9"/>
      <c r="P162" s="9"/>
      <c r="Q162" s="9"/>
      <c r="R162" s="9"/>
      <c r="S162" s="9"/>
      <c r="T162" s="9"/>
      <c r="U162" s="9"/>
      <c r="V162" s="9"/>
      <c r="W162" s="9"/>
      <c r="Y162" s="9"/>
      <c r="Z162" s="9"/>
      <c r="AB162" s="9"/>
      <c r="AC162" s="9"/>
      <c r="AD162" s="9"/>
      <c r="AE162" s="9"/>
      <c r="AF162" s="9"/>
      <c r="AG162" s="9"/>
      <c r="AH162" s="9"/>
      <c r="AI162" s="9"/>
      <c r="AJ162" s="9"/>
      <c r="AK162" s="9"/>
      <c r="AL162" s="9"/>
      <c r="AM162" s="9"/>
      <c r="AN162" s="9"/>
      <c r="AO162" s="9"/>
      <c r="AQ162" s="9"/>
      <c r="AR162" s="9"/>
      <c r="AS162" s="9"/>
      <c r="AT162" s="9"/>
      <c r="AU162" s="9"/>
      <c r="AV162" s="9"/>
      <c r="AW162" s="9"/>
      <c r="AX162" s="9"/>
      <c r="AY162" s="9"/>
      <c r="AZ162" s="9"/>
      <c r="BA162" s="9"/>
      <c r="BB162" s="9"/>
      <c r="BC162" s="9"/>
      <c r="BF162" s="107"/>
      <c r="BG162" s="107"/>
      <c r="BH162" s="107"/>
      <c r="BI162" s="107"/>
    </row>
    <row r="163" spans="1:61" x14ac:dyDescent="0.25">
      <c r="C163" s="9"/>
      <c r="D163" s="9"/>
      <c r="E163" s="9"/>
      <c r="K163" s="9"/>
      <c r="L163" s="9"/>
      <c r="M163" s="9"/>
      <c r="N163" s="9"/>
      <c r="P163" s="9"/>
      <c r="Q163" s="9"/>
      <c r="R163" s="9"/>
      <c r="S163" s="9"/>
      <c r="T163" s="9"/>
      <c r="U163" s="9"/>
      <c r="V163" s="9"/>
      <c r="W163" s="9"/>
      <c r="Y163" s="9"/>
      <c r="Z163" s="9"/>
      <c r="AB163" s="9"/>
      <c r="AC163" s="9"/>
      <c r="AD163" s="9"/>
      <c r="AE163" s="9"/>
      <c r="AF163" s="9"/>
      <c r="AG163" s="9"/>
      <c r="AH163" s="9"/>
      <c r="AI163" s="9"/>
      <c r="AJ163" s="9"/>
      <c r="AK163" s="9"/>
      <c r="AL163" s="9"/>
      <c r="AM163" s="9"/>
      <c r="AN163" s="9"/>
      <c r="AO163" s="9"/>
      <c r="AQ163" s="9"/>
      <c r="AR163" s="9"/>
      <c r="AS163" s="9"/>
      <c r="AT163" s="9"/>
      <c r="AU163" s="9"/>
      <c r="AV163" s="9"/>
      <c r="AW163" s="9"/>
      <c r="AX163" s="9"/>
      <c r="AY163" s="9"/>
      <c r="AZ163" s="9"/>
      <c r="BA163" s="9"/>
      <c r="BB163" s="9"/>
      <c r="BC163" s="9"/>
      <c r="BF163" s="107"/>
      <c r="BG163" s="107"/>
      <c r="BH163" s="107"/>
      <c r="BI163" s="107"/>
    </row>
    <row r="164" spans="1:61" x14ac:dyDescent="0.25">
      <c r="C164" s="9"/>
      <c r="D164" s="9"/>
      <c r="E164" s="9"/>
      <c r="K164" s="9"/>
      <c r="L164" s="9"/>
      <c r="M164" s="9"/>
      <c r="N164" s="9"/>
      <c r="P164" s="9"/>
      <c r="Q164" s="9"/>
      <c r="R164" s="9"/>
      <c r="S164" s="9"/>
      <c r="T164" s="9"/>
      <c r="U164" s="9"/>
      <c r="V164" s="9"/>
      <c r="W164" s="9"/>
      <c r="Y164" s="9"/>
      <c r="Z164" s="9"/>
      <c r="AB164" s="9"/>
      <c r="AC164" s="9"/>
      <c r="AD164" s="9"/>
      <c r="AE164" s="9"/>
      <c r="AF164" s="9"/>
      <c r="AG164" s="9"/>
      <c r="AH164" s="9"/>
      <c r="AI164" s="9"/>
      <c r="AJ164" s="9"/>
      <c r="AK164" s="9"/>
      <c r="AL164" s="9"/>
      <c r="AM164" s="9"/>
      <c r="AN164" s="9"/>
      <c r="AO164" s="9"/>
      <c r="AQ164" s="9"/>
      <c r="AR164" s="9"/>
      <c r="AS164" s="9"/>
      <c r="AT164" s="9"/>
      <c r="AU164" s="9"/>
      <c r="AV164" s="9"/>
      <c r="AW164" s="9"/>
      <c r="AX164" s="9"/>
      <c r="AY164" s="9"/>
      <c r="AZ164" s="9"/>
      <c r="BA164" s="9"/>
      <c r="BB164" s="9"/>
      <c r="BC164" s="9"/>
      <c r="BF164" s="107"/>
      <c r="BG164" s="107"/>
      <c r="BH164" s="107"/>
      <c r="BI164" s="107"/>
    </row>
    <row r="165" spans="1:61" x14ac:dyDescent="0.25">
      <c r="C165" s="9"/>
      <c r="D165" s="9"/>
      <c r="E165" s="9"/>
      <c r="K165" s="9"/>
      <c r="L165" s="9"/>
      <c r="M165" s="9"/>
      <c r="N165" s="9"/>
      <c r="P165" s="9"/>
      <c r="Q165" s="9"/>
      <c r="R165" s="9"/>
      <c r="S165" s="9"/>
      <c r="T165" s="9"/>
      <c r="U165" s="9"/>
      <c r="V165" s="9"/>
      <c r="W165" s="9"/>
      <c r="Y165" s="9"/>
      <c r="Z165" s="9"/>
      <c r="AB165" s="9"/>
      <c r="AC165" s="9"/>
      <c r="AD165" s="9"/>
      <c r="AE165" s="9"/>
      <c r="AF165" s="9"/>
      <c r="AG165" s="9"/>
      <c r="AH165" s="9"/>
      <c r="AI165" s="9"/>
      <c r="AJ165" s="9"/>
      <c r="AK165" s="9"/>
      <c r="AL165" s="9"/>
      <c r="AM165" s="9"/>
      <c r="AN165" s="9"/>
      <c r="AO165" s="9"/>
      <c r="AQ165" s="9"/>
      <c r="AR165" s="9"/>
      <c r="AS165" s="9"/>
      <c r="AT165" s="9"/>
      <c r="AU165" s="9"/>
      <c r="AV165" s="9"/>
      <c r="AW165" s="9"/>
      <c r="AX165" s="9"/>
      <c r="AY165" s="9"/>
      <c r="AZ165" s="9"/>
      <c r="BA165" s="9"/>
      <c r="BB165" s="9"/>
      <c r="BC165" s="9"/>
      <c r="BF165" s="107"/>
      <c r="BG165" s="107"/>
      <c r="BH165" s="107"/>
      <c r="BI165" s="107"/>
    </row>
    <row r="166" spans="1:61" x14ac:dyDescent="0.25">
      <c r="C166" s="9"/>
      <c r="D166" s="9"/>
      <c r="E166" s="9"/>
      <c r="K166" s="9"/>
      <c r="L166" s="9"/>
      <c r="M166" s="9"/>
      <c r="N166" s="9"/>
      <c r="P166" s="9"/>
      <c r="Q166" s="9"/>
      <c r="R166" s="9"/>
      <c r="S166" s="9"/>
      <c r="T166" s="9"/>
      <c r="U166" s="9"/>
      <c r="V166" s="9"/>
      <c r="W166" s="9"/>
      <c r="Y166" s="9"/>
      <c r="Z166" s="9"/>
      <c r="AB166" s="9"/>
      <c r="AC166" s="9"/>
      <c r="AD166" s="9"/>
      <c r="AE166" s="9"/>
      <c r="AF166" s="9"/>
      <c r="AG166" s="9"/>
      <c r="AH166" s="9"/>
      <c r="AI166" s="9"/>
      <c r="AJ166" s="9"/>
      <c r="AK166" s="9"/>
      <c r="AL166" s="9"/>
      <c r="AM166" s="9"/>
      <c r="AN166" s="9"/>
      <c r="AO166" s="9"/>
      <c r="AQ166" s="9"/>
      <c r="AR166" s="9"/>
      <c r="AS166" s="9"/>
      <c r="AT166" s="9"/>
      <c r="AU166" s="9"/>
      <c r="AV166" s="9"/>
      <c r="AW166" s="9"/>
      <c r="AX166" s="9"/>
      <c r="AY166" s="9"/>
      <c r="AZ166" s="9"/>
      <c r="BA166" s="9"/>
      <c r="BB166" s="9"/>
      <c r="BC166" s="9"/>
      <c r="BF166" s="107"/>
      <c r="BG166" s="107"/>
      <c r="BH166" s="107"/>
      <c r="BI166" s="107"/>
    </row>
    <row r="167" spans="1:61" x14ac:dyDescent="0.25">
      <c r="C167" s="9"/>
      <c r="D167" s="9"/>
      <c r="E167" s="9"/>
      <c r="K167" s="9"/>
      <c r="L167" s="9"/>
      <c r="M167" s="9"/>
      <c r="N167" s="9"/>
      <c r="P167" s="9"/>
      <c r="Q167" s="9"/>
      <c r="R167" s="9"/>
      <c r="S167" s="9"/>
      <c r="T167" s="9"/>
      <c r="U167" s="9"/>
      <c r="V167" s="9"/>
      <c r="W167" s="9"/>
      <c r="Y167" s="9"/>
      <c r="Z167" s="9"/>
      <c r="AB167" s="9"/>
      <c r="AC167" s="9"/>
      <c r="AD167" s="9"/>
      <c r="AE167" s="9"/>
      <c r="AF167" s="9"/>
      <c r="AG167" s="9"/>
      <c r="AH167" s="9"/>
      <c r="AI167" s="9"/>
      <c r="AJ167" s="9"/>
      <c r="AK167" s="9"/>
      <c r="AL167" s="9"/>
      <c r="AM167" s="9"/>
      <c r="AN167" s="9"/>
      <c r="AO167" s="9"/>
      <c r="AQ167" s="9"/>
      <c r="AR167" s="9"/>
      <c r="AS167" s="9"/>
      <c r="AT167" s="9"/>
      <c r="AU167" s="9"/>
      <c r="AV167" s="9"/>
      <c r="AW167" s="9"/>
      <c r="AX167" s="9"/>
      <c r="AY167" s="9"/>
      <c r="AZ167" s="9"/>
      <c r="BA167" s="9"/>
      <c r="BB167" s="9"/>
      <c r="BC167" s="9"/>
      <c r="BF167" s="107"/>
      <c r="BG167" s="107"/>
      <c r="BH167" s="107"/>
      <c r="BI167" s="107"/>
    </row>
    <row r="168" spans="1:61" x14ac:dyDescent="0.25">
      <c r="C168" s="9"/>
      <c r="D168" s="9"/>
      <c r="E168" s="9"/>
      <c r="K168" s="9"/>
      <c r="L168" s="9"/>
      <c r="M168" s="9"/>
      <c r="N168" s="9"/>
      <c r="P168" s="9"/>
      <c r="Q168" s="9"/>
      <c r="R168" s="9"/>
      <c r="S168" s="9"/>
      <c r="T168" s="9"/>
      <c r="U168" s="9"/>
      <c r="V168" s="9"/>
      <c r="W168" s="9"/>
      <c r="Y168" s="9"/>
      <c r="Z168" s="9"/>
      <c r="AB168" s="9"/>
      <c r="AC168" s="9"/>
      <c r="AD168" s="9"/>
      <c r="AE168" s="9"/>
      <c r="AF168" s="9"/>
      <c r="AG168" s="9"/>
      <c r="AH168" s="9"/>
      <c r="AI168" s="9"/>
      <c r="AJ168" s="9"/>
      <c r="AK168" s="9"/>
      <c r="AL168" s="9"/>
      <c r="AM168" s="9"/>
      <c r="AN168" s="9"/>
      <c r="AO168" s="9"/>
      <c r="AQ168" s="9"/>
      <c r="AR168" s="9"/>
      <c r="AS168" s="9"/>
      <c r="AT168" s="9"/>
      <c r="AU168" s="9"/>
      <c r="AV168" s="9"/>
      <c r="AW168" s="9"/>
      <c r="AX168" s="9"/>
      <c r="AY168" s="9"/>
      <c r="AZ168" s="9"/>
      <c r="BA168" s="9"/>
      <c r="BB168" s="9"/>
      <c r="BC168" s="9"/>
      <c r="BF168" s="107"/>
      <c r="BG168" s="107"/>
      <c r="BH168" s="107"/>
      <c r="BI168" s="107"/>
    </row>
    <row r="169" spans="1:61" s="268" customFormat="1" x14ac:dyDescent="0.25">
      <c r="A169" s="107"/>
      <c r="B169" s="107"/>
      <c r="C169" s="9"/>
      <c r="D169" s="9"/>
      <c r="E169" s="9"/>
      <c r="F169" s="107"/>
      <c r="G169" s="107"/>
      <c r="H169" s="107"/>
      <c r="I169" s="107"/>
      <c r="J169" s="107"/>
      <c r="K169" s="9"/>
      <c r="L169" s="9"/>
      <c r="M169" s="9"/>
      <c r="N169" s="9"/>
      <c r="O169" s="107"/>
      <c r="P169" s="9"/>
      <c r="Q169" s="9"/>
      <c r="R169" s="9"/>
      <c r="S169" s="9"/>
      <c r="T169" s="9"/>
      <c r="U169" s="9"/>
      <c r="V169" s="9"/>
      <c r="W169" s="9"/>
      <c r="X169" s="107"/>
      <c r="Y169" s="9"/>
      <c r="Z169" s="9"/>
      <c r="AA169" s="107"/>
      <c r="AB169" s="9"/>
      <c r="AC169" s="9"/>
      <c r="AD169" s="9"/>
      <c r="AE169" s="9"/>
      <c r="AF169" s="9"/>
      <c r="AG169" s="9"/>
      <c r="AH169" s="9"/>
      <c r="AI169" s="9"/>
      <c r="AJ169" s="9"/>
      <c r="AK169" s="9"/>
      <c r="AL169" s="9"/>
      <c r="AM169" s="9"/>
      <c r="AN169" s="9"/>
      <c r="AO169" s="9"/>
      <c r="AP169" s="107"/>
      <c r="AQ169" s="9"/>
      <c r="AR169" s="9"/>
      <c r="AS169" s="9"/>
      <c r="AT169" s="9"/>
      <c r="AU169" s="9"/>
      <c r="AV169" s="9"/>
      <c r="AW169" s="9"/>
      <c r="AX169" s="9"/>
      <c r="AY169" s="9"/>
      <c r="AZ169" s="9"/>
      <c r="BA169" s="9"/>
      <c r="BB169" s="9"/>
      <c r="BC169" s="9"/>
      <c r="BD169" s="107"/>
      <c r="BE169" s="107"/>
    </row>
    <row r="170" spans="1:61" s="268" customFormat="1" x14ac:dyDescent="0.25">
      <c r="A170" s="107"/>
      <c r="B170" s="107"/>
      <c r="C170" s="9"/>
      <c r="D170" s="9"/>
      <c r="E170" s="9"/>
      <c r="F170" s="107"/>
      <c r="G170" s="107"/>
      <c r="H170" s="107"/>
      <c r="I170" s="107"/>
      <c r="J170" s="107"/>
      <c r="K170" s="9"/>
      <c r="L170" s="9"/>
      <c r="M170" s="9"/>
      <c r="N170" s="9"/>
      <c r="O170" s="107"/>
      <c r="P170" s="9"/>
      <c r="Q170" s="9"/>
      <c r="R170" s="9"/>
      <c r="S170" s="9"/>
      <c r="T170" s="9"/>
      <c r="U170" s="9"/>
      <c r="V170" s="9"/>
      <c r="W170" s="9"/>
      <c r="X170" s="107"/>
      <c r="Y170" s="9"/>
      <c r="Z170" s="9"/>
      <c r="AA170" s="107"/>
      <c r="AB170" s="9"/>
      <c r="AC170" s="9"/>
      <c r="AD170" s="9"/>
      <c r="AE170" s="9"/>
      <c r="AF170" s="9"/>
      <c r="AG170" s="9"/>
      <c r="AH170" s="9"/>
      <c r="AI170" s="9"/>
      <c r="AJ170" s="9"/>
      <c r="AK170" s="9"/>
      <c r="AL170" s="9"/>
      <c r="AM170" s="9"/>
      <c r="AN170" s="9"/>
      <c r="AO170" s="9"/>
      <c r="AP170" s="107"/>
      <c r="AQ170" s="9"/>
      <c r="AR170" s="9"/>
      <c r="AS170" s="9"/>
      <c r="AT170" s="9"/>
      <c r="AU170" s="9"/>
      <c r="AV170" s="9"/>
      <c r="AW170" s="9"/>
      <c r="AX170" s="9"/>
      <c r="AY170" s="9"/>
      <c r="AZ170" s="9"/>
      <c r="BA170" s="9"/>
      <c r="BB170" s="9"/>
      <c r="BC170" s="9"/>
      <c r="BD170" s="107"/>
      <c r="BE170" s="107"/>
    </row>
    <row r="171" spans="1:61" s="268" customFormat="1" x14ac:dyDescent="0.25">
      <c r="A171" s="107"/>
      <c r="B171" s="107"/>
      <c r="C171" s="9"/>
      <c r="D171" s="9"/>
      <c r="E171" s="9"/>
      <c r="F171" s="107"/>
      <c r="G171" s="107"/>
      <c r="H171" s="107"/>
      <c r="I171" s="107"/>
      <c r="J171" s="107"/>
      <c r="K171" s="9"/>
      <c r="L171" s="9"/>
      <c r="M171" s="9"/>
      <c r="N171" s="9"/>
      <c r="O171" s="107"/>
      <c r="P171" s="9"/>
      <c r="Q171" s="9"/>
      <c r="R171" s="9"/>
      <c r="S171" s="9"/>
      <c r="T171" s="9"/>
      <c r="U171" s="9"/>
      <c r="V171" s="9"/>
      <c r="W171" s="9"/>
      <c r="X171" s="107"/>
      <c r="Y171" s="9"/>
      <c r="Z171" s="9"/>
      <c r="AA171" s="107"/>
      <c r="AB171" s="9"/>
      <c r="AC171" s="9"/>
      <c r="AD171" s="9"/>
      <c r="AE171" s="9"/>
      <c r="AF171" s="9"/>
      <c r="AG171" s="9"/>
      <c r="AH171" s="9"/>
      <c r="AI171" s="9"/>
      <c r="AJ171" s="9"/>
      <c r="AK171" s="9"/>
      <c r="AL171" s="9"/>
      <c r="AM171" s="9"/>
      <c r="AN171" s="9"/>
      <c r="AO171" s="9"/>
      <c r="AP171" s="107"/>
      <c r="AQ171" s="9"/>
      <c r="AR171" s="9"/>
      <c r="AS171" s="9"/>
      <c r="AT171" s="9"/>
      <c r="AU171" s="9"/>
      <c r="AV171" s="9"/>
      <c r="AW171" s="9"/>
      <c r="AX171" s="9"/>
      <c r="AY171" s="9"/>
      <c r="AZ171" s="9"/>
      <c r="BA171" s="9"/>
      <c r="BB171" s="9"/>
      <c r="BC171" s="9"/>
      <c r="BD171" s="107"/>
      <c r="BE171" s="107"/>
    </row>
    <row r="172" spans="1:61" s="268" customFormat="1" x14ac:dyDescent="0.25">
      <c r="A172" s="107"/>
      <c r="B172" s="107"/>
      <c r="C172" s="9"/>
      <c r="D172" s="9"/>
      <c r="E172" s="9"/>
      <c r="F172" s="107"/>
      <c r="G172" s="107"/>
      <c r="H172" s="107"/>
      <c r="I172" s="107"/>
      <c r="J172" s="107"/>
      <c r="K172" s="9"/>
      <c r="L172" s="9"/>
      <c r="M172" s="9"/>
      <c r="N172" s="9"/>
      <c r="O172" s="107"/>
      <c r="P172" s="9"/>
      <c r="Q172" s="9"/>
      <c r="R172" s="9"/>
      <c r="S172" s="9"/>
      <c r="T172" s="9"/>
      <c r="U172" s="9"/>
      <c r="V172" s="9"/>
      <c r="W172" s="9"/>
      <c r="X172" s="107"/>
      <c r="Y172" s="9"/>
      <c r="Z172" s="9"/>
      <c r="AA172" s="107"/>
      <c r="AB172" s="9"/>
      <c r="AC172" s="9"/>
      <c r="AD172" s="9"/>
      <c r="AE172" s="9"/>
      <c r="AF172" s="9"/>
      <c r="AG172" s="9"/>
      <c r="AH172" s="9"/>
      <c r="AI172" s="9"/>
      <c r="AJ172" s="9"/>
      <c r="AK172" s="9"/>
      <c r="AL172" s="9"/>
      <c r="AM172" s="9"/>
      <c r="AN172" s="9"/>
      <c r="AO172" s="9"/>
      <c r="AP172" s="107"/>
      <c r="AQ172" s="9"/>
      <c r="AR172" s="9"/>
      <c r="AS172" s="9"/>
      <c r="AT172" s="9"/>
      <c r="AU172" s="9"/>
      <c r="AV172" s="9"/>
      <c r="AW172" s="9"/>
      <c r="AX172" s="9"/>
      <c r="AY172" s="9"/>
      <c r="AZ172" s="9"/>
      <c r="BA172" s="9"/>
      <c r="BB172" s="9"/>
      <c r="BC172" s="9"/>
      <c r="BD172" s="107"/>
      <c r="BE172" s="107"/>
    </row>
    <row r="173" spans="1:61" s="268" customFormat="1" x14ac:dyDescent="0.25">
      <c r="A173" s="107"/>
      <c r="B173" s="107"/>
      <c r="C173" s="9"/>
      <c r="D173" s="9"/>
      <c r="E173" s="9"/>
      <c r="F173" s="107"/>
      <c r="G173" s="107"/>
      <c r="H173" s="107"/>
      <c r="I173" s="107"/>
      <c r="J173" s="107"/>
      <c r="K173" s="9"/>
      <c r="L173" s="9"/>
      <c r="M173" s="9"/>
      <c r="N173" s="9"/>
      <c r="O173" s="107"/>
      <c r="P173" s="9"/>
      <c r="Q173" s="9"/>
      <c r="R173" s="9"/>
      <c r="S173" s="9"/>
      <c r="T173" s="9"/>
      <c r="U173" s="9"/>
      <c r="V173" s="9"/>
      <c r="W173" s="9"/>
      <c r="X173" s="107"/>
      <c r="Y173" s="9"/>
      <c r="Z173" s="9"/>
      <c r="AA173" s="107"/>
      <c r="AB173" s="9"/>
      <c r="AC173" s="9"/>
      <c r="AD173" s="9"/>
      <c r="AE173" s="9"/>
      <c r="AF173" s="9"/>
      <c r="AG173" s="9"/>
      <c r="AH173" s="9"/>
      <c r="AI173" s="9"/>
      <c r="AJ173" s="9"/>
      <c r="AK173" s="9"/>
      <c r="AL173" s="9"/>
      <c r="AM173" s="9"/>
      <c r="AN173" s="9"/>
      <c r="AO173" s="9"/>
      <c r="AP173" s="107"/>
      <c r="AQ173" s="9"/>
      <c r="AR173" s="9"/>
      <c r="AS173" s="9"/>
      <c r="AT173" s="9"/>
      <c r="AU173" s="9"/>
      <c r="AV173" s="9"/>
      <c r="AW173" s="9"/>
      <c r="AX173" s="9"/>
      <c r="AY173" s="9"/>
      <c r="AZ173" s="9"/>
      <c r="BA173" s="9"/>
      <c r="BB173" s="9"/>
      <c r="BC173" s="9"/>
      <c r="BD173" s="107"/>
      <c r="BE173" s="107"/>
    </row>
    <row r="174" spans="1:61" s="268" customFormat="1" x14ac:dyDescent="0.25">
      <c r="A174" s="107"/>
      <c r="B174" s="107"/>
      <c r="C174" s="9"/>
      <c r="D174" s="9"/>
      <c r="E174" s="9"/>
      <c r="F174" s="107"/>
      <c r="G174" s="107"/>
      <c r="H174" s="107"/>
      <c r="I174" s="107"/>
      <c r="J174" s="107"/>
      <c r="K174" s="9"/>
      <c r="L174" s="9"/>
      <c r="M174" s="9"/>
      <c r="N174" s="9"/>
      <c r="O174" s="107"/>
      <c r="P174" s="9"/>
      <c r="Q174" s="9"/>
      <c r="R174" s="9"/>
      <c r="S174" s="9"/>
      <c r="T174" s="9"/>
      <c r="U174" s="9"/>
      <c r="V174" s="9"/>
      <c r="W174" s="9"/>
      <c r="X174" s="107"/>
      <c r="Y174" s="9"/>
      <c r="Z174" s="9"/>
      <c r="AA174" s="107"/>
      <c r="AB174" s="9"/>
      <c r="AC174" s="9"/>
      <c r="AD174" s="9"/>
      <c r="AE174" s="9"/>
      <c r="AF174" s="9"/>
      <c r="AG174" s="9"/>
      <c r="AH174" s="9"/>
      <c r="AI174" s="9"/>
      <c r="AJ174" s="9"/>
      <c r="AK174" s="9"/>
      <c r="AL174" s="9"/>
      <c r="AM174" s="9"/>
      <c r="AN174" s="9"/>
      <c r="AO174" s="9"/>
      <c r="AP174" s="107"/>
      <c r="AQ174" s="9"/>
      <c r="AR174" s="9"/>
      <c r="AS174" s="9"/>
      <c r="AT174" s="9"/>
      <c r="AU174" s="9"/>
      <c r="AV174" s="9"/>
      <c r="AW174" s="9"/>
      <c r="AX174" s="9"/>
      <c r="AY174" s="9"/>
      <c r="AZ174" s="9"/>
      <c r="BA174" s="9"/>
      <c r="BB174" s="9"/>
      <c r="BC174" s="9"/>
      <c r="BD174" s="107"/>
      <c r="BE174" s="107"/>
    </row>
    <row r="175" spans="1:61" s="268" customFormat="1" x14ac:dyDescent="0.25">
      <c r="A175" s="107"/>
      <c r="B175" s="107"/>
      <c r="C175" s="9"/>
      <c r="D175" s="9"/>
      <c r="E175" s="9"/>
      <c r="F175" s="107"/>
      <c r="G175" s="107"/>
      <c r="H175" s="107"/>
      <c r="I175" s="107"/>
      <c r="J175" s="107"/>
      <c r="K175" s="9"/>
      <c r="L175" s="9"/>
      <c r="M175" s="9"/>
      <c r="N175" s="9"/>
      <c r="O175" s="107"/>
      <c r="P175" s="9"/>
      <c r="Q175" s="9"/>
      <c r="R175" s="9"/>
      <c r="S175" s="9"/>
      <c r="T175" s="9"/>
      <c r="U175" s="9"/>
      <c r="V175" s="9"/>
      <c r="W175" s="9"/>
      <c r="X175" s="107"/>
      <c r="Y175" s="9"/>
      <c r="Z175" s="9"/>
      <c r="AA175" s="107"/>
      <c r="AB175" s="9"/>
      <c r="AC175" s="9"/>
      <c r="AD175" s="9"/>
      <c r="AE175" s="9"/>
      <c r="AF175" s="9"/>
      <c r="AG175" s="9"/>
      <c r="AH175" s="9"/>
      <c r="AI175" s="9"/>
      <c r="AJ175" s="9"/>
      <c r="AK175" s="9"/>
      <c r="AL175" s="9"/>
      <c r="AM175" s="9"/>
      <c r="AN175" s="9"/>
      <c r="AO175" s="9"/>
      <c r="AP175" s="107"/>
      <c r="AQ175" s="9"/>
      <c r="AR175" s="9"/>
      <c r="AS175" s="9"/>
      <c r="AT175" s="9"/>
      <c r="AU175" s="9"/>
      <c r="AV175" s="9"/>
      <c r="AW175" s="9"/>
      <c r="AX175" s="9"/>
      <c r="AY175" s="9"/>
      <c r="AZ175" s="9"/>
      <c r="BA175" s="9"/>
      <c r="BB175" s="9"/>
      <c r="BC175" s="9"/>
      <c r="BD175" s="107"/>
      <c r="BE175" s="107"/>
    </row>
    <row r="176" spans="1:61" s="268" customFormat="1" x14ac:dyDescent="0.25">
      <c r="A176" s="107"/>
      <c r="B176" s="107"/>
      <c r="C176" s="9"/>
      <c r="D176" s="9"/>
      <c r="E176" s="9"/>
      <c r="F176" s="107"/>
      <c r="G176" s="107"/>
      <c r="H176" s="107"/>
      <c r="I176" s="107"/>
      <c r="J176" s="107"/>
      <c r="K176" s="9"/>
      <c r="L176" s="9"/>
      <c r="M176" s="9"/>
      <c r="N176" s="9"/>
      <c r="O176" s="107"/>
      <c r="P176" s="9"/>
      <c r="Q176" s="9"/>
      <c r="R176" s="9"/>
      <c r="S176" s="9"/>
      <c r="T176" s="9"/>
      <c r="U176" s="9"/>
      <c r="V176" s="9"/>
      <c r="W176" s="9"/>
      <c r="X176" s="107"/>
      <c r="Y176" s="9"/>
      <c r="Z176" s="9"/>
      <c r="AA176" s="107"/>
      <c r="AB176" s="9"/>
      <c r="AC176" s="9"/>
      <c r="AD176" s="9"/>
      <c r="AE176" s="9"/>
      <c r="AF176" s="9"/>
      <c r="AG176" s="9"/>
      <c r="AH176" s="9"/>
      <c r="AI176" s="9"/>
      <c r="AJ176" s="9"/>
      <c r="AK176" s="9"/>
      <c r="AL176" s="9"/>
      <c r="AM176" s="9"/>
      <c r="AN176" s="9"/>
      <c r="AO176" s="9"/>
      <c r="AP176" s="107"/>
      <c r="AQ176" s="9"/>
      <c r="AR176" s="9"/>
      <c r="AS176" s="9"/>
      <c r="AT176" s="9"/>
      <c r="AU176" s="9"/>
      <c r="AV176" s="9"/>
      <c r="AW176" s="9"/>
      <c r="AX176" s="9"/>
      <c r="AY176" s="9"/>
      <c r="AZ176" s="9"/>
      <c r="BA176" s="9"/>
      <c r="BB176" s="9"/>
      <c r="BC176" s="9"/>
      <c r="BD176" s="107"/>
      <c r="BE176" s="107"/>
    </row>
    <row r="177" spans="1:59" s="268" customFormat="1" x14ac:dyDescent="0.25">
      <c r="A177" s="107"/>
      <c r="B177" s="107"/>
      <c r="C177" s="9"/>
      <c r="D177" s="9"/>
      <c r="E177" s="9"/>
      <c r="F177" s="107"/>
      <c r="G177" s="107"/>
      <c r="H177" s="107"/>
      <c r="I177" s="107"/>
      <c r="J177" s="107"/>
      <c r="K177" s="9"/>
      <c r="L177" s="9"/>
      <c r="M177" s="9"/>
      <c r="N177" s="9"/>
      <c r="O177" s="107"/>
      <c r="P177" s="9"/>
      <c r="Q177" s="9"/>
      <c r="R177" s="9"/>
      <c r="S177" s="9"/>
      <c r="T177" s="9"/>
      <c r="U177" s="9"/>
      <c r="V177" s="9"/>
      <c r="W177" s="9"/>
      <c r="X177" s="107"/>
      <c r="Y177" s="9"/>
      <c r="Z177" s="9"/>
      <c r="AA177" s="107"/>
      <c r="AB177" s="9"/>
      <c r="AC177" s="9"/>
      <c r="AD177" s="9"/>
      <c r="AE177" s="9"/>
      <c r="AF177" s="9"/>
      <c r="AG177" s="9"/>
      <c r="AH177" s="9"/>
      <c r="AI177" s="9"/>
      <c r="AJ177" s="9"/>
      <c r="AK177" s="9"/>
      <c r="AL177" s="9"/>
      <c r="AM177" s="9"/>
      <c r="AN177" s="9"/>
      <c r="AO177" s="9"/>
      <c r="AP177" s="107"/>
      <c r="AQ177" s="9"/>
      <c r="AR177" s="9"/>
      <c r="AS177" s="9"/>
      <c r="AT177" s="9"/>
      <c r="AU177" s="9"/>
      <c r="AV177" s="9"/>
      <c r="AW177" s="9"/>
      <c r="AX177" s="9"/>
      <c r="AY177" s="9"/>
      <c r="AZ177" s="9"/>
      <c r="BA177" s="9"/>
      <c r="BB177" s="9"/>
      <c r="BC177" s="9"/>
      <c r="BD177" s="107"/>
      <c r="BE177" s="107"/>
    </row>
    <row r="178" spans="1:59" s="268" customFormat="1" x14ac:dyDescent="0.25">
      <c r="A178" s="107"/>
      <c r="B178" s="107"/>
      <c r="C178" s="9"/>
      <c r="D178" s="9"/>
      <c r="E178" s="9"/>
      <c r="F178" s="107"/>
      <c r="G178" s="107"/>
      <c r="H178" s="107"/>
      <c r="I178" s="107"/>
      <c r="J178" s="107"/>
      <c r="K178" s="9"/>
      <c r="L178" s="9"/>
      <c r="M178" s="9"/>
      <c r="N178" s="9"/>
      <c r="O178" s="107"/>
      <c r="P178" s="9"/>
      <c r="Q178" s="9"/>
      <c r="R178" s="9"/>
      <c r="S178" s="9"/>
      <c r="T178" s="9"/>
      <c r="U178" s="9"/>
      <c r="V178" s="9"/>
      <c r="W178" s="9"/>
      <c r="X178" s="107"/>
      <c r="Y178" s="9"/>
      <c r="Z178" s="9"/>
      <c r="AA178" s="107"/>
      <c r="AB178" s="9"/>
      <c r="AC178" s="9"/>
      <c r="AD178" s="9"/>
      <c r="AE178" s="9"/>
      <c r="AF178" s="9"/>
      <c r="AG178" s="9"/>
      <c r="AH178" s="9"/>
      <c r="AI178" s="9"/>
      <c r="AJ178" s="9"/>
      <c r="AK178" s="9"/>
      <c r="AL178" s="9"/>
      <c r="AM178" s="9"/>
      <c r="AN178" s="9"/>
      <c r="AO178" s="9"/>
      <c r="AP178" s="107"/>
      <c r="AQ178" s="9"/>
      <c r="AR178" s="9"/>
      <c r="AS178" s="9"/>
      <c r="AT178" s="9"/>
      <c r="AU178" s="9"/>
      <c r="AV178" s="9"/>
      <c r="AW178" s="9"/>
      <c r="AX178" s="9"/>
      <c r="AY178" s="9"/>
      <c r="AZ178" s="9"/>
      <c r="BA178" s="9"/>
      <c r="BB178" s="9"/>
      <c r="BC178" s="9"/>
      <c r="BD178" s="107"/>
      <c r="BE178" s="107"/>
    </row>
    <row r="179" spans="1:59" s="268" customFormat="1" x14ac:dyDescent="0.25">
      <c r="A179" s="107"/>
      <c r="B179" s="107"/>
      <c r="C179" s="9"/>
      <c r="D179" s="9"/>
      <c r="E179" s="9"/>
      <c r="F179" s="107"/>
      <c r="G179" s="107"/>
      <c r="H179" s="107"/>
      <c r="I179" s="107"/>
      <c r="J179" s="107"/>
      <c r="K179" s="9"/>
      <c r="L179" s="9"/>
      <c r="M179" s="9"/>
      <c r="N179" s="9"/>
      <c r="O179" s="107"/>
      <c r="P179" s="9"/>
      <c r="Q179" s="9"/>
      <c r="R179" s="9"/>
      <c r="S179" s="9"/>
      <c r="T179" s="9"/>
      <c r="U179" s="9"/>
      <c r="V179" s="9"/>
      <c r="W179" s="9"/>
      <c r="X179" s="107"/>
      <c r="Y179" s="9"/>
      <c r="Z179" s="9"/>
      <c r="AA179" s="107"/>
      <c r="AB179" s="9"/>
      <c r="AC179" s="9"/>
      <c r="AD179" s="9"/>
      <c r="AE179" s="9"/>
      <c r="AF179" s="9"/>
      <c r="AG179" s="9"/>
      <c r="AH179" s="9"/>
      <c r="AI179" s="9"/>
      <c r="AJ179" s="9"/>
      <c r="AK179" s="9"/>
      <c r="AL179" s="9"/>
      <c r="AM179" s="9"/>
      <c r="AN179" s="9"/>
      <c r="AO179" s="9"/>
      <c r="AP179" s="107"/>
      <c r="AQ179" s="9"/>
      <c r="AR179" s="9"/>
      <c r="AS179" s="9"/>
      <c r="AT179" s="9"/>
      <c r="AU179" s="9"/>
      <c r="AV179" s="9"/>
      <c r="AW179" s="9"/>
      <c r="AX179" s="9"/>
      <c r="AY179" s="9"/>
      <c r="AZ179" s="9"/>
      <c r="BA179" s="9"/>
      <c r="BB179" s="9"/>
      <c r="BC179" s="9"/>
      <c r="BD179" s="107"/>
      <c r="BE179" s="107"/>
    </row>
    <row r="180" spans="1:59" s="268" customFormat="1" x14ac:dyDescent="0.25">
      <c r="A180" s="107"/>
      <c r="B180" s="107"/>
      <c r="C180" s="9"/>
      <c r="D180" s="9"/>
      <c r="E180" s="9"/>
      <c r="F180" s="107"/>
      <c r="G180" s="107"/>
      <c r="H180" s="107"/>
      <c r="I180" s="107"/>
      <c r="J180" s="107"/>
      <c r="K180" s="9"/>
      <c r="L180" s="9"/>
      <c r="M180" s="9"/>
      <c r="N180" s="9"/>
      <c r="O180" s="107"/>
      <c r="P180" s="9"/>
      <c r="Q180" s="9"/>
      <c r="R180" s="9"/>
      <c r="S180" s="9"/>
      <c r="T180" s="9"/>
      <c r="U180" s="9"/>
      <c r="V180" s="9"/>
      <c r="W180" s="9"/>
      <c r="X180" s="107"/>
      <c r="Y180" s="9"/>
      <c r="Z180" s="9"/>
      <c r="AA180" s="107"/>
      <c r="AB180" s="9"/>
      <c r="AC180" s="9"/>
      <c r="AD180" s="9"/>
      <c r="AE180" s="9"/>
      <c r="AF180" s="9"/>
      <c r="AG180" s="9"/>
      <c r="AH180" s="9"/>
      <c r="AI180" s="9"/>
      <c r="AJ180" s="9"/>
      <c r="AK180" s="9"/>
      <c r="AL180" s="9"/>
      <c r="AM180" s="9"/>
      <c r="AN180" s="9"/>
      <c r="AO180" s="9"/>
      <c r="AP180" s="107"/>
      <c r="AQ180" s="9"/>
      <c r="AR180" s="9"/>
      <c r="AS180" s="9"/>
      <c r="AT180" s="9"/>
      <c r="AU180" s="9"/>
      <c r="AV180" s="9"/>
      <c r="AW180" s="9"/>
      <c r="AX180" s="9"/>
      <c r="AY180" s="9"/>
      <c r="AZ180" s="9"/>
      <c r="BA180" s="9"/>
      <c r="BB180" s="9"/>
      <c r="BC180" s="9"/>
      <c r="BD180" s="107"/>
      <c r="BE180" s="107"/>
    </row>
    <row r="181" spans="1:59" s="268" customFormat="1" x14ac:dyDescent="0.25">
      <c r="A181" s="107"/>
      <c r="B181" s="107"/>
      <c r="C181" s="9"/>
      <c r="D181" s="9"/>
      <c r="E181" s="9"/>
      <c r="F181" s="107"/>
      <c r="G181" s="107"/>
      <c r="H181" s="107"/>
      <c r="I181" s="107"/>
      <c r="J181" s="107"/>
      <c r="K181" s="9"/>
      <c r="L181" s="9"/>
      <c r="M181" s="9"/>
      <c r="N181" s="9"/>
      <c r="O181" s="107"/>
      <c r="P181" s="9"/>
      <c r="Q181" s="9"/>
      <c r="R181" s="9"/>
      <c r="S181" s="9"/>
      <c r="T181" s="9"/>
      <c r="U181" s="9"/>
      <c r="V181" s="9"/>
      <c r="W181" s="9"/>
      <c r="X181" s="107"/>
      <c r="Y181" s="9"/>
      <c r="Z181" s="9"/>
      <c r="AA181" s="107"/>
      <c r="AB181" s="9"/>
      <c r="AC181" s="9"/>
      <c r="AD181" s="9"/>
      <c r="AE181" s="9"/>
      <c r="AF181" s="9"/>
      <c r="AG181" s="9"/>
      <c r="AH181" s="9"/>
      <c r="AI181" s="9"/>
      <c r="AJ181" s="9"/>
      <c r="AK181" s="9"/>
      <c r="AL181" s="9"/>
      <c r="AM181" s="9"/>
      <c r="AN181" s="9"/>
      <c r="AO181" s="9"/>
      <c r="AP181" s="107"/>
      <c r="AQ181" s="9"/>
      <c r="AR181" s="9"/>
      <c r="AS181" s="9"/>
      <c r="AT181" s="9"/>
      <c r="AU181" s="9"/>
      <c r="AV181" s="9"/>
      <c r="AW181" s="9"/>
      <c r="AX181" s="9"/>
      <c r="AY181" s="9"/>
      <c r="AZ181" s="9"/>
      <c r="BA181" s="9"/>
      <c r="BB181" s="9"/>
      <c r="BC181" s="9"/>
      <c r="BD181" s="107"/>
      <c r="BE181" s="107"/>
    </row>
    <row r="182" spans="1:59" s="268" customFormat="1" x14ac:dyDescent="0.25">
      <c r="A182" s="107"/>
      <c r="B182" s="107"/>
      <c r="C182" s="9"/>
      <c r="D182" s="9"/>
      <c r="E182" s="9"/>
      <c r="F182" s="107"/>
      <c r="G182" s="107"/>
      <c r="H182" s="107"/>
      <c r="I182" s="107"/>
      <c r="J182" s="107"/>
      <c r="K182" s="9"/>
      <c r="L182" s="9"/>
      <c r="M182" s="9"/>
      <c r="N182" s="9"/>
      <c r="O182" s="107"/>
      <c r="P182" s="9"/>
      <c r="Q182" s="9"/>
      <c r="R182" s="9"/>
      <c r="S182" s="9"/>
      <c r="T182" s="9"/>
      <c r="U182" s="9"/>
      <c r="V182" s="9"/>
      <c r="W182" s="9"/>
      <c r="X182" s="107"/>
      <c r="Y182" s="9"/>
      <c r="Z182" s="9"/>
      <c r="AA182" s="107"/>
      <c r="AB182" s="9"/>
      <c r="AC182" s="9"/>
      <c r="AD182" s="9"/>
      <c r="AE182" s="9"/>
      <c r="AF182" s="9"/>
      <c r="AG182" s="9"/>
      <c r="AH182" s="9"/>
      <c r="AI182" s="9"/>
      <c r="AJ182" s="9"/>
      <c r="AK182" s="9"/>
      <c r="AL182" s="9"/>
      <c r="AM182" s="9"/>
      <c r="AN182" s="9"/>
      <c r="AO182" s="9"/>
      <c r="AP182" s="107"/>
      <c r="AQ182" s="9"/>
      <c r="AR182" s="9"/>
      <c r="AS182" s="9"/>
      <c r="AT182" s="9"/>
      <c r="AU182" s="9"/>
      <c r="AV182" s="9"/>
      <c r="AW182" s="9"/>
      <c r="AX182" s="9"/>
      <c r="AY182" s="9"/>
      <c r="AZ182" s="9"/>
      <c r="BA182" s="9"/>
      <c r="BB182" s="9"/>
      <c r="BC182" s="9"/>
      <c r="BD182" s="107"/>
      <c r="BE182" s="107"/>
    </row>
    <row r="183" spans="1:59" s="268" customFormat="1" x14ac:dyDescent="0.25">
      <c r="A183" s="107"/>
      <c r="B183" s="107"/>
      <c r="C183" s="9"/>
      <c r="D183" s="9"/>
      <c r="E183" s="9"/>
      <c r="F183" s="107"/>
      <c r="G183" s="107"/>
      <c r="H183" s="107"/>
      <c r="I183" s="107"/>
      <c r="J183" s="107"/>
      <c r="K183" s="7"/>
      <c r="L183" s="7"/>
      <c r="M183" s="7"/>
      <c r="N183" s="7"/>
      <c r="O183" s="10"/>
      <c r="P183" s="7"/>
      <c r="Q183" s="7"/>
      <c r="R183" s="7"/>
      <c r="S183" s="7"/>
      <c r="T183" s="7"/>
      <c r="U183" s="7"/>
      <c r="V183" s="7"/>
      <c r="W183" s="7"/>
      <c r="X183" s="10"/>
      <c r="Y183" s="7"/>
      <c r="Z183" s="7"/>
      <c r="AA183" s="10"/>
      <c r="AB183" s="7"/>
      <c r="AC183" s="7"/>
      <c r="AD183" s="7"/>
      <c r="AE183" s="7"/>
      <c r="AF183" s="7"/>
      <c r="AG183" s="7"/>
      <c r="AH183" s="7"/>
      <c r="AI183" s="7"/>
      <c r="AJ183" s="7"/>
      <c r="AK183" s="7"/>
      <c r="AL183" s="7"/>
      <c r="AM183" s="7"/>
      <c r="AN183" s="7"/>
      <c r="AO183" s="7"/>
      <c r="AP183" s="10"/>
      <c r="AQ183" s="7"/>
      <c r="AR183" s="7"/>
      <c r="AS183" s="7"/>
      <c r="AT183" s="7"/>
      <c r="AU183" s="7"/>
      <c r="AV183" s="7"/>
      <c r="AW183" s="7"/>
      <c r="AX183" s="7"/>
      <c r="AY183" s="7"/>
      <c r="AZ183" s="7"/>
      <c r="BA183" s="7"/>
      <c r="BB183" s="7"/>
      <c r="BC183" s="7"/>
      <c r="BD183" s="10"/>
      <c r="BE183" s="10"/>
      <c r="BF183" s="266"/>
      <c r="BG183" s="266"/>
    </row>
    <row r="184" spans="1:59" s="268" customFormat="1" x14ac:dyDescent="0.25">
      <c r="A184" s="107"/>
      <c r="B184" s="107"/>
      <c r="C184" s="9"/>
      <c r="D184" s="9"/>
      <c r="E184" s="9"/>
      <c r="F184" s="107"/>
      <c r="G184" s="107"/>
      <c r="H184" s="107"/>
      <c r="I184" s="107"/>
      <c r="J184" s="107"/>
      <c r="K184" s="7"/>
      <c r="L184" s="7"/>
      <c r="M184" s="7"/>
      <c r="N184" s="7"/>
      <c r="O184" s="10"/>
      <c r="P184" s="7"/>
      <c r="Q184" s="7"/>
      <c r="R184" s="7"/>
      <c r="S184" s="7"/>
      <c r="T184" s="7"/>
      <c r="U184" s="7"/>
      <c r="V184" s="7"/>
      <c r="W184" s="7"/>
      <c r="X184" s="10"/>
      <c r="Y184" s="7"/>
      <c r="Z184" s="7"/>
      <c r="AA184" s="10"/>
      <c r="AB184" s="7"/>
      <c r="AC184" s="7"/>
      <c r="AD184" s="7"/>
      <c r="AE184" s="7"/>
      <c r="AF184" s="7"/>
      <c r="AG184" s="7"/>
      <c r="AH184" s="7"/>
      <c r="AI184" s="7"/>
      <c r="AJ184" s="7"/>
      <c r="AK184" s="7"/>
      <c r="AL184" s="7"/>
      <c r="AM184" s="7"/>
      <c r="AN184" s="7"/>
      <c r="AO184" s="7"/>
      <c r="AP184" s="10"/>
      <c r="AQ184" s="7"/>
      <c r="AR184" s="7"/>
      <c r="AS184" s="7"/>
      <c r="AT184" s="7"/>
      <c r="AU184" s="7"/>
      <c r="AV184" s="7"/>
      <c r="AW184" s="7"/>
      <c r="AX184" s="7"/>
      <c r="AY184" s="7"/>
      <c r="AZ184" s="7"/>
      <c r="BA184" s="7"/>
      <c r="BB184" s="7"/>
      <c r="BC184" s="7"/>
      <c r="BD184" s="10"/>
      <c r="BE184" s="10"/>
      <c r="BF184" s="266"/>
      <c r="BG184" s="266"/>
    </row>
    <row r="185" spans="1:59" s="268" customFormat="1" x14ac:dyDescent="0.25">
      <c r="A185" s="107"/>
      <c r="B185" s="107"/>
      <c r="C185" s="9"/>
      <c r="D185" s="9"/>
      <c r="E185" s="9"/>
      <c r="F185" s="107"/>
      <c r="G185" s="107"/>
      <c r="H185" s="107"/>
      <c r="I185" s="107"/>
      <c r="J185" s="107"/>
      <c r="K185" s="7"/>
      <c r="L185" s="7"/>
      <c r="M185" s="7"/>
      <c r="N185" s="7"/>
      <c r="O185" s="10"/>
      <c r="P185" s="7"/>
      <c r="Q185" s="7"/>
      <c r="R185" s="7"/>
      <c r="S185" s="7"/>
      <c r="T185" s="7"/>
      <c r="U185" s="7"/>
      <c r="V185" s="7"/>
      <c r="W185" s="7"/>
      <c r="X185" s="10"/>
      <c r="Y185" s="7"/>
      <c r="Z185" s="7"/>
      <c r="AA185" s="10"/>
      <c r="AB185" s="7"/>
      <c r="AC185" s="7"/>
      <c r="AD185" s="7"/>
      <c r="AE185" s="7"/>
      <c r="AF185" s="7"/>
      <c r="AG185" s="7"/>
      <c r="AH185" s="7"/>
      <c r="AI185" s="7"/>
      <c r="AJ185" s="7"/>
      <c r="AK185" s="7"/>
      <c r="AL185" s="7"/>
      <c r="AM185" s="7"/>
      <c r="AN185" s="7"/>
      <c r="AO185" s="7"/>
      <c r="AP185" s="10"/>
      <c r="AQ185" s="7"/>
      <c r="AR185" s="7"/>
      <c r="AS185" s="7"/>
      <c r="AT185" s="7"/>
      <c r="AU185" s="7"/>
      <c r="AV185" s="7"/>
      <c r="AW185" s="7"/>
      <c r="AX185" s="7"/>
      <c r="AY185" s="7"/>
      <c r="AZ185" s="7"/>
      <c r="BA185" s="7"/>
      <c r="BB185" s="7"/>
      <c r="BC185" s="7"/>
      <c r="BD185" s="10"/>
      <c r="BE185" s="10"/>
      <c r="BF185" s="266"/>
      <c r="BG185" s="266"/>
    </row>
    <row r="186" spans="1:59" s="268" customFormat="1" x14ac:dyDescent="0.25">
      <c r="A186" s="107"/>
      <c r="B186" s="107"/>
      <c r="C186" s="9"/>
      <c r="D186" s="9"/>
      <c r="E186" s="9"/>
      <c r="F186" s="107"/>
      <c r="G186" s="107"/>
      <c r="H186" s="107"/>
      <c r="I186" s="107"/>
      <c r="J186" s="107"/>
      <c r="K186" s="7"/>
      <c r="L186" s="7"/>
      <c r="M186" s="7"/>
      <c r="N186" s="7"/>
      <c r="O186" s="10"/>
      <c r="P186" s="7"/>
      <c r="Q186" s="7"/>
      <c r="R186" s="7"/>
      <c r="S186" s="7"/>
      <c r="T186" s="7"/>
      <c r="U186" s="7"/>
      <c r="V186" s="7"/>
      <c r="W186" s="7"/>
      <c r="X186" s="10"/>
      <c r="Y186" s="7"/>
      <c r="Z186" s="7"/>
      <c r="AA186" s="10"/>
      <c r="AB186" s="7"/>
      <c r="AC186" s="7"/>
      <c r="AD186" s="7"/>
      <c r="AE186" s="7"/>
      <c r="AF186" s="7"/>
      <c r="AG186" s="7"/>
      <c r="AH186" s="7"/>
      <c r="AI186" s="7"/>
      <c r="AJ186" s="7"/>
      <c r="AK186" s="7"/>
      <c r="AL186" s="7"/>
      <c r="AM186" s="7"/>
      <c r="AN186" s="7"/>
      <c r="AO186" s="7"/>
      <c r="AP186" s="10"/>
      <c r="AQ186" s="7"/>
      <c r="AR186" s="7"/>
      <c r="AS186" s="7"/>
      <c r="AT186" s="7"/>
      <c r="AU186" s="7"/>
      <c r="AV186" s="7"/>
      <c r="AW186" s="7"/>
      <c r="AX186" s="7"/>
      <c r="AY186" s="7"/>
      <c r="AZ186" s="7"/>
      <c r="BA186" s="7"/>
      <c r="BB186" s="7"/>
      <c r="BC186" s="7"/>
      <c r="BD186" s="10"/>
      <c r="BE186" s="10"/>
      <c r="BF186" s="266"/>
      <c r="BG186" s="266"/>
    </row>
    <row r="187" spans="1:59" s="268" customFormat="1" x14ac:dyDescent="0.25">
      <c r="A187" s="107"/>
      <c r="B187" s="107"/>
      <c r="C187" s="9"/>
      <c r="D187" s="9"/>
      <c r="E187" s="9"/>
      <c r="F187" s="107"/>
      <c r="G187" s="107"/>
      <c r="H187" s="107"/>
      <c r="I187" s="107"/>
      <c r="J187" s="107"/>
      <c r="K187" s="7"/>
      <c r="L187" s="7"/>
      <c r="M187" s="7"/>
      <c r="N187" s="7"/>
      <c r="O187" s="10"/>
      <c r="P187" s="7"/>
      <c r="Q187" s="7"/>
      <c r="R187" s="7"/>
      <c r="S187" s="7"/>
      <c r="T187" s="7"/>
      <c r="U187" s="7"/>
      <c r="V187" s="7"/>
      <c r="W187" s="7"/>
      <c r="X187" s="10"/>
      <c r="Y187" s="7"/>
      <c r="Z187" s="7"/>
      <c r="AA187" s="10"/>
      <c r="AB187" s="7"/>
      <c r="AC187" s="7"/>
      <c r="AD187" s="7"/>
      <c r="AE187" s="7"/>
      <c r="AF187" s="7"/>
      <c r="AG187" s="7"/>
      <c r="AH187" s="7"/>
      <c r="AI187" s="7"/>
      <c r="AJ187" s="7"/>
      <c r="AK187" s="7"/>
      <c r="AL187" s="7"/>
      <c r="AM187" s="7"/>
      <c r="AN187" s="7"/>
      <c r="AO187" s="7"/>
      <c r="AP187" s="10"/>
      <c r="AQ187" s="7"/>
      <c r="AR187" s="7"/>
      <c r="AS187" s="7"/>
      <c r="AT187" s="7"/>
      <c r="AU187" s="7"/>
      <c r="AV187" s="7"/>
      <c r="AW187" s="7"/>
      <c r="AX187" s="7"/>
      <c r="AY187" s="7"/>
      <c r="AZ187" s="7"/>
      <c r="BA187" s="7"/>
      <c r="BB187" s="7"/>
      <c r="BC187" s="7"/>
      <c r="BD187" s="10"/>
      <c r="BE187" s="10"/>
      <c r="BF187" s="266"/>
      <c r="BG187" s="266"/>
    </row>
    <row r="188" spans="1:59" s="268" customFormat="1" x14ac:dyDescent="0.25">
      <c r="A188" s="107"/>
      <c r="B188" s="107"/>
      <c r="C188" s="9"/>
      <c r="D188" s="9"/>
      <c r="E188" s="9"/>
      <c r="F188" s="107"/>
      <c r="G188" s="107"/>
      <c r="H188" s="107"/>
      <c r="I188" s="107"/>
      <c r="J188" s="107"/>
      <c r="K188" s="7"/>
      <c r="L188" s="7"/>
      <c r="M188" s="7"/>
      <c r="N188" s="7"/>
      <c r="O188" s="10"/>
      <c r="P188" s="7"/>
      <c r="Q188" s="7"/>
      <c r="R188" s="7"/>
      <c r="S188" s="7"/>
      <c r="T188" s="7"/>
      <c r="U188" s="7"/>
      <c r="V188" s="7"/>
      <c r="W188" s="7"/>
      <c r="X188" s="10"/>
      <c r="Y188" s="7"/>
      <c r="Z188" s="7"/>
      <c r="AA188" s="10"/>
      <c r="AB188" s="7"/>
      <c r="AC188" s="7"/>
      <c r="AD188" s="7"/>
      <c r="AE188" s="7"/>
      <c r="AF188" s="7"/>
      <c r="AG188" s="7"/>
      <c r="AH188" s="7"/>
      <c r="AI188" s="7"/>
      <c r="AJ188" s="7"/>
      <c r="AK188" s="7"/>
      <c r="AL188" s="7"/>
      <c r="AM188" s="7"/>
      <c r="AN188" s="7"/>
      <c r="AO188" s="7"/>
      <c r="AP188" s="10"/>
      <c r="AQ188" s="7"/>
      <c r="AR188" s="7"/>
      <c r="AS188" s="7"/>
      <c r="AT188" s="7"/>
      <c r="AU188" s="7"/>
      <c r="AV188" s="7"/>
      <c r="AW188" s="7"/>
      <c r="AX188" s="7"/>
      <c r="AY188" s="7"/>
      <c r="AZ188" s="7"/>
      <c r="BA188" s="7"/>
      <c r="BB188" s="7"/>
      <c r="BC188" s="7"/>
      <c r="BD188" s="10"/>
      <c r="BE188" s="10"/>
      <c r="BF188" s="266"/>
      <c r="BG188" s="266"/>
    </row>
    <row r="189" spans="1:59" s="268" customFormat="1" x14ac:dyDescent="0.25">
      <c r="A189" s="107"/>
      <c r="B189" s="107"/>
      <c r="C189" s="9"/>
      <c r="D189" s="9"/>
      <c r="E189" s="9"/>
      <c r="F189" s="107"/>
      <c r="G189" s="107"/>
      <c r="H189" s="107"/>
      <c r="I189" s="107"/>
      <c r="J189" s="107"/>
      <c r="K189" s="7"/>
      <c r="L189" s="7"/>
      <c r="M189" s="7"/>
      <c r="N189" s="7"/>
      <c r="O189" s="10"/>
      <c r="P189" s="7"/>
      <c r="Q189" s="7"/>
      <c r="R189" s="7"/>
      <c r="S189" s="7"/>
      <c r="T189" s="7"/>
      <c r="U189" s="7"/>
      <c r="V189" s="7"/>
      <c r="W189" s="7"/>
      <c r="X189" s="10"/>
      <c r="Y189" s="7"/>
      <c r="Z189" s="7"/>
      <c r="AA189" s="10"/>
      <c r="AB189" s="7"/>
      <c r="AC189" s="7"/>
      <c r="AD189" s="7"/>
      <c r="AE189" s="7"/>
      <c r="AF189" s="7"/>
      <c r="AG189" s="7"/>
      <c r="AH189" s="7"/>
      <c r="AI189" s="7"/>
      <c r="AJ189" s="7"/>
      <c r="AK189" s="7"/>
      <c r="AL189" s="7"/>
      <c r="AM189" s="7"/>
      <c r="AN189" s="7"/>
      <c r="AO189" s="7"/>
      <c r="AP189" s="10"/>
      <c r="AQ189" s="7"/>
      <c r="AR189" s="7"/>
      <c r="AS189" s="7"/>
      <c r="AT189" s="7"/>
      <c r="AU189" s="7"/>
      <c r="AV189" s="7"/>
      <c r="AW189" s="7"/>
      <c r="AX189" s="7"/>
      <c r="AY189" s="7"/>
      <c r="AZ189" s="7"/>
      <c r="BA189" s="7"/>
      <c r="BB189" s="7"/>
      <c r="BC189" s="7"/>
      <c r="BD189" s="10"/>
      <c r="BE189" s="10"/>
      <c r="BF189" s="266"/>
      <c r="BG189" s="266"/>
    </row>
    <row r="190" spans="1:59" s="268" customFormat="1" x14ac:dyDescent="0.25">
      <c r="A190" s="107"/>
      <c r="B190" s="107"/>
      <c r="C190" s="9"/>
      <c r="D190" s="9"/>
      <c r="E190" s="9"/>
      <c r="F190" s="107"/>
      <c r="G190" s="107"/>
      <c r="H190" s="107"/>
      <c r="I190" s="107"/>
      <c r="J190" s="107"/>
      <c r="K190" s="7"/>
      <c r="L190" s="7"/>
      <c r="M190" s="7"/>
      <c r="N190" s="7"/>
      <c r="O190" s="10"/>
      <c r="P190" s="7"/>
      <c r="Q190" s="7"/>
      <c r="R190" s="7"/>
      <c r="S190" s="7"/>
      <c r="T190" s="7"/>
      <c r="U190" s="7"/>
      <c r="V190" s="7"/>
      <c r="W190" s="7"/>
      <c r="X190" s="10"/>
      <c r="Y190" s="7"/>
      <c r="Z190" s="7"/>
      <c r="AA190" s="10"/>
      <c r="AB190" s="7"/>
      <c r="AC190" s="7"/>
      <c r="AD190" s="7"/>
      <c r="AE190" s="7"/>
      <c r="AF190" s="7"/>
      <c r="AG190" s="7"/>
      <c r="AH190" s="7"/>
      <c r="AI190" s="7"/>
      <c r="AJ190" s="7"/>
      <c r="AK190" s="7"/>
      <c r="AL190" s="7"/>
      <c r="AM190" s="7"/>
      <c r="AN190" s="7"/>
      <c r="AO190" s="7"/>
      <c r="AP190" s="10"/>
      <c r="AQ190" s="7"/>
      <c r="AR190" s="7"/>
      <c r="AS190" s="7"/>
      <c r="AT190" s="7"/>
      <c r="AU190" s="7"/>
      <c r="AV190" s="7"/>
      <c r="AW190" s="7"/>
      <c r="AX190" s="7"/>
      <c r="AY190" s="7"/>
      <c r="AZ190" s="7"/>
      <c r="BA190" s="7"/>
      <c r="BB190" s="7"/>
      <c r="BC190" s="7"/>
      <c r="BD190" s="10"/>
      <c r="BE190" s="10"/>
      <c r="BF190" s="266"/>
      <c r="BG190" s="266"/>
    </row>
    <row r="191" spans="1:59" s="268" customFormat="1" x14ac:dyDescent="0.25">
      <c r="A191" s="107"/>
      <c r="B191" s="107"/>
      <c r="C191" s="9"/>
      <c r="D191" s="9"/>
      <c r="E191" s="9"/>
      <c r="F191" s="107"/>
      <c r="G191" s="107"/>
      <c r="H191" s="107"/>
      <c r="I191" s="107"/>
      <c r="J191" s="107"/>
      <c r="K191" s="7"/>
      <c r="L191" s="7"/>
      <c r="M191" s="7"/>
      <c r="N191" s="7"/>
      <c r="O191" s="10"/>
      <c r="P191" s="7"/>
      <c r="Q191" s="7"/>
      <c r="R191" s="7"/>
      <c r="S191" s="7"/>
      <c r="T191" s="7"/>
      <c r="U191" s="7"/>
      <c r="V191" s="7"/>
      <c r="W191" s="7"/>
      <c r="X191" s="10"/>
      <c r="Y191" s="7"/>
      <c r="Z191" s="7"/>
      <c r="AA191" s="10"/>
      <c r="AB191" s="7"/>
      <c r="AC191" s="7"/>
      <c r="AD191" s="7"/>
      <c r="AE191" s="7"/>
      <c r="AF191" s="7"/>
      <c r="AG191" s="7"/>
      <c r="AH191" s="7"/>
      <c r="AI191" s="7"/>
      <c r="AJ191" s="7"/>
      <c r="AK191" s="7"/>
      <c r="AL191" s="7"/>
      <c r="AM191" s="7"/>
      <c r="AN191" s="7"/>
      <c r="AO191" s="7"/>
      <c r="AP191" s="10"/>
      <c r="AQ191" s="7"/>
      <c r="AR191" s="7"/>
      <c r="AS191" s="7"/>
      <c r="AT191" s="7"/>
      <c r="AU191" s="7"/>
      <c r="AV191" s="7"/>
      <c r="AW191" s="7"/>
      <c r="AX191" s="7"/>
      <c r="AY191" s="7"/>
      <c r="AZ191" s="7"/>
      <c r="BA191" s="7"/>
      <c r="BB191" s="7"/>
      <c r="BC191" s="7"/>
      <c r="BD191" s="10"/>
      <c r="BE191" s="10"/>
      <c r="BF191" s="266"/>
      <c r="BG191" s="266"/>
    </row>
    <row r="192" spans="1:59" s="268" customFormat="1" x14ac:dyDescent="0.25">
      <c r="A192" s="107"/>
      <c r="B192" s="107"/>
      <c r="C192" s="9"/>
      <c r="D192" s="9"/>
      <c r="E192" s="9"/>
      <c r="F192" s="107"/>
      <c r="G192" s="107"/>
      <c r="H192" s="107"/>
      <c r="I192" s="107"/>
      <c r="J192" s="107"/>
      <c r="K192" s="7"/>
      <c r="L192" s="7"/>
      <c r="M192" s="7"/>
      <c r="N192" s="7"/>
      <c r="O192" s="10"/>
      <c r="P192" s="7"/>
      <c r="Q192" s="7"/>
      <c r="R192" s="7"/>
      <c r="S192" s="7"/>
      <c r="T192" s="7"/>
      <c r="U192" s="7"/>
      <c r="V192" s="7"/>
      <c r="W192" s="7"/>
      <c r="X192" s="10"/>
      <c r="Y192" s="7"/>
      <c r="Z192" s="7"/>
      <c r="AA192" s="10"/>
      <c r="AB192" s="7"/>
      <c r="AC192" s="7"/>
      <c r="AD192" s="7"/>
      <c r="AE192" s="7"/>
      <c r="AF192" s="7"/>
      <c r="AG192" s="7"/>
      <c r="AH192" s="7"/>
      <c r="AI192" s="7"/>
      <c r="AJ192" s="7"/>
      <c r="AK192" s="7"/>
      <c r="AL192" s="7"/>
      <c r="AM192" s="7"/>
      <c r="AN192" s="7"/>
      <c r="AO192" s="7"/>
      <c r="AP192" s="10"/>
      <c r="AQ192" s="7"/>
      <c r="AR192" s="7"/>
      <c r="AS192" s="7"/>
      <c r="AT192" s="7"/>
      <c r="AU192" s="7"/>
      <c r="AV192" s="7"/>
      <c r="AW192" s="7"/>
      <c r="AX192" s="7"/>
      <c r="AY192" s="7"/>
      <c r="AZ192" s="7"/>
      <c r="BA192" s="7"/>
      <c r="BB192" s="7"/>
      <c r="BC192" s="7"/>
      <c r="BD192" s="10"/>
      <c r="BE192" s="10"/>
      <c r="BF192" s="266"/>
      <c r="BG192" s="266"/>
    </row>
    <row r="193" spans="1:59" s="268" customFormat="1" x14ac:dyDescent="0.25">
      <c r="A193" s="107"/>
      <c r="B193" s="107"/>
      <c r="C193" s="9"/>
      <c r="D193" s="9"/>
      <c r="E193" s="9"/>
      <c r="F193" s="107"/>
      <c r="G193" s="107"/>
      <c r="H193" s="107"/>
      <c r="I193" s="107"/>
      <c r="J193" s="107"/>
      <c r="K193" s="7"/>
      <c r="L193" s="7"/>
      <c r="M193" s="7"/>
      <c r="N193" s="7"/>
      <c r="O193" s="10"/>
      <c r="P193" s="7"/>
      <c r="Q193" s="7"/>
      <c r="R193" s="7"/>
      <c r="S193" s="7"/>
      <c r="T193" s="7"/>
      <c r="U193" s="7"/>
      <c r="V193" s="7"/>
      <c r="W193" s="7"/>
      <c r="X193" s="10"/>
      <c r="Y193" s="7"/>
      <c r="Z193" s="7"/>
      <c r="AA193" s="10"/>
      <c r="AB193" s="7"/>
      <c r="AC193" s="7"/>
      <c r="AD193" s="7"/>
      <c r="AE193" s="7"/>
      <c r="AF193" s="7"/>
      <c r="AG193" s="7"/>
      <c r="AH193" s="7"/>
      <c r="AI193" s="7"/>
      <c r="AJ193" s="7"/>
      <c r="AK193" s="7"/>
      <c r="AL193" s="7"/>
      <c r="AM193" s="7"/>
      <c r="AN193" s="7"/>
      <c r="AO193" s="7"/>
      <c r="AP193" s="10"/>
      <c r="AQ193" s="7"/>
      <c r="AR193" s="7"/>
      <c r="AS193" s="7"/>
      <c r="AT193" s="7"/>
      <c r="AU193" s="7"/>
      <c r="AV193" s="7"/>
      <c r="AW193" s="7"/>
      <c r="AX193" s="7"/>
      <c r="AY193" s="7"/>
      <c r="AZ193" s="7"/>
      <c r="BA193" s="7"/>
      <c r="BB193" s="7"/>
      <c r="BC193" s="7"/>
      <c r="BD193" s="10"/>
      <c r="BE193" s="10"/>
      <c r="BF193" s="266"/>
      <c r="BG193" s="266"/>
    </row>
    <row r="194" spans="1:59" s="268" customFormat="1" x14ac:dyDescent="0.25">
      <c r="A194" s="107"/>
      <c r="B194" s="107"/>
      <c r="C194" s="9"/>
      <c r="D194" s="9"/>
      <c r="E194" s="9"/>
      <c r="F194" s="107"/>
      <c r="G194" s="107"/>
      <c r="H194" s="107"/>
      <c r="I194" s="107"/>
      <c r="J194" s="107"/>
      <c r="K194" s="7"/>
      <c r="L194" s="7"/>
      <c r="M194" s="7"/>
      <c r="N194" s="7"/>
      <c r="O194" s="10"/>
      <c r="P194" s="7"/>
      <c r="Q194" s="7"/>
      <c r="R194" s="7"/>
      <c r="S194" s="7"/>
      <c r="T194" s="7"/>
      <c r="U194" s="7"/>
      <c r="V194" s="7"/>
      <c r="W194" s="7"/>
      <c r="X194" s="10"/>
      <c r="Y194" s="7"/>
      <c r="Z194" s="7"/>
      <c r="AA194" s="10"/>
      <c r="AB194" s="7"/>
      <c r="AC194" s="7"/>
      <c r="AD194" s="7"/>
      <c r="AE194" s="7"/>
      <c r="AF194" s="7"/>
      <c r="AG194" s="7"/>
      <c r="AH194" s="7"/>
      <c r="AI194" s="7"/>
      <c r="AJ194" s="7"/>
      <c r="AK194" s="7"/>
      <c r="AL194" s="7"/>
      <c r="AM194" s="7"/>
      <c r="AN194" s="7"/>
      <c r="AO194" s="7"/>
      <c r="AP194" s="10"/>
      <c r="AQ194" s="7"/>
      <c r="AR194" s="7"/>
      <c r="AS194" s="7"/>
      <c r="AT194" s="7"/>
      <c r="AU194" s="7"/>
      <c r="AV194" s="7"/>
      <c r="AW194" s="7"/>
      <c r="AX194" s="7"/>
      <c r="AY194" s="7"/>
      <c r="AZ194" s="7"/>
      <c r="BA194" s="7"/>
      <c r="BB194" s="7"/>
      <c r="BC194" s="7"/>
      <c r="BD194" s="10"/>
      <c r="BE194" s="10"/>
      <c r="BF194" s="266"/>
      <c r="BG194" s="266"/>
    </row>
    <row r="195" spans="1:59" s="268" customFormat="1" x14ac:dyDescent="0.25">
      <c r="A195" s="107"/>
      <c r="B195" s="107"/>
      <c r="C195" s="9"/>
      <c r="D195" s="9"/>
      <c r="E195" s="9"/>
      <c r="F195" s="107"/>
      <c r="G195" s="107"/>
      <c r="H195" s="107"/>
      <c r="I195" s="107"/>
      <c r="J195" s="107"/>
      <c r="K195" s="7"/>
      <c r="L195" s="7"/>
      <c r="M195" s="7"/>
      <c r="N195" s="7"/>
      <c r="O195" s="10"/>
      <c r="P195" s="7"/>
      <c r="Q195" s="7"/>
      <c r="R195" s="7"/>
      <c r="S195" s="7"/>
      <c r="T195" s="7"/>
      <c r="U195" s="7"/>
      <c r="V195" s="7"/>
      <c r="W195" s="7"/>
      <c r="X195" s="10"/>
      <c r="Y195" s="7"/>
      <c r="Z195" s="7"/>
      <c r="AA195" s="10"/>
      <c r="AB195" s="7"/>
      <c r="AC195" s="7"/>
      <c r="AD195" s="7"/>
      <c r="AE195" s="7"/>
      <c r="AF195" s="7"/>
      <c r="AG195" s="7"/>
      <c r="AH195" s="7"/>
      <c r="AI195" s="7"/>
      <c r="AJ195" s="7"/>
      <c r="AK195" s="7"/>
      <c r="AL195" s="7"/>
      <c r="AM195" s="7"/>
      <c r="AN195" s="7"/>
      <c r="AO195" s="7"/>
      <c r="AP195" s="10"/>
      <c r="AQ195" s="7"/>
      <c r="AR195" s="7"/>
      <c r="AS195" s="7"/>
      <c r="AT195" s="7"/>
      <c r="AU195" s="7"/>
      <c r="AV195" s="7"/>
      <c r="AW195" s="7"/>
      <c r="AX195" s="7"/>
      <c r="AY195" s="7"/>
      <c r="AZ195" s="7"/>
      <c r="BA195" s="7"/>
      <c r="BB195" s="7"/>
      <c r="BC195" s="7"/>
      <c r="BD195" s="10"/>
      <c r="BE195" s="10"/>
      <c r="BF195" s="266"/>
      <c r="BG195" s="266"/>
    </row>
    <row r="196" spans="1:59" s="268" customFormat="1" x14ac:dyDescent="0.25">
      <c r="A196" s="107"/>
      <c r="B196" s="107"/>
      <c r="C196" s="9"/>
      <c r="D196" s="9"/>
      <c r="E196" s="9"/>
      <c r="F196" s="107"/>
      <c r="G196" s="107"/>
      <c r="H196" s="107"/>
      <c r="I196" s="107"/>
      <c r="J196" s="107"/>
      <c r="K196" s="7"/>
      <c r="L196" s="7"/>
      <c r="M196" s="7"/>
      <c r="N196" s="7"/>
      <c r="O196" s="10"/>
      <c r="P196" s="7"/>
      <c r="Q196" s="7"/>
      <c r="R196" s="7"/>
      <c r="S196" s="7"/>
      <c r="T196" s="7"/>
      <c r="U196" s="7"/>
      <c r="V196" s="7"/>
      <c r="W196" s="7"/>
      <c r="X196" s="10"/>
      <c r="Y196" s="7"/>
      <c r="Z196" s="7"/>
      <c r="AA196" s="10"/>
      <c r="AB196" s="7"/>
      <c r="AC196" s="7"/>
      <c r="AD196" s="7"/>
      <c r="AE196" s="7"/>
      <c r="AF196" s="7"/>
      <c r="AG196" s="7"/>
      <c r="AH196" s="7"/>
      <c r="AI196" s="7"/>
      <c r="AJ196" s="7"/>
      <c r="AK196" s="7"/>
      <c r="AL196" s="7"/>
      <c r="AM196" s="7"/>
      <c r="AN196" s="7"/>
      <c r="AO196" s="7"/>
      <c r="AP196" s="10"/>
      <c r="AQ196" s="7"/>
      <c r="AR196" s="7"/>
      <c r="AS196" s="7"/>
      <c r="AT196" s="7"/>
      <c r="AU196" s="7"/>
      <c r="AV196" s="7"/>
      <c r="AW196" s="7"/>
      <c r="AX196" s="7"/>
      <c r="AY196" s="7"/>
      <c r="AZ196" s="7"/>
      <c r="BA196" s="7"/>
      <c r="BB196" s="7"/>
      <c r="BC196" s="7"/>
      <c r="BD196" s="10"/>
      <c r="BE196" s="10"/>
      <c r="BF196" s="266"/>
      <c r="BG196" s="266"/>
    </row>
    <row r="197" spans="1:59" s="268" customFormat="1" x14ac:dyDescent="0.25">
      <c r="A197" s="107"/>
      <c r="B197" s="107"/>
      <c r="C197" s="9"/>
      <c r="D197" s="9"/>
      <c r="E197" s="9"/>
      <c r="F197" s="107"/>
      <c r="G197" s="107"/>
      <c r="H197" s="107"/>
      <c r="I197" s="107"/>
      <c r="J197" s="107"/>
      <c r="K197" s="7"/>
      <c r="L197" s="7"/>
      <c r="M197" s="7"/>
      <c r="N197" s="7"/>
      <c r="O197" s="10"/>
      <c r="P197" s="7"/>
      <c r="Q197" s="7"/>
      <c r="R197" s="7"/>
      <c r="S197" s="7"/>
      <c r="T197" s="7"/>
      <c r="U197" s="7"/>
      <c r="V197" s="7"/>
      <c r="W197" s="7"/>
      <c r="X197" s="10"/>
      <c r="Y197" s="7"/>
      <c r="Z197" s="7"/>
      <c r="AA197" s="10"/>
      <c r="AB197" s="7"/>
      <c r="AC197" s="7"/>
      <c r="AD197" s="7"/>
      <c r="AE197" s="7"/>
      <c r="AF197" s="7"/>
      <c r="AG197" s="7"/>
      <c r="AH197" s="7"/>
      <c r="AI197" s="7"/>
      <c r="AJ197" s="7"/>
      <c r="AK197" s="7"/>
      <c r="AL197" s="7"/>
      <c r="AM197" s="7"/>
      <c r="AN197" s="7"/>
      <c r="AO197" s="7"/>
      <c r="AP197" s="10"/>
      <c r="AQ197" s="7"/>
      <c r="AR197" s="7"/>
      <c r="AS197" s="7"/>
      <c r="AT197" s="7"/>
      <c r="AU197" s="7"/>
      <c r="AV197" s="7"/>
      <c r="AW197" s="7"/>
      <c r="AX197" s="7"/>
      <c r="AY197" s="7"/>
      <c r="AZ197" s="7"/>
      <c r="BA197" s="7"/>
      <c r="BB197" s="7"/>
      <c r="BC197" s="7"/>
      <c r="BD197" s="10"/>
      <c r="BE197" s="10"/>
      <c r="BF197" s="266"/>
      <c r="BG197" s="266"/>
    </row>
    <row r="198" spans="1:59" s="268" customFormat="1" x14ac:dyDescent="0.25">
      <c r="A198" s="107"/>
      <c r="B198" s="107"/>
      <c r="C198" s="9"/>
      <c r="D198" s="9"/>
      <c r="E198" s="9"/>
      <c r="F198" s="107"/>
      <c r="G198" s="107"/>
      <c r="H198" s="107"/>
      <c r="I198" s="107"/>
      <c r="J198" s="107"/>
      <c r="K198" s="7"/>
      <c r="L198" s="7"/>
      <c r="M198" s="7"/>
      <c r="N198" s="7"/>
      <c r="O198" s="10"/>
      <c r="P198" s="7"/>
      <c r="Q198" s="7"/>
      <c r="R198" s="7"/>
      <c r="S198" s="7"/>
      <c r="T198" s="7"/>
      <c r="U198" s="7"/>
      <c r="V198" s="7"/>
      <c r="W198" s="7"/>
      <c r="X198" s="10"/>
      <c r="Y198" s="7"/>
      <c r="Z198" s="7"/>
      <c r="AA198" s="10"/>
      <c r="AB198" s="7"/>
      <c r="AC198" s="7"/>
      <c r="AD198" s="7"/>
      <c r="AE198" s="7"/>
      <c r="AF198" s="7"/>
      <c r="AG198" s="7"/>
      <c r="AH198" s="7"/>
      <c r="AI198" s="7"/>
      <c r="AJ198" s="7"/>
      <c r="AK198" s="7"/>
      <c r="AL198" s="7"/>
      <c r="AM198" s="7"/>
      <c r="AN198" s="7"/>
      <c r="AO198" s="7"/>
      <c r="AP198" s="10"/>
      <c r="AQ198" s="7"/>
      <c r="AR198" s="7"/>
      <c r="AS198" s="7"/>
      <c r="AT198" s="7"/>
      <c r="AU198" s="7"/>
      <c r="AV198" s="7"/>
      <c r="AW198" s="7"/>
      <c r="AX198" s="7"/>
      <c r="AY198" s="7"/>
      <c r="AZ198" s="7"/>
      <c r="BA198" s="7"/>
      <c r="BB198" s="7"/>
      <c r="BC198" s="7"/>
      <c r="BD198" s="10"/>
      <c r="BE198" s="10"/>
      <c r="BF198" s="266"/>
      <c r="BG198" s="266"/>
    </row>
    <row r="199" spans="1:59" s="268" customFormat="1" x14ac:dyDescent="0.25">
      <c r="A199" s="107"/>
      <c r="B199" s="107"/>
      <c r="C199" s="9"/>
      <c r="D199" s="9"/>
      <c r="E199" s="9"/>
      <c r="F199" s="107"/>
      <c r="G199" s="107"/>
      <c r="H199" s="107"/>
      <c r="I199" s="107"/>
      <c r="J199" s="107"/>
      <c r="K199" s="7"/>
      <c r="L199" s="7"/>
      <c r="M199" s="7"/>
      <c r="N199" s="7"/>
      <c r="O199" s="10"/>
      <c r="P199" s="7"/>
      <c r="Q199" s="7"/>
      <c r="R199" s="7"/>
      <c r="S199" s="7"/>
      <c r="T199" s="7"/>
      <c r="U199" s="7"/>
      <c r="V199" s="7"/>
      <c r="W199" s="7"/>
      <c r="X199" s="10"/>
      <c r="Y199" s="7"/>
      <c r="Z199" s="7"/>
      <c r="AA199" s="10"/>
      <c r="AB199" s="7"/>
      <c r="AC199" s="7"/>
      <c r="AD199" s="7"/>
      <c r="AE199" s="7"/>
      <c r="AF199" s="7"/>
      <c r="AG199" s="7"/>
      <c r="AH199" s="7"/>
      <c r="AI199" s="7"/>
      <c r="AJ199" s="7"/>
      <c r="AK199" s="7"/>
      <c r="AL199" s="7"/>
      <c r="AM199" s="7"/>
      <c r="AN199" s="7"/>
      <c r="AO199" s="7"/>
      <c r="AP199" s="10"/>
      <c r="AQ199" s="7"/>
      <c r="AR199" s="7"/>
      <c r="AS199" s="7"/>
      <c r="AT199" s="7"/>
      <c r="AU199" s="7"/>
      <c r="AV199" s="7"/>
      <c r="AW199" s="7"/>
      <c r="AX199" s="7"/>
      <c r="AY199" s="7"/>
      <c r="AZ199" s="7"/>
      <c r="BA199" s="7"/>
      <c r="BB199" s="7"/>
      <c r="BC199" s="7"/>
      <c r="BD199" s="10"/>
      <c r="BE199" s="10"/>
      <c r="BF199" s="266"/>
      <c r="BG199" s="266"/>
    </row>
    <row r="200" spans="1:59" s="268" customFormat="1" x14ac:dyDescent="0.25">
      <c r="A200" s="107"/>
      <c r="B200" s="107"/>
      <c r="C200" s="9"/>
      <c r="D200" s="9"/>
      <c r="E200" s="9"/>
      <c r="F200" s="107"/>
      <c r="G200" s="107"/>
      <c r="H200" s="107"/>
      <c r="I200" s="107"/>
      <c r="J200" s="107"/>
      <c r="K200" s="7"/>
      <c r="L200" s="7"/>
      <c r="M200" s="7"/>
      <c r="N200" s="7"/>
      <c r="O200" s="10"/>
      <c r="P200" s="7"/>
      <c r="Q200" s="7"/>
      <c r="R200" s="7"/>
      <c r="S200" s="7"/>
      <c r="T200" s="7"/>
      <c r="U200" s="7"/>
      <c r="V200" s="7"/>
      <c r="W200" s="7"/>
      <c r="X200" s="10"/>
      <c r="Y200" s="7"/>
      <c r="Z200" s="7"/>
      <c r="AA200" s="10"/>
      <c r="AB200" s="7"/>
      <c r="AC200" s="7"/>
      <c r="AD200" s="7"/>
      <c r="AE200" s="7"/>
      <c r="AF200" s="7"/>
      <c r="AG200" s="7"/>
      <c r="AH200" s="7"/>
      <c r="AI200" s="7"/>
      <c r="AJ200" s="7"/>
      <c r="AK200" s="7"/>
      <c r="AL200" s="7"/>
      <c r="AM200" s="7"/>
      <c r="AN200" s="7"/>
      <c r="AO200" s="7"/>
      <c r="AP200" s="10"/>
      <c r="AQ200" s="7"/>
      <c r="AR200" s="7"/>
      <c r="AS200" s="7"/>
      <c r="AT200" s="7"/>
      <c r="AU200" s="7"/>
      <c r="AV200" s="7"/>
      <c r="AW200" s="7"/>
      <c r="AX200" s="7"/>
      <c r="AY200" s="7"/>
      <c r="AZ200" s="7"/>
      <c r="BA200" s="7"/>
      <c r="BB200" s="7"/>
      <c r="BC200" s="7"/>
      <c r="BD200" s="10"/>
      <c r="BE200" s="10"/>
      <c r="BF200" s="266"/>
      <c r="BG200" s="266"/>
    </row>
    <row r="201" spans="1:59" s="268" customFormat="1" x14ac:dyDescent="0.25">
      <c r="A201" s="107"/>
      <c r="B201" s="107"/>
      <c r="C201" s="9"/>
      <c r="D201" s="9"/>
      <c r="E201" s="9"/>
      <c r="F201" s="107"/>
      <c r="G201" s="107"/>
      <c r="H201" s="107"/>
      <c r="I201" s="107"/>
      <c r="J201" s="107"/>
      <c r="K201" s="7"/>
      <c r="L201" s="7"/>
      <c r="M201" s="7"/>
      <c r="N201" s="7"/>
      <c r="O201" s="10"/>
      <c r="P201" s="7"/>
      <c r="Q201" s="7"/>
      <c r="R201" s="7"/>
      <c r="S201" s="7"/>
      <c r="T201" s="7"/>
      <c r="U201" s="7"/>
      <c r="V201" s="7"/>
      <c r="W201" s="7"/>
      <c r="X201" s="10"/>
      <c r="Y201" s="7"/>
      <c r="Z201" s="7"/>
      <c r="AA201" s="10"/>
      <c r="AB201" s="7"/>
      <c r="AC201" s="7"/>
      <c r="AD201" s="7"/>
      <c r="AE201" s="7"/>
      <c r="AF201" s="7"/>
      <c r="AG201" s="7"/>
      <c r="AH201" s="7"/>
      <c r="AI201" s="7"/>
      <c r="AJ201" s="7"/>
      <c r="AK201" s="7"/>
      <c r="AL201" s="7"/>
      <c r="AM201" s="7"/>
      <c r="AN201" s="7"/>
      <c r="AO201" s="7"/>
      <c r="AP201" s="10"/>
      <c r="AQ201" s="7"/>
      <c r="AR201" s="7"/>
      <c r="AS201" s="7"/>
      <c r="AT201" s="7"/>
      <c r="AU201" s="7"/>
      <c r="AV201" s="7"/>
      <c r="AW201" s="7"/>
      <c r="AX201" s="7"/>
      <c r="AY201" s="7"/>
      <c r="AZ201" s="7"/>
      <c r="BA201" s="7"/>
      <c r="BB201" s="7"/>
      <c r="BC201" s="7"/>
      <c r="BD201" s="10"/>
      <c r="BE201" s="10"/>
      <c r="BF201" s="266"/>
      <c r="BG201" s="266"/>
    </row>
    <row r="202" spans="1:59" s="268" customFormat="1" x14ac:dyDescent="0.25">
      <c r="A202" s="107"/>
      <c r="B202" s="107"/>
      <c r="C202" s="9"/>
      <c r="D202" s="9"/>
      <c r="E202" s="9"/>
      <c r="F202" s="107"/>
      <c r="G202" s="107"/>
      <c r="H202" s="107"/>
      <c r="I202" s="107"/>
      <c r="J202" s="107"/>
      <c r="K202" s="7"/>
      <c r="L202" s="7"/>
      <c r="M202" s="7"/>
      <c r="N202" s="7"/>
      <c r="O202" s="10"/>
      <c r="P202" s="7"/>
      <c r="Q202" s="7"/>
      <c r="R202" s="7"/>
      <c r="S202" s="7"/>
      <c r="T202" s="7"/>
      <c r="U202" s="7"/>
      <c r="V202" s="7"/>
      <c r="W202" s="7"/>
      <c r="X202" s="10"/>
      <c r="Y202" s="7"/>
      <c r="Z202" s="7"/>
      <c r="AA202" s="10"/>
      <c r="AB202" s="7"/>
      <c r="AC202" s="7"/>
      <c r="AD202" s="7"/>
      <c r="AE202" s="7"/>
      <c r="AF202" s="7"/>
      <c r="AG202" s="7"/>
      <c r="AH202" s="7"/>
      <c r="AI202" s="7"/>
      <c r="AJ202" s="7"/>
      <c r="AK202" s="7"/>
      <c r="AL202" s="7"/>
      <c r="AM202" s="7"/>
      <c r="AN202" s="7"/>
      <c r="AO202" s="7"/>
      <c r="AP202" s="10"/>
      <c r="AQ202" s="7"/>
      <c r="AR202" s="7"/>
      <c r="AS202" s="7"/>
      <c r="AT202" s="7"/>
      <c r="AU202" s="7"/>
      <c r="AV202" s="7"/>
      <c r="AW202" s="7"/>
      <c r="AX202" s="7"/>
      <c r="AY202" s="7"/>
      <c r="AZ202" s="7"/>
      <c r="BA202" s="7"/>
      <c r="BB202" s="7"/>
      <c r="BC202" s="7"/>
      <c r="BD202" s="10"/>
      <c r="BE202" s="10"/>
      <c r="BF202" s="266"/>
      <c r="BG202" s="266"/>
    </row>
    <row r="203" spans="1:59" s="268" customFormat="1" x14ac:dyDescent="0.25">
      <c r="A203" s="107"/>
      <c r="B203" s="107"/>
      <c r="C203" s="9"/>
      <c r="D203" s="9"/>
      <c r="E203" s="9"/>
      <c r="F203" s="107"/>
      <c r="G203" s="107"/>
      <c r="H203" s="107"/>
      <c r="I203" s="107"/>
      <c r="J203" s="107"/>
      <c r="K203" s="7"/>
      <c r="L203" s="7"/>
      <c r="M203" s="7"/>
      <c r="N203" s="7"/>
      <c r="O203" s="10"/>
      <c r="P203" s="7"/>
      <c r="Q203" s="7"/>
      <c r="R203" s="7"/>
      <c r="S203" s="7"/>
      <c r="T203" s="7"/>
      <c r="U203" s="7"/>
      <c r="V203" s="7"/>
      <c r="W203" s="7"/>
      <c r="X203" s="10"/>
      <c r="Y203" s="7"/>
      <c r="Z203" s="7"/>
      <c r="AA203" s="10"/>
      <c r="AB203" s="7"/>
      <c r="AC203" s="7"/>
      <c r="AD203" s="7"/>
      <c r="AE203" s="7"/>
      <c r="AF203" s="7"/>
      <c r="AG203" s="7"/>
      <c r="AH203" s="7"/>
      <c r="AI203" s="7"/>
      <c r="AJ203" s="7"/>
      <c r="AK203" s="7"/>
      <c r="AL203" s="7"/>
      <c r="AM203" s="7"/>
      <c r="AN203" s="7"/>
      <c r="AO203" s="7"/>
      <c r="AP203" s="10"/>
      <c r="AQ203" s="7"/>
      <c r="AR203" s="7"/>
      <c r="AS203" s="7"/>
      <c r="AT203" s="7"/>
      <c r="AU203" s="7"/>
      <c r="AV203" s="7"/>
      <c r="AW203" s="7"/>
      <c r="AX203" s="7"/>
      <c r="AY203" s="7"/>
      <c r="AZ203" s="7"/>
      <c r="BA203" s="7"/>
      <c r="BB203" s="7"/>
      <c r="BC203" s="7"/>
      <c r="BD203" s="10"/>
      <c r="BE203" s="10"/>
      <c r="BF203" s="266"/>
      <c r="BG203" s="266"/>
    </row>
    <row r="204" spans="1:59" s="268" customFormat="1" x14ac:dyDescent="0.25">
      <c r="A204" s="107"/>
      <c r="B204" s="107"/>
      <c r="C204" s="9"/>
      <c r="D204" s="9"/>
      <c r="E204" s="9"/>
      <c r="F204" s="107"/>
      <c r="G204" s="107"/>
      <c r="H204" s="107"/>
      <c r="I204" s="107"/>
      <c r="J204" s="107"/>
      <c r="K204" s="7"/>
      <c r="L204" s="7"/>
      <c r="M204" s="7"/>
      <c r="N204" s="7"/>
      <c r="O204" s="10"/>
      <c r="P204" s="7"/>
      <c r="Q204" s="7"/>
      <c r="R204" s="7"/>
      <c r="S204" s="7"/>
      <c r="T204" s="7"/>
      <c r="U204" s="7"/>
      <c r="V204" s="7"/>
      <c r="W204" s="7"/>
      <c r="X204" s="10"/>
      <c r="Y204" s="7"/>
      <c r="Z204" s="7"/>
      <c r="AA204" s="10"/>
      <c r="AB204" s="7"/>
      <c r="AC204" s="7"/>
      <c r="AD204" s="7"/>
      <c r="AE204" s="7"/>
      <c r="AF204" s="7"/>
      <c r="AG204" s="7"/>
      <c r="AH204" s="7"/>
      <c r="AI204" s="7"/>
      <c r="AJ204" s="7"/>
      <c r="AK204" s="7"/>
      <c r="AL204" s="7"/>
      <c r="AM204" s="7"/>
      <c r="AN204" s="7"/>
      <c r="AO204" s="7"/>
      <c r="AP204" s="10"/>
      <c r="AQ204" s="7"/>
      <c r="AR204" s="7"/>
      <c r="AS204" s="7"/>
      <c r="AT204" s="7"/>
      <c r="AU204" s="7"/>
      <c r="AV204" s="7"/>
      <c r="AW204" s="7"/>
      <c r="AX204" s="7"/>
      <c r="AY204" s="7"/>
      <c r="AZ204" s="7"/>
      <c r="BA204" s="7"/>
      <c r="BB204" s="7"/>
      <c r="BC204" s="7"/>
      <c r="BD204" s="10"/>
      <c r="BE204" s="10"/>
      <c r="BF204" s="266"/>
      <c r="BG204" s="266"/>
    </row>
    <row r="205" spans="1:59" s="268" customFormat="1" x14ac:dyDescent="0.25">
      <c r="A205" s="107"/>
      <c r="B205" s="107"/>
      <c r="C205" s="9"/>
      <c r="D205" s="9"/>
      <c r="E205" s="9"/>
      <c r="F205" s="107"/>
      <c r="G205" s="107"/>
      <c r="H205" s="107"/>
      <c r="I205" s="107"/>
      <c r="J205" s="107"/>
      <c r="K205" s="7"/>
      <c r="L205" s="7"/>
      <c r="M205" s="7"/>
      <c r="N205" s="7"/>
      <c r="O205" s="10"/>
      <c r="P205" s="7"/>
      <c r="Q205" s="7"/>
      <c r="R205" s="7"/>
      <c r="S205" s="7"/>
      <c r="T205" s="7"/>
      <c r="U205" s="7"/>
      <c r="V205" s="7"/>
      <c r="W205" s="7"/>
      <c r="X205" s="10"/>
      <c r="Y205" s="7"/>
      <c r="Z205" s="7"/>
      <c r="AA205" s="10"/>
      <c r="AB205" s="7"/>
      <c r="AC205" s="7"/>
      <c r="AD205" s="7"/>
      <c r="AE205" s="7"/>
      <c r="AF205" s="7"/>
      <c r="AG205" s="7"/>
      <c r="AH205" s="7"/>
      <c r="AI205" s="7"/>
      <c r="AJ205" s="7"/>
      <c r="AK205" s="7"/>
      <c r="AL205" s="7"/>
      <c r="AM205" s="7"/>
      <c r="AN205" s="7"/>
      <c r="AO205" s="7"/>
      <c r="AP205" s="10"/>
      <c r="AQ205" s="7"/>
      <c r="AR205" s="7"/>
      <c r="AS205" s="7"/>
      <c r="AT205" s="7"/>
      <c r="AU205" s="7"/>
      <c r="AV205" s="7"/>
      <c r="AW205" s="7"/>
      <c r="AX205" s="7"/>
      <c r="AY205" s="7"/>
      <c r="AZ205" s="7"/>
      <c r="BA205" s="7"/>
      <c r="BB205" s="7"/>
      <c r="BC205" s="7"/>
      <c r="BD205" s="10"/>
      <c r="BE205" s="10"/>
      <c r="BF205" s="266"/>
      <c r="BG205" s="266"/>
    </row>
    <row r="206" spans="1:59" s="268" customFormat="1" x14ac:dyDescent="0.25">
      <c r="A206" s="107"/>
      <c r="B206" s="107"/>
      <c r="C206" s="9"/>
      <c r="D206" s="9"/>
      <c r="E206" s="9"/>
      <c r="F206" s="107"/>
      <c r="G206" s="107"/>
      <c r="H206" s="107"/>
      <c r="I206" s="107"/>
      <c r="J206" s="107"/>
      <c r="K206" s="7"/>
      <c r="L206" s="7"/>
      <c r="M206" s="7"/>
      <c r="N206" s="7"/>
      <c r="O206" s="10"/>
      <c r="P206" s="7"/>
      <c r="Q206" s="7"/>
      <c r="R206" s="7"/>
      <c r="S206" s="7"/>
      <c r="T206" s="7"/>
      <c r="U206" s="7"/>
      <c r="V206" s="7"/>
      <c r="W206" s="7"/>
      <c r="X206" s="10"/>
      <c r="Y206" s="7"/>
      <c r="Z206" s="7"/>
      <c r="AA206" s="10"/>
      <c r="AB206" s="7"/>
      <c r="AC206" s="7"/>
      <c r="AD206" s="7"/>
      <c r="AE206" s="7"/>
      <c r="AF206" s="7"/>
      <c r="AG206" s="7"/>
      <c r="AH206" s="7"/>
      <c r="AI206" s="7"/>
      <c r="AJ206" s="7"/>
      <c r="AK206" s="7"/>
      <c r="AL206" s="7"/>
      <c r="AM206" s="7"/>
      <c r="AN206" s="7"/>
      <c r="AO206" s="7"/>
      <c r="AP206" s="10"/>
      <c r="AQ206" s="7"/>
      <c r="AR206" s="7"/>
      <c r="AS206" s="7"/>
      <c r="AT206" s="7"/>
      <c r="AU206" s="7"/>
      <c r="AV206" s="7"/>
      <c r="AW206" s="7"/>
      <c r="AX206" s="7"/>
      <c r="AY206" s="7"/>
      <c r="AZ206" s="7"/>
      <c r="BA206" s="7"/>
      <c r="BB206" s="7"/>
      <c r="BC206" s="7"/>
      <c r="BD206" s="10"/>
      <c r="BE206" s="10"/>
      <c r="BF206" s="266"/>
      <c r="BG206" s="266"/>
    </row>
    <row r="207" spans="1:59" s="268" customFormat="1" x14ac:dyDescent="0.25">
      <c r="A207" s="107"/>
      <c r="B207" s="107"/>
      <c r="C207" s="9"/>
      <c r="D207" s="9"/>
      <c r="E207" s="9"/>
      <c r="F207" s="107"/>
      <c r="G207" s="107"/>
      <c r="H207" s="107"/>
      <c r="I207" s="107"/>
      <c r="J207" s="107"/>
      <c r="K207" s="7"/>
      <c r="L207" s="7"/>
      <c r="M207" s="7"/>
      <c r="N207" s="7"/>
      <c r="O207" s="10"/>
      <c r="P207" s="7"/>
      <c r="Q207" s="7"/>
      <c r="R207" s="7"/>
      <c r="S207" s="7"/>
      <c r="T207" s="7"/>
      <c r="U207" s="7"/>
      <c r="V207" s="7"/>
      <c r="W207" s="7"/>
      <c r="X207" s="10"/>
      <c r="Y207" s="7"/>
      <c r="Z207" s="7"/>
      <c r="AA207" s="10"/>
      <c r="AB207" s="7"/>
      <c r="AC207" s="7"/>
      <c r="AD207" s="7"/>
      <c r="AE207" s="7"/>
      <c r="AF207" s="7"/>
      <c r="AG207" s="7"/>
      <c r="AH207" s="7"/>
      <c r="AI207" s="7"/>
      <c r="AJ207" s="7"/>
      <c r="AK207" s="7"/>
      <c r="AL207" s="7"/>
      <c r="AM207" s="7"/>
      <c r="AN207" s="7"/>
      <c r="AO207" s="7"/>
      <c r="AP207" s="10"/>
      <c r="AQ207" s="7"/>
      <c r="AR207" s="7"/>
      <c r="AS207" s="7"/>
      <c r="AT207" s="7"/>
      <c r="AU207" s="7"/>
      <c r="AV207" s="7"/>
      <c r="AW207" s="7"/>
      <c r="AX207" s="7"/>
      <c r="AY207" s="7"/>
      <c r="AZ207" s="7"/>
      <c r="BA207" s="7"/>
      <c r="BB207" s="7"/>
      <c r="BC207" s="7"/>
      <c r="BD207" s="10"/>
      <c r="BE207" s="10"/>
      <c r="BF207" s="266"/>
      <c r="BG207" s="266"/>
    </row>
    <row r="208" spans="1:59" s="268" customFormat="1" x14ac:dyDescent="0.25">
      <c r="A208" s="107"/>
      <c r="B208" s="107"/>
      <c r="C208" s="7"/>
      <c r="D208" s="7"/>
      <c r="E208" s="7"/>
      <c r="F208" s="10"/>
      <c r="G208" s="107"/>
      <c r="H208" s="107"/>
      <c r="I208" s="107"/>
      <c r="J208" s="107"/>
      <c r="K208" s="7"/>
      <c r="L208" s="7"/>
      <c r="M208" s="7"/>
      <c r="N208" s="7"/>
      <c r="O208" s="10"/>
      <c r="P208" s="7"/>
      <c r="Q208" s="7"/>
      <c r="R208" s="7"/>
      <c r="S208" s="7"/>
      <c r="T208" s="7"/>
      <c r="U208" s="7"/>
      <c r="V208" s="7"/>
      <c r="W208" s="7"/>
      <c r="X208" s="10"/>
      <c r="Y208" s="7"/>
      <c r="Z208" s="7"/>
      <c r="AA208" s="10"/>
      <c r="AB208" s="7"/>
      <c r="AC208" s="7"/>
      <c r="AD208" s="7"/>
      <c r="AE208" s="7"/>
      <c r="AF208" s="7"/>
      <c r="AG208" s="7"/>
      <c r="AH208" s="7"/>
      <c r="AI208" s="7"/>
      <c r="AJ208" s="7"/>
      <c r="AK208" s="7"/>
      <c r="AL208" s="7"/>
      <c r="AM208" s="7"/>
      <c r="AN208" s="7"/>
      <c r="AO208" s="7"/>
      <c r="AP208" s="10"/>
      <c r="AQ208" s="7"/>
      <c r="AR208" s="7"/>
      <c r="AS208" s="7"/>
      <c r="AT208" s="7"/>
      <c r="AU208" s="7"/>
      <c r="AV208" s="7"/>
      <c r="AW208" s="7"/>
      <c r="AX208" s="7"/>
      <c r="AY208" s="7"/>
      <c r="AZ208" s="7"/>
      <c r="BA208" s="7"/>
      <c r="BB208" s="7"/>
      <c r="BC208" s="7"/>
      <c r="BD208" s="10"/>
      <c r="BE208" s="10"/>
      <c r="BF208" s="266"/>
      <c r="BG208" s="266"/>
    </row>
    <row r="209" spans="1:59" s="268" customFormat="1" x14ac:dyDescent="0.25">
      <c r="A209" s="107"/>
      <c r="B209" s="107"/>
      <c r="C209" s="7"/>
      <c r="D209" s="7"/>
      <c r="E209" s="7"/>
      <c r="F209" s="10"/>
      <c r="G209" s="10"/>
      <c r="H209" s="8"/>
      <c r="I209" s="107"/>
      <c r="J209" s="107"/>
      <c r="K209" s="7"/>
      <c r="L209" s="7"/>
      <c r="M209" s="7"/>
      <c r="N209" s="7"/>
      <c r="O209" s="10"/>
      <c r="P209" s="7"/>
      <c r="Q209" s="7"/>
      <c r="R209" s="7"/>
      <c r="S209" s="7"/>
      <c r="T209" s="7"/>
      <c r="U209" s="7"/>
      <c r="V209" s="7"/>
      <c r="W209" s="7"/>
      <c r="X209" s="10"/>
      <c r="Y209" s="7"/>
      <c r="Z209" s="7"/>
      <c r="AA209" s="10"/>
      <c r="AB209" s="7"/>
      <c r="AC209" s="7"/>
      <c r="AD209" s="7"/>
      <c r="AE209" s="7"/>
      <c r="AF209" s="7"/>
      <c r="AG209" s="7"/>
      <c r="AH209" s="7"/>
      <c r="AI209" s="7"/>
      <c r="AJ209" s="7"/>
      <c r="AK209" s="7"/>
      <c r="AL209" s="7"/>
      <c r="AM209" s="7"/>
      <c r="AN209" s="7"/>
      <c r="AO209" s="7"/>
      <c r="AP209" s="10"/>
      <c r="AQ209" s="7"/>
      <c r="AR209" s="7"/>
      <c r="AS209" s="7"/>
      <c r="AT209" s="7"/>
      <c r="AU209" s="7"/>
      <c r="AV209" s="7"/>
      <c r="AW209" s="7"/>
      <c r="AX209" s="7"/>
      <c r="AY209" s="7"/>
      <c r="AZ209" s="7"/>
      <c r="BA209" s="7"/>
      <c r="BB209" s="7"/>
      <c r="BC209" s="7"/>
      <c r="BD209" s="10"/>
      <c r="BE209" s="10"/>
      <c r="BF209" s="266"/>
      <c r="BG209" s="266"/>
    </row>
    <row r="210" spans="1:59" s="268" customFormat="1" x14ac:dyDescent="0.25">
      <c r="A210" s="107"/>
      <c r="B210" s="107"/>
      <c r="C210" s="7"/>
      <c r="D210" s="7"/>
      <c r="E210" s="7"/>
      <c r="F210" s="10"/>
      <c r="G210" s="10"/>
      <c r="H210" s="8"/>
      <c r="I210" s="107"/>
      <c r="J210" s="107"/>
      <c r="K210" s="7"/>
      <c r="L210" s="7"/>
      <c r="M210" s="7"/>
      <c r="N210" s="7"/>
      <c r="O210" s="10"/>
      <c r="P210" s="7"/>
      <c r="Q210" s="7"/>
      <c r="R210" s="7"/>
      <c r="S210" s="7"/>
      <c r="T210" s="7"/>
      <c r="U210" s="7"/>
      <c r="V210" s="7"/>
      <c r="W210" s="7"/>
      <c r="X210" s="10"/>
      <c r="Y210" s="7"/>
      <c r="Z210" s="7"/>
      <c r="AA210" s="10"/>
      <c r="AB210" s="7"/>
      <c r="AC210" s="7"/>
      <c r="AD210" s="7"/>
      <c r="AE210" s="7"/>
      <c r="AF210" s="7"/>
      <c r="AG210" s="7"/>
      <c r="AH210" s="7"/>
      <c r="AI210" s="7"/>
      <c r="AJ210" s="7"/>
      <c r="AK210" s="7"/>
      <c r="AL210" s="7"/>
      <c r="AM210" s="7"/>
      <c r="AN210" s="7"/>
      <c r="AO210" s="7"/>
      <c r="AP210" s="10"/>
      <c r="AQ210" s="7"/>
      <c r="AR210" s="7"/>
      <c r="AS210" s="7"/>
      <c r="AT210" s="7"/>
      <c r="AU210" s="7"/>
      <c r="AV210" s="7"/>
      <c r="AW210" s="7"/>
      <c r="AX210" s="7"/>
      <c r="AY210" s="7"/>
      <c r="AZ210" s="7"/>
      <c r="BA210" s="7"/>
      <c r="BB210" s="7"/>
      <c r="BC210" s="7"/>
      <c r="BD210" s="10"/>
      <c r="BE210" s="10"/>
      <c r="BF210" s="266"/>
      <c r="BG210" s="266"/>
    </row>
    <row r="211" spans="1:59" s="268" customFormat="1" x14ac:dyDescent="0.25">
      <c r="A211" s="107"/>
      <c r="B211" s="107"/>
      <c r="C211" s="7"/>
      <c r="D211" s="7"/>
      <c r="E211" s="7"/>
      <c r="F211" s="10"/>
      <c r="G211" s="10"/>
      <c r="H211" s="8"/>
      <c r="I211" s="107"/>
      <c r="J211" s="107"/>
      <c r="K211" s="7"/>
      <c r="L211" s="7"/>
      <c r="M211" s="7"/>
      <c r="N211" s="7"/>
      <c r="O211" s="10"/>
      <c r="P211" s="7"/>
      <c r="Q211" s="7"/>
      <c r="R211" s="7"/>
      <c r="S211" s="7"/>
      <c r="T211" s="7"/>
      <c r="U211" s="7"/>
      <c r="V211" s="7"/>
      <c r="W211" s="7"/>
      <c r="X211" s="10"/>
      <c r="Y211" s="7"/>
      <c r="Z211" s="7"/>
      <c r="AA211" s="10"/>
      <c r="AB211" s="7"/>
      <c r="AC211" s="7"/>
      <c r="AD211" s="7"/>
      <c r="AE211" s="7"/>
      <c r="AF211" s="7"/>
      <c r="AG211" s="7"/>
      <c r="AH211" s="7"/>
      <c r="AI211" s="7"/>
      <c r="AJ211" s="7"/>
      <c r="AK211" s="7"/>
      <c r="AL211" s="7"/>
      <c r="AM211" s="7"/>
      <c r="AN211" s="7"/>
      <c r="AO211" s="7"/>
      <c r="AP211" s="10"/>
      <c r="AQ211" s="7"/>
      <c r="AR211" s="7"/>
      <c r="AS211" s="7"/>
      <c r="AT211" s="7"/>
      <c r="AU211" s="7"/>
      <c r="AV211" s="7"/>
      <c r="AW211" s="7"/>
      <c r="AX211" s="7"/>
      <c r="AY211" s="7"/>
      <c r="AZ211" s="7"/>
      <c r="BA211" s="7"/>
      <c r="BB211" s="7"/>
      <c r="BC211" s="7"/>
      <c r="BD211" s="10"/>
      <c r="BE211" s="10"/>
      <c r="BF211" s="266"/>
      <c r="BG211" s="266"/>
    </row>
    <row r="212" spans="1:59" s="268" customFormat="1" x14ac:dyDescent="0.25">
      <c r="A212" s="107"/>
      <c r="B212" s="107"/>
      <c r="C212" s="7"/>
      <c r="D212" s="7"/>
      <c r="E212" s="7"/>
      <c r="F212" s="10"/>
      <c r="G212" s="10"/>
      <c r="H212" s="8"/>
      <c r="I212" s="107"/>
      <c r="J212" s="107"/>
      <c r="K212" s="7"/>
      <c r="L212" s="7"/>
      <c r="M212" s="7"/>
      <c r="N212" s="7"/>
      <c r="O212" s="10"/>
      <c r="P212" s="7"/>
      <c r="Q212" s="7"/>
      <c r="R212" s="7"/>
      <c r="S212" s="7"/>
      <c r="T212" s="7"/>
      <c r="U212" s="7"/>
      <c r="V212" s="7"/>
      <c r="W212" s="7"/>
      <c r="X212" s="10"/>
      <c r="Y212" s="7"/>
      <c r="Z212" s="7"/>
      <c r="AA212" s="10"/>
      <c r="AB212" s="7"/>
      <c r="AC212" s="7"/>
      <c r="AD212" s="7"/>
      <c r="AE212" s="7"/>
      <c r="AF212" s="7"/>
      <c r="AG212" s="7"/>
      <c r="AH212" s="7"/>
      <c r="AI212" s="7"/>
      <c r="AJ212" s="7"/>
      <c r="AK212" s="7"/>
      <c r="AL212" s="7"/>
      <c r="AM212" s="7"/>
      <c r="AN212" s="7"/>
      <c r="AO212" s="7"/>
      <c r="AP212" s="10"/>
      <c r="AQ212" s="7"/>
      <c r="AR212" s="7"/>
      <c r="AS212" s="7"/>
      <c r="AT212" s="7"/>
      <c r="AU212" s="7"/>
      <c r="AV212" s="7"/>
      <c r="AW212" s="7"/>
      <c r="AX212" s="7"/>
      <c r="AY212" s="7"/>
      <c r="AZ212" s="7"/>
      <c r="BA212" s="7"/>
      <c r="BB212" s="7"/>
      <c r="BC212" s="7"/>
      <c r="BD212" s="10"/>
      <c r="BE212" s="10"/>
      <c r="BF212" s="266"/>
      <c r="BG212" s="266"/>
    </row>
    <row r="213" spans="1:59" s="268" customFormat="1" x14ac:dyDescent="0.25">
      <c r="A213" s="107"/>
      <c r="B213" s="107"/>
      <c r="C213" s="7"/>
      <c r="D213" s="7"/>
      <c r="E213" s="7"/>
      <c r="F213" s="10"/>
      <c r="G213" s="10"/>
      <c r="H213" s="8"/>
      <c r="I213" s="107"/>
      <c r="J213" s="107"/>
      <c r="K213" s="7"/>
      <c r="L213" s="7"/>
      <c r="M213" s="7"/>
      <c r="N213" s="7"/>
      <c r="O213" s="10"/>
      <c r="P213" s="7"/>
      <c r="Q213" s="7"/>
      <c r="R213" s="7"/>
      <c r="S213" s="7"/>
      <c r="T213" s="7"/>
      <c r="U213" s="7"/>
      <c r="V213" s="7"/>
      <c r="W213" s="7"/>
      <c r="X213" s="10"/>
      <c r="Y213" s="7"/>
      <c r="Z213" s="7"/>
      <c r="AA213" s="10"/>
      <c r="AB213" s="7"/>
      <c r="AC213" s="7"/>
      <c r="AD213" s="7"/>
      <c r="AE213" s="7"/>
      <c r="AF213" s="7"/>
      <c r="AG213" s="7"/>
      <c r="AH213" s="7"/>
      <c r="AI213" s="7"/>
      <c r="AJ213" s="7"/>
      <c r="AK213" s="7"/>
      <c r="AL213" s="7"/>
      <c r="AM213" s="7"/>
      <c r="AN213" s="7"/>
      <c r="AO213" s="7"/>
      <c r="AP213" s="10"/>
      <c r="AQ213" s="7"/>
      <c r="AR213" s="7"/>
      <c r="AS213" s="7"/>
      <c r="AT213" s="7"/>
      <c r="AU213" s="7"/>
      <c r="AV213" s="7"/>
      <c r="AW213" s="7"/>
      <c r="AX213" s="7"/>
      <c r="AY213" s="7"/>
      <c r="AZ213" s="7"/>
      <c r="BA213" s="7"/>
      <c r="BB213" s="7"/>
      <c r="BC213" s="7"/>
      <c r="BD213" s="10"/>
      <c r="BE213" s="10"/>
      <c r="BF213" s="266"/>
      <c r="BG213" s="266"/>
    </row>
    <row r="214" spans="1:59" s="268" customFormat="1" x14ac:dyDescent="0.25">
      <c r="A214" s="107"/>
      <c r="B214" s="107"/>
      <c r="C214" s="7"/>
      <c r="D214" s="7"/>
      <c r="E214" s="7"/>
      <c r="F214" s="10"/>
      <c r="G214" s="10"/>
      <c r="H214" s="8"/>
      <c r="I214" s="107"/>
      <c r="J214" s="107"/>
      <c r="K214" s="7"/>
      <c r="L214" s="7"/>
      <c r="M214" s="7"/>
      <c r="N214" s="7"/>
      <c r="O214" s="10"/>
      <c r="P214" s="7"/>
      <c r="Q214" s="7"/>
      <c r="R214" s="7"/>
      <c r="S214" s="7"/>
      <c r="T214" s="7"/>
      <c r="U214" s="7"/>
      <c r="V214" s="7"/>
      <c r="W214" s="7"/>
      <c r="X214" s="10"/>
      <c r="Y214" s="7"/>
      <c r="Z214" s="7"/>
      <c r="AA214" s="10"/>
      <c r="AB214" s="7"/>
      <c r="AC214" s="7"/>
      <c r="AD214" s="7"/>
      <c r="AE214" s="7"/>
      <c r="AF214" s="7"/>
      <c r="AG214" s="7"/>
      <c r="AH214" s="7"/>
      <c r="AI214" s="7"/>
      <c r="AJ214" s="7"/>
      <c r="AK214" s="7"/>
      <c r="AL214" s="7"/>
      <c r="AM214" s="7"/>
      <c r="AN214" s="7"/>
      <c r="AO214" s="7"/>
      <c r="AP214" s="10"/>
      <c r="AQ214" s="7"/>
      <c r="AR214" s="7"/>
      <c r="AS214" s="7"/>
      <c r="AT214" s="7"/>
      <c r="AU214" s="7"/>
      <c r="AV214" s="7"/>
      <c r="AW214" s="7"/>
      <c r="AX214" s="7"/>
      <c r="AY214" s="7"/>
      <c r="AZ214" s="7"/>
      <c r="BA214" s="7"/>
      <c r="BB214" s="7"/>
      <c r="BC214" s="7"/>
      <c r="BD214" s="10"/>
      <c r="BE214" s="10"/>
      <c r="BF214" s="266"/>
      <c r="BG214" s="266"/>
    </row>
    <row r="215" spans="1:59" s="268" customFormat="1" x14ac:dyDescent="0.25">
      <c r="A215" s="107"/>
      <c r="B215" s="107"/>
      <c r="C215" s="7"/>
      <c r="D215" s="7"/>
      <c r="E215" s="7"/>
      <c r="F215" s="10"/>
      <c r="G215" s="10"/>
      <c r="H215" s="8"/>
      <c r="I215" s="107"/>
      <c r="J215" s="107"/>
      <c r="K215" s="7"/>
      <c r="L215" s="7"/>
      <c r="M215" s="7"/>
      <c r="N215" s="7"/>
      <c r="O215" s="10"/>
      <c r="P215" s="7"/>
      <c r="Q215" s="7"/>
      <c r="R215" s="7"/>
      <c r="S215" s="7"/>
      <c r="T215" s="7"/>
      <c r="U215" s="7"/>
      <c r="V215" s="7"/>
      <c r="W215" s="7"/>
      <c r="X215" s="10"/>
      <c r="Y215" s="7"/>
      <c r="Z215" s="7"/>
      <c r="AA215" s="10"/>
      <c r="AB215" s="7"/>
      <c r="AC215" s="7"/>
      <c r="AD215" s="7"/>
      <c r="AE215" s="7"/>
      <c r="AF215" s="7"/>
      <c r="AG215" s="7"/>
      <c r="AH215" s="7"/>
      <c r="AI215" s="7"/>
      <c r="AJ215" s="7"/>
      <c r="AK215" s="7"/>
      <c r="AL215" s="7"/>
      <c r="AM215" s="7"/>
      <c r="AN215" s="7"/>
      <c r="AO215" s="7"/>
      <c r="AP215" s="10"/>
      <c r="AQ215" s="7"/>
      <c r="AR215" s="7"/>
      <c r="AS215" s="7"/>
      <c r="AT215" s="7"/>
      <c r="AU215" s="7"/>
      <c r="AV215" s="7"/>
      <c r="AW215" s="7"/>
      <c r="AX215" s="7"/>
      <c r="AY215" s="7"/>
      <c r="AZ215" s="7"/>
      <c r="BA215" s="7"/>
      <c r="BB215" s="7"/>
      <c r="BC215" s="7"/>
      <c r="BD215" s="10"/>
      <c r="BE215" s="10"/>
      <c r="BF215" s="266"/>
      <c r="BG215" s="266"/>
    </row>
    <row r="216" spans="1:59" s="268" customFormat="1" x14ac:dyDescent="0.25">
      <c r="A216" s="107"/>
      <c r="B216" s="107"/>
      <c r="C216" s="7"/>
      <c r="D216" s="7"/>
      <c r="E216" s="7"/>
      <c r="F216" s="10"/>
      <c r="G216" s="10"/>
      <c r="H216" s="8"/>
      <c r="I216" s="107"/>
      <c r="J216" s="107"/>
      <c r="K216" s="7"/>
      <c r="L216" s="7"/>
      <c r="M216" s="7"/>
      <c r="N216" s="7"/>
      <c r="O216" s="10"/>
      <c r="P216" s="7"/>
      <c r="Q216" s="7"/>
      <c r="R216" s="7"/>
      <c r="S216" s="7"/>
      <c r="T216" s="7"/>
      <c r="U216" s="7"/>
      <c r="V216" s="7"/>
      <c r="W216" s="7"/>
      <c r="X216" s="10"/>
      <c r="Y216" s="7"/>
      <c r="Z216" s="7"/>
      <c r="AA216" s="10"/>
      <c r="AB216" s="7"/>
      <c r="AC216" s="7"/>
      <c r="AD216" s="7"/>
      <c r="AE216" s="7"/>
      <c r="AF216" s="7"/>
      <c r="AG216" s="7"/>
      <c r="AH216" s="7"/>
      <c r="AI216" s="7"/>
      <c r="AJ216" s="7"/>
      <c r="AK216" s="7"/>
      <c r="AL216" s="7"/>
      <c r="AM216" s="7"/>
      <c r="AN216" s="7"/>
      <c r="AO216" s="7"/>
      <c r="AP216" s="10"/>
      <c r="AQ216" s="7"/>
      <c r="AR216" s="7"/>
      <c r="AS216" s="7"/>
      <c r="AT216" s="7"/>
      <c r="AU216" s="7"/>
      <c r="AV216" s="7"/>
      <c r="AW216" s="7"/>
      <c r="AX216" s="7"/>
      <c r="AY216" s="7"/>
      <c r="AZ216" s="7"/>
      <c r="BA216" s="7"/>
      <c r="BB216" s="7"/>
      <c r="BC216" s="7"/>
      <c r="BD216" s="10"/>
      <c r="BE216" s="10"/>
      <c r="BF216" s="266"/>
      <c r="BG216" s="266"/>
    </row>
    <row r="217" spans="1:59" s="268" customFormat="1" x14ac:dyDescent="0.25">
      <c r="A217" s="107"/>
      <c r="B217" s="107"/>
      <c r="C217" s="7"/>
      <c r="D217" s="7"/>
      <c r="E217" s="7"/>
      <c r="F217" s="10"/>
      <c r="G217" s="10"/>
      <c r="H217" s="8"/>
      <c r="I217" s="107"/>
      <c r="J217" s="107"/>
      <c r="K217" s="7"/>
      <c r="L217" s="7"/>
      <c r="M217" s="7"/>
      <c r="N217" s="7"/>
      <c r="O217" s="10"/>
      <c r="P217" s="7"/>
      <c r="Q217" s="7"/>
      <c r="R217" s="7"/>
      <c r="S217" s="7"/>
      <c r="T217" s="7"/>
      <c r="U217" s="7"/>
      <c r="V217" s="7"/>
      <c r="W217" s="7"/>
      <c r="X217" s="10"/>
      <c r="Y217" s="7"/>
      <c r="Z217" s="7"/>
      <c r="AA217" s="10"/>
      <c r="AB217" s="7"/>
      <c r="AC217" s="7"/>
      <c r="AD217" s="7"/>
      <c r="AE217" s="7"/>
      <c r="AF217" s="7"/>
      <c r="AG217" s="7"/>
      <c r="AH217" s="7"/>
      <c r="AI217" s="7"/>
      <c r="AJ217" s="7"/>
      <c r="AK217" s="7"/>
      <c r="AL217" s="7"/>
      <c r="AM217" s="7"/>
      <c r="AN217" s="7"/>
      <c r="AO217" s="7"/>
      <c r="AP217" s="10"/>
      <c r="AQ217" s="7"/>
      <c r="AR217" s="7"/>
      <c r="AS217" s="7"/>
      <c r="AT217" s="7"/>
      <c r="AU217" s="7"/>
      <c r="AV217" s="7"/>
      <c r="AW217" s="7"/>
      <c r="AX217" s="7"/>
      <c r="AY217" s="7"/>
      <c r="AZ217" s="7"/>
      <c r="BA217" s="7"/>
      <c r="BB217" s="7"/>
      <c r="BC217" s="7"/>
      <c r="BD217" s="10"/>
      <c r="BE217" s="10"/>
      <c r="BF217" s="266"/>
      <c r="BG217" s="266"/>
    </row>
    <row r="218" spans="1:59" s="268" customFormat="1" x14ac:dyDescent="0.25">
      <c r="A218" s="107"/>
      <c r="B218" s="107"/>
      <c r="C218" s="7"/>
      <c r="D218" s="7"/>
      <c r="E218" s="7"/>
      <c r="F218" s="10"/>
      <c r="G218" s="10"/>
      <c r="H218" s="8"/>
      <c r="I218" s="107"/>
      <c r="J218" s="107"/>
      <c r="K218" s="7"/>
      <c r="L218" s="7"/>
      <c r="M218" s="7"/>
      <c r="N218" s="7"/>
      <c r="O218" s="10"/>
      <c r="P218" s="7"/>
      <c r="Q218" s="7"/>
      <c r="R218" s="7"/>
      <c r="S218" s="7"/>
      <c r="T218" s="7"/>
      <c r="U218" s="7"/>
      <c r="V218" s="7"/>
      <c r="W218" s="7"/>
      <c r="X218" s="10"/>
      <c r="Y218" s="7"/>
      <c r="Z218" s="7"/>
      <c r="AA218" s="10"/>
      <c r="AB218" s="7"/>
      <c r="AC218" s="7"/>
      <c r="AD218" s="7"/>
      <c r="AE218" s="7"/>
      <c r="AF218" s="7"/>
      <c r="AG218" s="7"/>
      <c r="AH218" s="7"/>
      <c r="AI218" s="7"/>
      <c r="AJ218" s="7"/>
      <c r="AK218" s="7"/>
      <c r="AL218" s="7"/>
      <c r="AM218" s="7"/>
      <c r="AN218" s="7"/>
      <c r="AO218" s="7"/>
      <c r="AP218" s="10"/>
      <c r="AQ218" s="7"/>
      <c r="AR218" s="7"/>
      <c r="AS218" s="7"/>
      <c r="AT218" s="7"/>
      <c r="AU218" s="7"/>
      <c r="AV218" s="7"/>
      <c r="AW218" s="7"/>
      <c r="AX218" s="7"/>
      <c r="AY218" s="7"/>
      <c r="AZ218" s="7"/>
      <c r="BA218" s="7"/>
      <c r="BB218" s="7"/>
      <c r="BC218" s="7"/>
      <c r="BD218" s="10"/>
      <c r="BE218" s="10"/>
      <c r="BF218" s="266"/>
      <c r="BG218" s="266"/>
    </row>
    <row r="219" spans="1:59" s="268" customFormat="1" x14ac:dyDescent="0.25">
      <c r="A219" s="107"/>
      <c r="B219" s="107"/>
      <c r="C219" s="7"/>
      <c r="D219" s="7"/>
      <c r="E219" s="7"/>
      <c r="F219" s="10"/>
      <c r="G219" s="10"/>
      <c r="H219" s="8"/>
      <c r="I219" s="107"/>
      <c r="J219" s="107"/>
      <c r="K219" s="7"/>
      <c r="L219" s="7"/>
      <c r="M219" s="7"/>
      <c r="N219" s="7"/>
      <c r="O219" s="10"/>
      <c r="P219" s="7"/>
      <c r="Q219" s="7"/>
      <c r="R219" s="7"/>
      <c r="S219" s="7"/>
      <c r="T219" s="7"/>
      <c r="U219" s="7"/>
      <c r="V219" s="7"/>
      <c r="W219" s="7"/>
      <c r="X219" s="10"/>
      <c r="Y219" s="7"/>
      <c r="Z219" s="7"/>
      <c r="AA219" s="10"/>
      <c r="AB219" s="7"/>
      <c r="AC219" s="7"/>
      <c r="AD219" s="7"/>
      <c r="AE219" s="7"/>
      <c r="AF219" s="7"/>
      <c r="AG219" s="7"/>
      <c r="AH219" s="7"/>
      <c r="AI219" s="7"/>
      <c r="AJ219" s="7"/>
      <c r="AK219" s="7"/>
      <c r="AL219" s="7"/>
      <c r="AM219" s="7"/>
      <c r="AN219" s="7"/>
      <c r="AO219" s="7"/>
      <c r="AP219" s="10"/>
      <c r="AQ219" s="7"/>
      <c r="AR219" s="7"/>
      <c r="AS219" s="7"/>
      <c r="AT219" s="7"/>
      <c r="AU219" s="7"/>
      <c r="AV219" s="7"/>
      <c r="AW219" s="7"/>
      <c r="AX219" s="7"/>
      <c r="AY219" s="7"/>
      <c r="AZ219" s="7"/>
      <c r="BA219" s="7"/>
      <c r="BB219" s="7"/>
      <c r="BC219" s="7"/>
      <c r="BD219" s="10"/>
      <c r="BE219" s="10"/>
      <c r="BF219" s="266"/>
      <c r="BG219" s="266"/>
    </row>
    <row r="220" spans="1:59" s="268" customFormat="1" x14ac:dyDescent="0.25">
      <c r="A220" s="107"/>
      <c r="B220" s="107"/>
      <c r="C220" s="7"/>
      <c r="D220" s="7"/>
      <c r="E220" s="7"/>
      <c r="F220" s="10"/>
      <c r="G220" s="10"/>
      <c r="H220" s="8"/>
      <c r="I220" s="107"/>
      <c r="J220" s="107"/>
      <c r="K220" s="7"/>
      <c r="L220" s="7"/>
      <c r="M220" s="7"/>
      <c r="N220" s="7"/>
      <c r="O220" s="10"/>
      <c r="P220" s="7"/>
      <c r="Q220" s="7"/>
      <c r="R220" s="7"/>
      <c r="S220" s="7"/>
      <c r="T220" s="7"/>
      <c r="U220" s="7"/>
      <c r="V220" s="7"/>
      <c r="W220" s="7"/>
      <c r="X220" s="10"/>
      <c r="Y220" s="7"/>
      <c r="Z220" s="7"/>
      <c r="AA220" s="10"/>
      <c r="AB220" s="7"/>
      <c r="AC220" s="7"/>
      <c r="AD220" s="7"/>
      <c r="AE220" s="7"/>
      <c r="AF220" s="7"/>
      <c r="AG220" s="7"/>
      <c r="AH220" s="7"/>
      <c r="AI220" s="7"/>
      <c r="AJ220" s="7"/>
      <c r="AK220" s="7"/>
      <c r="AL220" s="7"/>
      <c r="AM220" s="7"/>
      <c r="AN220" s="7"/>
      <c r="AO220" s="7"/>
      <c r="AP220" s="10"/>
      <c r="AQ220" s="7"/>
      <c r="AR220" s="7"/>
      <c r="AS220" s="7"/>
      <c r="AT220" s="7"/>
      <c r="AU220" s="7"/>
      <c r="AV220" s="7"/>
      <c r="AW220" s="7"/>
      <c r="AX220" s="7"/>
      <c r="AY220" s="7"/>
      <c r="AZ220" s="7"/>
      <c r="BA220" s="7"/>
      <c r="BB220" s="7"/>
      <c r="BC220" s="7"/>
      <c r="BD220" s="10"/>
      <c r="BE220" s="10"/>
      <c r="BF220" s="266"/>
      <c r="BG220" s="266"/>
    </row>
    <row r="221" spans="1:59" s="268" customFormat="1" x14ac:dyDescent="0.25">
      <c r="A221" s="107"/>
      <c r="B221" s="107"/>
      <c r="C221" s="7"/>
      <c r="D221" s="7"/>
      <c r="E221" s="7"/>
      <c r="F221" s="10"/>
      <c r="G221" s="10"/>
      <c r="H221" s="8"/>
      <c r="I221" s="107"/>
      <c r="J221" s="107"/>
      <c r="K221" s="7"/>
      <c r="L221" s="7"/>
      <c r="M221" s="7"/>
      <c r="N221" s="7"/>
      <c r="O221" s="10"/>
      <c r="P221" s="7"/>
      <c r="Q221" s="7"/>
      <c r="R221" s="7"/>
      <c r="S221" s="7"/>
      <c r="T221" s="7"/>
      <c r="U221" s="7"/>
      <c r="V221" s="7"/>
      <c r="W221" s="7"/>
      <c r="X221" s="10"/>
      <c r="Y221" s="7"/>
      <c r="Z221" s="7"/>
      <c r="AA221" s="10"/>
      <c r="AB221" s="7"/>
      <c r="AC221" s="7"/>
      <c r="AD221" s="7"/>
      <c r="AE221" s="7"/>
      <c r="AF221" s="7"/>
      <c r="AG221" s="7"/>
      <c r="AH221" s="7"/>
      <c r="AI221" s="7"/>
      <c r="AJ221" s="7"/>
      <c r="AK221" s="7"/>
      <c r="AL221" s="7"/>
      <c r="AM221" s="7"/>
      <c r="AN221" s="7"/>
      <c r="AO221" s="7"/>
      <c r="AP221" s="10"/>
      <c r="AQ221" s="7"/>
      <c r="AR221" s="7"/>
      <c r="AS221" s="7"/>
      <c r="AT221" s="7"/>
      <c r="AU221" s="7"/>
      <c r="AV221" s="7"/>
      <c r="AW221" s="7"/>
      <c r="AX221" s="7"/>
      <c r="AY221" s="7"/>
      <c r="AZ221" s="7"/>
      <c r="BA221" s="7"/>
      <c r="BB221" s="7"/>
      <c r="BC221" s="7"/>
      <c r="BD221" s="10"/>
      <c r="BE221" s="10"/>
      <c r="BF221" s="266"/>
      <c r="BG221" s="266"/>
    </row>
    <row r="222" spans="1:59" s="268" customFormat="1" x14ac:dyDescent="0.25">
      <c r="A222" s="107"/>
      <c r="B222" s="107"/>
      <c r="C222" s="7"/>
      <c r="D222" s="7"/>
      <c r="E222" s="7"/>
      <c r="F222" s="10"/>
      <c r="G222" s="10"/>
      <c r="H222" s="8"/>
      <c r="I222" s="107"/>
      <c r="J222" s="107"/>
      <c r="K222" s="7"/>
      <c r="L222" s="7"/>
      <c r="M222" s="7"/>
      <c r="N222" s="7"/>
      <c r="O222" s="10"/>
      <c r="P222" s="7"/>
      <c r="Q222" s="7"/>
      <c r="R222" s="7"/>
      <c r="S222" s="7"/>
      <c r="T222" s="7"/>
      <c r="U222" s="7"/>
      <c r="V222" s="7"/>
      <c r="W222" s="7"/>
      <c r="X222" s="10"/>
      <c r="Y222" s="7"/>
      <c r="Z222" s="7"/>
      <c r="AA222" s="10"/>
      <c r="AB222" s="7"/>
      <c r="AC222" s="7"/>
      <c r="AD222" s="7"/>
      <c r="AE222" s="7"/>
      <c r="AF222" s="7"/>
      <c r="AG222" s="7"/>
      <c r="AH222" s="7"/>
      <c r="AI222" s="7"/>
      <c r="AJ222" s="7"/>
      <c r="AK222" s="7"/>
      <c r="AL222" s="7"/>
      <c r="AM222" s="7"/>
      <c r="AN222" s="7"/>
      <c r="AO222" s="7"/>
      <c r="AP222" s="10"/>
      <c r="AQ222" s="7"/>
      <c r="AR222" s="7"/>
      <c r="AS222" s="7"/>
      <c r="AT222" s="7"/>
      <c r="AU222" s="7"/>
      <c r="AV222" s="7"/>
      <c r="AW222" s="7"/>
      <c r="AX222" s="7"/>
      <c r="AY222" s="7"/>
      <c r="AZ222" s="7"/>
      <c r="BA222" s="7"/>
      <c r="BB222" s="7"/>
      <c r="BC222" s="7"/>
      <c r="BD222" s="10"/>
      <c r="BE222" s="10"/>
      <c r="BF222" s="266"/>
      <c r="BG222" s="266"/>
    </row>
    <row r="223" spans="1:59" s="268" customFormat="1" x14ac:dyDescent="0.25">
      <c r="A223" s="107"/>
      <c r="B223" s="107"/>
      <c r="C223" s="7"/>
      <c r="D223" s="7"/>
      <c r="E223" s="7"/>
      <c r="F223" s="10"/>
      <c r="G223" s="10"/>
      <c r="H223" s="8"/>
      <c r="I223" s="107"/>
      <c r="J223" s="107"/>
      <c r="K223" s="7"/>
      <c r="L223" s="7"/>
      <c r="M223" s="7"/>
      <c r="N223" s="7"/>
      <c r="O223" s="10"/>
      <c r="P223" s="7"/>
      <c r="Q223" s="7"/>
      <c r="R223" s="7"/>
      <c r="S223" s="7"/>
      <c r="T223" s="7"/>
      <c r="U223" s="7"/>
      <c r="V223" s="7"/>
      <c r="W223" s="7"/>
      <c r="X223" s="10"/>
      <c r="Y223" s="7"/>
      <c r="Z223" s="7"/>
      <c r="AA223" s="10"/>
      <c r="AB223" s="7"/>
      <c r="AC223" s="7"/>
      <c r="AD223" s="7"/>
      <c r="AE223" s="7"/>
      <c r="AF223" s="7"/>
      <c r="AG223" s="7"/>
      <c r="AH223" s="7"/>
      <c r="AI223" s="7"/>
      <c r="AJ223" s="7"/>
      <c r="AK223" s="7"/>
      <c r="AL223" s="7"/>
      <c r="AM223" s="7"/>
      <c r="AN223" s="7"/>
      <c r="AO223" s="7"/>
      <c r="AP223" s="10"/>
      <c r="AQ223" s="7"/>
      <c r="AR223" s="7"/>
      <c r="AS223" s="7"/>
      <c r="AT223" s="7"/>
      <c r="AU223" s="7"/>
      <c r="AV223" s="7"/>
      <c r="AW223" s="7"/>
      <c r="AX223" s="7"/>
      <c r="AY223" s="7"/>
      <c r="AZ223" s="7"/>
      <c r="BA223" s="7"/>
      <c r="BB223" s="7"/>
      <c r="BC223" s="7"/>
      <c r="BD223" s="10"/>
      <c r="BE223" s="10"/>
      <c r="BF223" s="266"/>
      <c r="BG223" s="266"/>
    </row>
    <row r="224" spans="1:59" s="268" customFormat="1" x14ac:dyDescent="0.25">
      <c r="A224" s="107"/>
      <c r="B224" s="107"/>
      <c r="C224" s="7"/>
      <c r="D224" s="7"/>
      <c r="E224" s="7"/>
      <c r="F224" s="10"/>
      <c r="G224" s="10"/>
      <c r="H224" s="8"/>
      <c r="I224" s="107"/>
      <c r="J224" s="107"/>
      <c r="K224" s="7"/>
      <c r="L224" s="7"/>
      <c r="M224" s="7"/>
      <c r="N224" s="7"/>
      <c r="O224" s="10"/>
      <c r="P224" s="7"/>
      <c r="Q224" s="7"/>
      <c r="R224" s="7"/>
      <c r="S224" s="7"/>
      <c r="T224" s="7"/>
      <c r="U224" s="7"/>
      <c r="V224" s="7"/>
      <c r="W224" s="7"/>
      <c r="X224" s="10"/>
      <c r="Y224" s="7"/>
      <c r="Z224" s="7"/>
      <c r="AA224" s="10"/>
      <c r="AB224" s="7"/>
      <c r="AC224" s="7"/>
      <c r="AD224" s="7"/>
      <c r="AE224" s="7"/>
      <c r="AF224" s="7"/>
      <c r="AG224" s="7"/>
      <c r="AH224" s="7"/>
      <c r="AI224" s="7"/>
      <c r="AJ224" s="7"/>
      <c r="AK224" s="7"/>
      <c r="AL224" s="7"/>
      <c r="AM224" s="7"/>
      <c r="AN224" s="7"/>
      <c r="AO224" s="7"/>
      <c r="AP224" s="10"/>
      <c r="AQ224" s="7"/>
      <c r="AR224" s="7"/>
      <c r="AS224" s="7"/>
      <c r="AT224" s="7"/>
      <c r="AU224" s="7"/>
      <c r="AV224" s="7"/>
      <c r="AW224" s="7"/>
      <c r="AX224" s="7"/>
      <c r="AY224" s="7"/>
      <c r="AZ224" s="7"/>
      <c r="BA224" s="7"/>
      <c r="BB224" s="7"/>
      <c r="BC224" s="7"/>
      <c r="BD224" s="10"/>
      <c r="BE224" s="10"/>
      <c r="BF224" s="266"/>
      <c r="BG224" s="266"/>
    </row>
    <row r="225" spans="1:59" s="268" customFormat="1" x14ac:dyDescent="0.25">
      <c r="A225" s="107"/>
      <c r="B225" s="107"/>
      <c r="C225" s="7"/>
      <c r="D225" s="7"/>
      <c r="E225" s="7"/>
      <c r="F225" s="10"/>
      <c r="G225" s="10"/>
      <c r="H225" s="8"/>
      <c r="I225" s="107"/>
      <c r="J225" s="107"/>
      <c r="K225" s="7"/>
      <c r="L225" s="7"/>
      <c r="M225" s="7"/>
      <c r="N225" s="7"/>
      <c r="O225" s="10"/>
      <c r="P225" s="7"/>
      <c r="Q225" s="7"/>
      <c r="R225" s="7"/>
      <c r="S225" s="7"/>
      <c r="T225" s="7"/>
      <c r="U225" s="7"/>
      <c r="V225" s="7"/>
      <c r="W225" s="7"/>
      <c r="X225" s="10"/>
      <c r="Y225" s="7"/>
      <c r="Z225" s="7"/>
      <c r="AA225" s="10"/>
      <c r="AB225" s="7"/>
      <c r="AC225" s="7"/>
      <c r="AD225" s="7"/>
      <c r="AE225" s="7"/>
      <c r="AF225" s="7"/>
      <c r="AG225" s="7"/>
      <c r="AH225" s="7"/>
      <c r="AI225" s="7"/>
      <c r="AJ225" s="7"/>
      <c r="AK225" s="7"/>
      <c r="AL225" s="7"/>
      <c r="AM225" s="7"/>
      <c r="AN225" s="7"/>
      <c r="AO225" s="7"/>
      <c r="AP225" s="10"/>
      <c r="AQ225" s="7"/>
      <c r="AR225" s="7"/>
      <c r="AS225" s="7"/>
      <c r="AT225" s="7"/>
      <c r="AU225" s="7"/>
      <c r="AV225" s="7"/>
      <c r="AW225" s="7"/>
      <c r="AX225" s="7"/>
      <c r="AY225" s="7"/>
      <c r="AZ225" s="7"/>
      <c r="BA225" s="7"/>
      <c r="BB225" s="7"/>
      <c r="BC225" s="7"/>
      <c r="BD225" s="10"/>
      <c r="BE225" s="10"/>
      <c r="BF225" s="266"/>
      <c r="BG225" s="266"/>
    </row>
    <row r="226" spans="1:59" s="268" customFormat="1" x14ac:dyDescent="0.25">
      <c r="A226" s="107"/>
      <c r="B226" s="107"/>
      <c r="C226" s="7"/>
      <c r="D226" s="7"/>
      <c r="E226" s="7"/>
      <c r="F226" s="10"/>
      <c r="G226" s="10"/>
      <c r="H226" s="8"/>
      <c r="I226" s="107"/>
      <c r="J226" s="107"/>
      <c r="K226" s="7"/>
      <c r="L226" s="7"/>
      <c r="M226" s="7"/>
      <c r="N226" s="7"/>
      <c r="O226" s="10"/>
      <c r="P226" s="7"/>
      <c r="Q226" s="7"/>
      <c r="R226" s="7"/>
      <c r="S226" s="7"/>
      <c r="T226" s="7"/>
      <c r="U226" s="7"/>
      <c r="V226" s="7"/>
      <c r="W226" s="7"/>
      <c r="X226" s="10"/>
      <c r="Y226" s="7"/>
      <c r="Z226" s="7"/>
      <c r="AA226" s="10"/>
      <c r="AB226" s="7"/>
      <c r="AC226" s="7"/>
      <c r="AD226" s="7"/>
      <c r="AE226" s="7"/>
      <c r="AF226" s="7"/>
      <c r="AG226" s="7"/>
      <c r="AH226" s="7"/>
      <c r="AI226" s="7"/>
      <c r="AJ226" s="7"/>
      <c r="AK226" s="7"/>
      <c r="AL226" s="7"/>
      <c r="AM226" s="7"/>
      <c r="AN226" s="7"/>
      <c r="AO226" s="7"/>
      <c r="AP226" s="10"/>
      <c r="AQ226" s="7"/>
      <c r="AR226" s="7"/>
      <c r="AS226" s="7"/>
      <c r="AT226" s="7"/>
      <c r="AU226" s="7"/>
      <c r="AV226" s="7"/>
      <c r="AW226" s="7"/>
      <c r="AX226" s="7"/>
      <c r="AY226" s="7"/>
      <c r="AZ226" s="7"/>
      <c r="BA226" s="7"/>
      <c r="BB226" s="7"/>
      <c r="BC226" s="7"/>
      <c r="BD226" s="10"/>
      <c r="BE226" s="10"/>
      <c r="BF226" s="266"/>
      <c r="BG226" s="266"/>
    </row>
    <row r="227" spans="1:59" s="268" customFormat="1" x14ac:dyDescent="0.25">
      <c r="A227" s="107"/>
      <c r="B227" s="107"/>
      <c r="C227" s="7"/>
      <c r="D227" s="7"/>
      <c r="E227" s="7"/>
      <c r="F227" s="10"/>
      <c r="G227" s="10"/>
      <c r="H227" s="8"/>
      <c r="I227" s="107"/>
      <c r="J227" s="107"/>
      <c r="K227" s="7"/>
      <c r="L227" s="7"/>
      <c r="M227" s="7"/>
      <c r="N227" s="7"/>
      <c r="O227" s="10"/>
      <c r="P227" s="7"/>
      <c r="Q227" s="7"/>
      <c r="R227" s="7"/>
      <c r="S227" s="7"/>
      <c r="T227" s="7"/>
      <c r="U227" s="7"/>
      <c r="V227" s="7"/>
      <c r="W227" s="7"/>
      <c r="X227" s="10"/>
      <c r="Y227" s="7"/>
      <c r="Z227" s="7"/>
      <c r="AA227" s="10"/>
      <c r="AB227" s="7"/>
      <c r="AC227" s="7"/>
      <c r="AD227" s="7"/>
      <c r="AE227" s="7"/>
      <c r="AF227" s="7"/>
      <c r="AG227" s="7"/>
      <c r="AH227" s="7"/>
      <c r="AI227" s="7"/>
      <c r="AJ227" s="7"/>
      <c r="AK227" s="7"/>
      <c r="AL227" s="7"/>
      <c r="AM227" s="7"/>
      <c r="AN227" s="7"/>
      <c r="AO227" s="7"/>
      <c r="AP227" s="10"/>
      <c r="AQ227" s="7"/>
      <c r="AR227" s="7"/>
      <c r="AS227" s="7"/>
      <c r="AT227" s="7"/>
      <c r="AU227" s="7"/>
      <c r="AV227" s="7"/>
      <c r="AW227" s="7"/>
      <c r="AX227" s="7"/>
      <c r="AY227" s="7"/>
      <c r="AZ227" s="7"/>
      <c r="BA227" s="7"/>
      <c r="BB227" s="7"/>
      <c r="BC227" s="7"/>
      <c r="BD227" s="10"/>
      <c r="BE227" s="10"/>
      <c r="BF227" s="266"/>
      <c r="BG227" s="266"/>
    </row>
    <row r="228" spans="1:59" s="268" customFormat="1" x14ac:dyDescent="0.25">
      <c r="A228" s="107"/>
      <c r="B228" s="107"/>
      <c r="C228" s="7"/>
      <c r="D228" s="7"/>
      <c r="E228" s="7"/>
      <c r="F228" s="10"/>
      <c r="G228" s="10"/>
      <c r="H228" s="8"/>
      <c r="I228" s="107"/>
      <c r="J228" s="107"/>
      <c r="K228" s="7"/>
      <c r="L228" s="7"/>
      <c r="M228" s="7"/>
      <c r="N228" s="7"/>
      <c r="O228" s="10"/>
      <c r="P228" s="7"/>
      <c r="Q228" s="7"/>
      <c r="R228" s="7"/>
      <c r="S228" s="7"/>
      <c r="T228" s="7"/>
      <c r="U228" s="7"/>
      <c r="V228" s="7"/>
      <c r="W228" s="7"/>
      <c r="X228" s="10"/>
      <c r="Y228" s="7"/>
      <c r="Z228" s="7"/>
      <c r="AA228" s="10"/>
      <c r="AB228" s="7"/>
      <c r="AC228" s="7"/>
      <c r="AD228" s="7"/>
      <c r="AE228" s="7"/>
      <c r="AF228" s="7"/>
      <c r="AG228" s="7"/>
      <c r="AH228" s="7"/>
      <c r="AI228" s="7"/>
      <c r="AJ228" s="7"/>
      <c r="AK228" s="7"/>
      <c r="AL228" s="7"/>
      <c r="AM228" s="7"/>
      <c r="AN228" s="7"/>
      <c r="AO228" s="7"/>
      <c r="AP228" s="10"/>
      <c r="AQ228" s="7"/>
      <c r="AR228" s="7"/>
      <c r="AS228" s="7"/>
      <c r="AT228" s="7"/>
      <c r="AU228" s="7"/>
      <c r="AV228" s="7"/>
      <c r="AW228" s="7"/>
      <c r="AX228" s="7"/>
      <c r="AY228" s="7"/>
      <c r="AZ228" s="7"/>
      <c r="BA228" s="7"/>
      <c r="BB228" s="7"/>
      <c r="BC228" s="7"/>
      <c r="BD228" s="10"/>
      <c r="BE228" s="10"/>
      <c r="BF228" s="266"/>
      <c r="BG228" s="266"/>
    </row>
    <row r="229" spans="1:59" s="268" customFormat="1" x14ac:dyDescent="0.25">
      <c r="A229" s="107"/>
      <c r="B229" s="107"/>
      <c r="C229" s="7"/>
      <c r="D229" s="7"/>
      <c r="E229" s="7"/>
      <c r="F229" s="10"/>
      <c r="G229" s="10"/>
      <c r="H229" s="8"/>
      <c r="I229" s="107"/>
      <c r="J229" s="107"/>
      <c r="K229" s="7"/>
      <c r="L229" s="7"/>
      <c r="M229" s="7"/>
      <c r="N229" s="7"/>
      <c r="O229" s="10"/>
      <c r="P229" s="7"/>
      <c r="Q229" s="7"/>
      <c r="R229" s="7"/>
      <c r="S229" s="7"/>
      <c r="T229" s="7"/>
      <c r="U229" s="7"/>
      <c r="V229" s="7"/>
      <c r="W229" s="7"/>
      <c r="X229" s="10"/>
      <c r="Y229" s="7"/>
      <c r="Z229" s="7"/>
      <c r="AA229" s="10"/>
      <c r="AB229" s="7"/>
      <c r="AC229" s="7"/>
      <c r="AD229" s="7"/>
      <c r="AE229" s="7"/>
      <c r="AF229" s="7"/>
      <c r="AG229" s="7"/>
      <c r="AH229" s="7"/>
      <c r="AI229" s="7"/>
      <c r="AJ229" s="7"/>
      <c r="AK229" s="7"/>
      <c r="AL229" s="7"/>
      <c r="AM229" s="7"/>
      <c r="AN229" s="7"/>
      <c r="AO229" s="7"/>
      <c r="AP229" s="10"/>
      <c r="AQ229" s="7"/>
      <c r="AR229" s="7"/>
      <c r="AS229" s="7"/>
      <c r="AT229" s="7"/>
      <c r="AU229" s="7"/>
      <c r="AV229" s="7"/>
      <c r="AW229" s="7"/>
      <c r="AX229" s="7"/>
      <c r="AY229" s="7"/>
      <c r="AZ229" s="7"/>
      <c r="BA229" s="7"/>
      <c r="BB229" s="7"/>
      <c r="BC229" s="7"/>
      <c r="BD229" s="10"/>
      <c r="BE229" s="10"/>
      <c r="BF229" s="266"/>
      <c r="BG229" s="266"/>
    </row>
    <row r="230" spans="1:59" s="268" customFormat="1" x14ac:dyDescent="0.25">
      <c r="A230" s="107"/>
      <c r="B230" s="107"/>
      <c r="C230" s="7"/>
      <c r="D230" s="7"/>
      <c r="E230" s="7"/>
      <c r="F230" s="10"/>
      <c r="G230" s="10"/>
      <c r="H230" s="8"/>
      <c r="I230" s="107"/>
      <c r="J230" s="107"/>
      <c r="K230" s="7"/>
      <c r="L230" s="7"/>
      <c r="M230" s="7"/>
      <c r="N230" s="7"/>
      <c r="O230" s="10"/>
      <c r="P230" s="7"/>
      <c r="Q230" s="7"/>
      <c r="R230" s="7"/>
      <c r="S230" s="7"/>
      <c r="T230" s="7"/>
      <c r="U230" s="7"/>
      <c r="V230" s="7"/>
      <c r="W230" s="7"/>
      <c r="X230" s="10"/>
      <c r="Y230" s="7"/>
      <c r="Z230" s="7"/>
      <c r="AA230" s="10"/>
      <c r="AB230" s="7"/>
      <c r="AC230" s="7"/>
      <c r="AD230" s="7"/>
      <c r="AE230" s="7"/>
      <c r="AF230" s="7"/>
      <c r="AG230" s="7"/>
      <c r="AH230" s="7"/>
      <c r="AI230" s="7"/>
      <c r="AJ230" s="7"/>
      <c r="AK230" s="7"/>
      <c r="AL230" s="7"/>
      <c r="AM230" s="7"/>
      <c r="AN230" s="7"/>
      <c r="AO230" s="7"/>
      <c r="AP230" s="10"/>
      <c r="AQ230" s="7"/>
      <c r="AR230" s="7"/>
      <c r="AS230" s="7"/>
      <c r="AT230" s="7"/>
      <c r="AU230" s="7"/>
      <c r="AV230" s="7"/>
      <c r="AW230" s="7"/>
      <c r="AX230" s="7"/>
      <c r="AY230" s="7"/>
      <c r="AZ230" s="7"/>
      <c r="BA230" s="7"/>
      <c r="BB230" s="7"/>
      <c r="BC230" s="7"/>
      <c r="BD230" s="10"/>
      <c r="BE230" s="10"/>
      <c r="BF230" s="266"/>
      <c r="BG230" s="266"/>
    </row>
    <row r="231" spans="1:59" s="268" customFormat="1" x14ac:dyDescent="0.25">
      <c r="A231" s="107"/>
      <c r="B231" s="107"/>
      <c r="C231" s="7"/>
      <c r="D231" s="7"/>
      <c r="E231" s="7"/>
      <c r="F231" s="10"/>
      <c r="G231" s="10"/>
      <c r="H231" s="8"/>
      <c r="I231" s="107"/>
      <c r="J231" s="107"/>
      <c r="K231" s="7"/>
      <c r="L231" s="7"/>
      <c r="M231" s="7"/>
      <c r="N231" s="7"/>
      <c r="O231" s="10"/>
      <c r="P231" s="7"/>
      <c r="Q231" s="7"/>
      <c r="R231" s="7"/>
      <c r="S231" s="7"/>
      <c r="T231" s="7"/>
      <c r="U231" s="7"/>
      <c r="V231" s="7"/>
      <c r="W231" s="7"/>
      <c r="X231" s="10"/>
      <c r="Y231" s="7"/>
      <c r="Z231" s="7"/>
      <c r="AA231" s="10"/>
      <c r="AB231" s="7"/>
      <c r="AC231" s="7"/>
      <c r="AD231" s="7"/>
      <c r="AE231" s="7"/>
      <c r="AF231" s="7"/>
      <c r="AG231" s="7"/>
      <c r="AH231" s="7"/>
      <c r="AI231" s="7"/>
      <c r="AJ231" s="7"/>
      <c r="AK231" s="7"/>
      <c r="AL231" s="7"/>
      <c r="AM231" s="7"/>
      <c r="AN231" s="7"/>
      <c r="AO231" s="7"/>
      <c r="AP231" s="10"/>
      <c r="AQ231" s="7"/>
      <c r="AR231" s="7"/>
      <c r="AS231" s="7"/>
      <c r="AT231" s="7"/>
      <c r="AU231" s="7"/>
      <c r="AV231" s="7"/>
      <c r="AW231" s="7"/>
      <c r="AX231" s="7"/>
      <c r="AY231" s="7"/>
      <c r="AZ231" s="7"/>
      <c r="BA231" s="7"/>
      <c r="BB231" s="7"/>
      <c r="BC231" s="7"/>
      <c r="BD231" s="10"/>
      <c r="BE231" s="10"/>
      <c r="BF231" s="266"/>
      <c r="BG231" s="266"/>
    </row>
    <row r="232" spans="1:59" s="268" customFormat="1" x14ac:dyDescent="0.25">
      <c r="A232" s="107"/>
      <c r="B232" s="107"/>
      <c r="C232" s="7"/>
      <c r="D232" s="7"/>
      <c r="E232" s="7"/>
      <c r="F232" s="10"/>
      <c r="G232" s="10"/>
      <c r="H232" s="8"/>
      <c r="I232" s="107"/>
      <c r="J232" s="107"/>
      <c r="K232" s="7"/>
      <c r="L232" s="7"/>
      <c r="M232" s="7"/>
      <c r="N232" s="7"/>
      <c r="O232" s="10"/>
      <c r="P232" s="7"/>
      <c r="Q232" s="7"/>
      <c r="R232" s="7"/>
      <c r="S232" s="7"/>
      <c r="T232" s="7"/>
      <c r="U232" s="7"/>
      <c r="V232" s="7"/>
      <c r="W232" s="7"/>
      <c r="X232" s="10"/>
      <c r="Y232" s="7"/>
      <c r="Z232" s="7"/>
      <c r="AA232" s="10"/>
      <c r="AB232" s="7"/>
      <c r="AC232" s="7"/>
      <c r="AD232" s="7"/>
      <c r="AE232" s="7"/>
      <c r="AF232" s="7"/>
      <c r="AG232" s="7"/>
      <c r="AH232" s="7"/>
      <c r="AI232" s="7"/>
      <c r="AJ232" s="7"/>
      <c r="AK232" s="7"/>
      <c r="AL232" s="7"/>
      <c r="AM232" s="7"/>
      <c r="AN232" s="7"/>
      <c r="AO232" s="7"/>
      <c r="AP232" s="10"/>
      <c r="AQ232" s="7"/>
      <c r="AR232" s="7"/>
      <c r="AS232" s="7"/>
      <c r="AT232" s="7"/>
      <c r="AU232" s="7"/>
      <c r="AV232" s="7"/>
      <c r="AW232" s="7"/>
      <c r="AX232" s="7"/>
      <c r="AY232" s="7"/>
      <c r="AZ232" s="7"/>
      <c r="BA232" s="7"/>
      <c r="BB232" s="7"/>
      <c r="BC232" s="7"/>
      <c r="BD232" s="10"/>
      <c r="BE232" s="10"/>
      <c r="BF232" s="266"/>
      <c r="BG232" s="266"/>
    </row>
    <row r="233" spans="1:59" s="268" customFormat="1" x14ac:dyDescent="0.25">
      <c r="A233" s="107"/>
      <c r="B233" s="107"/>
      <c r="C233" s="7"/>
      <c r="D233" s="7"/>
      <c r="E233" s="7"/>
      <c r="F233" s="10"/>
      <c r="G233" s="10"/>
      <c r="H233" s="8"/>
      <c r="I233" s="107"/>
      <c r="J233" s="107"/>
      <c r="K233" s="7"/>
      <c r="L233" s="7"/>
      <c r="M233" s="7"/>
      <c r="N233" s="7"/>
      <c r="O233" s="10"/>
      <c r="P233" s="7"/>
      <c r="Q233" s="7"/>
      <c r="R233" s="7"/>
      <c r="S233" s="7"/>
      <c r="T233" s="7"/>
      <c r="U233" s="7"/>
      <c r="V233" s="7"/>
      <c r="W233" s="7"/>
      <c r="X233" s="10"/>
      <c r="Y233" s="7"/>
      <c r="Z233" s="7"/>
      <c r="AA233" s="10"/>
      <c r="AB233" s="7"/>
      <c r="AC233" s="7"/>
      <c r="AD233" s="7"/>
      <c r="AE233" s="7"/>
      <c r="AF233" s="7"/>
      <c r="AG233" s="7"/>
      <c r="AH233" s="7"/>
      <c r="AI233" s="7"/>
      <c r="AJ233" s="7"/>
      <c r="AK233" s="7"/>
      <c r="AL233" s="7"/>
      <c r="AM233" s="7"/>
      <c r="AN233" s="7"/>
      <c r="AO233" s="7"/>
      <c r="AP233" s="10"/>
      <c r="AQ233" s="7"/>
      <c r="AR233" s="7"/>
      <c r="AS233" s="7"/>
      <c r="AT233" s="7"/>
      <c r="AU233" s="7"/>
      <c r="AV233" s="7"/>
      <c r="AW233" s="7"/>
      <c r="AX233" s="7"/>
      <c r="AY233" s="7"/>
      <c r="AZ233" s="7"/>
      <c r="BA233" s="7"/>
      <c r="BB233" s="7"/>
      <c r="BC233" s="7"/>
      <c r="BD233" s="10"/>
      <c r="BE233" s="10"/>
      <c r="BF233" s="266"/>
      <c r="BG233" s="266"/>
    </row>
    <row r="234" spans="1:59" s="268" customFormat="1" x14ac:dyDescent="0.25">
      <c r="A234" s="107"/>
      <c r="B234" s="107"/>
      <c r="C234" s="7"/>
      <c r="D234" s="7"/>
      <c r="E234" s="7"/>
      <c r="F234" s="10"/>
      <c r="G234" s="10"/>
      <c r="H234" s="8"/>
      <c r="I234" s="107"/>
      <c r="J234" s="107"/>
      <c r="K234" s="7"/>
      <c r="L234" s="7"/>
      <c r="M234" s="7"/>
      <c r="N234" s="7"/>
      <c r="O234" s="10"/>
      <c r="P234" s="7"/>
      <c r="Q234" s="7"/>
      <c r="R234" s="7"/>
      <c r="S234" s="7"/>
      <c r="T234" s="7"/>
      <c r="U234" s="7"/>
      <c r="V234" s="7"/>
      <c r="W234" s="7"/>
      <c r="X234" s="10"/>
      <c r="Y234" s="7"/>
      <c r="Z234" s="7"/>
      <c r="AA234" s="10"/>
      <c r="AB234" s="7"/>
      <c r="AC234" s="7"/>
      <c r="AD234" s="7"/>
      <c r="AE234" s="7"/>
      <c r="AF234" s="7"/>
      <c r="AG234" s="7"/>
      <c r="AH234" s="7"/>
      <c r="AI234" s="7"/>
      <c r="AJ234" s="7"/>
      <c r="AK234" s="7"/>
      <c r="AL234" s="7"/>
      <c r="AM234" s="7"/>
      <c r="AN234" s="7"/>
      <c r="AO234" s="7"/>
      <c r="AP234" s="10"/>
      <c r="AQ234" s="7"/>
      <c r="AR234" s="7"/>
      <c r="AS234" s="7"/>
      <c r="AT234" s="7"/>
      <c r="AU234" s="7"/>
      <c r="AV234" s="7"/>
      <c r="AW234" s="7"/>
      <c r="AX234" s="7"/>
      <c r="AY234" s="7"/>
      <c r="AZ234" s="7"/>
      <c r="BA234" s="7"/>
      <c r="BB234" s="7"/>
      <c r="BC234" s="7"/>
      <c r="BD234" s="10"/>
      <c r="BE234" s="10"/>
      <c r="BF234" s="266"/>
      <c r="BG234" s="266"/>
    </row>
    <row r="235" spans="1:59" s="268" customFormat="1" x14ac:dyDescent="0.25">
      <c r="A235" s="107"/>
      <c r="B235" s="107"/>
      <c r="C235" s="7"/>
      <c r="D235" s="7"/>
      <c r="E235" s="7"/>
      <c r="F235" s="10"/>
      <c r="G235" s="10"/>
      <c r="H235" s="8"/>
      <c r="I235" s="107"/>
      <c r="J235" s="107"/>
      <c r="K235" s="7"/>
      <c r="L235" s="7"/>
      <c r="M235" s="7"/>
      <c r="N235" s="7"/>
      <c r="O235" s="10"/>
      <c r="P235" s="7"/>
      <c r="Q235" s="7"/>
      <c r="R235" s="7"/>
      <c r="S235" s="7"/>
      <c r="T235" s="7"/>
      <c r="U235" s="7"/>
      <c r="V235" s="7"/>
      <c r="W235" s="7"/>
      <c r="X235" s="10"/>
      <c r="Y235" s="7"/>
      <c r="Z235" s="7"/>
      <c r="AA235" s="10"/>
      <c r="AB235" s="7"/>
      <c r="AC235" s="7"/>
      <c r="AD235" s="7"/>
      <c r="AE235" s="7"/>
      <c r="AF235" s="7"/>
      <c r="AG235" s="7"/>
      <c r="AH235" s="7"/>
      <c r="AI235" s="7"/>
      <c r="AJ235" s="7"/>
      <c r="AK235" s="7"/>
      <c r="AL235" s="7"/>
      <c r="AM235" s="7"/>
      <c r="AN235" s="7"/>
      <c r="AO235" s="7"/>
      <c r="AP235" s="10"/>
      <c r="AQ235" s="7"/>
      <c r="AR235" s="7"/>
      <c r="AS235" s="7"/>
      <c r="AT235" s="7"/>
      <c r="AU235" s="7"/>
      <c r="AV235" s="7"/>
      <c r="AW235" s="7"/>
      <c r="AX235" s="7"/>
      <c r="AY235" s="7"/>
      <c r="AZ235" s="7"/>
      <c r="BA235" s="7"/>
      <c r="BB235" s="7"/>
      <c r="BC235" s="7"/>
      <c r="BD235" s="10"/>
      <c r="BE235" s="10"/>
      <c r="BF235" s="266"/>
      <c r="BG235" s="266"/>
    </row>
    <row r="236" spans="1:59" s="268" customFormat="1" x14ac:dyDescent="0.25">
      <c r="A236" s="107"/>
      <c r="B236" s="107"/>
      <c r="C236" s="7"/>
      <c r="D236" s="7"/>
      <c r="E236" s="7"/>
      <c r="F236" s="10"/>
      <c r="G236" s="10"/>
      <c r="H236" s="8"/>
      <c r="I236" s="107"/>
      <c r="J236" s="107"/>
      <c r="K236" s="7"/>
      <c r="L236" s="7"/>
      <c r="M236" s="7"/>
      <c r="N236" s="7"/>
      <c r="O236" s="10"/>
      <c r="P236" s="7"/>
      <c r="Q236" s="7"/>
      <c r="R236" s="7"/>
      <c r="S236" s="7"/>
      <c r="T236" s="7"/>
      <c r="U236" s="7"/>
      <c r="V236" s="7"/>
      <c r="W236" s="7"/>
      <c r="X236" s="10"/>
      <c r="Y236" s="7"/>
      <c r="Z236" s="7"/>
      <c r="AA236" s="10"/>
      <c r="AB236" s="7"/>
      <c r="AC236" s="7"/>
      <c r="AD236" s="7"/>
      <c r="AE236" s="7"/>
      <c r="AF236" s="7"/>
      <c r="AG236" s="7"/>
      <c r="AH236" s="7"/>
      <c r="AI236" s="7"/>
      <c r="AJ236" s="7"/>
      <c r="AK236" s="7"/>
      <c r="AL236" s="7"/>
      <c r="AM236" s="7"/>
      <c r="AN236" s="7"/>
      <c r="AO236" s="7"/>
      <c r="AP236" s="10"/>
      <c r="AQ236" s="7"/>
      <c r="AR236" s="7"/>
      <c r="AS236" s="7"/>
      <c r="AT236" s="7"/>
      <c r="AU236" s="7"/>
      <c r="AV236" s="7"/>
      <c r="AW236" s="7"/>
      <c r="AX236" s="7"/>
      <c r="AY236" s="7"/>
      <c r="AZ236" s="7"/>
      <c r="BA236" s="7"/>
      <c r="BB236" s="7"/>
      <c r="BC236" s="7"/>
      <c r="BD236" s="10"/>
      <c r="BE236" s="10"/>
      <c r="BF236" s="266"/>
      <c r="BG236" s="266"/>
    </row>
    <row r="237" spans="1:59" s="268" customFormat="1" x14ac:dyDescent="0.25">
      <c r="A237" s="107"/>
      <c r="B237" s="107"/>
      <c r="C237" s="7"/>
      <c r="D237" s="7"/>
      <c r="E237" s="7"/>
      <c r="F237" s="10"/>
      <c r="G237" s="10"/>
      <c r="H237" s="8"/>
      <c r="I237" s="107"/>
      <c r="J237" s="107"/>
      <c r="K237" s="7"/>
      <c r="L237" s="7"/>
      <c r="M237" s="7"/>
      <c r="N237" s="7"/>
      <c r="O237" s="10"/>
      <c r="P237" s="7"/>
      <c r="Q237" s="7"/>
      <c r="R237" s="7"/>
      <c r="S237" s="7"/>
      <c r="T237" s="7"/>
      <c r="U237" s="7"/>
      <c r="V237" s="7"/>
      <c r="W237" s="7"/>
      <c r="X237" s="10"/>
      <c r="Y237" s="7"/>
      <c r="Z237" s="7"/>
      <c r="AA237" s="10"/>
      <c r="AB237" s="7"/>
      <c r="AC237" s="7"/>
      <c r="AD237" s="7"/>
      <c r="AE237" s="7"/>
      <c r="AF237" s="7"/>
      <c r="AG237" s="7"/>
      <c r="AH237" s="7"/>
      <c r="AI237" s="7"/>
      <c r="AJ237" s="7"/>
      <c r="AK237" s="7"/>
      <c r="AL237" s="7"/>
      <c r="AM237" s="7"/>
      <c r="AN237" s="7"/>
      <c r="AO237" s="7"/>
      <c r="AP237" s="10"/>
      <c r="AQ237" s="7"/>
      <c r="AR237" s="7"/>
      <c r="AS237" s="7"/>
      <c r="AT237" s="7"/>
      <c r="AU237" s="7"/>
      <c r="AV237" s="7"/>
      <c r="AW237" s="7"/>
      <c r="AX237" s="7"/>
      <c r="AY237" s="7"/>
      <c r="AZ237" s="7"/>
      <c r="BA237" s="7"/>
      <c r="BB237" s="7"/>
      <c r="BC237" s="7"/>
      <c r="BD237" s="10"/>
      <c r="BE237" s="10"/>
      <c r="BF237" s="266"/>
      <c r="BG237" s="266"/>
    </row>
    <row r="238" spans="1:59" s="268" customFormat="1" x14ac:dyDescent="0.25">
      <c r="A238" s="107"/>
      <c r="B238" s="107"/>
      <c r="C238" s="7"/>
      <c r="D238" s="7"/>
      <c r="E238" s="7"/>
      <c r="F238" s="10"/>
      <c r="G238" s="10"/>
      <c r="H238" s="8"/>
      <c r="I238" s="107"/>
      <c r="J238" s="107"/>
      <c r="K238" s="7"/>
      <c r="L238" s="7"/>
      <c r="M238" s="7"/>
      <c r="N238" s="7"/>
      <c r="O238" s="10"/>
      <c r="P238" s="7"/>
      <c r="Q238" s="7"/>
      <c r="R238" s="7"/>
      <c r="S238" s="7"/>
      <c r="T238" s="7"/>
      <c r="U238" s="7"/>
      <c r="V238" s="7"/>
      <c r="W238" s="7"/>
      <c r="X238" s="10"/>
      <c r="Y238" s="7"/>
      <c r="Z238" s="7"/>
      <c r="AA238" s="10"/>
      <c r="AB238" s="7"/>
      <c r="AC238" s="7"/>
      <c r="AD238" s="7"/>
      <c r="AE238" s="7"/>
      <c r="AF238" s="7"/>
      <c r="AG238" s="7"/>
      <c r="AH238" s="7"/>
      <c r="AI238" s="7"/>
      <c r="AJ238" s="7"/>
      <c r="AK238" s="7"/>
      <c r="AL238" s="7"/>
      <c r="AM238" s="7"/>
      <c r="AN238" s="7"/>
      <c r="AO238" s="7"/>
      <c r="AP238" s="10"/>
      <c r="AQ238" s="7"/>
      <c r="AR238" s="7"/>
      <c r="AS238" s="7"/>
      <c r="AT238" s="7"/>
      <c r="AU238" s="7"/>
      <c r="AV238" s="7"/>
      <c r="AW238" s="7"/>
      <c r="AX238" s="7"/>
      <c r="AY238" s="7"/>
      <c r="AZ238" s="7"/>
      <c r="BA238" s="7"/>
      <c r="BB238" s="7"/>
      <c r="BC238" s="7"/>
      <c r="BD238" s="10"/>
      <c r="BE238" s="10"/>
      <c r="BF238" s="266"/>
      <c r="BG238" s="266"/>
    </row>
    <row r="239" spans="1:59" s="268" customFormat="1" x14ac:dyDescent="0.25">
      <c r="A239" s="107"/>
      <c r="B239" s="107"/>
      <c r="C239" s="7"/>
      <c r="D239" s="7"/>
      <c r="E239" s="7"/>
      <c r="F239" s="10"/>
      <c r="G239" s="10"/>
      <c r="H239" s="8"/>
      <c r="I239" s="107"/>
      <c r="J239" s="107"/>
      <c r="K239" s="7"/>
      <c r="L239" s="7"/>
      <c r="M239" s="7"/>
      <c r="N239" s="7"/>
      <c r="O239" s="10"/>
      <c r="P239" s="7"/>
      <c r="Q239" s="7"/>
      <c r="R239" s="7"/>
      <c r="S239" s="7"/>
      <c r="T239" s="7"/>
      <c r="U239" s="7"/>
      <c r="V239" s="7"/>
      <c r="W239" s="7"/>
      <c r="X239" s="10"/>
      <c r="Y239" s="7"/>
      <c r="Z239" s="7"/>
      <c r="AA239" s="10"/>
      <c r="AB239" s="7"/>
      <c r="AC239" s="7"/>
      <c r="AD239" s="7"/>
      <c r="AE239" s="7"/>
      <c r="AF239" s="7"/>
      <c r="AG239" s="7"/>
      <c r="AH239" s="7"/>
      <c r="AI239" s="7"/>
      <c r="AJ239" s="7"/>
      <c r="AK239" s="7"/>
      <c r="AL239" s="7"/>
      <c r="AM239" s="7"/>
      <c r="AN239" s="7"/>
      <c r="AO239" s="7"/>
      <c r="AP239" s="10"/>
      <c r="AQ239" s="7"/>
      <c r="AR239" s="7"/>
      <c r="AS239" s="7"/>
      <c r="AT239" s="7"/>
      <c r="AU239" s="7"/>
      <c r="AV239" s="7"/>
      <c r="AW239" s="7"/>
      <c r="AX239" s="7"/>
      <c r="AY239" s="7"/>
      <c r="AZ239" s="7"/>
      <c r="BA239" s="7"/>
      <c r="BB239" s="7"/>
      <c r="BC239" s="7"/>
      <c r="BD239" s="10"/>
      <c r="BE239" s="10"/>
      <c r="BF239" s="266"/>
      <c r="BG239" s="266"/>
    </row>
    <row r="240" spans="1:59" s="268" customFormat="1" x14ac:dyDescent="0.25">
      <c r="A240" s="107"/>
      <c r="B240" s="107"/>
      <c r="C240" s="7"/>
      <c r="D240" s="7"/>
      <c r="E240" s="7"/>
      <c r="F240" s="10"/>
      <c r="G240" s="10"/>
      <c r="H240" s="8"/>
      <c r="I240" s="107"/>
      <c r="J240" s="107"/>
      <c r="K240" s="7"/>
      <c r="L240" s="7"/>
      <c r="M240" s="7"/>
      <c r="N240" s="7"/>
      <c r="O240" s="10"/>
      <c r="P240" s="7"/>
      <c r="Q240" s="7"/>
      <c r="R240" s="7"/>
      <c r="S240" s="7"/>
      <c r="T240" s="7"/>
      <c r="U240" s="7"/>
      <c r="V240" s="7"/>
      <c r="W240" s="7"/>
      <c r="X240" s="10"/>
      <c r="Y240" s="7"/>
      <c r="Z240" s="7"/>
      <c r="AA240" s="10"/>
      <c r="AB240" s="7"/>
      <c r="AC240" s="7"/>
      <c r="AD240" s="7"/>
      <c r="AE240" s="7"/>
      <c r="AF240" s="7"/>
      <c r="AG240" s="7"/>
      <c r="AH240" s="7"/>
      <c r="AI240" s="7"/>
      <c r="AJ240" s="7"/>
      <c r="AK240" s="7"/>
      <c r="AL240" s="7"/>
      <c r="AM240" s="7"/>
      <c r="AN240" s="7"/>
      <c r="AO240" s="7"/>
      <c r="AP240" s="10"/>
      <c r="AQ240" s="7"/>
      <c r="AR240" s="7"/>
      <c r="AS240" s="7"/>
      <c r="AT240" s="7"/>
      <c r="AU240" s="7"/>
      <c r="AV240" s="7"/>
      <c r="AW240" s="7"/>
      <c r="AX240" s="7"/>
      <c r="AY240" s="7"/>
      <c r="AZ240" s="7"/>
      <c r="BA240" s="7"/>
      <c r="BB240" s="7"/>
      <c r="BC240" s="7"/>
      <c r="BD240" s="10"/>
      <c r="BE240" s="10"/>
      <c r="BF240" s="266"/>
      <c r="BG240" s="266"/>
    </row>
    <row r="241" spans="1:59" s="268" customFormat="1" x14ac:dyDescent="0.25">
      <c r="A241" s="107"/>
      <c r="B241" s="107"/>
      <c r="C241" s="7"/>
      <c r="D241" s="7"/>
      <c r="E241" s="7"/>
      <c r="F241" s="10"/>
      <c r="G241" s="10"/>
      <c r="H241" s="8"/>
      <c r="I241" s="107"/>
      <c r="J241" s="107"/>
      <c r="K241" s="7"/>
      <c r="L241" s="7"/>
      <c r="M241" s="7"/>
      <c r="N241" s="7"/>
      <c r="O241" s="10"/>
      <c r="P241" s="7"/>
      <c r="Q241" s="7"/>
      <c r="R241" s="7"/>
      <c r="S241" s="7"/>
      <c r="T241" s="7"/>
      <c r="U241" s="7"/>
      <c r="V241" s="7"/>
      <c r="W241" s="7"/>
      <c r="X241" s="10"/>
      <c r="Y241" s="7"/>
      <c r="Z241" s="7"/>
      <c r="AA241" s="10"/>
      <c r="AB241" s="7"/>
      <c r="AC241" s="7"/>
      <c r="AD241" s="7"/>
      <c r="AE241" s="7"/>
      <c r="AF241" s="7"/>
      <c r="AG241" s="7"/>
      <c r="AH241" s="7"/>
      <c r="AI241" s="7"/>
      <c r="AJ241" s="7"/>
      <c r="AK241" s="7"/>
      <c r="AL241" s="7"/>
      <c r="AM241" s="7"/>
      <c r="AN241" s="7"/>
      <c r="AO241" s="7"/>
      <c r="AP241" s="10"/>
      <c r="AQ241" s="7"/>
      <c r="AR241" s="7"/>
      <c r="AS241" s="7"/>
      <c r="AT241" s="7"/>
      <c r="AU241" s="7"/>
      <c r="AV241" s="7"/>
      <c r="AW241" s="7"/>
      <c r="AX241" s="7"/>
      <c r="AY241" s="7"/>
      <c r="AZ241" s="7"/>
      <c r="BA241" s="7"/>
      <c r="BB241" s="7"/>
      <c r="BC241" s="7"/>
      <c r="BD241" s="10"/>
      <c r="BE241" s="10"/>
      <c r="BF241" s="266"/>
      <c r="BG241" s="266"/>
    </row>
    <row r="242" spans="1:59" s="268" customFormat="1" x14ac:dyDescent="0.25">
      <c r="A242" s="107"/>
      <c r="B242" s="107"/>
      <c r="C242" s="7"/>
      <c r="D242" s="7"/>
      <c r="E242" s="7"/>
      <c r="F242" s="10"/>
      <c r="G242" s="10"/>
      <c r="H242" s="8"/>
      <c r="I242" s="107"/>
      <c r="J242" s="107"/>
      <c r="K242" s="7"/>
      <c r="L242" s="7"/>
      <c r="M242" s="7"/>
      <c r="N242" s="7"/>
      <c r="O242" s="10"/>
      <c r="P242" s="7"/>
      <c r="Q242" s="7"/>
      <c r="R242" s="7"/>
      <c r="S242" s="7"/>
      <c r="T242" s="7"/>
      <c r="U242" s="7"/>
      <c r="V242" s="7"/>
      <c r="W242" s="7"/>
      <c r="X242" s="10"/>
      <c r="Y242" s="7"/>
      <c r="Z242" s="7"/>
      <c r="AA242" s="10"/>
      <c r="AB242" s="7"/>
      <c r="AC242" s="7"/>
      <c r="AD242" s="7"/>
      <c r="AE242" s="7"/>
      <c r="AF242" s="7"/>
      <c r="AG242" s="7"/>
      <c r="AH242" s="7"/>
      <c r="AI242" s="7"/>
      <c r="AJ242" s="7"/>
      <c r="AK242" s="7"/>
      <c r="AL242" s="7"/>
      <c r="AM242" s="7"/>
      <c r="AN242" s="7"/>
      <c r="AO242" s="7"/>
      <c r="AP242" s="10"/>
      <c r="AQ242" s="7"/>
      <c r="AR242" s="7"/>
      <c r="AS242" s="7"/>
      <c r="AT242" s="7"/>
      <c r="AU242" s="7"/>
      <c r="AV242" s="7"/>
      <c r="AW242" s="7"/>
      <c r="AX242" s="7"/>
      <c r="AY242" s="7"/>
      <c r="AZ242" s="7"/>
      <c r="BA242" s="7"/>
      <c r="BB242" s="7"/>
      <c r="BC242" s="7"/>
      <c r="BD242" s="10"/>
      <c r="BE242" s="10"/>
      <c r="BF242" s="266"/>
      <c r="BG242" s="266"/>
    </row>
    <row r="243" spans="1:59" s="268" customFormat="1" x14ac:dyDescent="0.25">
      <c r="A243" s="107"/>
      <c r="B243" s="107"/>
      <c r="C243" s="7"/>
      <c r="D243" s="7"/>
      <c r="E243" s="7"/>
      <c r="F243" s="10"/>
      <c r="G243" s="10"/>
      <c r="H243" s="8"/>
      <c r="I243" s="107"/>
      <c r="J243" s="107"/>
      <c r="K243" s="7"/>
      <c r="L243" s="7"/>
      <c r="M243" s="7"/>
      <c r="N243" s="7"/>
      <c r="O243" s="10"/>
      <c r="P243" s="7"/>
      <c r="Q243" s="7"/>
      <c r="R243" s="7"/>
      <c r="S243" s="7"/>
      <c r="T243" s="7"/>
      <c r="U243" s="7"/>
      <c r="V243" s="7"/>
      <c r="W243" s="7"/>
      <c r="X243" s="10"/>
      <c r="Y243" s="7"/>
      <c r="Z243" s="7"/>
      <c r="AA243" s="10"/>
      <c r="AB243" s="7"/>
      <c r="AC243" s="7"/>
      <c r="AD243" s="7"/>
      <c r="AE243" s="7"/>
      <c r="AF243" s="7"/>
      <c r="AG243" s="7"/>
      <c r="AH243" s="7"/>
      <c r="AI243" s="7"/>
      <c r="AJ243" s="7"/>
      <c r="AK243" s="7"/>
      <c r="AL243" s="7"/>
      <c r="AM243" s="7"/>
      <c r="AN243" s="7"/>
      <c r="AO243" s="7"/>
      <c r="AP243" s="10"/>
      <c r="AQ243" s="7"/>
      <c r="AR243" s="7"/>
      <c r="AS243" s="7"/>
      <c r="AT243" s="7"/>
      <c r="AU243" s="7"/>
      <c r="AV243" s="7"/>
      <c r="AW243" s="7"/>
      <c r="AX243" s="7"/>
      <c r="AY243" s="7"/>
      <c r="AZ243" s="7"/>
      <c r="BA243" s="7"/>
      <c r="BB243" s="7"/>
      <c r="BC243" s="7"/>
      <c r="BD243" s="10"/>
      <c r="BE243" s="10"/>
      <c r="BF243" s="266"/>
      <c r="BG243" s="266"/>
    </row>
    <row r="244" spans="1:59" s="268" customFormat="1" x14ac:dyDescent="0.25">
      <c r="A244" s="107"/>
      <c r="B244" s="107"/>
      <c r="C244" s="7"/>
      <c r="D244" s="7"/>
      <c r="E244" s="7"/>
      <c r="F244" s="10"/>
      <c r="G244" s="10"/>
      <c r="H244" s="8"/>
      <c r="I244" s="107"/>
      <c r="J244" s="107"/>
      <c r="K244" s="7"/>
      <c r="L244" s="7"/>
      <c r="M244" s="7"/>
      <c r="N244" s="7"/>
      <c r="O244" s="10"/>
      <c r="P244" s="7"/>
      <c r="Q244" s="7"/>
      <c r="R244" s="7"/>
      <c r="S244" s="7"/>
      <c r="T244" s="7"/>
      <c r="U244" s="7"/>
      <c r="V244" s="7"/>
      <c r="W244" s="7"/>
      <c r="X244" s="10"/>
      <c r="Y244" s="7"/>
      <c r="Z244" s="7"/>
      <c r="AA244" s="10"/>
      <c r="AB244" s="7"/>
      <c r="AC244" s="7"/>
      <c r="AD244" s="7"/>
      <c r="AE244" s="7"/>
      <c r="AF244" s="7"/>
      <c r="AG244" s="7"/>
      <c r="AH244" s="7"/>
      <c r="AI244" s="7"/>
      <c r="AJ244" s="7"/>
      <c r="AK244" s="7"/>
      <c r="AL244" s="7"/>
      <c r="AM244" s="7"/>
      <c r="AN244" s="7"/>
      <c r="AO244" s="7"/>
      <c r="AP244" s="10"/>
      <c r="AQ244" s="7"/>
      <c r="AR244" s="7"/>
      <c r="AS244" s="7"/>
      <c r="AT244" s="7"/>
      <c r="AU244" s="7"/>
      <c r="AV244" s="7"/>
      <c r="AW244" s="7"/>
      <c r="AX244" s="7"/>
      <c r="AY244" s="7"/>
      <c r="AZ244" s="7"/>
      <c r="BA244" s="7"/>
      <c r="BB244" s="7"/>
      <c r="BC244" s="7"/>
      <c r="BD244" s="10"/>
      <c r="BE244" s="10"/>
      <c r="BF244" s="266"/>
      <c r="BG244" s="266"/>
    </row>
    <row r="245" spans="1:59" s="268" customFormat="1" x14ac:dyDescent="0.25">
      <c r="A245" s="107"/>
      <c r="B245" s="107"/>
      <c r="C245" s="7"/>
      <c r="D245" s="7"/>
      <c r="E245" s="7"/>
      <c r="F245" s="10"/>
      <c r="G245" s="10"/>
      <c r="H245" s="8"/>
      <c r="I245" s="107"/>
      <c r="J245" s="107"/>
      <c r="K245" s="7"/>
      <c r="L245" s="7"/>
      <c r="M245" s="7"/>
      <c r="N245" s="7"/>
      <c r="O245" s="10"/>
      <c r="P245" s="7"/>
      <c r="Q245" s="7"/>
      <c r="R245" s="7"/>
      <c r="S245" s="7"/>
      <c r="T245" s="7"/>
      <c r="U245" s="7"/>
      <c r="V245" s="7"/>
      <c r="W245" s="7"/>
      <c r="X245" s="10"/>
      <c r="Y245" s="7"/>
      <c r="Z245" s="7"/>
      <c r="AA245" s="10"/>
      <c r="AB245" s="7"/>
      <c r="AC245" s="7"/>
      <c r="AD245" s="7"/>
      <c r="AE245" s="7"/>
      <c r="AF245" s="7"/>
      <c r="AG245" s="7"/>
      <c r="AH245" s="7"/>
      <c r="AI245" s="7"/>
      <c r="AJ245" s="7"/>
      <c r="AK245" s="7"/>
      <c r="AL245" s="7"/>
      <c r="AM245" s="7"/>
      <c r="AN245" s="7"/>
      <c r="AO245" s="7"/>
      <c r="AP245" s="10"/>
      <c r="AQ245" s="7"/>
      <c r="AR245" s="7"/>
      <c r="AS245" s="7"/>
      <c r="AT245" s="7"/>
      <c r="AU245" s="7"/>
      <c r="AV245" s="7"/>
      <c r="AW245" s="7"/>
      <c r="AX245" s="7"/>
      <c r="AY245" s="7"/>
      <c r="AZ245" s="7"/>
      <c r="BA245" s="7"/>
      <c r="BB245" s="7"/>
      <c r="BC245" s="7"/>
      <c r="BD245" s="10"/>
      <c r="BE245" s="10"/>
      <c r="BF245" s="266"/>
      <c r="BG245" s="266"/>
    </row>
    <row r="246" spans="1:59" s="268" customFormat="1" x14ac:dyDescent="0.25">
      <c r="A246" s="107"/>
      <c r="B246" s="107"/>
      <c r="C246" s="7"/>
      <c r="D246" s="7"/>
      <c r="E246" s="7"/>
      <c r="F246" s="10"/>
      <c r="G246" s="10"/>
      <c r="H246" s="8"/>
      <c r="I246" s="107"/>
      <c r="J246" s="107"/>
      <c r="K246" s="7"/>
      <c r="L246" s="7"/>
      <c r="M246" s="7"/>
      <c r="N246" s="7"/>
      <c r="O246" s="10"/>
      <c r="P246" s="7"/>
      <c r="Q246" s="7"/>
      <c r="R246" s="7"/>
      <c r="S246" s="7"/>
      <c r="T246" s="7"/>
      <c r="U246" s="7"/>
      <c r="V246" s="7"/>
      <c r="W246" s="7"/>
      <c r="X246" s="10"/>
      <c r="Y246" s="7"/>
      <c r="Z246" s="7"/>
      <c r="AA246" s="10"/>
      <c r="AB246" s="7"/>
      <c r="AC246" s="7"/>
      <c r="AD246" s="7"/>
      <c r="AE246" s="7"/>
      <c r="AF246" s="7"/>
      <c r="AG246" s="7"/>
      <c r="AH246" s="7"/>
      <c r="AI246" s="7"/>
      <c r="AJ246" s="7"/>
      <c r="AK246" s="7"/>
      <c r="AL246" s="7"/>
      <c r="AM246" s="7"/>
      <c r="AN246" s="7"/>
      <c r="AO246" s="7"/>
      <c r="AP246" s="10"/>
      <c r="AQ246" s="7"/>
      <c r="AR246" s="7"/>
      <c r="AS246" s="7"/>
      <c r="AT246" s="7"/>
      <c r="AU246" s="7"/>
      <c r="AV246" s="7"/>
      <c r="AW246" s="7"/>
      <c r="AX246" s="7"/>
      <c r="AY246" s="7"/>
      <c r="AZ246" s="7"/>
      <c r="BA246" s="7"/>
      <c r="BB246" s="7"/>
      <c r="BC246" s="7"/>
      <c r="BD246" s="10"/>
      <c r="BE246" s="10"/>
      <c r="BF246" s="266"/>
      <c r="BG246" s="266"/>
    </row>
    <row r="247" spans="1:59" s="268" customFormat="1" x14ac:dyDescent="0.25">
      <c r="A247" s="107"/>
      <c r="B247" s="107"/>
      <c r="C247" s="7"/>
      <c r="D247" s="7"/>
      <c r="E247" s="7"/>
      <c r="F247" s="10"/>
      <c r="G247" s="10"/>
      <c r="H247" s="8"/>
      <c r="I247" s="107"/>
      <c r="J247" s="107"/>
      <c r="K247" s="7"/>
      <c r="L247" s="7"/>
      <c r="M247" s="7"/>
      <c r="N247" s="7"/>
      <c r="O247" s="10"/>
      <c r="P247" s="7"/>
      <c r="Q247" s="7"/>
      <c r="R247" s="7"/>
      <c r="S247" s="7"/>
      <c r="T247" s="7"/>
      <c r="U247" s="7"/>
      <c r="V247" s="7"/>
      <c r="W247" s="7"/>
      <c r="X247" s="10"/>
      <c r="Y247" s="7"/>
      <c r="Z247" s="7"/>
      <c r="AA247" s="10"/>
      <c r="AB247" s="7"/>
      <c r="AC247" s="7"/>
      <c r="AD247" s="7"/>
      <c r="AE247" s="7"/>
      <c r="AF247" s="7"/>
      <c r="AG247" s="7"/>
      <c r="AH247" s="7"/>
      <c r="AI247" s="7"/>
      <c r="AJ247" s="7"/>
      <c r="AK247" s="7"/>
      <c r="AL247" s="7"/>
      <c r="AM247" s="7"/>
      <c r="AN247" s="7"/>
      <c r="AO247" s="7"/>
      <c r="AP247" s="10"/>
      <c r="AQ247" s="7"/>
      <c r="AR247" s="7"/>
      <c r="AS247" s="7"/>
      <c r="AT247" s="7"/>
      <c r="AU247" s="7"/>
      <c r="AV247" s="7"/>
      <c r="AW247" s="7"/>
      <c r="AX247" s="7"/>
      <c r="AY247" s="7"/>
      <c r="AZ247" s="7"/>
      <c r="BA247" s="7"/>
      <c r="BB247" s="7"/>
      <c r="BC247" s="7"/>
      <c r="BD247" s="10"/>
      <c r="BE247" s="10"/>
      <c r="BF247" s="266"/>
      <c r="BG247" s="266"/>
    </row>
    <row r="248" spans="1:59" s="268" customFormat="1" x14ac:dyDescent="0.25">
      <c r="A248" s="107"/>
      <c r="B248" s="107"/>
      <c r="C248" s="7"/>
      <c r="D248" s="7"/>
      <c r="E248" s="7"/>
      <c r="F248" s="10"/>
      <c r="G248" s="10"/>
      <c r="H248" s="8"/>
      <c r="I248" s="107"/>
      <c r="J248" s="107"/>
      <c r="K248" s="7"/>
      <c r="L248" s="7"/>
      <c r="M248" s="7"/>
      <c r="N248" s="7"/>
      <c r="O248" s="10"/>
      <c r="P248" s="7"/>
      <c r="Q248" s="7"/>
      <c r="R248" s="7"/>
      <c r="S248" s="7"/>
      <c r="T248" s="7"/>
      <c r="U248" s="7"/>
      <c r="V248" s="7"/>
      <c r="W248" s="7"/>
      <c r="X248" s="10"/>
      <c r="Y248" s="7"/>
      <c r="Z248" s="7"/>
      <c r="AA248" s="10"/>
      <c r="AB248" s="7"/>
      <c r="AC248" s="7"/>
      <c r="AD248" s="7"/>
      <c r="AE248" s="7"/>
      <c r="AF248" s="7"/>
      <c r="AG248" s="7"/>
      <c r="AH248" s="7"/>
      <c r="AI248" s="7"/>
      <c r="AJ248" s="7"/>
      <c r="AK248" s="7"/>
      <c r="AL248" s="7"/>
      <c r="AM248" s="7"/>
      <c r="AN248" s="7"/>
      <c r="AO248" s="7"/>
      <c r="AP248" s="10"/>
      <c r="AQ248" s="7"/>
      <c r="AR248" s="7"/>
      <c r="AS248" s="7"/>
      <c r="AT248" s="7"/>
      <c r="AU248" s="7"/>
      <c r="AV248" s="7"/>
      <c r="AW248" s="7"/>
      <c r="AX248" s="7"/>
      <c r="AY248" s="7"/>
      <c r="AZ248" s="7"/>
      <c r="BA248" s="7"/>
      <c r="BB248" s="7"/>
      <c r="BC248" s="7"/>
      <c r="BD248" s="10"/>
      <c r="BE248" s="10"/>
      <c r="BF248" s="266"/>
      <c r="BG248" s="266"/>
    </row>
    <row r="249" spans="1:59" s="268" customFormat="1" x14ac:dyDescent="0.25">
      <c r="A249" s="107"/>
      <c r="B249" s="107"/>
      <c r="C249" s="7"/>
      <c r="D249" s="7"/>
      <c r="E249" s="7"/>
      <c r="F249" s="10"/>
      <c r="G249" s="10"/>
      <c r="H249" s="8"/>
      <c r="I249" s="107"/>
      <c r="J249" s="107"/>
      <c r="K249" s="108"/>
      <c r="L249" s="108"/>
      <c r="M249" s="108"/>
      <c r="N249" s="108"/>
      <c r="O249" s="11"/>
      <c r="P249" s="108"/>
      <c r="Q249" s="108"/>
      <c r="R249" s="108"/>
      <c r="S249" s="108"/>
      <c r="T249" s="108"/>
      <c r="U249" s="108"/>
      <c r="V249" s="108"/>
      <c r="W249" s="108"/>
      <c r="X249" s="11"/>
      <c r="Y249" s="108"/>
      <c r="Z249" s="108"/>
      <c r="AA249" s="11"/>
      <c r="AB249" s="108"/>
      <c r="AC249" s="108"/>
      <c r="AD249" s="108"/>
      <c r="AE249" s="108"/>
      <c r="AF249" s="108"/>
      <c r="AG249" s="108"/>
      <c r="AH249" s="108"/>
      <c r="AI249" s="108"/>
      <c r="AJ249" s="108"/>
      <c r="AK249" s="108"/>
      <c r="AL249" s="108"/>
      <c r="AM249" s="108"/>
      <c r="AN249" s="108"/>
      <c r="AO249" s="108"/>
      <c r="AP249" s="11"/>
      <c r="AQ249" s="108"/>
      <c r="AR249" s="108"/>
      <c r="AS249" s="108"/>
      <c r="AT249" s="108"/>
      <c r="AU249" s="108"/>
      <c r="AV249" s="108"/>
      <c r="AW249" s="108"/>
      <c r="AX249" s="108"/>
      <c r="AY249" s="108"/>
      <c r="AZ249" s="108"/>
      <c r="BA249" s="108"/>
      <c r="BB249" s="108"/>
      <c r="BC249" s="108"/>
      <c r="BD249" s="11"/>
      <c r="BE249" s="11"/>
      <c r="BF249" s="270"/>
      <c r="BG249" s="270"/>
    </row>
    <row r="250" spans="1:59" s="268" customFormat="1" x14ac:dyDescent="0.25">
      <c r="A250" s="107"/>
      <c r="B250" s="107"/>
      <c r="C250" s="7"/>
      <c r="D250" s="7"/>
      <c r="E250" s="7"/>
      <c r="F250" s="10"/>
      <c r="G250" s="10"/>
      <c r="H250" s="8"/>
      <c r="I250" s="107"/>
      <c r="J250" s="107"/>
      <c r="K250" s="108"/>
      <c r="L250" s="108"/>
      <c r="M250" s="108"/>
      <c r="N250" s="108"/>
      <c r="O250" s="11"/>
      <c r="P250" s="108"/>
      <c r="Q250" s="108"/>
      <c r="R250" s="108"/>
      <c r="S250" s="108"/>
      <c r="T250" s="108"/>
      <c r="U250" s="108"/>
      <c r="V250" s="108"/>
      <c r="W250" s="108"/>
      <c r="X250" s="11"/>
      <c r="Y250" s="108"/>
      <c r="Z250" s="108"/>
      <c r="AA250" s="11"/>
      <c r="AB250" s="108"/>
      <c r="AC250" s="108"/>
      <c r="AD250" s="108"/>
      <c r="AE250" s="108"/>
      <c r="AF250" s="108"/>
      <c r="AG250" s="108"/>
      <c r="AH250" s="108"/>
      <c r="AI250" s="108"/>
      <c r="AJ250" s="108"/>
      <c r="AK250" s="108"/>
      <c r="AL250" s="108"/>
      <c r="AM250" s="108"/>
      <c r="AN250" s="108"/>
      <c r="AO250" s="108"/>
      <c r="AP250" s="11"/>
      <c r="AQ250" s="108"/>
      <c r="AR250" s="108"/>
      <c r="AS250" s="108"/>
      <c r="AT250" s="108"/>
      <c r="AU250" s="108"/>
      <c r="AV250" s="108"/>
      <c r="AW250" s="108"/>
      <c r="AX250" s="108"/>
      <c r="AY250" s="108"/>
      <c r="AZ250" s="108"/>
      <c r="BA250" s="108"/>
      <c r="BB250" s="108"/>
      <c r="BC250" s="108"/>
      <c r="BD250" s="11"/>
      <c r="BE250" s="11"/>
      <c r="BF250" s="270"/>
      <c r="BG250" s="270"/>
    </row>
    <row r="251" spans="1:59" s="268" customFormat="1" x14ac:dyDescent="0.25">
      <c r="A251" s="107"/>
      <c r="B251" s="107"/>
      <c r="C251" s="7"/>
      <c r="D251" s="7"/>
      <c r="E251" s="7"/>
      <c r="F251" s="10"/>
      <c r="G251" s="10"/>
      <c r="H251" s="8"/>
      <c r="I251" s="107"/>
      <c r="J251" s="107"/>
      <c r="K251" s="108"/>
      <c r="L251" s="108"/>
      <c r="M251" s="108"/>
      <c r="N251" s="108"/>
      <c r="O251" s="11"/>
      <c r="P251" s="108"/>
      <c r="Q251" s="108"/>
      <c r="R251" s="108"/>
      <c r="S251" s="108"/>
      <c r="T251" s="108"/>
      <c r="U251" s="108"/>
      <c r="V251" s="108"/>
      <c r="W251" s="108"/>
      <c r="X251" s="11"/>
      <c r="Y251" s="108"/>
      <c r="Z251" s="108"/>
      <c r="AA251" s="11"/>
      <c r="AB251" s="108"/>
      <c r="AC251" s="108"/>
      <c r="AD251" s="108"/>
      <c r="AE251" s="108"/>
      <c r="AF251" s="108"/>
      <c r="AG251" s="108"/>
      <c r="AH251" s="108"/>
      <c r="AI251" s="108"/>
      <c r="AJ251" s="108"/>
      <c r="AK251" s="108"/>
      <c r="AL251" s="108"/>
      <c r="AM251" s="108"/>
      <c r="AN251" s="108"/>
      <c r="AO251" s="108"/>
      <c r="AP251" s="11"/>
      <c r="AQ251" s="108"/>
      <c r="AR251" s="108"/>
      <c r="AS251" s="108"/>
      <c r="AT251" s="108"/>
      <c r="AU251" s="108"/>
      <c r="AV251" s="108"/>
      <c r="AW251" s="108"/>
      <c r="AX251" s="108"/>
      <c r="AY251" s="108"/>
      <c r="AZ251" s="108"/>
      <c r="BA251" s="108"/>
      <c r="BB251" s="108"/>
      <c r="BC251" s="108"/>
      <c r="BD251" s="11"/>
      <c r="BE251" s="11"/>
      <c r="BF251" s="270"/>
      <c r="BG251" s="270"/>
    </row>
    <row r="252" spans="1:59" s="268" customFormat="1" x14ac:dyDescent="0.25">
      <c r="A252" s="107"/>
      <c r="B252" s="107"/>
      <c r="C252" s="7"/>
      <c r="D252" s="7"/>
      <c r="E252" s="7"/>
      <c r="F252" s="10"/>
      <c r="G252" s="10"/>
      <c r="H252" s="8"/>
      <c r="I252" s="107"/>
      <c r="J252" s="107"/>
      <c r="K252" s="108"/>
      <c r="L252" s="108"/>
      <c r="M252" s="108"/>
      <c r="N252" s="108"/>
      <c r="O252" s="11"/>
      <c r="P252" s="108"/>
      <c r="Q252" s="108"/>
      <c r="R252" s="108"/>
      <c r="S252" s="108"/>
      <c r="T252" s="108"/>
      <c r="U252" s="108"/>
      <c r="V252" s="108"/>
      <c r="W252" s="108"/>
      <c r="X252" s="11"/>
      <c r="Y252" s="108"/>
      <c r="Z252" s="108"/>
      <c r="AA252" s="11"/>
      <c r="AB252" s="108"/>
      <c r="AC252" s="108"/>
      <c r="AD252" s="108"/>
      <c r="AE252" s="108"/>
      <c r="AF252" s="108"/>
      <c r="AG252" s="108"/>
      <c r="AH252" s="108"/>
      <c r="AI252" s="108"/>
      <c r="AJ252" s="108"/>
      <c r="AK252" s="108"/>
      <c r="AL252" s="108"/>
      <c r="AM252" s="108"/>
      <c r="AN252" s="108"/>
      <c r="AO252" s="108"/>
      <c r="AP252" s="11"/>
      <c r="AQ252" s="108"/>
      <c r="AR252" s="108"/>
      <c r="AS252" s="108"/>
      <c r="AT252" s="108"/>
      <c r="AU252" s="108"/>
      <c r="AV252" s="108"/>
      <c r="AW252" s="108"/>
      <c r="AX252" s="108"/>
      <c r="AY252" s="108"/>
      <c r="AZ252" s="108"/>
      <c r="BA252" s="108"/>
      <c r="BB252" s="108"/>
      <c r="BC252" s="108"/>
      <c r="BD252" s="11"/>
      <c r="BE252" s="11"/>
      <c r="BF252" s="270"/>
      <c r="BG252" s="270"/>
    </row>
    <row r="253" spans="1:59" s="268" customFormat="1" x14ac:dyDescent="0.25">
      <c r="A253" s="107"/>
      <c r="B253" s="107"/>
      <c r="C253" s="7"/>
      <c r="D253" s="7"/>
      <c r="E253" s="7"/>
      <c r="F253" s="10"/>
      <c r="G253" s="10"/>
      <c r="H253" s="8"/>
      <c r="I253" s="107"/>
      <c r="J253" s="107"/>
      <c r="K253" s="108"/>
      <c r="L253" s="108"/>
      <c r="M253" s="108"/>
      <c r="N253" s="108"/>
      <c r="O253" s="11"/>
      <c r="P253" s="108"/>
      <c r="Q253" s="108"/>
      <c r="R253" s="108"/>
      <c r="S253" s="108"/>
      <c r="T253" s="108"/>
      <c r="U253" s="108"/>
      <c r="V253" s="108"/>
      <c r="W253" s="108"/>
      <c r="X253" s="11"/>
      <c r="Y253" s="108"/>
      <c r="Z253" s="108"/>
      <c r="AA253" s="11"/>
      <c r="AB253" s="108"/>
      <c r="AC253" s="108"/>
      <c r="AD253" s="108"/>
      <c r="AE253" s="108"/>
      <c r="AF253" s="108"/>
      <c r="AG253" s="108"/>
      <c r="AH253" s="108"/>
      <c r="AI253" s="108"/>
      <c r="AJ253" s="108"/>
      <c r="AK253" s="108"/>
      <c r="AL253" s="108"/>
      <c r="AM253" s="108"/>
      <c r="AN253" s="108"/>
      <c r="AO253" s="108"/>
      <c r="AP253" s="11"/>
      <c r="AQ253" s="108"/>
      <c r="AR253" s="108"/>
      <c r="AS253" s="108"/>
      <c r="AT253" s="108"/>
      <c r="AU253" s="108"/>
      <c r="AV253" s="108"/>
      <c r="AW253" s="108"/>
      <c r="AX253" s="108"/>
      <c r="AY253" s="108"/>
      <c r="AZ253" s="108"/>
      <c r="BA253" s="108"/>
      <c r="BB253" s="108"/>
      <c r="BC253" s="108"/>
      <c r="BD253" s="11"/>
      <c r="BE253" s="11"/>
      <c r="BF253" s="270"/>
      <c r="BG253" s="270"/>
    </row>
    <row r="254" spans="1:59" s="268" customFormat="1" x14ac:dyDescent="0.25">
      <c r="A254" s="107"/>
      <c r="B254" s="107"/>
      <c r="C254" s="7"/>
      <c r="D254" s="7"/>
      <c r="E254" s="7"/>
      <c r="F254" s="10"/>
      <c r="G254" s="10"/>
      <c r="H254" s="8"/>
      <c r="I254" s="107"/>
      <c r="J254" s="107"/>
      <c r="K254" s="108"/>
      <c r="L254" s="108"/>
      <c r="M254" s="108"/>
      <c r="N254" s="108"/>
      <c r="O254" s="11"/>
      <c r="P254" s="108"/>
      <c r="Q254" s="108"/>
      <c r="R254" s="108"/>
      <c r="S254" s="108"/>
      <c r="T254" s="108"/>
      <c r="U254" s="108"/>
      <c r="V254" s="108"/>
      <c r="W254" s="108"/>
      <c r="X254" s="11"/>
      <c r="Y254" s="108"/>
      <c r="Z254" s="108"/>
      <c r="AA254" s="11"/>
      <c r="AB254" s="108"/>
      <c r="AC254" s="108"/>
      <c r="AD254" s="108"/>
      <c r="AE254" s="108"/>
      <c r="AF254" s="108"/>
      <c r="AG254" s="108"/>
      <c r="AH254" s="108"/>
      <c r="AI254" s="108"/>
      <c r="AJ254" s="108"/>
      <c r="AK254" s="108"/>
      <c r="AL254" s="108"/>
      <c r="AM254" s="108"/>
      <c r="AN254" s="108"/>
      <c r="AO254" s="108"/>
      <c r="AP254" s="11"/>
      <c r="AQ254" s="108"/>
      <c r="AR254" s="108"/>
      <c r="AS254" s="108"/>
      <c r="AT254" s="108"/>
      <c r="AU254" s="108"/>
      <c r="AV254" s="108"/>
      <c r="AW254" s="108"/>
      <c r="AX254" s="108"/>
      <c r="AY254" s="108"/>
      <c r="AZ254" s="108"/>
      <c r="BA254" s="108"/>
      <c r="BB254" s="108"/>
      <c r="BC254" s="108"/>
      <c r="BD254" s="11"/>
      <c r="BE254" s="11"/>
      <c r="BF254" s="270"/>
      <c r="BG254" s="270"/>
    </row>
    <row r="255" spans="1:59" s="268" customFormat="1" x14ac:dyDescent="0.25">
      <c r="A255" s="107"/>
      <c r="B255" s="107"/>
      <c r="C255" s="7"/>
      <c r="D255" s="7"/>
      <c r="E255" s="7"/>
      <c r="F255" s="10"/>
      <c r="G255" s="10"/>
      <c r="H255" s="8"/>
      <c r="I255" s="107"/>
      <c r="J255" s="107"/>
      <c r="K255" s="108"/>
      <c r="L255" s="108"/>
      <c r="M255" s="108"/>
      <c r="N255" s="108"/>
      <c r="O255" s="11"/>
      <c r="P255" s="108"/>
      <c r="Q255" s="108"/>
      <c r="R255" s="108"/>
      <c r="S255" s="108"/>
      <c r="T255" s="108"/>
      <c r="U255" s="108"/>
      <c r="V255" s="108"/>
      <c r="W255" s="108"/>
      <c r="X255" s="11"/>
      <c r="Y255" s="108"/>
      <c r="Z255" s="108"/>
      <c r="AA255" s="11"/>
      <c r="AB255" s="108"/>
      <c r="AC255" s="108"/>
      <c r="AD255" s="108"/>
      <c r="AE255" s="108"/>
      <c r="AF255" s="108"/>
      <c r="AG255" s="108"/>
      <c r="AH255" s="108"/>
      <c r="AI255" s="108"/>
      <c r="AJ255" s="108"/>
      <c r="AK255" s="108"/>
      <c r="AL255" s="108"/>
      <c r="AM255" s="108"/>
      <c r="AN255" s="108"/>
      <c r="AO255" s="108"/>
      <c r="AP255" s="11"/>
      <c r="AQ255" s="108"/>
      <c r="AR255" s="108"/>
      <c r="AS255" s="108"/>
      <c r="AT255" s="108"/>
      <c r="AU255" s="108"/>
      <c r="AV255" s="108"/>
      <c r="AW255" s="108"/>
      <c r="AX255" s="108"/>
      <c r="AY255" s="108"/>
      <c r="AZ255" s="108"/>
      <c r="BA255" s="108"/>
      <c r="BB255" s="108"/>
      <c r="BC255" s="108"/>
      <c r="BD255" s="11"/>
      <c r="BE255" s="11"/>
      <c r="BF255" s="270"/>
      <c r="BG255" s="270"/>
    </row>
    <row r="256" spans="1:59" s="268" customFormat="1" x14ac:dyDescent="0.25">
      <c r="A256" s="107"/>
      <c r="B256" s="107"/>
      <c r="C256" s="7"/>
      <c r="D256" s="7"/>
      <c r="E256" s="7"/>
      <c r="F256" s="10"/>
      <c r="G256" s="10"/>
      <c r="H256" s="8"/>
      <c r="I256" s="107"/>
      <c r="J256" s="107"/>
      <c r="K256" s="108"/>
      <c r="L256" s="108"/>
      <c r="M256" s="108"/>
      <c r="N256" s="108"/>
      <c r="O256" s="11"/>
      <c r="P256" s="108"/>
      <c r="Q256" s="108"/>
      <c r="R256" s="108"/>
      <c r="S256" s="108"/>
      <c r="T256" s="108"/>
      <c r="U256" s="108"/>
      <c r="V256" s="108"/>
      <c r="W256" s="108"/>
      <c r="X256" s="11"/>
      <c r="Y256" s="108"/>
      <c r="Z256" s="108"/>
      <c r="AA256" s="11"/>
      <c r="AB256" s="108"/>
      <c r="AC256" s="108"/>
      <c r="AD256" s="108"/>
      <c r="AE256" s="108"/>
      <c r="AF256" s="108"/>
      <c r="AG256" s="108"/>
      <c r="AH256" s="108"/>
      <c r="AI256" s="108"/>
      <c r="AJ256" s="108"/>
      <c r="AK256" s="108"/>
      <c r="AL256" s="108"/>
      <c r="AM256" s="108"/>
      <c r="AN256" s="108"/>
      <c r="AO256" s="108"/>
      <c r="AP256" s="11"/>
      <c r="AQ256" s="108"/>
      <c r="AR256" s="108"/>
      <c r="AS256" s="108"/>
      <c r="AT256" s="108"/>
      <c r="AU256" s="108"/>
      <c r="AV256" s="108"/>
      <c r="AW256" s="108"/>
      <c r="AX256" s="108"/>
      <c r="AY256" s="108"/>
      <c r="AZ256" s="108"/>
      <c r="BA256" s="108"/>
      <c r="BB256" s="108"/>
      <c r="BC256" s="108"/>
      <c r="BD256" s="11"/>
      <c r="BE256" s="11"/>
      <c r="BF256" s="270"/>
      <c r="BG256" s="270"/>
    </row>
    <row r="257" spans="1:59" s="268" customFormat="1" x14ac:dyDescent="0.25">
      <c r="A257" s="107"/>
      <c r="B257" s="107"/>
      <c r="C257" s="7"/>
      <c r="D257" s="7"/>
      <c r="E257" s="7"/>
      <c r="F257" s="10"/>
      <c r="G257" s="10"/>
      <c r="H257" s="8"/>
      <c r="I257" s="107"/>
      <c r="J257" s="107"/>
      <c r="K257" s="108"/>
      <c r="L257" s="108"/>
      <c r="M257" s="108"/>
      <c r="N257" s="108"/>
      <c r="O257" s="11"/>
      <c r="P257" s="108"/>
      <c r="Q257" s="108"/>
      <c r="R257" s="108"/>
      <c r="S257" s="108"/>
      <c r="T257" s="108"/>
      <c r="U257" s="108"/>
      <c r="V257" s="108"/>
      <c r="W257" s="108"/>
      <c r="X257" s="11"/>
      <c r="Y257" s="108"/>
      <c r="Z257" s="108"/>
      <c r="AA257" s="11"/>
      <c r="AB257" s="108"/>
      <c r="AC257" s="108"/>
      <c r="AD257" s="108"/>
      <c r="AE257" s="108"/>
      <c r="AF257" s="108"/>
      <c r="AG257" s="108"/>
      <c r="AH257" s="108"/>
      <c r="AI257" s="108"/>
      <c r="AJ257" s="108"/>
      <c r="AK257" s="108"/>
      <c r="AL257" s="108"/>
      <c r="AM257" s="108"/>
      <c r="AN257" s="108"/>
      <c r="AO257" s="108"/>
      <c r="AP257" s="11"/>
      <c r="AQ257" s="108"/>
      <c r="AR257" s="108"/>
      <c r="AS257" s="108"/>
      <c r="AT257" s="108"/>
      <c r="AU257" s="108"/>
      <c r="AV257" s="108"/>
      <c r="AW257" s="108"/>
      <c r="AX257" s="108"/>
      <c r="AY257" s="108"/>
      <c r="AZ257" s="108"/>
      <c r="BA257" s="108"/>
      <c r="BB257" s="108"/>
      <c r="BC257" s="108"/>
      <c r="BD257" s="11"/>
      <c r="BE257" s="11"/>
      <c r="BF257" s="270"/>
      <c r="BG257" s="270"/>
    </row>
    <row r="258" spans="1:59" s="268" customFormat="1" x14ac:dyDescent="0.25">
      <c r="A258" s="107"/>
      <c r="B258" s="107"/>
      <c r="C258" s="7"/>
      <c r="D258" s="7"/>
      <c r="E258" s="7"/>
      <c r="F258" s="10"/>
      <c r="G258" s="10"/>
      <c r="H258" s="8"/>
      <c r="I258" s="107"/>
      <c r="J258" s="107"/>
      <c r="K258" s="108"/>
      <c r="L258" s="108"/>
      <c r="M258" s="108"/>
      <c r="N258" s="108"/>
      <c r="O258" s="11"/>
      <c r="P258" s="108"/>
      <c r="Q258" s="108"/>
      <c r="R258" s="108"/>
      <c r="S258" s="108"/>
      <c r="T258" s="108"/>
      <c r="U258" s="108"/>
      <c r="V258" s="108"/>
      <c r="W258" s="108"/>
      <c r="X258" s="11"/>
      <c r="Y258" s="108"/>
      <c r="Z258" s="108"/>
      <c r="AA258" s="11"/>
      <c r="AB258" s="108"/>
      <c r="AC258" s="108"/>
      <c r="AD258" s="108"/>
      <c r="AE258" s="108"/>
      <c r="AF258" s="108"/>
      <c r="AG258" s="108"/>
      <c r="AH258" s="108"/>
      <c r="AI258" s="108"/>
      <c r="AJ258" s="108"/>
      <c r="AK258" s="108"/>
      <c r="AL258" s="108"/>
      <c r="AM258" s="108"/>
      <c r="AN258" s="108"/>
      <c r="AO258" s="108"/>
      <c r="AP258" s="11"/>
      <c r="AQ258" s="108"/>
      <c r="AR258" s="108"/>
      <c r="AS258" s="108"/>
      <c r="AT258" s="108"/>
      <c r="AU258" s="108"/>
      <c r="AV258" s="108"/>
      <c r="AW258" s="108"/>
      <c r="AX258" s="108"/>
      <c r="AY258" s="108"/>
      <c r="AZ258" s="108"/>
      <c r="BA258" s="108"/>
      <c r="BB258" s="108"/>
      <c r="BC258" s="108"/>
      <c r="BD258" s="11"/>
      <c r="BE258" s="11"/>
      <c r="BF258" s="270"/>
      <c r="BG258" s="270"/>
    </row>
    <row r="259" spans="1:59" s="268" customFormat="1" x14ac:dyDescent="0.25">
      <c r="A259" s="107"/>
      <c r="B259" s="107"/>
      <c r="C259" s="7"/>
      <c r="D259" s="7"/>
      <c r="E259" s="7"/>
      <c r="F259" s="10"/>
      <c r="G259" s="10"/>
      <c r="H259" s="8"/>
      <c r="I259" s="107"/>
      <c r="J259" s="107"/>
      <c r="K259" s="108"/>
      <c r="L259" s="108"/>
      <c r="M259" s="108"/>
      <c r="N259" s="108"/>
      <c r="O259" s="11"/>
      <c r="P259" s="108"/>
      <c r="Q259" s="108"/>
      <c r="R259" s="108"/>
      <c r="S259" s="108"/>
      <c r="T259" s="108"/>
      <c r="U259" s="108"/>
      <c r="V259" s="108"/>
      <c r="W259" s="108"/>
      <c r="X259" s="11"/>
      <c r="Y259" s="108"/>
      <c r="Z259" s="108"/>
      <c r="AA259" s="11"/>
      <c r="AB259" s="108"/>
      <c r="AC259" s="108"/>
      <c r="AD259" s="108"/>
      <c r="AE259" s="108"/>
      <c r="AF259" s="108"/>
      <c r="AG259" s="108"/>
      <c r="AH259" s="108"/>
      <c r="AI259" s="108"/>
      <c r="AJ259" s="108"/>
      <c r="AK259" s="108"/>
      <c r="AL259" s="108"/>
      <c r="AM259" s="108"/>
      <c r="AN259" s="108"/>
      <c r="AO259" s="108"/>
      <c r="AP259" s="11"/>
      <c r="AQ259" s="108"/>
      <c r="AR259" s="108"/>
      <c r="AS259" s="108"/>
      <c r="AT259" s="108"/>
      <c r="AU259" s="108"/>
      <c r="AV259" s="108"/>
      <c r="AW259" s="108"/>
      <c r="AX259" s="108"/>
      <c r="AY259" s="108"/>
      <c r="AZ259" s="108"/>
      <c r="BA259" s="108"/>
      <c r="BB259" s="108"/>
      <c r="BC259" s="108"/>
      <c r="BD259" s="11"/>
      <c r="BE259" s="11"/>
      <c r="BF259" s="270"/>
      <c r="BG259" s="270"/>
    </row>
    <row r="260" spans="1:59" s="268" customFormat="1" x14ac:dyDescent="0.25">
      <c r="A260" s="107"/>
      <c r="B260" s="107"/>
      <c r="C260" s="7"/>
      <c r="D260" s="7"/>
      <c r="E260" s="7"/>
      <c r="F260" s="10"/>
      <c r="G260" s="10"/>
      <c r="H260" s="8"/>
      <c r="I260" s="107"/>
      <c r="J260" s="107"/>
      <c r="K260" s="108"/>
      <c r="L260" s="108"/>
      <c r="M260" s="108"/>
      <c r="N260" s="108"/>
      <c r="O260" s="11"/>
      <c r="P260" s="108"/>
      <c r="Q260" s="108"/>
      <c r="R260" s="108"/>
      <c r="S260" s="108"/>
      <c r="T260" s="108"/>
      <c r="U260" s="108"/>
      <c r="V260" s="108"/>
      <c r="W260" s="108"/>
      <c r="X260" s="11"/>
      <c r="Y260" s="108"/>
      <c r="Z260" s="108"/>
      <c r="AA260" s="11"/>
      <c r="AB260" s="108"/>
      <c r="AC260" s="108"/>
      <c r="AD260" s="108"/>
      <c r="AE260" s="108"/>
      <c r="AF260" s="108"/>
      <c r="AG260" s="108"/>
      <c r="AH260" s="108"/>
      <c r="AI260" s="108"/>
      <c r="AJ260" s="108"/>
      <c r="AK260" s="108"/>
      <c r="AL260" s="108"/>
      <c r="AM260" s="108"/>
      <c r="AN260" s="108"/>
      <c r="AO260" s="108"/>
      <c r="AP260" s="11"/>
      <c r="AQ260" s="108"/>
      <c r="AR260" s="108"/>
      <c r="AS260" s="108"/>
      <c r="AT260" s="108"/>
      <c r="AU260" s="108"/>
      <c r="AV260" s="108"/>
      <c r="AW260" s="108"/>
      <c r="AX260" s="108"/>
      <c r="AY260" s="108"/>
      <c r="AZ260" s="108"/>
      <c r="BA260" s="108"/>
      <c r="BB260" s="108"/>
      <c r="BC260" s="108"/>
      <c r="BD260" s="11"/>
      <c r="BE260" s="11"/>
      <c r="BF260" s="270"/>
      <c r="BG260" s="270"/>
    </row>
    <row r="261" spans="1:59" s="268" customFormat="1" x14ac:dyDescent="0.25">
      <c r="A261" s="107"/>
      <c r="B261" s="107"/>
      <c r="C261" s="7"/>
      <c r="D261" s="7"/>
      <c r="E261" s="7"/>
      <c r="F261" s="10"/>
      <c r="G261" s="10"/>
      <c r="H261" s="8"/>
      <c r="I261" s="107"/>
      <c r="J261" s="107"/>
      <c r="K261" s="108"/>
      <c r="L261" s="108"/>
      <c r="M261" s="108"/>
      <c r="N261" s="108"/>
      <c r="O261" s="11"/>
      <c r="P261" s="108"/>
      <c r="Q261" s="108"/>
      <c r="R261" s="108"/>
      <c r="S261" s="108"/>
      <c r="T261" s="108"/>
      <c r="U261" s="108"/>
      <c r="V261" s="108"/>
      <c r="W261" s="108"/>
      <c r="X261" s="11"/>
      <c r="Y261" s="108"/>
      <c r="Z261" s="108"/>
      <c r="AA261" s="11"/>
      <c r="AB261" s="108"/>
      <c r="AC261" s="108"/>
      <c r="AD261" s="108"/>
      <c r="AE261" s="108"/>
      <c r="AF261" s="108"/>
      <c r="AG261" s="108"/>
      <c r="AH261" s="108"/>
      <c r="AI261" s="108"/>
      <c r="AJ261" s="108"/>
      <c r="AK261" s="108"/>
      <c r="AL261" s="108"/>
      <c r="AM261" s="108"/>
      <c r="AN261" s="108"/>
      <c r="AO261" s="108"/>
      <c r="AP261" s="11"/>
      <c r="AQ261" s="108"/>
      <c r="AR261" s="108"/>
      <c r="AS261" s="108"/>
      <c r="AT261" s="108"/>
      <c r="AU261" s="108"/>
      <c r="AV261" s="108"/>
      <c r="AW261" s="108"/>
      <c r="AX261" s="108"/>
      <c r="AY261" s="108"/>
      <c r="AZ261" s="108"/>
      <c r="BA261" s="108"/>
      <c r="BB261" s="108"/>
      <c r="BC261" s="108"/>
      <c r="BD261" s="11"/>
      <c r="BE261" s="11"/>
      <c r="BF261" s="270"/>
      <c r="BG261" s="270"/>
    </row>
    <row r="262" spans="1:59" s="268" customFormat="1" x14ac:dyDescent="0.25">
      <c r="A262" s="107"/>
      <c r="B262" s="107"/>
      <c r="C262" s="7"/>
      <c r="D262" s="7"/>
      <c r="E262" s="7"/>
      <c r="F262" s="10"/>
      <c r="G262" s="10"/>
      <c r="H262" s="8"/>
      <c r="I262" s="107"/>
      <c r="J262" s="107"/>
      <c r="K262" s="7"/>
      <c r="L262" s="7"/>
      <c r="M262" s="7"/>
      <c r="N262" s="7"/>
      <c r="O262" s="10"/>
      <c r="P262" s="7"/>
      <c r="Q262" s="7"/>
      <c r="R262" s="7"/>
      <c r="S262" s="7"/>
      <c r="T262" s="7"/>
      <c r="U262" s="7"/>
      <c r="V262" s="7"/>
      <c r="W262" s="7"/>
      <c r="X262" s="10"/>
      <c r="Y262" s="7"/>
      <c r="Z262" s="7"/>
      <c r="AA262" s="10"/>
      <c r="AB262" s="7"/>
      <c r="AC262" s="7"/>
      <c r="AD262" s="7"/>
      <c r="AE262" s="7"/>
      <c r="AF262" s="7"/>
      <c r="AG262" s="7"/>
      <c r="AH262" s="7"/>
      <c r="AI262" s="7"/>
      <c r="AJ262" s="7"/>
      <c r="AK262" s="7"/>
      <c r="AL262" s="7"/>
      <c r="AM262" s="7"/>
      <c r="AN262" s="7"/>
      <c r="AO262" s="7"/>
      <c r="AP262" s="10"/>
      <c r="AQ262" s="7"/>
      <c r="AR262" s="7"/>
      <c r="AS262" s="7"/>
      <c r="AT262" s="7"/>
      <c r="AU262" s="7"/>
      <c r="AV262" s="7"/>
      <c r="AW262" s="7"/>
      <c r="AX262" s="7"/>
      <c r="AY262" s="7"/>
      <c r="AZ262" s="7"/>
      <c r="BA262" s="7"/>
      <c r="BB262" s="7"/>
      <c r="BC262" s="7"/>
      <c r="BD262" s="10"/>
      <c r="BE262" s="10"/>
      <c r="BF262" s="266"/>
      <c r="BG262" s="266"/>
    </row>
    <row r="263" spans="1:59" s="268" customFormat="1" x14ac:dyDescent="0.25">
      <c r="A263" s="107"/>
      <c r="B263" s="107"/>
      <c r="C263" s="7"/>
      <c r="D263" s="7"/>
      <c r="E263" s="7"/>
      <c r="F263" s="10"/>
      <c r="G263" s="10"/>
      <c r="H263" s="8"/>
      <c r="I263" s="107"/>
      <c r="J263" s="107"/>
      <c r="K263" s="7"/>
      <c r="L263" s="7"/>
      <c r="M263" s="7"/>
      <c r="N263" s="7"/>
      <c r="O263" s="10"/>
      <c r="P263" s="7"/>
      <c r="Q263" s="7"/>
      <c r="R263" s="7"/>
      <c r="S263" s="7"/>
      <c r="T263" s="7"/>
      <c r="U263" s="7"/>
      <c r="V263" s="7"/>
      <c r="W263" s="7"/>
      <c r="X263" s="10"/>
      <c r="Y263" s="7"/>
      <c r="Z263" s="7"/>
      <c r="AA263" s="10"/>
      <c r="AB263" s="7"/>
      <c r="AC263" s="7"/>
      <c r="AD263" s="7"/>
      <c r="AE263" s="7"/>
      <c r="AF263" s="7"/>
      <c r="AG263" s="7"/>
      <c r="AH263" s="7"/>
      <c r="AI263" s="7"/>
      <c r="AJ263" s="7"/>
      <c r="AK263" s="7"/>
      <c r="AL263" s="7"/>
      <c r="AM263" s="7"/>
      <c r="AN263" s="7"/>
      <c r="AO263" s="7"/>
      <c r="AP263" s="10"/>
      <c r="AQ263" s="7"/>
      <c r="AR263" s="7"/>
      <c r="AS263" s="7"/>
      <c r="AT263" s="7"/>
      <c r="AU263" s="7"/>
      <c r="AV263" s="7"/>
      <c r="AW263" s="7"/>
      <c r="AX263" s="7"/>
      <c r="AY263" s="7"/>
      <c r="AZ263" s="7"/>
      <c r="BA263" s="7"/>
      <c r="BB263" s="7"/>
      <c r="BC263" s="7"/>
      <c r="BD263" s="10"/>
      <c r="BE263" s="10"/>
      <c r="BF263" s="266"/>
      <c r="BG263" s="266"/>
    </row>
    <row r="264" spans="1:59" s="268" customFormat="1" x14ac:dyDescent="0.25">
      <c r="A264" s="107"/>
      <c r="B264" s="107"/>
      <c r="C264" s="7"/>
      <c r="D264" s="7"/>
      <c r="E264" s="7"/>
      <c r="F264" s="10"/>
      <c r="G264" s="10"/>
      <c r="H264" s="8"/>
      <c r="I264" s="107"/>
      <c r="J264" s="107"/>
      <c r="K264" s="7"/>
      <c r="L264" s="7"/>
      <c r="M264" s="7"/>
      <c r="N264" s="7"/>
      <c r="O264" s="10"/>
      <c r="P264" s="7"/>
      <c r="Q264" s="7"/>
      <c r="R264" s="7"/>
      <c r="S264" s="7"/>
      <c r="T264" s="7"/>
      <c r="U264" s="7"/>
      <c r="V264" s="7"/>
      <c r="W264" s="7"/>
      <c r="X264" s="10"/>
      <c r="Y264" s="7"/>
      <c r="Z264" s="7"/>
      <c r="AA264" s="10"/>
      <c r="AB264" s="7"/>
      <c r="AC264" s="7"/>
      <c r="AD264" s="7"/>
      <c r="AE264" s="7"/>
      <c r="AF264" s="7"/>
      <c r="AG264" s="7"/>
      <c r="AH264" s="7"/>
      <c r="AI264" s="7"/>
      <c r="AJ264" s="7"/>
      <c r="AK264" s="7"/>
      <c r="AL264" s="7"/>
      <c r="AM264" s="7"/>
      <c r="AN264" s="7"/>
      <c r="AO264" s="7"/>
      <c r="AP264" s="10"/>
      <c r="AQ264" s="7"/>
      <c r="AR264" s="7"/>
      <c r="AS264" s="7"/>
      <c r="AT264" s="7"/>
      <c r="AU264" s="7"/>
      <c r="AV264" s="7"/>
      <c r="AW264" s="7"/>
      <c r="AX264" s="7"/>
      <c r="AY264" s="7"/>
      <c r="AZ264" s="7"/>
      <c r="BA264" s="7"/>
      <c r="BB264" s="7"/>
      <c r="BC264" s="7"/>
      <c r="BD264" s="10"/>
      <c r="BE264" s="10"/>
      <c r="BF264" s="266"/>
      <c r="BG264" s="266"/>
    </row>
    <row r="265" spans="1:59" s="268" customFormat="1" x14ac:dyDescent="0.25">
      <c r="A265" s="107"/>
      <c r="B265" s="107"/>
      <c r="C265" s="7"/>
      <c r="D265" s="7"/>
      <c r="E265" s="7"/>
      <c r="F265" s="10"/>
      <c r="G265" s="10"/>
      <c r="H265" s="8"/>
      <c r="I265" s="107"/>
      <c r="J265" s="107"/>
      <c r="K265" s="7"/>
      <c r="L265" s="7"/>
      <c r="M265" s="7"/>
      <c r="N265" s="7"/>
      <c r="O265" s="10"/>
      <c r="P265" s="7"/>
      <c r="Q265" s="7"/>
      <c r="R265" s="7"/>
      <c r="S265" s="7"/>
      <c r="T265" s="7"/>
      <c r="U265" s="7"/>
      <c r="V265" s="7"/>
      <c r="W265" s="7"/>
      <c r="X265" s="10"/>
      <c r="Y265" s="7"/>
      <c r="Z265" s="7"/>
      <c r="AA265" s="10"/>
      <c r="AB265" s="7"/>
      <c r="AC265" s="7"/>
      <c r="AD265" s="7"/>
      <c r="AE265" s="7"/>
      <c r="AF265" s="7"/>
      <c r="AG265" s="7"/>
      <c r="AH265" s="7"/>
      <c r="AI265" s="7"/>
      <c r="AJ265" s="7"/>
      <c r="AK265" s="7"/>
      <c r="AL265" s="7"/>
      <c r="AM265" s="7"/>
      <c r="AN265" s="7"/>
      <c r="AO265" s="7"/>
      <c r="AP265" s="10"/>
      <c r="AQ265" s="7"/>
      <c r="AR265" s="7"/>
      <c r="AS265" s="7"/>
      <c r="AT265" s="7"/>
      <c r="AU265" s="7"/>
      <c r="AV265" s="7"/>
      <c r="AW265" s="7"/>
      <c r="AX265" s="7"/>
      <c r="AY265" s="7"/>
      <c r="AZ265" s="7"/>
      <c r="BA265" s="7"/>
      <c r="BB265" s="7"/>
      <c r="BC265" s="7"/>
      <c r="BD265" s="10"/>
      <c r="BE265" s="10"/>
      <c r="BF265" s="266"/>
      <c r="BG265" s="266"/>
    </row>
    <row r="266" spans="1:59" s="268" customFormat="1" x14ac:dyDescent="0.25">
      <c r="A266" s="107"/>
      <c r="B266" s="107"/>
      <c r="C266" s="7"/>
      <c r="D266" s="7"/>
      <c r="E266" s="7"/>
      <c r="F266" s="10"/>
      <c r="G266" s="10"/>
      <c r="H266" s="8"/>
      <c r="I266" s="107"/>
      <c r="J266" s="107"/>
      <c r="K266" s="7"/>
      <c r="L266" s="7"/>
      <c r="M266" s="7"/>
      <c r="N266" s="7"/>
      <c r="O266" s="10"/>
      <c r="P266" s="7"/>
      <c r="Q266" s="7"/>
      <c r="R266" s="7"/>
      <c r="S266" s="7"/>
      <c r="T266" s="7"/>
      <c r="U266" s="7"/>
      <c r="V266" s="7"/>
      <c r="W266" s="7"/>
      <c r="X266" s="10"/>
      <c r="Y266" s="7"/>
      <c r="Z266" s="7"/>
      <c r="AA266" s="10"/>
      <c r="AB266" s="7"/>
      <c r="AC266" s="7"/>
      <c r="AD266" s="7"/>
      <c r="AE266" s="7"/>
      <c r="AF266" s="7"/>
      <c r="AG266" s="7"/>
      <c r="AH266" s="7"/>
      <c r="AI266" s="7"/>
      <c r="AJ266" s="7"/>
      <c r="AK266" s="7"/>
      <c r="AL266" s="7"/>
      <c r="AM266" s="7"/>
      <c r="AN266" s="7"/>
      <c r="AO266" s="7"/>
      <c r="AP266" s="10"/>
      <c r="AQ266" s="7"/>
      <c r="AR266" s="7"/>
      <c r="AS266" s="7"/>
      <c r="AT266" s="7"/>
      <c r="AU266" s="7"/>
      <c r="AV266" s="7"/>
      <c r="AW266" s="7"/>
      <c r="AX266" s="7"/>
      <c r="AY266" s="7"/>
      <c r="AZ266" s="7"/>
      <c r="BA266" s="7"/>
      <c r="BB266" s="7"/>
      <c r="BC266" s="7"/>
      <c r="BD266" s="10"/>
      <c r="BE266" s="10"/>
      <c r="BF266" s="266"/>
      <c r="BG266" s="266"/>
    </row>
    <row r="267" spans="1:59" s="268" customFormat="1" x14ac:dyDescent="0.25">
      <c r="A267" s="107"/>
      <c r="B267" s="107"/>
      <c r="C267" s="7"/>
      <c r="D267" s="7"/>
      <c r="E267" s="7"/>
      <c r="F267" s="10"/>
      <c r="G267" s="10"/>
      <c r="H267" s="8"/>
      <c r="I267" s="107"/>
      <c r="J267" s="107"/>
      <c r="K267" s="7"/>
      <c r="L267" s="7"/>
      <c r="M267" s="7"/>
      <c r="N267" s="7"/>
      <c r="O267" s="10"/>
      <c r="P267" s="7"/>
      <c r="Q267" s="7"/>
      <c r="R267" s="7"/>
      <c r="S267" s="7"/>
      <c r="T267" s="7"/>
      <c r="U267" s="7"/>
      <c r="V267" s="7"/>
      <c r="W267" s="7"/>
      <c r="X267" s="10"/>
      <c r="Y267" s="7"/>
      <c r="Z267" s="7"/>
      <c r="AA267" s="10"/>
      <c r="AB267" s="7"/>
      <c r="AC267" s="7"/>
      <c r="AD267" s="7"/>
      <c r="AE267" s="7"/>
      <c r="AF267" s="7"/>
      <c r="AG267" s="7"/>
      <c r="AH267" s="7"/>
      <c r="AI267" s="7"/>
      <c r="AJ267" s="7"/>
      <c r="AK267" s="7"/>
      <c r="AL267" s="7"/>
      <c r="AM267" s="7"/>
      <c r="AN267" s="7"/>
      <c r="AO267" s="7"/>
      <c r="AP267" s="10"/>
      <c r="AQ267" s="7"/>
      <c r="AR267" s="7"/>
      <c r="AS267" s="7"/>
      <c r="AT267" s="7"/>
      <c r="AU267" s="7"/>
      <c r="AV267" s="7"/>
      <c r="AW267" s="7"/>
      <c r="AX267" s="7"/>
      <c r="AY267" s="7"/>
      <c r="AZ267" s="7"/>
      <c r="BA267" s="7"/>
      <c r="BB267" s="7"/>
      <c r="BC267" s="7"/>
      <c r="BD267" s="10"/>
      <c r="BE267" s="10"/>
      <c r="BF267" s="266"/>
      <c r="BG267" s="266"/>
    </row>
    <row r="268" spans="1:59" s="268" customFormat="1" x14ac:dyDescent="0.25">
      <c r="A268" s="107"/>
      <c r="B268" s="107"/>
      <c r="C268" s="7"/>
      <c r="D268" s="7"/>
      <c r="E268" s="7"/>
      <c r="F268" s="10"/>
      <c r="G268" s="10"/>
      <c r="H268" s="8"/>
      <c r="I268" s="107"/>
      <c r="J268" s="107"/>
      <c r="K268" s="7"/>
      <c r="L268" s="7"/>
      <c r="M268" s="7"/>
      <c r="N268" s="7"/>
      <c r="O268" s="10"/>
      <c r="P268" s="7"/>
      <c r="Q268" s="7"/>
      <c r="R268" s="7"/>
      <c r="S268" s="7"/>
      <c r="T268" s="7"/>
      <c r="U268" s="7"/>
      <c r="V268" s="7"/>
      <c r="W268" s="7"/>
      <c r="X268" s="10"/>
      <c r="Y268" s="7"/>
      <c r="Z268" s="7"/>
      <c r="AA268" s="10"/>
      <c r="AB268" s="7"/>
      <c r="AC268" s="7"/>
      <c r="AD268" s="7"/>
      <c r="AE268" s="7"/>
      <c r="AF268" s="7"/>
      <c r="AG268" s="7"/>
      <c r="AH268" s="7"/>
      <c r="AI268" s="7"/>
      <c r="AJ268" s="7"/>
      <c r="AK268" s="7"/>
      <c r="AL268" s="7"/>
      <c r="AM268" s="7"/>
      <c r="AN268" s="7"/>
      <c r="AO268" s="7"/>
      <c r="AP268" s="10"/>
      <c r="AQ268" s="7"/>
      <c r="AR268" s="7"/>
      <c r="AS268" s="7"/>
      <c r="AT268" s="7"/>
      <c r="AU268" s="7"/>
      <c r="AV268" s="7"/>
      <c r="AW268" s="7"/>
      <c r="AX268" s="7"/>
      <c r="AY268" s="7"/>
      <c r="AZ268" s="7"/>
      <c r="BA268" s="7"/>
      <c r="BB268" s="7"/>
      <c r="BC268" s="7"/>
      <c r="BD268" s="10"/>
      <c r="BE268" s="10"/>
      <c r="BF268" s="266"/>
      <c r="BG268" s="266"/>
    </row>
    <row r="269" spans="1:59" s="268" customFormat="1" x14ac:dyDescent="0.25">
      <c r="A269" s="107"/>
      <c r="B269" s="107"/>
      <c r="C269" s="7"/>
      <c r="D269" s="7"/>
      <c r="E269" s="7"/>
      <c r="F269" s="10"/>
      <c r="G269" s="10"/>
      <c r="H269" s="8"/>
      <c r="I269" s="107"/>
      <c r="J269" s="107"/>
      <c r="K269" s="7"/>
      <c r="L269" s="7"/>
      <c r="M269" s="7"/>
      <c r="N269" s="7"/>
      <c r="O269" s="10"/>
      <c r="P269" s="7"/>
      <c r="Q269" s="7"/>
      <c r="R269" s="7"/>
      <c r="S269" s="7"/>
      <c r="T269" s="7"/>
      <c r="U269" s="7"/>
      <c r="V269" s="7"/>
      <c r="W269" s="7"/>
      <c r="X269" s="10"/>
      <c r="Y269" s="7"/>
      <c r="Z269" s="7"/>
      <c r="AA269" s="10"/>
      <c r="AB269" s="7"/>
      <c r="AC269" s="7"/>
      <c r="AD269" s="7"/>
      <c r="AE269" s="7"/>
      <c r="AF269" s="7"/>
      <c r="AG269" s="7"/>
      <c r="AH269" s="7"/>
      <c r="AI269" s="7"/>
      <c r="AJ269" s="7"/>
      <c r="AK269" s="7"/>
      <c r="AL269" s="7"/>
      <c r="AM269" s="7"/>
      <c r="AN269" s="7"/>
      <c r="AO269" s="7"/>
      <c r="AP269" s="10"/>
      <c r="AQ269" s="7"/>
      <c r="AR269" s="7"/>
      <c r="AS269" s="7"/>
      <c r="AT269" s="7"/>
      <c r="AU269" s="7"/>
      <c r="AV269" s="7"/>
      <c r="AW269" s="7"/>
      <c r="AX269" s="7"/>
      <c r="AY269" s="7"/>
      <c r="AZ269" s="7"/>
      <c r="BA269" s="7"/>
      <c r="BB269" s="7"/>
      <c r="BC269" s="7"/>
      <c r="BD269" s="10"/>
      <c r="BE269" s="10"/>
      <c r="BF269" s="266"/>
      <c r="BG269" s="266"/>
    </row>
    <row r="270" spans="1:59" s="268" customFormat="1" x14ac:dyDescent="0.25">
      <c r="A270" s="107"/>
      <c r="B270" s="107"/>
      <c r="C270" s="7"/>
      <c r="D270" s="7"/>
      <c r="E270" s="7"/>
      <c r="F270" s="10"/>
      <c r="G270" s="10"/>
      <c r="H270" s="8"/>
      <c r="I270" s="107"/>
      <c r="J270" s="107"/>
      <c r="K270" s="7"/>
      <c r="L270" s="7"/>
      <c r="M270" s="7"/>
      <c r="N270" s="7"/>
      <c r="O270" s="10"/>
      <c r="P270" s="7"/>
      <c r="Q270" s="7"/>
      <c r="R270" s="7"/>
      <c r="S270" s="7"/>
      <c r="T270" s="7"/>
      <c r="U270" s="7"/>
      <c r="V270" s="7"/>
      <c r="W270" s="7"/>
      <c r="X270" s="10"/>
      <c r="Y270" s="7"/>
      <c r="Z270" s="7"/>
      <c r="AA270" s="10"/>
      <c r="AB270" s="7"/>
      <c r="AC270" s="7"/>
      <c r="AD270" s="7"/>
      <c r="AE270" s="7"/>
      <c r="AF270" s="7"/>
      <c r="AG270" s="7"/>
      <c r="AH270" s="7"/>
      <c r="AI270" s="7"/>
      <c r="AJ270" s="7"/>
      <c r="AK270" s="7"/>
      <c r="AL270" s="7"/>
      <c r="AM270" s="7"/>
      <c r="AN270" s="7"/>
      <c r="AO270" s="7"/>
      <c r="AP270" s="10"/>
      <c r="AQ270" s="7"/>
      <c r="AR270" s="7"/>
      <c r="AS270" s="7"/>
      <c r="AT270" s="7"/>
      <c r="AU270" s="7"/>
      <c r="AV270" s="7"/>
      <c r="AW270" s="7"/>
      <c r="AX270" s="7"/>
      <c r="AY270" s="7"/>
      <c r="AZ270" s="7"/>
      <c r="BA270" s="7"/>
      <c r="BB270" s="7"/>
      <c r="BC270" s="7"/>
      <c r="BD270" s="10"/>
      <c r="BE270" s="10"/>
      <c r="BF270" s="266"/>
      <c r="BG270" s="266"/>
    </row>
    <row r="271" spans="1:59" s="268" customFormat="1" x14ac:dyDescent="0.25">
      <c r="A271" s="107"/>
      <c r="B271" s="107"/>
      <c r="C271" s="7"/>
      <c r="D271" s="7"/>
      <c r="E271" s="7"/>
      <c r="F271" s="10"/>
      <c r="G271" s="10"/>
      <c r="H271" s="8"/>
      <c r="I271" s="107"/>
      <c r="J271" s="107"/>
      <c r="K271" s="7"/>
      <c r="L271" s="7"/>
      <c r="M271" s="7"/>
      <c r="N271" s="7"/>
      <c r="O271" s="10"/>
      <c r="P271" s="7"/>
      <c r="Q271" s="7"/>
      <c r="R271" s="7"/>
      <c r="S271" s="7"/>
      <c r="T271" s="7"/>
      <c r="U271" s="7"/>
      <c r="V271" s="7"/>
      <c r="W271" s="7"/>
      <c r="X271" s="10"/>
      <c r="Y271" s="7"/>
      <c r="Z271" s="7"/>
      <c r="AA271" s="10"/>
      <c r="AB271" s="7"/>
      <c r="AC271" s="7"/>
      <c r="AD271" s="7"/>
      <c r="AE271" s="7"/>
      <c r="AF271" s="7"/>
      <c r="AG271" s="7"/>
      <c r="AH271" s="7"/>
      <c r="AI271" s="7"/>
      <c r="AJ271" s="7"/>
      <c r="AK271" s="7"/>
      <c r="AL271" s="7"/>
      <c r="AM271" s="7"/>
      <c r="AN271" s="7"/>
      <c r="AO271" s="7"/>
      <c r="AP271" s="10"/>
      <c r="AQ271" s="7"/>
      <c r="AR271" s="7"/>
      <c r="AS271" s="7"/>
      <c r="AT271" s="7"/>
      <c r="AU271" s="7"/>
      <c r="AV271" s="7"/>
      <c r="AW271" s="7"/>
      <c r="AX271" s="7"/>
      <c r="AY271" s="7"/>
      <c r="AZ271" s="7"/>
      <c r="BA271" s="7"/>
      <c r="BB271" s="7"/>
      <c r="BC271" s="7"/>
      <c r="BD271" s="10"/>
      <c r="BE271" s="10"/>
      <c r="BF271" s="266"/>
      <c r="BG271" s="266"/>
    </row>
    <row r="272" spans="1:59" s="268" customFormat="1" x14ac:dyDescent="0.25">
      <c r="A272" s="107"/>
      <c r="B272" s="107"/>
      <c r="C272" s="7"/>
      <c r="D272" s="7"/>
      <c r="E272" s="7"/>
      <c r="F272" s="10"/>
      <c r="G272" s="10"/>
      <c r="H272" s="8"/>
      <c r="I272" s="107"/>
      <c r="J272" s="107"/>
      <c r="K272" s="7"/>
      <c r="L272" s="7"/>
      <c r="M272" s="7"/>
      <c r="N272" s="7"/>
      <c r="O272" s="10"/>
      <c r="P272" s="7"/>
      <c r="Q272" s="7"/>
      <c r="R272" s="7"/>
      <c r="S272" s="7"/>
      <c r="T272" s="7"/>
      <c r="U272" s="7"/>
      <c r="V272" s="7"/>
      <c r="W272" s="7"/>
      <c r="X272" s="10"/>
      <c r="Y272" s="7"/>
      <c r="Z272" s="7"/>
      <c r="AA272" s="10"/>
      <c r="AB272" s="7"/>
      <c r="AC272" s="7"/>
      <c r="AD272" s="7"/>
      <c r="AE272" s="7"/>
      <c r="AF272" s="7"/>
      <c r="AG272" s="7"/>
      <c r="AH272" s="7"/>
      <c r="AI272" s="7"/>
      <c r="AJ272" s="7"/>
      <c r="AK272" s="7"/>
      <c r="AL272" s="7"/>
      <c r="AM272" s="7"/>
      <c r="AN272" s="7"/>
      <c r="AO272" s="7"/>
      <c r="AP272" s="10"/>
      <c r="AQ272" s="7"/>
      <c r="AR272" s="7"/>
      <c r="AS272" s="7"/>
      <c r="AT272" s="7"/>
      <c r="AU272" s="7"/>
      <c r="AV272" s="7"/>
      <c r="AW272" s="7"/>
      <c r="AX272" s="7"/>
      <c r="AY272" s="7"/>
      <c r="AZ272" s="7"/>
      <c r="BA272" s="7"/>
      <c r="BB272" s="7"/>
      <c r="BC272" s="7"/>
      <c r="BD272" s="10"/>
      <c r="BE272" s="10"/>
      <c r="BF272" s="266"/>
      <c r="BG272" s="266"/>
    </row>
    <row r="273" spans="1:59" s="268" customFormat="1" x14ac:dyDescent="0.25">
      <c r="A273" s="107"/>
      <c r="B273" s="107"/>
      <c r="C273" s="7"/>
      <c r="D273" s="7"/>
      <c r="E273" s="7"/>
      <c r="F273" s="10"/>
      <c r="G273" s="10"/>
      <c r="H273" s="8"/>
      <c r="I273" s="107"/>
      <c r="J273" s="107"/>
      <c r="K273" s="7"/>
      <c r="L273" s="7"/>
      <c r="M273" s="7"/>
      <c r="N273" s="7"/>
      <c r="O273" s="10"/>
      <c r="P273" s="7"/>
      <c r="Q273" s="7"/>
      <c r="R273" s="7"/>
      <c r="S273" s="7"/>
      <c r="T273" s="7"/>
      <c r="U273" s="7"/>
      <c r="V273" s="7"/>
      <c r="W273" s="7"/>
      <c r="X273" s="10"/>
      <c r="Y273" s="7"/>
      <c r="Z273" s="7"/>
      <c r="AA273" s="10"/>
      <c r="AB273" s="7"/>
      <c r="AC273" s="7"/>
      <c r="AD273" s="7"/>
      <c r="AE273" s="7"/>
      <c r="AF273" s="7"/>
      <c r="AG273" s="7"/>
      <c r="AH273" s="7"/>
      <c r="AI273" s="7"/>
      <c r="AJ273" s="7"/>
      <c r="AK273" s="7"/>
      <c r="AL273" s="7"/>
      <c r="AM273" s="7"/>
      <c r="AN273" s="7"/>
      <c r="AO273" s="7"/>
      <c r="AP273" s="10"/>
      <c r="AQ273" s="7"/>
      <c r="AR273" s="7"/>
      <c r="AS273" s="7"/>
      <c r="AT273" s="7"/>
      <c r="AU273" s="7"/>
      <c r="AV273" s="7"/>
      <c r="AW273" s="7"/>
      <c r="AX273" s="7"/>
      <c r="AY273" s="7"/>
      <c r="AZ273" s="7"/>
      <c r="BA273" s="7"/>
      <c r="BB273" s="7"/>
      <c r="BC273" s="7"/>
      <c r="BD273" s="10"/>
      <c r="BE273" s="10"/>
      <c r="BF273" s="266"/>
      <c r="BG273" s="266"/>
    </row>
    <row r="274" spans="1:59" s="268" customFormat="1" x14ac:dyDescent="0.25">
      <c r="A274" s="107"/>
      <c r="B274" s="107"/>
      <c r="C274" s="108"/>
      <c r="D274" s="108"/>
      <c r="E274" s="108"/>
      <c r="F274" s="11"/>
      <c r="G274" s="10"/>
      <c r="H274" s="8"/>
      <c r="I274" s="107"/>
      <c r="J274" s="107"/>
      <c r="K274" s="7"/>
      <c r="L274" s="7"/>
      <c r="M274" s="7"/>
      <c r="N274" s="7"/>
      <c r="O274" s="10"/>
      <c r="P274" s="7"/>
      <c r="Q274" s="7"/>
      <c r="R274" s="7"/>
      <c r="S274" s="7"/>
      <c r="T274" s="7"/>
      <c r="U274" s="7"/>
      <c r="V274" s="7"/>
      <c r="W274" s="7"/>
      <c r="X274" s="10"/>
      <c r="Y274" s="7"/>
      <c r="Z274" s="7"/>
      <c r="AA274" s="10"/>
      <c r="AB274" s="7"/>
      <c r="AC274" s="7"/>
      <c r="AD274" s="7"/>
      <c r="AE274" s="7"/>
      <c r="AF274" s="7"/>
      <c r="AG274" s="7"/>
      <c r="AH274" s="7"/>
      <c r="AI274" s="7"/>
      <c r="AJ274" s="7"/>
      <c r="AK274" s="7"/>
      <c r="AL274" s="7"/>
      <c r="AM274" s="7"/>
      <c r="AN274" s="7"/>
      <c r="AO274" s="7"/>
      <c r="AP274" s="10"/>
      <c r="AQ274" s="7"/>
      <c r="AR274" s="7"/>
      <c r="AS274" s="7"/>
      <c r="AT274" s="7"/>
      <c r="AU274" s="7"/>
      <c r="AV274" s="7"/>
      <c r="AW274" s="7"/>
      <c r="AX274" s="7"/>
      <c r="AY274" s="7"/>
      <c r="AZ274" s="7"/>
      <c r="BA274" s="7"/>
      <c r="BB274" s="7"/>
      <c r="BC274" s="7"/>
      <c r="BD274" s="10"/>
      <c r="BE274" s="10"/>
      <c r="BF274" s="266"/>
      <c r="BG274" s="266"/>
    </row>
    <row r="275" spans="1:59" s="268" customFormat="1" x14ac:dyDescent="0.25">
      <c r="A275" s="107"/>
      <c r="B275" s="107"/>
      <c r="C275" s="108"/>
      <c r="D275" s="108"/>
      <c r="E275" s="108"/>
      <c r="F275" s="11"/>
      <c r="G275" s="11"/>
      <c r="H275" s="3"/>
      <c r="I275" s="107"/>
      <c r="J275" s="107"/>
      <c r="K275" s="7"/>
      <c r="L275" s="7"/>
      <c r="M275" s="7"/>
      <c r="N275" s="7"/>
      <c r="O275" s="10"/>
      <c r="P275" s="7"/>
      <c r="Q275" s="7"/>
      <c r="R275" s="7"/>
      <c r="S275" s="7"/>
      <c r="T275" s="7"/>
      <c r="U275" s="7"/>
      <c r="V275" s="7"/>
      <c r="W275" s="7"/>
      <c r="X275" s="10"/>
      <c r="Y275" s="7"/>
      <c r="Z275" s="7"/>
      <c r="AA275" s="10"/>
      <c r="AB275" s="7"/>
      <c r="AC275" s="7"/>
      <c r="AD275" s="7"/>
      <c r="AE275" s="7"/>
      <c r="AF275" s="7"/>
      <c r="AG275" s="7"/>
      <c r="AH275" s="7"/>
      <c r="AI275" s="7"/>
      <c r="AJ275" s="7"/>
      <c r="AK275" s="7"/>
      <c r="AL275" s="7"/>
      <c r="AM275" s="7"/>
      <c r="AN275" s="7"/>
      <c r="AO275" s="7"/>
      <c r="AP275" s="10"/>
      <c r="AQ275" s="7"/>
      <c r="AR275" s="7"/>
      <c r="AS275" s="7"/>
      <c r="AT275" s="7"/>
      <c r="AU275" s="7"/>
      <c r="AV275" s="7"/>
      <c r="AW275" s="7"/>
      <c r="AX275" s="7"/>
      <c r="AY275" s="7"/>
      <c r="AZ275" s="7"/>
      <c r="BA275" s="7"/>
      <c r="BB275" s="7"/>
      <c r="BC275" s="7"/>
      <c r="BD275" s="10"/>
      <c r="BE275" s="10"/>
      <c r="BF275" s="266"/>
      <c r="BG275" s="266"/>
    </row>
    <row r="276" spans="1:59" s="268" customFormat="1" x14ac:dyDescent="0.25">
      <c r="A276" s="107"/>
      <c r="B276" s="107"/>
      <c r="C276" s="108"/>
      <c r="D276" s="108"/>
      <c r="E276" s="108"/>
      <c r="F276" s="11"/>
      <c r="G276" s="11"/>
      <c r="H276" s="3"/>
      <c r="I276" s="107"/>
      <c r="J276" s="107"/>
      <c r="K276" s="7"/>
      <c r="L276" s="7"/>
      <c r="M276" s="7"/>
      <c r="N276" s="7"/>
      <c r="O276" s="10"/>
      <c r="P276" s="7"/>
      <c r="Q276" s="7"/>
      <c r="R276" s="7"/>
      <c r="S276" s="7"/>
      <c r="T276" s="7"/>
      <c r="U276" s="7"/>
      <c r="V276" s="7"/>
      <c r="W276" s="7"/>
      <c r="X276" s="10"/>
      <c r="Y276" s="7"/>
      <c r="Z276" s="7"/>
      <c r="AA276" s="10"/>
      <c r="AB276" s="7"/>
      <c r="AC276" s="7"/>
      <c r="AD276" s="7"/>
      <c r="AE276" s="7"/>
      <c r="AF276" s="7"/>
      <c r="AG276" s="7"/>
      <c r="AH276" s="7"/>
      <c r="AI276" s="7"/>
      <c r="AJ276" s="7"/>
      <c r="AK276" s="7"/>
      <c r="AL276" s="7"/>
      <c r="AM276" s="7"/>
      <c r="AN276" s="7"/>
      <c r="AO276" s="7"/>
      <c r="AP276" s="10"/>
      <c r="AQ276" s="7"/>
      <c r="AR276" s="7"/>
      <c r="AS276" s="7"/>
      <c r="AT276" s="7"/>
      <c r="AU276" s="7"/>
      <c r="AV276" s="7"/>
      <c r="AW276" s="7"/>
      <c r="AX276" s="7"/>
      <c r="AY276" s="7"/>
      <c r="AZ276" s="7"/>
      <c r="BA276" s="7"/>
      <c r="BB276" s="7"/>
      <c r="BC276" s="7"/>
      <c r="BD276" s="10"/>
      <c r="BE276" s="10"/>
      <c r="BF276" s="266"/>
      <c r="BG276" s="266"/>
    </row>
    <row r="277" spans="1:59" s="268" customFormat="1" x14ac:dyDescent="0.25">
      <c r="A277" s="107"/>
      <c r="B277" s="107"/>
      <c r="C277" s="108"/>
      <c r="D277" s="108"/>
      <c r="E277" s="108"/>
      <c r="F277" s="11"/>
      <c r="G277" s="11"/>
      <c r="H277" s="3"/>
      <c r="I277" s="107"/>
      <c r="J277" s="107"/>
      <c r="K277" s="7"/>
      <c r="L277" s="7"/>
      <c r="M277" s="7"/>
      <c r="N277" s="7"/>
      <c r="O277" s="10"/>
      <c r="P277" s="7"/>
      <c r="Q277" s="7"/>
      <c r="R277" s="7"/>
      <c r="S277" s="7"/>
      <c r="T277" s="7"/>
      <c r="U277" s="7"/>
      <c r="V277" s="7"/>
      <c r="W277" s="7"/>
      <c r="X277" s="10"/>
      <c r="Y277" s="7"/>
      <c r="Z277" s="7"/>
      <c r="AA277" s="10"/>
      <c r="AB277" s="7"/>
      <c r="AC277" s="7"/>
      <c r="AD277" s="7"/>
      <c r="AE277" s="7"/>
      <c r="AF277" s="7"/>
      <c r="AG277" s="7"/>
      <c r="AH277" s="7"/>
      <c r="AI277" s="7"/>
      <c r="AJ277" s="7"/>
      <c r="AK277" s="7"/>
      <c r="AL277" s="7"/>
      <c r="AM277" s="7"/>
      <c r="AN277" s="7"/>
      <c r="AO277" s="7"/>
      <c r="AP277" s="10"/>
      <c r="AQ277" s="7"/>
      <c r="AR277" s="7"/>
      <c r="AS277" s="7"/>
      <c r="AT277" s="7"/>
      <c r="AU277" s="7"/>
      <c r="AV277" s="7"/>
      <c r="AW277" s="7"/>
      <c r="AX277" s="7"/>
      <c r="AY277" s="7"/>
      <c r="AZ277" s="7"/>
      <c r="BA277" s="7"/>
      <c r="BB277" s="7"/>
      <c r="BC277" s="7"/>
      <c r="BD277" s="10"/>
      <c r="BE277" s="10"/>
      <c r="BF277" s="266"/>
      <c r="BG277" s="266"/>
    </row>
    <row r="278" spans="1:59" s="268" customFormat="1" x14ac:dyDescent="0.25">
      <c r="A278" s="107"/>
      <c r="B278" s="107"/>
      <c r="C278" s="108"/>
      <c r="D278" s="108"/>
      <c r="E278" s="108"/>
      <c r="F278" s="11"/>
      <c r="G278" s="11"/>
      <c r="H278" s="3"/>
      <c r="I278" s="107"/>
      <c r="J278" s="107"/>
      <c r="K278" s="7"/>
      <c r="L278" s="7"/>
      <c r="M278" s="7"/>
      <c r="N278" s="7"/>
      <c r="O278" s="10"/>
      <c r="P278" s="7"/>
      <c r="Q278" s="7"/>
      <c r="R278" s="7"/>
      <c r="S278" s="7"/>
      <c r="T278" s="7"/>
      <c r="U278" s="7"/>
      <c r="V278" s="7"/>
      <c r="W278" s="7"/>
      <c r="X278" s="10"/>
      <c r="Y278" s="7"/>
      <c r="Z278" s="7"/>
      <c r="AA278" s="10"/>
      <c r="AB278" s="7"/>
      <c r="AC278" s="7"/>
      <c r="AD278" s="7"/>
      <c r="AE278" s="7"/>
      <c r="AF278" s="7"/>
      <c r="AG278" s="7"/>
      <c r="AH278" s="7"/>
      <c r="AI278" s="7"/>
      <c r="AJ278" s="7"/>
      <c r="AK278" s="7"/>
      <c r="AL278" s="7"/>
      <c r="AM278" s="7"/>
      <c r="AN278" s="7"/>
      <c r="AO278" s="7"/>
      <c r="AP278" s="10"/>
      <c r="AQ278" s="7"/>
      <c r="AR278" s="7"/>
      <c r="AS278" s="7"/>
      <c r="AT278" s="7"/>
      <c r="AU278" s="7"/>
      <c r="AV278" s="7"/>
      <c r="AW278" s="7"/>
      <c r="AX278" s="7"/>
      <c r="AY278" s="7"/>
      <c r="AZ278" s="7"/>
      <c r="BA278" s="7"/>
      <c r="BB278" s="7"/>
      <c r="BC278" s="7"/>
      <c r="BD278" s="10"/>
      <c r="BE278" s="10"/>
      <c r="BF278" s="266"/>
      <c r="BG278" s="266"/>
    </row>
    <row r="279" spans="1:59" s="268" customFormat="1" x14ac:dyDescent="0.25">
      <c r="A279" s="107"/>
      <c r="B279" s="107"/>
      <c r="C279" s="108"/>
      <c r="D279" s="108"/>
      <c r="E279" s="108"/>
      <c r="F279" s="11"/>
      <c r="G279" s="11"/>
      <c r="H279" s="3"/>
      <c r="I279" s="107"/>
      <c r="J279" s="107"/>
      <c r="K279" s="7"/>
      <c r="L279" s="7"/>
      <c r="M279" s="7"/>
      <c r="N279" s="7"/>
      <c r="O279" s="10"/>
      <c r="P279" s="7"/>
      <c r="Q279" s="7"/>
      <c r="R279" s="7"/>
      <c r="S279" s="7"/>
      <c r="T279" s="7"/>
      <c r="U279" s="7"/>
      <c r="V279" s="7"/>
      <c r="W279" s="7"/>
      <c r="X279" s="10"/>
      <c r="Y279" s="7"/>
      <c r="Z279" s="7"/>
      <c r="AA279" s="10"/>
      <c r="AB279" s="7"/>
      <c r="AC279" s="7"/>
      <c r="AD279" s="7"/>
      <c r="AE279" s="7"/>
      <c r="AF279" s="7"/>
      <c r="AG279" s="7"/>
      <c r="AH279" s="7"/>
      <c r="AI279" s="7"/>
      <c r="AJ279" s="7"/>
      <c r="AK279" s="7"/>
      <c r="AL279" s="7"/>
      <c r="AM279" s="7"/>
      <c r="AN279" s="7"/>
      <c r="AO279" s="7"/>
      <c r="AP279" s="10"/>
      <c r="AQ279" s="7"/>
      <c r="AR279" s="7"/>
      <c r="AS279" s="7"/>
      <c r="AT279" s="7"/>
      <c r="AU279" s="7"/>
      <c r="AV279" s="7"/>
      <c r="AW279" s="7"/>
      <c r="AX279" s="7"/>
      <c r="AY279" s="7"/>
      <c r="AZ279" s="7"/>
      <c r="BA279" s="7"/>
      <c r="BB279" s="7"/>
      <c r="BC279" s="7"/>
      <c r="BD279" s="10"/>
      <c r="BE279" s="10"/>
      <c r="BF279" s="266"/>
      <c r="BG279" s="266"/>
    </row>
    <row r="280" spans="1:59" s="268" customFormat="1" x14ac:dyDescent="0.25">
      <c r="A280" s="107"/>
      <c r="B280" s="107"/>
      <c r="C280" s="108"/>
      <c r="D280" s="108"/>
      <c r="E280" s="108"/>
      <c r="F280" s="11"/>
      <c r="G280" s="11"/>
      <c r="H280" s="3"/>
      <c r="I280" s="107"/>
      <c r="J280" s="107"/>
      <c r="K280" s="7"/>
      <c r="L280" s="7"/>
      <c r="M280" s="7"/>
      <c r="N280" s="7"/>
      <c r="O280" s="10"/>
      <c r="P280" s="7"/>
      <c r="Q280" s="7"/>
      <c r="R280" s="7"/>
      <c r="S280" s="7"/>
      <c r="T280" s="7"/>
      <c r="U280" s="7"/>
      <c r="V280" s="7"/>
      <c r="W280" s="7"/>
      <c r="X280" s="10"/>
      <c r="Y280" s="7"/>
      <c r="Z280" s="7"/>
      <c r="AA280" s="10"/>
      <c r="AB280" s="7"/>
      <c r="AC280" s="7"/>
      <c r="AD280" s="7"/>
      <c r="AE280" s="7"/>
      <c r="AF280" s="7"/>
      <c r="AG280" s="7"/>
      <c r="AH280" s="7"/>
      <c r="AI280" s="7"/>
      <c r="AJ280" s="7"/>
      <c r="AK280" s="7"/>
      <c r="AL280" s="7"/>
      <c r="AM280" s="7"/>
      <c r="AN280" s="7"/>
      <c r="AO280" s="7"/>
      <c r="AP280" s="10"/>
      <c r="AQ280" s="7"/>
      <c r="AR280" s="7"/>
      <c r="AS280" s="7"/>
      <c r="AT280" s="7"/>
      <c r="AU280" s="7"/>
      <c r="AV280" s="7"/>
      <c r="AW280" s="7"/>
      <c r="AX280" s="7"/>
      <c r="AY280" s="7"/>
      <c r="AZ280" s="7"/>
      <c r="BA280" s="7"/>
      <c r="BB280" s="7"/>
      <c r="BC280" s="7"/>
      <c r="BD280" s="10"/>
      <c r="BE280" s="10"/>
      <c r="BF280" s="266"/>
      <c r="BG280" s="266"/>
    </row>
    <row r="281" spans="1:59" s="268" customFormat="1" x14ac:dyDescent="0.25">
      <c r="A281" s="107"/>
      <c r="B281" s="107"/>
      <c r="C281" s="108"/>
      <c r="D281" s="108"/>
      <c r="E281" s="108"/>
      <c r="F281" s="11"/>
      <c r="G281" s="11"/>
      <c r="H281" s="3"/>
      <c r="I281" s="107"/>
      <c r="J281" s="107"/>
      <c r="K281" s="7"/>
      <c r="L281" s="7"/>
      <c r="M281" s="7"/>
      <c r="N281" s="7"/>
      <c r="O281" s="10"/>
      <c r="P281" s="7"/>
      <c r="Q281" s="7"/>
      <c r="R281" s="7"/>
      <c r="S281" s="7"/>
      <c r="T281" s="7"/>
      <c r="U281" s="7"/>
      <c r="V281" s="7"/>
      <c r="W281" s="7"/>
      <c r="X281" s="10"/>
      <c r="Y281" s="7"/>
      <c r="Z281" s="7"/>
      <c r="AA281" s="10"/>
      <c r="AB281" s="7"/>
      <c r="AC281" s="7"/>
      <c r="AD281" s="7"/>
      <c r="AE281" s="7"/>
      <c r="AF281" s="7"/>
      <c r="AG281" s="7"/>
      <c r="AH281" s="7"/>
      <c r="AI281" s="7"/>
      <c r="AJ281" s="7"/>
      <c r="AK281" s="7"/>
      <c r="AL281" s="7"/>
      <c r="AM281" s="7"/>
      <c r="AN281" s="7"/>
      <c r="AO281" s="7"/>
      <c r="AP281" s="10"/>
      <c r="AQ281" s="7"/>
      <c r="AR281" s="7"/>
      <c r="AS281" s="7"/>
      <c r="AT281" s="7"/>
      <c r="AU281" s="7"/>
      <c r="AV281" s="7"/>
      <c r="AW281" s="7"/>
      <c r="AX281" s="7"/>
      <c r="AY281" s="7"/>
      <c r="AZ281" s="7"/>
      <c r="BA281" s="7"/>
      <c r="BB281" s="7"/>
      <c r="BC281" s="7"/>
      <c r="BD281" s="10"/>
      <c r="BE281" s="10"/>
      <c r="BF281" s="266"/>
      <c r="BG281" s="266"/>
    </row>
    <row r="282" spans="1:59" s="268" customFormat="1" x14ac:dyDescent="0.25">
      <c r="A282" s="107"/>
      <c r="B282" s="107"/>
      <c r="C282" s="108"/>
      <c r="D282" s="108"/>
      <c r="E282" s="108"/>
      <c r="F282" s="11"/>
      <c r="G282" s="11"/>
      <c r="H282" s="3"/>
      <c r="I282" s="107"/>
      <c r="J282" s="107"/>
      <c r="K282" s="7"/>
      <c r="L282" s="7"/>
      <c r="M282" s="7"/>
      <c r="N282" s="7"/>
      <c r="O282" s="10"/>
      <c r="P282" s="7"/>
      <c r="Q282" s="7"/>
      <c r="R282" s="7"/>
      <c r="S282" s="7"/>
      <c r="T282" s="7"/>
      <c r="U282" s="7"/>
      <c r="V282" s="7"/>
      <c r="W282" s="7"/>
      <c r="X282" s="10"/>
      <c r="Y282" s="7"/>
      <c r="Z282" s="7"/>
      <c r="AA282" s="10"/>
      <c r="AB282" s="7"/>
      <c r="AC282" s="7"/>
      <c r="AD282" s="7"/>
      <c r="AE282" s="7"/>
      <c r="AF282" s="7"/>
      <c r="AG282" s="7"/>
      <c r="AH282" s="7"/>
      <c r="AI282" s="7"/>
      <c r="AJ282" s="7"/>
      <c r="AK282" s="7"/>
      <c r="AL282" s="7"/>
      <c r="AM282" s="7"/>
      <c r="AN282" s="7"/>
      <c r="AO282" s="7"/>
      <c r="AP282" s="10"/>
      <c r="AQ282" s="7"/>
      <c r="AR282" s="7"/>
      <c r="AS282" s="7"/>
      <c r="AT282" s="7"/>
      <c r="AU282" s="7"/>
      <c r="AV282" s="7"/>
      <c r="AW282" s="7"/>
      <c r="AX282" s="7"/>
      <c r="AY282" s="7"/>
      <c r="AZ282" s="7"/>
      <c r="BA282" s="7"/>
      <c r="BB282" s="7"/>
      <c r="BC282" s="7"/>
      <c r="BD282" s="10"/>
      <c r="BE282" s="10"/>
      <c r="BF282" s="266"/>
      <c r="BG282" s="266"/>
    </row>
    <row r="283" spans="1:59" s="268" customFormat="1" x14ac:dyDescent="0.25">
      <c r="A283" s="107"/>
      <c r="B283" s="107"/>
      <c r="C283" s="108"/>
      <c r="D283" s="108"/>
      <c r="E283" s="108"/>
      <c r="F283" s="11"/>
      <c r="G283" s="11"/>
      <c r="H283" s="3"/>
      <c r="I283" s="107"/>
      <c r="J283" s="107"/>
      <c r="K283" s="7"/>
      <c r="L283" s="7"/>
      <c r="M283" s="7"/>
      <c r="N283" s="7"/>
      <c r="O283" s="10"/>
      <c r="P283" s="7"/>
      <c r="Q283" s="7"/>
      <c r="R283" s="7"/>
      <c r="S283" s="7"/>
      <c r="T283" s="7"/>
      <c r="U283" s="7"/>
      <c r="V283" s="7"/>
      <c r="W283" s="7"/>
      <c r="X283" s="10"/>
      <c r="Y283" s="7"/>
      <c r="Z283" s="7"/>
      <c r="AA283" s="10"/>
      <c r="AB283" s="7"/>
      <c r="AC283" s="7"/>
      <c r="AD283" s="7"/>
      <c r="AE283" s="7"/>
      <c r="AF283" s="7"/>
      <c r="AG283" s="7"/>
      <c r="AH283" s="7"/>
      <c r="AI283" s="7"/>
      <c r="AJ283" s="7"/>
      <c r="AK283" s="7"/>
      <c r="AL283" s="7"/>
      <c r="AM283" s="7"/>
      <c r="AN283" s="7"/>
      <c r="AO283" s="7"/>
      <c r="AP283" s="10"/>
      <c r="AQ283" s="7"/>
      <c r="AR283" s="7"/>
      <c r="AS283" s="7"/>
      <c r="AT283" s="7"/>
      <c r="AU283" s="7"/>
      <c r="AV283" s="7"/>
      <c r="AW283" s="7"/>
      <c r="AX283" s="7"/>
      <c r="AY283" s="7"/>
      <c r="AZ283" s="7"/>
      <c r="BA283" s="7"/>
      <c r="BB283" s="7"/>
      <c r="BC283" s="7"/>
      <c r="BD283" s="10"/>
      <c r="BE283" s="10"/>
      <c r="BF283" s="266"/>
      <c r="BG283" s="266"/>
    </row>
    <row r="284" spans="1:59" s="268" customFormat="1" x14ac:dyDescent="0.25">
      <c r="A284" s="107"/>
      <c r="B284" s="107"/>
      <c r="C284" s="108"/>
      <c r="D284" s="108"/>
      <c r="E284" s="108"/>
      <c r="F284" s="11"/>
      <c r="G284" s="11"/>
      <c r="H284" s="3"/>
      <c r="I284" s="107"/>
      <c r="J284" s="107"/>
      <c r="K284" s="7"/>
      <c r="L284" s="7"/>
      <c r="M284" s="7"/>
      <c r="N284" s="7"/>
      <c r="O284" s="10"/>
      <c r="P284" s="7"/>
      <c r="Q284" s="7"/>
      <c r="R284" s="7"/>
      <c r="S284" s="7"/>
      <c r="T284" s="7"/>
      <c r="U284" s="7"/>
      <c r="V284" s="7"/>
      <c r="W284" s="7"/>
      <c r="X284" s="10"/>
      <c r="Y284" s="7"/>
      <c r="Z284" s="7"/>
      <c r="AA284" s="10"/>
      <c r="AB284" s="7"/>
      <c r="AC284" s="7"/>
      <c r="AD284" s="7"/>
      <c r="AE284" s="7"/>
      <c r="AF284" s="7"/>
      <c r="AG284" s="7"/>
      <c r="AH284" s="7"/>
      <c r="AI284" s="7"/>
      <c r="AJ284" s="7"/>
      <c r="AK284" s="7"/>
      <c r="AL284" s="7"/>
      <c r="AM284" s="7"/>
      <c r="AN284" s="7"/>
      <c r="AO284" s="7"/>
      <c r="AP284" s="10"/>
      <c r="AQ284" s="7"/>
      <c r="AR284" s="7"/>
      <c r="AS284" s="7"/>
      <c r="AT284" s="7"/>
      <c r="AU284" s="7"/>
      <c r="AV284" s="7"/>
      <c r="AW284" s="7"/>
      <c r="AX284" s="7"/>
      <c r="AY284" s="7"/>
      <c r="AZ284" s="7"/>
      <c r="BA284" s="7"/>
      <c r="BB284" s="7"/>
      <c r="BC284" s="7"/>
      <c r="BD284" s="10"/>
      <c r="BE284" s="10"/>
      <c r="BF284" s="266"/>
      <c r="BG284" s="266"/>
    </row>
    <row r="285" spans="1:59" s="268" customFormat="1" x14ac:dyDescent="0.25">
      <c r="A285" s="107"/>
      <c r="B285" s="107"/>
      <c r="C285" s="108"/>
      <c r="D285" s="108"/>
      <c r="E285" s="108"/>
      <c r="F285" s="11"/>
      <c r="G285" s="11"/>
      <c r="H285" s="3"/>
      <c r="I285" s="107"/>
      <c r="J285" s="107"/>
      <c r="K285" s="7"/>
      <c r="L285" s="7"/>
      <c r="M285" s="7"/>
      <c r="N285" s="7"/>
      <c r="O285" s="10"/>
      <c r="P285" s="7"/>
      <c r="Q285" s="7"/>
      <c r="R285" s="7"/>
      <c r="S285" s="7"/>
      <c r="T285" s="7"/>
      <c r="U285" s="7"/>
      <c r="V285" s="7"/>
      <c r="W285" s="7"/>
      <c r="X285" s="10"/>
      <c r="Y285" s="7"/>
      <c r="Z285" s="7"/>
      <c r="AA285" s="10"/>
      <c r="AB285" s="7"/>
      <c r="AC285" s="7"/>
      <c r="AD285" s="7"/>
      <c r="AE285" s="7"/>
      <c r="AF285" s="7"/>
      <c r="AG285" s="7"/>
      <c r="AH285" s="7"/>
      <c r="AI285" s="7"/>
      <c r="AJ285" s="7"/>
      <c r="AK285" s="7"/>
      <c r="AL285" s="7"/>
      <c r="AM285" s="7"/>
      <c r="AN285" s="7"/>
      <c r="AO285" s="7"/>
      <c r="AP285" s="10"/>
      <c r="AQ285" s="7"/>
      <c r="AR285" s="7"/>
      <c r="AS285" s="7"/>
      <c r="AT285" s="7"/>
      <c r="AU285" s="7"/>
      <c r="AV285" s="7"/>
      <c r="AW285" s="7"/>
      <c r="AX285" s="7"/>
      <c r="AY285" s="7"/>
      <c r="AZ285" s="7"/>
      <c r="BA285" s="7"/>
      <c r="BB285" s="7"/>
      <c r="BC285" s="7"/>
      <c r="BD285" s="10"/>
      <c r="BE285" s="10"/>
      <c r="BF285" s="266"/>
      <c r="BG285" s="266"/>
    </row>
    <row r="286" spans="1:59" s="268" customFormat="1" x14ac:dyDescent="0.25">
      <c r="A286" s="107"/>
      <c r="B286" s="107"/>
      <c r="C286" s="108"/>
      <c r="D286" s="108"/>
      <c r="E286" s="108"/>
      <c r="F286" s="11"/>
      <c r="G286" s="11"/>
      <c r="H286" s="3"/>
      <c r="I286" s="107"/>
      <c r="J286" s="107"/>
      <c r="K286" s="7"/>
      <c r="L286" s="7"/>
      <c r="M286" s="7"/>
      <c r="N286" s="7"/>
      <c r="O286" s="10"/>
      <c r="P286" s="7"/>
      <c r="Q286" s="7"/>
      <c r="R286" s="7"/>
      <c r="S286" s="7"/>
      <c r="T286" s="7"/>
      <c r="U286" s="7"/>
      <c r="V286" s="7"/>
      <c r="W286" s="7"/>
      <c r="X286" s="10"/>
      <c r="Y286" s="7"/>
      <c r="Z286" s="7"/>
      <c r="AA286" s="10"/>
      <c r="AB286" s="7"/>
      <c r="AC286" s="7"/>
      <c r="AD286" s="7"/>
      <c r="AE286" s="7"/>
      <c r="AF286" s="7"/>
      <c r="AG286" s="7"/>
      <c r="AH286" s="7"/>
      <c r="AI286" s="7"/>
      <c r="AJ286" s="7"/>
      <c r="AK286" s="7"/>
      <c r="AL286" s="7"/>
      <c r="AM286" s="7"/>
      <c r="AN286" s="7"/>
      <c r="AO286" s="7"/>
      <c r="AP286" s="10"/>
      <c r="AQ286" s="7"/>
      <c r="AR286" s="7"/>
      <c r="AS286" s="7"/>
      <c r="AT286" s="7"/>
      <c r="AU286" s="7"/>
      <c r="AV286" s="7"/>
      <c r="AW286" s="7"/>
      <c r="AX286" s="7"/>
      <c r="AY286" s="7"/>
      <c r="AZ286" s="7"/>
      <c r="BA286" s="7"/>
      <c r="BB286" s="7"/>
      <c r="BC286" s="7"/>
      <c r="BD286" s="10"/>
      <c r="BE286" s="10"/>
      <c r="BF286" s="266"/>
      <c r="BG286" s="266"/>
    </row>
    <row r="287" spans="1:59" s="268" customFormat="1" x14ac:dyDescent="0.25">
      <c r="A287" s="107"/>
      <c r="B287" s="107"/>
      <c r="C287" s="7"/>
      <c r="D287" s="7"/>
      <c r="E287" s="7"/>
      <c r="F287" s="10"/>
      <c r="G287" s="11"/>
      <c r="H287" s="3"/>
      <c r="I287" s="107"/>
      <c r="J287" s="107"/>
      <c r="K287" s="7"/>
      <c r="L287" s="7"/>
      <c r="M287" s="7"/>
      <c r="N287" s="7"/>
      <c r="O287" s="10"/>
      <c r="P287" s="7"/>
      <c r="Q287" s="7"/>
      <c r="R287" s="7"/>
      <c r="S287" s="7"/>
      <c r="T287" s="7"/>
      <c r="U287" s="7"/>
      <c r="V287" s="7"/>
      <c r="W287" s="7"/>
      <c r="X287" s="10"/>
      <c r="Y287" s="7"/>
      <c r="Z287" s="7"/>
      <c r="AA287" s="10"/>
      <c r="AB287" s="7"/>
      <c r="AC287" s="7"/>
      <c r="AD287" s="7"/>
      <c r="AE287" s="7"/>
      <c r="AF287" s="7"/>
      <c r="AG287" s="7"/>
      <c r="AH287" s="7"/>
      <c r="AI287" s="7"/>
      <c r="AJ287" s="7"/>
      <c r="AK287" s="7"/>
      <c r="AL287" s="7"/>
      <c r="AM287" s="7"/>
      <c r="AN287" s="7"/>
      <c r="AO287" s="7"/>
      <c r="AP287" s="10"/>
      <c r="AQ287" s="7"/>
      <c r="AR287" s="7"/>
      <c r="AS287" s="7"/>
      <c r="AT287" s="7"/>
      <c r="AU287" s="7"/>
      <c r="AV287" s="7"/>
      <c r="AW287" s="7"/>
      <c r="AX287" s="7"/>
      <c r="AY287" s="7"/>
      <c r="AZ287" s="7"/>
      <c r="BA287" s="7"/>
      <c r="BB287" s="7"/>
      <c r="BC287" s="7"/>
      <c r="BD287" s="10"/>
      <c r="BE287" s="10"/>
      <c r="BF287" s="266"/>
      <c r="BG287" s="266"/>
    </row>
    <row r="288" spans="1:59" s="268" customFormat="1" x14ac:dyDescent="0.25">
      <c r="A288" s="107"/>
      <c r="B288" s="107"/>
      <c r="C288" s="7"/>
      <c r="D288" s="7"/>
      <c r="E288" s="7"/>
      <c r="F288" s="10"/>
      <c r="G288" s="10"/>
      <c r="H288" s="8"/>
      <c r="I288" s="107"/>
      <c r="J288" s="107"/>
      <c r="K288" s="7"/>
      <c r="L288" s="7"/>
      <c r="M288" s="7"/>
      <c r="N288" s="7"/>
      <c r="O288" s="10"/>
      <c r="P288" s="7"/>
      <c r="Q288" s="7"/>
      <c r="R288" s="7"/>
      <c r="S288" s="7"/>
      <c r="T288" s="7"/>
      <c r="U288" s="7"/>
      <c r="V288" s="7"/>
      <c r="W288" s="7"/>
      <c r="X288" s="10"/>
      <c r="Y288" s="7"/>
      <c r="Z288" s="7"/>
      <c r="AA288" s="10"/>
      <c r="AB288" s="7"/>
      <c r="AC288" s="7"/>
      <c r="AD288" s="7"/>
      <c r="AE288" s="7"/>
      <c r="AF288" s="7"/>
      <c r="AG288" s="7"/>
      <c r="AH288" s="7"/>
      <c r="AI288" s="7"/>
      <c r="AJ288" s="7"/>
      <c r="AK288" s="7"/>
      <c r="AL288" s="7"/>
      <c r="AM288" s="7"/>
      <c r="AN288" s="7"/>
      <c r="AO288" s="7"/>
      <c r="AP288" s="10"/>
      <c r="AQ288" s="7"/>
      <c r="AR288" s="7"/>
      <c r="AS288" s="7"/>
      <c r="AT288" s="7"/>
      <c r="AU288" s="7"/>
      <c r="AV288" s="7"/>
      <c r="AW288" s="7"/>
      <c r="AX288" s="7"/>
      <c r="AY288" s="7"/>
      <c r="AZ288" s="7"/>
      <c r="BA288" s="7"/>
      <c r="BB288" s="7"/>
      <c r="BC288" s="7"/>
      <c r="BD288" s="10"/>
      <c r="BE288" s="10"/>
      <c r="BF288" s="266"/>
      <c r="BG288" s="266"/>
    </row>
    <row r="289" spans="1:59" s="268" customFormat="1" x14ac:dyDescent="0.25">
      <c r="A289" s="107"/>
      <c r="B289" s="107"/>
      <c r="C289" s="7"/>
      <c r="D289" s="7"/>
      <c r="E289" s="7"/>
      <c r="F289" s="10"/>
      <c r="G289" s="10"/>
      <c r="H289" s="8"/>
      <c r="I289" s="107"/>
      <c r="J289" s="107"/>
      <c r="K289" s="7"/>
      <c r="L289" s="7"/>
      <c r="M289" s="7"/>
      <c r="N289" s="7"/>
      <c r="O289" s="10"/>
      <c r="P289" s="7"/>
      <c r="Q289" s="7"/>
      <c r="R289" s="7"/>
      <c r="S289" s="7"/>
      <c r="T289" s="7"/>
      <c r="U289" s="7"/>
      <c r="V289" s="7"/>
      <c r="W289" s="7"/>
      <c r="X289" s="10"/>
      <c r="Y289" s="7"/>
      <c r="Z289" s="7"/>
      <c r="AA289" s="10"/>
      <c r="AB289" s="7"/>
      <c r="AC289" s="7"/>
      <c r="AD289" s="7"/>
      <c r="AE289" s="7"/>
      <c r="AF289" s="7"/>
      <c r="AG289" s="7"/>
      <c r="AH289" s="7"/>
      <c r="AI289" s="7"/>
      <c r="AJ289" s="7"/>
      <c r="AK289" s="7"/>
      <c r="AL289" s="7"/>
      <c r="AM289" s="7"/>
      <c r="AN289" s="7"/>
      <c r="AO289" s="7"/>
      <c r="AP289" s="10"/>
      <c r="AQ289" s="7"/>
      <c r="AR289" s="7"/>
      <c r="AS289" s="7"/>
      <c r="AT289" s="7"/>
      <c r="AU289" s="7"/>
      <c r="AV289" s="7"/>
      <c r="AW289" s="7"/>
      <c r="AX289" s="7"/>
      <c r="AY289" s="7"/>
      <c r="AZ289" s="7"/>
      <c r="BA289" s="7"/>
      <c r="BB289" s="7"/>
      <c r="BC289" s="7"/>
      <c r="BD289" s="10"/>
      <c r="BE289" s="10"/>
      <c r="BF289" s="266"/>
      <c r="BG289" s="266"/>
    </row>
    <row r="290" spans="1:59" s="268" customFormat="1" x14ac:dyDescent="0.25">
      <c r="A290" s="107"/>
      <c r="B290" s="107"/>
      <c r="C290" s="7"/>
      <c r="D290" s="7"/>
      <c r="E290" s="7"/>
      <c r="F290" s="10"/>
      <c r="G290" s="10"/>
      <c r="H290" s="8"/>
      <c r="I290" s="107"/>
      <c r="J290" s="107"/>
      <c r="K290" s="7"/>
      <c r="L290" s="7"/>
      <c r="M290" s="7"/>
      <c r="N290" s="7"/>
      <c r="O290" s="10"/>
      <c r="P290" s="7"/>
      <c r="Q290" s="7"/>
      <c r="R290" s="7"/>
      <c r="S290" s="7"/>
      <c r="T290" s="7"/>
      <c r="U290" s="7"/>
      <c r="V290" s="7"/>
      <c r="W290" s="7"/>
      <c r="X290" s="10"/>
      <c r="Y290" s="7"/>
      <c r="Z290" s="7"/>
      <c r="AA290" s="10"/>
      <c r="AB290" s="7"/>
      <c r="AC290" s="7"/>
      <c r="AD290" s="7"/>
      <c r="AE290" s="7"/>
      <c r="AF290" s="7"/>
      <c r="AG290" s="7"/>
      <c r="AH290" s="7"/>
      <c r="AI290" s="7"/>
      <c r="AJ290" s="7"/>
      <c r="AK290" s="7"/>
      <c r="AL290" s="7"/>
      <c r="AM290" s="7"/>
      <c r="AN290" s="7"/>
      <c r="AO290" s="7"/>
      <c r="AP290" s="10"/>
      <c r="AQ290" s="7"/>
      <c r="AR290" s="7"/>
      <c r="AS290" s="7"/>
      <c r="AT290" s="7"/>
      <c r="AU290" s="7"/>
      <c r="AV290" s="7"/>
      <c r="AW290" s="7"/>
      <c r="AX290" s="7"/>
      <c r="AY290" s="7"/>
      <c r="AZ290" s="7"/>
      <c r="BA290" s="7"/>
      <c r="BB290" s="7"/>
      <c r="BC290" s="7"/>
      <c r="BD290" s="10"/>
      <c r="BE290" s="10"/>
      <c r="BF290" s="266"/>
      <c r="BG290" s="266"/>
    </row>
    <row r="291" spans="1:59" s="268" customFormat="1" x14ac:dyDescent="0.25">
      <c r="A291" s="107"/>
      <c r="B291" s="107"/>
      <c r="C291" s="7"/>
      <c r="D291" s="7"/>
      <c r="E291" s="7"/>
      <c r="F291" s="10"/>
      <c r="G291" s="10"/>
      <c r="H291" s="8"/>
      <c r="I291" s="107"/>
      <c r="J291" s="107"/>
      <c r="K291" s="7"/>
      <c r="L291" s="7"/>
      <c r="M291" s="7"/>
      <c r="N291" s="7"/>
      <c r="O291" s="10"/>
      <c r="P291" s="7"/>
      <c r="Q291" s="7"/>
      <c r="R291" s="7"/>
      <c r="S291" s="7"/>
      <c r="T291" s="7"/>
      <c r="U291" s="7"/>
      <c r="V291" s="7"/>
      <c r="W291" s="7"/>
      <c r="X291" s="10"/>
      <c r="Y291" s="7"/>
      <c r="Z291" s="7"/>
      <c r="AA291" s="10"/>
      <c r="AB291" s="7"/>
      <c r="AC291" s="7"/>
      <c r="AD291" s="7"/>
      <c r="AE291" s="7"/>
      <c r="AF291" s="7"/>
      <c r="AG291" s="7"/>
      <c r="AH291" s="7"/>
      <c r="AI291" s="7"/>
      <c r="AJ291" s="7"/>
      <c r="AK291" s="7"/>
      <c r="AL291" s="7"/>
      <c r="AM291" s="7"/>
      <c r="AN291" s="7"/>
      <c r="AO291" s="7"/>
      <c r="AP291" s="10"/>
      <c r="AQ291" s="7"/>
      <c r="AR291" s="7"/>
      <c r="AS291" s="7"/>
      <c r="AT291" s="7"/>
      <c r="AU291" s="7"/>
      <c r="AV291" s="7"/>
      <c r="AW291" s="7"/>
      <c r="AX291" s="7"/>
      <c r="AY291" s="7"/>
      <c r="AZ291" s="7"/>
      <c r="BA291" s="7"/>
      <c r="BB291" s="7"/>
      <c r="BC291" s="7"/>
      <c r="BD291" s="10"/>
      <c r="BE291" s="10"/>
      <c r="BF291" s="266"/>
      <c r="BG291" s="266"/>
    </row>
    <row r="292" spans="1:59" s="268" customFormat="1" x14ac:dyDescent="0.25">
      <c r="A292" s="107"/>
      <c r="B292" s="107"/>
      <c r="C292" s="7"/>
      <c r="D292" s="7"/>
      <c r="E292" s="7"/>
      <c r="F292" s="10"/>
      <c r="G292" s="10"/>
      <c r="H292" s="8"/>
      <c r="I292" s="107"/>
      <c r="J292" s="107"/>
      <c r="K292" s="7"/>
      <c r="L292" s="7"/>
      <c r="M292" s="7"/>
      <c r="N292" s="7"/>
      <c r="O292" s="10"/>
      <c r="P292" s="7"/>
      <c r="Q292" s="7"/>
      <c r="R292" s="7"/>
      <c r="S292" s="7"/>
      <c r="T292" s="7"/>
      <c r="U292" s="7"/>
      <c r="V292" s="7"/>
      <c r="W292" s="7"/>
      <c r="X292" s="10"/>
      <c r="Y292" s="7"/>
      <c r="Z292" s="7"/>
      <c r="AA292" s="10"/>
      <c r="AB292" s="7"/>
      <c r="AC292" s="7"/>
      <c r="AD292" s="7"/>
      <c r="AE292" s="7"/>
      <c r="AF292" s="7"/>
      <c r="AG292" s="7"/>
      <c r="AH292" s="7"/>
      <c r="AI292" s="7"/>
      <c r="AJ292" s="7"/>
      <c r="AK292" s="7"/>
      <c r="AL292" s="7"/>
      <c r="AM292" s="7"/>
      <c r="AN292" s="7"/>
      <c r="AO292" s="7"/>
      <c r="AP292" s="10"/>
      <c r="AQ292" s="7"/>
      <c r="AR292" s="7"/>
      <c r="AS292" s="7"/>
      <c r="AT292" s="7"/>
      <c r="AU292" s="7"/>
      <c r="AV292" s="7"/>
      <c r="AW292" s="7"/>
      <c r="AX292" s="7"/>
      <c r="AY292" s="7"/>
      <c r="AZ292" s="7"/>
      <c r="BA292" s="7"/>
      <c r="BB292" s="7"/>
      <c r="BC292" s="7"/>
      <c r="BD292" s="10"/>
      <c r="BE292" s="10"/>
      <c r="BF292" s="266"/>
      <c r="BG292" s="266"/>
    </row>
    <row r="293" spans="1:59" s="268" customFormat="1" x14ac:dyDescent="0.25">
      <c r="A293" s="107"/>
      <c r="B293" s="107"/>
      <c r="C293" s="7"/>
      <c r="D293" s="7"/>
      <c r="E293" s="7"/>
      <c r="F293" s="10"/>
      <c r="G293" s="10"/>
      <c r="H293" s="8"/>
      <c r="I293" s="107"/>
      <c r="J293" s="107"/>
      <c r="K293" s="7"/>
      <c r="L293" s="7"/>
      <c r="M293" s="7"/>
      <c r="N293" s="7"/>
      <c r="O293" s="10"/>
      <c r="P293" s="7"/>
      <c r="Q293" s="7"/>
      <c r="R293" s="7"/>
      <c r="S293" s="7"/>
      <c r="T293" s="7"/>
      <c r="U293" s="7"/>
      <c r="V293" s="7"/>
      <c r="W293" s="7"/>
      <c r="X293" s="10"/>
      <c r="Y293" s="7"/>
      <c r="Z293" s="7"/>
      <c r="AA293" s="10"/>
      <c r="AB293" s="7"/>
      <c r="AC293" s="7"/>
      <c r="AD293" s="7"/>
      <c r="AE293" s="7"/>
      <c r="AF293" s="7"/>
      <c r="AG293" s="7"/>
      <c r="AH293" s="7"/>
      <c r="AI293" s="7"/>
      <c r="AJ293" s="7"/>
      <c r="AK293" s="7"/>
      <c r="AL293" s="7"/>
      <c r="AM293" s="7"/>
      <c r="AN293" s="7"/>
      <c r="AO293" s="7"/>
      <c r="AP293" s="10"/>
      <c r="AQ293" s="7"/>
      <c r="AR293" s="7"/>
      <c r="AS293" s="7"/>
      <c r="AT293" s="7"/>
      <c r="AU293" s="7"/>
      <c r="AV293" s="7"/>
      <c r="AW293" s="7"/>
      <c r="AX293" s="7"/>
      <c r="AY293" s="7"/>
      <c r="AZ293" s="7"/>
      <c r="BA293" s="7"/>
      <c r="BB293" s="7"/>
      <c r="BC293" s="7"/>
      <c r="BD293" s="10"/>
      <c r="BE293" s="10"/>
      <c r="BF293" s="266"/>
      <c r="BG293" s="266"/>
    </row>
    <row r="294" spans="1:59" s="268" customFormat="1" x14ac:dyDescent="0.25">
      <c r="A294" s="107"/>
      <c r="B294" s="107"/>
      <c r="C294" s="7"/>
      <c r="D294" s="7"/>
      <c r="E294" s="7"/>
      <c r="F294" s="10"/>
      <c r="G294" s="10"/>
      <c r="H294" s="8"/>
      <c r="I294" s="107"/>
      <c r="J294" s="107"/>
      <c r="K294" s="7"/>
      <c r="L294" s="7"/>
      <c r="M294" s="7"/>
      <c r="N294" s="7"/>
      <c r="O294" s="10"/>
      <c r="P294" s="7"/>
      <c r="Q294" s="7"/>
      <c r="R294" s="7"/>
      <c r="S294" s="7"/>
      <c r="T294" s="7"/>
      <c r="U294" s="7"/>
      <c r="V294" s="7"/>
      <c r="W294" s="7"/>
      <c r="X294" s="10"/>
      <c r="Y294" s="7"/>
      <c r="Z294" s="7"/>
      <c r="AA294" s="10"/>
      <c r="AB294" s="7"/>
      <c r="AC294" s="7"/>
      <c r="AD294" s="7"/>
      <c r="AE294" s="7"/>
      <c r="AF294" s="7"/>
      <c r="AG294" s="7"/>
      <c r="AH294" s="7"/>
      <c r="AI294" s="7"/>
      <c r="AJ294" s="7"/>
      <c r="AK294" s="7"/>
      <c r="AL294" s="7"/>
      <c r="AM294" s="7"/>
      <c r="AN294" s="7"/>
      <c r="AO294" s="7"/>
      <c r="AP294" s="10"/>
      <c r="AQ294" s="7"/>
      <c r="AR294" s="7"/>
      <c r="AS294" s="7"/>
      <c r="AT294" s="7"/>
      <c r="AU294" s="7"/>
      <c r="AV294" s="7"/>
      <c r="AW294" s="7"/>
      <c r="AX294" s="7"/>
      <c r="AY294" s="7"/>
      <c r="AZ294" s="7"/>
      <c r="BA294" s="7"/>
      <c r="BB294" s="7"/>
      <c r="BC294" s="7"/>
      <c r="BD294" s="10"/>
      <c r="BE294" s="10"/>
      <c r="BF294" s="266"/>
      <c r="BG294" s="266"/>
    </row>
    <row r="295" spans="1:59" s="268" customFormat="1" x14ac:dyDescent="0.25">
      <c r="A295" s="107"/>
      <c r="B295" s="107"/>
      <c r="C295" s="7"/>
      <c r="D295" s="7"/>
      <c r="E295" s="7"/>
      <c r="F295" s="10"/>
      <c r="G295" s="10"/>
      <c r="H295" s="8"/>
      <c r="I295" s="107"/>
      <c r="J295" s="107"/>
      <c r="K295" s="7"/>
      <c r="L295" s="7"/>
      <c r="M295" s="7"/>
      <c r="N295" s="7"/>
      <c r="O295" s="10"/>
      <c r="P295" s="7"/>
      <c r="Q295" s="7"/>
      <c r="R295" s="7"/>
      <c r="S295" s="7"/>
      <c r="T295" s="7"/>
      <c r="U295" s="7"/>
      <c r="V295" s="7"/>
      <c r="W295" s="7"/>
      <c r="X295" s="10"/>
      <c r="Y295" s="7"/>
      <c r="Z295" s="7"/>
      <c r="AA295" s="10"/>
      <c r="AB295" s="7"/>
      <c r="AC295" s="7"/>
      <c r="AD295" s="7"/>
      <c r="AE295" s="7"/>
      <c r="AF295" s="7"/>
      <c r="AG295" s="7"/>
      <c r="AH295" s="7"/>
      <c r="AI295" s="7"/>
      <c r="AJ295" s="7"/>
      <c r="AK295" s="7"/>
      <c r="AL295" s="7"/>
      <c r="AM295" s="7"/>
      <c r="AN295" s="7"/>
      <c r="AO295" s="7"/>
      <c r="AP295" s="10"/>
      <c r="AQ295" s="7"/>
      <c r="AR295" s="7"/>
      <c r="AS295" s="7"/>
      <c r="AT295" s="7"/>
      <c r="AU295" s="7"/>
      <c r="AV295" s="7"/>
      <c r="AW295" s="7"/>
      <c r="AX295" s="7"/>
      <c r="AY295" s="7"/>
      <c r="AZ295" s="7"/>
      <c r="BA295" s="7"/>
      <c r="BB295" s="7"/>
      <c r="BC295" s="7"/>
      <c r="BD295" s="10"/>
      <c r="BE295" s="10"/>
      <c r="BF295" s="266"/>
      <c r="BG295" s="266"/>
    </row>
    <row r="296" spans="1:59" s="268" customFormat="1" x14ac:dyDescent="0.25">
      <c r="A296" s="107"/>
      <c r="B296" s="107"/>
      <c r="C296" s="7"/>
      <c r="D296" s="7"/>
      <c r="E296" s="7"/>
      <c r="F296" s="10"/>
      <c r="G296" s="10"/>
      <c r="H296" s="8"/>
      <c r="I296" s="107"/>
      <c r="J296" s="107"/>
      <c r="K296" s="7"/>
      <c r="L296" s="7"/>
      <c r="M296" s="7"/>
      <c r="N296" s="7"/>
      <c r="O296" s="10"/>
      <c r="P296" s="7"/>
      <c r="Q296" s="7"/>
      <c r="R296" s="7"/>
      <c r="S296" s="7"/>
      <c r="T296" s="7"/>
      <c r="U296" s="7"/>
      <c r="V296" s="7"/>
      <c r="W296" s="7"/>
      <c r="X296" s="10"/>
      <c r="Y296" s="7"/>
      <c r="Z296" s="7"/>
      <c r="AA296" s="10"/>
      <c r="AB296" s="7"/>
      <c r="AC296" s="7"/>
      <c r="AD296" s="7"/>
      <c r="AE296" s="7"/>
      <c r="AF296" s="7"/>
      <c r="AG296" s="7"/>
      <c r="AH296" s="7"/>
      <c r="AI296" s="7"/>
      <c r="AJ296" s="7"/>
      <c r="AK296" s="7"/>
      <c r="AL296" s="7"/>
      <c r="AM296" s="7"/>
      <c r="AN296" s="7"/>
      <c r="AO296" s="7"/>
      <c r="AP296" s="10"/>
      <c r="AQ296" s="7"/>
      <c r="AR296" s="7"/>
      <c r="AS296" s="7"/>
      <c r="AT296" s="7"/>
      <c r="AU296" s="7"/>
      <c r="AV296" s="7"/>
      <c r="AW296" s="7"/>
      <c r="AX296" s="7"/>
      <c r="AY296" s="7"/>
      <c r="AZ296" s="7"/>
      <c r="BA296" s="7"/>
      <c r="BB296" s="7"/>
      <c r="BC296" s="7"/>
      <c r="BD296" s="10"/>
      <c r="BE296" s="10"/>
      <c r="BF296" s="266"/>
      <c r="BG296" s="266"/>
    </row>
    <row r="297" spans="1:59" s="268" customFormat="1" x14ac:dyDescent="0.25">
      <c r="A297" s="107"/>
      <c r="B297" s="107"/>
      <c r="C297" s="7"/>
      <c r="D297" s="7"/>
      <c r="E297" s="7"/>
      <c r="F297" s="10"/>
      <c r="G297" s="10"/>
      <c r="H297" s="8"/>
      <c r="I297" s="107"/>
      <c r="J297" s="107"/>
      <c r="K297" s="7"/>
      <c r="L297" s="7"/>
      <c r="M297" s="7"/>
      <c r="N297" s="7"/>
      <c r="O297" s="10"/>
      <c r="P297" s="7"/>
      <c r="Q297" s="7"/>
      <c r="R297" s="7"/>
      <c r="S297" s="7"/>
      <c r="T297" s="7"/>
      <c r="U297" s="7"/>
      <c r="V297" s="7"/>
      <c r="W297" s="7"/>
      <c r="X297" s="10"/>
      <c r="Y297" s="7"/>
      <c r="Z297" s="7"/>
      <c r="AA297" s="10"/>
      <c r="AB297" s="7"/>
      <c r="AC297" s="7"/>
      <c r="AD297" s="7"/>
      <c r="AE297" s="7"/>
      <c r="AF297" s="7"/>
      <c r="AG297" s="7"/>
      <c r="AH297" s="7"/>
      <c r="AI297" s="7"/>
      <c r="AJ297" s="7"/>
      <c r="AK297" s="7"/>
      <c r="AL297" s="7"/>
      <c r="AM297" s="7"/>
      <c r="AN297" s="7"/>
      <c r="AO297" s="7"/>
      <c r="AP297" s="10"/>
      <c r="AQ297" s="7"/>
      <c r="AR297" s="7"/>
      <c r="AS297" s="7"/>
      <c r="AT297" s="7"/>
      <c r="AU297" s="7"/>
      <c r="AV297" s="7"/>
      <c r="AW297" s="7"/>
      <c r="AX297" s="7"/>
      <c r="AY297" s="7"/>
      <c r="AZ297" s="7"/>
      <c r="BA297" s="7"/>
      <c r="BB297" s="7"/>
      <c r="BC297" s="7"/>
      <c r="BD297" s="10"/>
      <c r="BE297" s="10"/>
      <c r="BF297" s="266"/>
      <c r="BG297" s="266"/>
    </row>
    <row r="298" spans="1:59" s="268" customFormat="1" x14ac:dyDescent="0.25">
      <c r="A298" s="107"/>
      <c r="B298" s="107"/>
      <c r="C298" s="7"/>
      <c r="D298" s="7"/>
      <c r="E298" s="7"/>
      <c r="F298" s="10"/>
      <c r="G298" s="10"/>
      <c r="H298" s="8"/>
      <c r="I298" s="107"/>
      <c r="J298" s="107"/>
      <c r="K298" s="7"/>
      <c r="L298" s="7"/>
      <c r="M298" s="7"/>
      <c r="N298" s="7"/>
      <c r="O298" s="10"/>
      <c r="P298" s="7"/>
      <c r="Q298" s="7"/>
      <c r="R298" s="7"/>
      <c r="S298" s="7"/>
      <c r="T298" s="7"/>
      <c r="U298" s="7"/>
      <c r="V298" s="7"/>
      <c r="W298" s="7"/>
      <c r="X298" s="10"/>
      <c r="Y298" s="7"/>
      <c r="Z298" s="7"/>
      <c r="AA298" s="10"/>
      <c r="AB298" s="7"/>
      <c r="AC298" s="7"/>
      <c r="AD298" s="7"/>
      <c r="AE298" s="7"/>
      <c r="AF298" s="7"/>
      <c r="AG298" s="7"/>
      <c r="AH298" s="7"/>
      <c r="AI298" s="7"/>
      <c r="AJ298" s="7"/>
      <c r="AK298" s="7"/>
      <c r="AL298" s="7"/>
      <c r="AM298" s="7"/>
      <c r="AN298" s="7"/>
      <c r="AO298" s="7"/>
      <c r="AP298" s="10"/>
      <c r="AQ298" s="7"/>
      <c r="AR298" s="7"/>
      <c r="AS298" s="7"/>
      <c r="AT298" s="7"/>
      <c r="AU298" s="7"/>
      <c r="AV298" s="7"/>
      <c r="AW298" s="7"/>
      <c r="AX298" s="7"/>
      <c r="AY298" s="7"/>
      <c r="AZ298" s="7"/>
      <c r="BA298" s="7"/>
      <c r="BB298" s="7"/>
      <c r="BC298" s="7"/>
      <c r="BD298" s="10"/>
      <c r="BE298" s="10"/>
      <c r="BF298" s="266"/>
      <c r="BG298" s="266"/>
    </row>
    <row r="299" spans="1:59" s="268" customFormat="1" x14ac:dyDescent="0.25">
      <c r="A299" s="107"/>
      <c r="B299" s="107"/>
      <c r="C299" s="7"/>
      <c r="D299" s="7"/>
      <c r="E299" s="7"/>
      <c r="F299" s="10"/>
      <c r="G299" s="10"/>
      <c r="H299" s="8"/>
      <c r="I299" s="107"/>
      <c r="J299" s="107"/>
      <c r="K299" s="7"/>
      <c r="L299" s="7"/>
      <c r="M299" s="7"/>
      <c r="N299" s="7"/>
      <c r="O299" s="10"/>
      <c r="P299" s="7"/>
      <c r="Q299" s="7"/>
      <c r="R299" s="7"/>
      <c r="S299" s="7"/>
      <c r="T299" s="7"/>
      <c r="U299" s="7"/>
      <c r="V299" s="7"/>
      <c r="W299" s="7"/>
      <c r="X299" s="10"/>
      <c r="Y299" s="7"/>
      <c r="Z299" s="7"/>
      <c r="AA299" s="10"/>
      <c r="AB299" s="7"/>
      <c r="AC299" s="7"/>
      <c r="AD299" s="7"/>
      <c r="AE299" s="7"/>
      <c r="AF299" s="7"/>
      <c r="AG299" s="7"/>
      <c r="AH299" s="7"/>
      <c r="AI299" s="7"/>
      <c r="AJ299" s="7"/>
      <c r="AK299" s="7"/>
      <c r="AL299" s="7"/>
      <c r="AM299" s="7"/>
      <c r="AN299" s="7"/>
      <c r="AO299" s="7"/>
      <c r="AP299" s="10"/>
      <c r="AQ299" s="7"/>
      <c r="AR299" s="7"/>
      <c r="AS299" s="7"/>
      <c r="AT299" s="7"/>
      <c r="AU299" s="7"/>
      <c r="AV299" s="7"/>
      <c r="AW299" s="7"/>
      <c r="AX299" s="7"/>
      <c r="AY299" s="7"/>
      <c r="AZ299" s="7"/>
      <c r="BA299" s="7"/>
      <c r="BB299" s="7"/>
      <c r="BC299" s="7"/>
      <c r="BD299" s="10"/>
      <c r="BE299" s="10"/>
      <c r="BF299" s="266"/>
      <c r="BG299" s="266"/>
    </row>
    <row r="300" spans="1:59" s="268" customFormat="1" x14ac:dyDescent="0.25">
      <c r="A300" s="107"/>
      <c r="B300" s="107"/>
      <c r="C300" s="7"/>
      <c r="D300" s="7"/>
      <c r="E300" s="7"/>
      <c r="F300" s="10"/>
      <c r="G300" s="10"/>
      <c r="H300" s="8"/>
      <c r="I300" s="107"/>
      <c r="J300" s="107"/>
      <c r="K300" s="7"/>
      <c r="L300" s="7"/>
      <c r="M300" s="7"/>
      <c r="N300" s="7"/>
      <c r="O300" s="10"/>
      <c r="P300" s="7"/>
      <c r="Q300" s="7"/>
      <c r="R300" s="7"/>
      <c r="S300" s="7"/>
      <c r="T300" s="7"/>
      <c r="U300" s="7"/>
      <c r="V300" s="7"/>
      <c r="W300" s="7"/>
      <c r="X300" s="10"/>
      <c r="Y300" s="7"/>
      <c r="Z300" s="7"/>
      <c r="AA300" s="10"/>
      <c r="AB300" s="7"/>
      <c r="AC300" s="7"/>
      <c r="AD300" s="7"/>
      <c r="AE300" s="7"/>
      <c r="AF300" s="7"/>
      <c r="AG300" s="7"/>
      <c r="AH300" s="7"/>
      <c r="AI300" s="7"/>
      <c r="AJ300" s="7"/>
      <c r="AK300" s="7"/>
      <c r="AL300" s="7"/>
      <c r="AM300" s="7"/>
      <c r="AN300" s="7"/>
      <c r="AO300" s="7"/>
      <c r="AP300" s="10"/>
      <c r="AQ300" s="7"/>
      <c r="AR300" s="7"/>
      <c r="AS300" s="7"/>
      <c r="AT300" s="7"/>
      <c r="AU300" s="7"/>
      <c r="AV300" s="7"/>
      <c r="AW300" s="7"/>
      <c r="AX300" s="7"/>
      <c r="AY300" s="7"/>
      <c r="AZ300" s="7"/>
      <c r="BA300" s="7"/>
      <c r="BB300" s="7"/>
      <c r="BC300" s="7"/>
      <c r="BD300" s="10"/>
      <c r="BE300" s="10"/>
      <c r="BF300" s="266"/>
      <c r="BG300" s="266"/>
    </row>
    <row r="301" spans="1:59" s="268" customFormat="1" x14ac:dyDescent="0.25">
      <c r="A301" s="107"/>
      <c r="B301" s="107"/>
      <c r="C301" s="7"/>
      <c r="D301" s="7"/>
      <c r="E301" s="7"/>
      <c r="F301" s="10"/>
      <c r="G301" s="10"/>
      <c r="H301" s="8"/>
      <c r="I301" s="107"/>
      <c r="J301" s="107"/>
      <c r="K301" s="7"/>
      <c r="L301" s="7"/>
      <c r="M301" s="7"/>
      <c r="N301" s="7"/>
      <c r="O301" s="10"/>
      <c r="P301" s="7"/>
      <c r="Q301" s="7"/>
      <c r="R301" s="7"/>
      <c r="S301" s="7"/>
      <c r="T301" s="7"/>
      <c r="U301" s="7"/>
      <c r="V301" s="7"/>
      <c r="W301" s="7"/>
      <c r="X301" s="10"/>
      <c r="Y301" s="7"/>
      <c r="Z301" s="7"/>
      <c r="AA301" s="10"/>
      <c r="AB301" s="7"/>
      <c r="AC301" s="7"/>
      <c r="AD301" s="7"/>
      <c r="AE301" s="7"/>
      <c r="AF301" s="7"/>
      <c r="AG301" s="7"/>
      <c r="AH301" s="7"/>
      <c r="AI301" s="7"/>
      <c r="AJ301" s="7"/>
      <c r="AK301" s="7"/>
      <c r="AL301" s="7"/>
      <c r="AM301" s="7"/>
      <c r="AN301" s="7"/>
      <c r="AO301" s="7"/>
      <c r="AP301" s="10"/>
      <c r="AQ301" s="7"/>
      <c r="AR301" s="7"/>
      <c r="AS301" s="7"/>
      <c r="AT301" s="7"/>
      <c r="AU301" s="7"/>
      <c r="AV301" s="7"/>
      <c r="AW301" s="7"/>
      <c r="AX301" s="7"/>
      <c r="AY301" s="7"/>
      <c r="AZ301" s="7"/>
      <c r="BA301" s="7"/>
      <c r="BB301" s="7"/>
      <c r="BC301" s="7"/>
      <c r="BD301" s="10"/>
      <c r="BE301" s="10"/>
      <c r="BF301" s="266"/>
      <c r="BG301" s="266"/>
    </row>
    <row r="302" spans="1:59" s="268" customFormat="1" x14ac:dyDescent="0.25">
      <c r="A302" s="107"/>
      <c r="B302" s="107"/>
      <c r="C302" s="7"/>
      <c r="D302" s="7"/>
      <c r="E302" s="7"/>
      <c r="F302" s="10"/>
      <c r="G302" s="10"/>
      <c r="H302" s="8"/>
      <c r="I302" s="107"/>
      <c r="J302" s="107"/>
      <c r="K302" s="7"/>
      <c r="L302" s="7"/>
      <c r="M302" s="7"/>
      <c r="N302" s="7"/>
      <c r="O302" s="10"/>
      <c r="P302" s="7"/>
      <c r="Q302" s="7"/>
      <c r="R302" s="7"/>
      <c r="S302" s="7"/>
      <c r="T302" s="7"/>
      <c r="U302" s="7"/>
      <c r="V302" s="7"/>
      <c r="W302" s="7"/>
      <c r="X302" s="10"/>
      <c r="Y302" s="7"/>
      <c r="Z302" s="7"/>
      <c r="AA302" s="10"/>
      <c r="AB302" s="7"/>
      <c r="AC302" s="7"/>
      <c r="AD302" s="7"/>
      <c r="AE302" s="7"/>
      <c r="AF302" s="7"/>
      <c r="AG302" s="7"/>
      <c r="AH302" s="7"/>
      <c r="AI302" s="7"/>
      <c r="AJ302" s="7"/>
      <c r="AK302" s="7"/>
      <c r="AL302" s="7"/>
      <c r="AM302" s="7"/>
      <c r="AN302" s="7"/>
      <c r="AO302" s="7"/>
      <c r="AP302" s="10"/>
      <c r="AQ302" s="7"/>
      <c r="AR302" s="7"/>
      <c r="AS302" s="7"/>
      <c r="AT302" s="7"/>
      <c r="AU302" s="7"/>
      <c r="AV302" s="7"/>
      <c r="AW302" s="7"/>
      <c r="AX302" s="7"/>
      <c r="AY302" s="7"/>
      <c r="AZ302" s="7"/>
      <c r="BA302" s="7"/>
      <c r="BB302" s="7"/>
      <c r="BC302" s="7"/>
      <c r="BD302" s="10"/>
      <c r="BE302" s="10"/>
      <c r="BF302" s="266"/>
      <c r="BG302" s="266"/>
    </row>
    <row r="303" spans="1:59" s="268" customFormat="1" x14ac:dyDescent="0.25">
      <c r="A303" s="107"/>
      <c r="B303" s="107"/>
      <c r="C303" s="7"/>
      <c r="D303" s="7"/>
      <c r="E303" s="7"/>
      <c r="F303" s="10"/>
      <c r="G303" s="10"/>
      <c r="H303" s="8"/>
      <c r="I303" s="107"/>
      <c r="J303" s="107"/>
      <c r="K303" s="7"/>
      <c r="L303" s="7"/>
      <c r="M303" s="7"/>
      <c r="N303" s="7"/>
      <c r="O303" s="10"/>
      <c r="P303" s="7"/>
      <c r="Q303" s="7"/>
      <c r="R303" s="7"/>
      <c r="S303" s="7"/>
      <c r="T303" s="7"/>
      <c r="U303" s="7"/>
      <c r="V303" s="7"/>
      <c r="W303" s="7"/>
      <c r="X303" s="10"/>
      <c r="Y303" s="7"/>
      <c r="Z303" s="7"/>
      <c r="AA303" s="10"/>
      <c r="AB303" s="7"/>
      <c r="AC303" s="7"/>
      <c r="AD303" s="7"/>
      <c r="AE303" s="7"/>
      <c r="AF303" s="7"/>
      <c r="AG303" s="7"/>
      <c r="AH303" s="7"/>
      <c r="AI303" s="7"/>
      <c r="AJ303" s="7"/>
      <c r="AK303" s="7"/>
      <c r="AL303" s="7"/>
      <c r="AM303" s="7"/>
      <c r="AN303" s="7"/>
      <c r="AO303" s="7"/>
      <c r="AP303" s="10"/>
      <c r="AQ303" s="7"/>
      <c r="AR303" s="7"/>
      <c r="AS303" s="7"/>
      <c r="AT303" s="7"/>
      <c r="AU303" s="7"/>
      <c r="AV303" s="7"/>
      <c r="AW303" s="7"/>
      <c r="AX303" s="7"/>
      <c r="AY303" s="7"/>
      <c r="AZ303" s="7"/>
      <c r="BA303" s="7"/>
      <c r="BB303" s="7"/>
      <c r="BC303" s="7"/>
      <c r="BD303" s="10"/>
      <c r="BE303" s="10"/>
      <c r="BF303" s="266"/>
      <c r="BG303" s="266"/>
    </row>
    <row r="304" spans="1:59" s="268" customFormat="1" x14ac:dyDescent="0.25">
      <c r="A304" s="107"/>
      <c r="B304" s="107"/>
      <c r="C304" s="7"/>
      <c r="D304" s="7"/>
      <c r="E304" s="7"/>
      <c r="F304" s="10"/>
      <c r="G304" s="10"/>
      <c r="H304" s="8"/>
      <c r="I304" s="107"/>
      <c r="J304" s="107"/>
      <c r="K304" s="7"/>
      <c r="L304" s="7"/>
      <c r="M304" s="7"/>
      <c r="N304" s="7"/>
      <c r="O304" s="10"/>
      <c r="P304" s="7"/>
      <c r="Q304" s="7"/>
      <c r="R304" s="7"/>
      <c r="S304" s="7"/>
      <c r="T304" s="7"/>
      <c r="U304" s="7"/>
      <c r="V304" s="7"/>
      <c r="W304" s="7"/>
      <c r="X304" s="10"/>
      <c r="Y304" s="7"/>
      <c r="Z304" s="7"/>
      <c r="AA304" s="10"/>
      <c r="AB304" s="7"/>
      <c r="AC304" s="7"/>
      <c r="AD304" s="7"/>
      <c r="AE304" s="7"/>
      <c r="AF304" s="7"/>
      <c r="AG304" s="7"/>
      <c r="AH304" s="7"/>
      <c r="AI304" s="7"/>
      <c r="AJ304" s="7"/>
      <c r="AK304" s="7"/>
      <c r="AL304" s="7"/>
      <c r="AM304" s="7"/>
      <c r="AN304" s="7"/>
      <c r="AO304" s="7"/>
      <c r="AP304" s="10"/>
      <c r="AQ304" s="7"/>
      <c r="AR304" s="7"/>
      <c r="AS304" s="7"/>
      <c r="AT304" s="7"/>
      <c r="AU304" s="7"/>
      <c r="AV304" s="7"/>
      <c r="AW304" s="7"/>
      <c r="AX304" s="7"/>
      <c r="AY304" s="7"/>
      <c r="AZ304" s="7"/>
      <c r="BA304" s="7"/>
      <c r="BB304" s="7"/>
      <c r="BC304" s="7"/>
      <c r="BD304" s="10"/>
      <c r="BE304" s="10"/>
      <c r="BF304" s="266"/>
      <c r="BG304" s="266"/>
    </row>
    <row r="305" spans="1:59" s="268" customFormat="1" x14ac:dyDescent="0.25">
      <c r="A305" s="107"/>
      <c r="B305" s="107"/>
      <c r="C305" s="7"/>
      <c r="D305" s="7"/>
      <c r="E305" s="7"/>
      <c r="F305" s="10"/>
      <c r="G305" s="10"/>
      <c r="H305" s="8"/>
      <c r="I305" s="107"/>
      <c r="J305" s="107"/>
      <c r="K305" s="7"/>
      <c r="L305" s="7"/>
      <c r="M305" s="7"/>
      <c r="N305" s="7"/>
      <c r="O305" s="10"/>
      <c r="P305" s="7"/>
      <c r="Q305" s="7"/>
      <c r="R305" s="7"/>
      <c r="S305" s="7"/>
      <c r="T305" s="7"/>
      <c r="U305" s="7"/>
      <c r="V305" s="7"/>
      <c r="W305" s="7"/>
      <c r="X305" s="10"/>
      <c r="Y305" s="7"/>
      <c r="Z305" s="7"/>
      <c r="AA305" s="10"/>
      <c r="AB305" s="7"/>
      <c r="AC305" s="7"/>
      <c r="AD305" s="7"/>
      <c r="AE305" s="7"/>
      <c r="AF305" s="7"/>
      <c r="AG305" s="7"/>
      <c r="AH305" s="7"/>
      <c r="AI305" s="7"/>
      <c r="AJ305" s="7"/>
      <c r="AK305" s="7"/>
      <c r="AL305" s="7"/>
      <c r="AM305" s="7"/>
      <c r="AN305" s="7"/>
      <c r="AO305" s="7"/>
      <c r="AP305" s="10"/>
      <c r="AQ305" s="7"/>
      <c r="AR305" s="7"/>
      <c r="AS305" s="7"/>
      <c r="AT305" s="7"/>
      <c r="AU305" s="7"/>
      <c r="AV305" s="7"/>
      <c r="AW305" s="7"/>
      <c r="AX305" s="7"/>
      <c r="AY305" s="7"/>
      <c r="AZ305" s="7"/>
      <c r="BA305" s="7"/>
      <c r="BB305" s="7"/>
      <c r="BC305" s="7"/>
      <c r="BD305" s="10"/>
      <c r="BE305" s="10"/>
      <c r="BF305" s="266"/>
      <c r="BG305" s="266"/>
    </row>
    <row r="306" spans="1:59" s="268" customFormat="1" x14ac:dyDescent="0.25">
      <c r="A306" s="107"/>
      <c r="B306" s="107"/>
      <c r="C306" s="7"/>
      <c r="D306" s="7"/>
      <c r="E306" s="7"/>
      <c r="F306" s="10"/>
      <c r="G306" s="10"/>
      <c r="H306" s="8"/>
      <c r="I306" s="107"/>
      <c r="J306" s="107"/>
      <c r="K306" s="7"/>
      <c r="L306" s="7"/>
      <c r="M306" s="7"/>
      <c r="N306" s="7"/>
      <c r="O306" s="10"/>
      <c r="P306" s="7"/>
      <c r="Q306" s="7"/>
      <c r="R306" s="7"/>
      <c r="S306" s="7"/>
      <c r="T306" s="7"/>
      <c r="U306" s="7"/>
      <c r="V306" s="7"/>
      <c r="W306" s="7"/>
      <c r="X306" s="10"/>
      <c r="Y306" s="7"/>
      <c r="Z306" s="7"/>
      <c r="AA306" s="10"/>
      <c r="AB306" s="7"/>
      <c r="AC306" s="7"/>
      <c r="AD306" s="7"/>
      <c r="AE306" s="7"/>
      <c r="AF306" s="7"/>
      <c r="AG306" s="7"/>
      <c r="AH306" s="7"/>
      <c r="AI306" s="7"/>
      <c r="AJ306" s="7"/>
      <c r="AK306" s="7"/>
      <c r="AL306" s="7"/>
      <c r="AM306" s="7"/>
      <c r="AN306" s="7"/>
      <c r="AO306" s="7"/>
      <c r="AP306" s="10"/>
      <c r="AQ306" s="7"/>
      <c r="AR306" s="7"/>
      <c r="AS306" s="7"/>
      <c r="AT306" s="7"/>
      <c r="AU306" s="7"/>
      <c r="AV306" s="7"/>
      <c r="AW306" s="7"/>
      <c r="AX306" s="7"/>
      <c r="AY306" s="7"/>
      <c r="AZ306" s="7"/>
      <c r="BA306" s="7"/>
      <c r="BB306" s="7"/>
      <c r="BC306" s="7"/>
      <c r="BD306" s="10"/>
      <c r="BE306" s="10"/>
      <c r="BF306" s="266"/>
      <c r="BG306" s="266"/>
    </row>
    <row r="307" spans="1:59" s="268" customFormat="1" x14ac:dyDescent="0.25">
      <c r="A307" s="107"/>
      <c r="B307" s="107"/>
      <c r="C307" s="7"/>
      <c r="D307" s="7"/>
      <c r="E307" s="7"/>
      <c r="F307" s="10"/>
      <c r="G307" s="10"/>
      <c r="H307" s="8"/>
      <c r="I307" s="107"/>
      <c r="J307" s="107"/>
      <c r="K307" s="7"/>
      <c r="L307" s="7"/>
      <c r="M307" s="7"/>
      <c r="N307" s="7"/>
      <c r="O307" s="10"/>
      <c r="P307" s="7"/>
      <c r="Q307" s="7"/>
      <c r="R307" s="7"/>
      <c r="S307" s="7"/>
      <c r="T307" s="7"/>
      <c r="U307" s="7"/>
      <c r="V307" s="7"/>
      <c r="W307" s="7"/>
      <c r="X307" s="10"/>
      <c r="Y307" s="7"/>
      <c r="Z307" s="7"/>
      <c r="AA307" s="10"/>
      <c r="AB307" s="7"/>
      <c r="AC307" s="7"/>
      <c r="AD307" s="7"/>
      <c r="AE307" s="7"/>
      <c r="AF307" s="7"/>
      <c r="AG307" s="7"/>
      <c r="AH307" s="7"/>
      <c r="AI307" s="7"/>
      <c r="AJ307" s="7"/>
      <c r="AK307" s="7"/>
      <c r="AL307" s="7"/>
      <c r="AM307" s="7"/>
      <c r="AN307" s="7"/>
      <c r="AO307" s="7"/>
      <c r="AP307" s="10"/>
      <c r="AQ307" s="7"/>
      <c r="AR307" s="7"/>
      <c r="AS307" s="7"/>
      <c r="AT307" s="7"/>
      <c r="AU307" s="7"/>
      <c r="AV307" s="7"/>
      <c r="AW307" s="7"/>
      <c r="AX307" s="7"/>
      <c r="AY307" s="7"/>
      <c r="AZ307" s="7"/>
      <c r="BA307" s="7"/>
      <c r="BB307" s="7"/>
      <c r="BC307" s="7"/>
      <c r="BD307" s="10"/>
      <c r="BE307" s="10"/>
      <c r="BF307" s="266"/>
      <c r="BG307" s="266"/>
    </row>
    <row r="308" spans="1:59" s="268" customFormat="1" x14ac:dyDescent="0.25">
      <c r="A308" s="107"/>
      <c r="B308" s="107"/>
      <c r="C308" s="7"/>
      <c r="D308" s="7"/>
      <c r="E308" s="7"/>
      <c r="F308" s="10"/>
      <c r="G308" s="10"/>
      <c r="H308" s="8"/>
      <c r="I308" s="107"/>
      <c r="J308" s="107"/>
      <c r="K308" s="7"/>
      <c r="L308" s="7"/>
      <c r="M308" s="7"/>
      <c r="N308" s="7"/>
      <c r="O308" s="10"/>
      <c r="P308" s="7"/>
      <c r="Q308" s="7"/>
      <c r="R308" s="7"/>
      <c r="S308" s="7"/>
      <c r="T308" s="7"/>
      <c r="U308" s="7"/>
      <c r="V308" s="7"/>
      <c r="W308" s="7"/>
      <c r="X308" s="10"/>
      <c r="Y308" s="7"/>
      <c r="Z308" s="7"/>
      <c r="AA308" s="10"/>
      <c r="AB308" s="7"/>
      <c r="AC308" s="7"/>
      <c r="AD308" s="7"/>
      <c r="AE308" s="7"/>
      <c r="AF308" s="7"/>
      <c r="AG308" s="7"/>
      <c r="AH308" s="7"/>
      <c r="AI308" s="7"/>
      <c r="AJ308" s="7"/>
      <c r="AK308" s="7"/>
      <c r="AL308" s="7"/>
      <c r="AM308" s="7"/>
      <c r="AN308" s="7"/>
      <c r="AO308" s="7"/>
      <c r="AP308" s="10"/>
      <c r="AQ308" s="7"/>
      <c r="AR308" s="7"/>
      <c r="AS308" s="7"/>
      <c r="AT308" s="7"/>
      <c r="AU308" s="7"/>
      <c r="AV308" s="7"/>
      <c r="AW308" s="7"/>
      <c r="AX308" s="7"/>
      <c r="AY308" s="7"/>
      <c r="AZ308" s="7"/>
      <c r="BA308" s="7"/>
      <c r="BB308" s="7"/>
      <c r="BC308" s="7"/>
      <c r="BD308" s="10"/>
      <c r="BE308" s="10"/>
      <c r="BF308" s="266"/>
      <c r="BG308" s="266"/>
    </row>
    <row r="309" spans="1:59" s="268" customFormat="1" x14ac:dyDescent="0.25">
      <c r="A309" s="107"/>
      <c r="B309" s="107"/>
      <c r="C309" s="7"/>
      <c r="D309" s="7"/>
      <c r="E309" s="7"/>
      <c r="F309" s="10"/>
      <c r="G309" s="10"/>
      <c r="H309" s="8"/>
      <c r="I309" s="107"/>
      <c r="J309" s="107"/>
      <c r="K309" s="7"/>
      <c r="L309" s="7"/>
      <c r="M309" s="7"/>
      <c r="N309" s="7"/>
      <c r="O309" s="10"/>
      <c r="P309" s="7"/>
      <c r="Q309" s="7"/>
      <c r="R309" s="7"/>
      <c r="S309" s="7"/>
      <c r="T309" s="7"/>
      <c r="U309" s="7"/>
      <c r="V309" s="7"/>
      <c r="W309" s="7"/>
      <c r="X309" s="10"/>
      <c r="Y309" s="7"/>
      <c r="Z309" s="7"/>
      <c r="AA309" s="10"/>
      <c r="AB309" s="7"/>
      <c r="AC309" s="7"/>
      <c r="AD309" s="7"/>
      <c r="AE309" s="7"/>
      <c r="AF309" s="7"/>
      <c r="AG309" s="7"/>
      <c r="AH309" s="7"/>
      <c r="AI309" s="7"/>
      <c r="AJ309" s="7"/>
      <c r="AK309" s="7"/>
      <c r="AL309" s="7"/>
      <c r="AM309" s="7"/>
      <c r="AN309" s="7"/>
      <c r="AO309" s="7"/>
      <c r="AP309" s="10"/>
      <c r="AQ309" s="7"/>
      <c r="AR309" s="7"/>
      <c r="AS309" s="7"/>
      <c r="AT309" s="7"/>
      <c r="AU309" s="7"/>
      <c r="AV309" s="7"/>
      <c r="AW309" s="7"/>
      <c r="AX309" s="7"/>
      <c r="AY309" s="7"/>
      <c r="AZ309" s="7"/>
      <c r="BA309" s="7"/>
      <c r="BB309" s="7"/>
      <c r="BC309" s="7"/>
      <c r="BD309" s="10"/>
      <c r="BE309" s="10"/>
      <c r="BF309" s="266"/>
      <c r="BG309" s="266"/>
    </row>
    <row r="310" spans="1:59" s="268" customFormat="1" x14ac:dyDescent="0.25">
      <c r="A310" s="107"/>
      <c r="B310" s="107"/>
      <c r="C310" s="7"/>
      <c r="D310" s="7"/>
      <c r="E310" s="7"/>
      <c r="F310" s="10"/>
      <c r="G310" s="10"/>
      <c r="H310" s="8"/>
      <c r="I310" s="107"/>
      <c r="J310" s="107"/>
      <c r="K310" s="7"/>
      <c r="L310" s="7"/>
      <c r="M310" s="7"/>
      <c r="N310" s="7"/>
      <c r="O310" s="10"/>
      <c r="P310" s="7"/>
      <c r="Q310" s="7"/>
      <c r="R310" s="7"/>
      <c r="S310" s="7"/>
      <c r="T310" s="7"/>
      <c r="U310" s="7"/>
      <c r="V310" s="7"/>
      <c r="W310" s="7"/>
      <c r="X310" s="10"/>
      <c r="Y310" s="7"/>
      <c r="Z310" s="7"/>
      <c r="AA310" s="10"/>
      <c r="AB310" s="7"/>
      <c r="AC310" s="7"/>
      <c r="AD310" s="7"/>
      <c r="AE310" s="7"/>
      <c r="AF310" s="7"/>
      <c r="AG310" s="7"/>
      <c r="AH310" s="7"/>
      <c r="AI310" s="7"/>
      <c r="AJ310" s="7"/>
      <c r="AK310" s="7"/>
      <c r="AL310" s="7"/>
      <c r="AM310" s="7"/>
      <c r="AN310" s="7"/>
      <c r="AO310" s="7"/>
      <c r="AP310" s="10"/>
      <c r="AQ310" s="7"/>
      <c r="AR310" s="7"/>
      <c r="AS310" s="7"/>
      <c r="AT310" s="7"/>
      <c r="AU310" s="7"/>
      <c r="AV310" s="7"/>
      <c r="AW310" s="7"/>
      <c r="AX310" s="7"/>
      <c r="AY310" s="7"/>
      <c r="AZ310" s="7"/>
      <c r="BA310" s="7"/>
      <c r="BB310" s="7"/>
      <c r="BC310" s="7"/>
      <c r="BD310" s="10"/>
      <c r="BE310" s="10"/>
      <c r="BF310" s="266"/>
      <c r="BG310" s="266"/>
    </row>
    <row r="311" spans="1:59" s="268" customFormat="1" x14ac:dyDescent="0.25">
      <c r="A311" s="107"/>
      <c r="B311" s="107"/>
      <c r="C311" s="7"/>
      <c r="D311" s="7"/>
      <c r="E311" s="7"/>
      <c r="F311" s="10"/>
      <c r="G311" s="10"/>
      <c r="H311" s="8"/>
      <c r="I311" s="107"/>
      <c r="J311" s="107"/>
      <c r="K311" s="7"/>
      <c r="L311" s="7"/>
      <c r="M311" s="7"/>
      <c r="N311" s="7"/>
      <c r="O311" s="10"/>
      <c r="P311" s="7"/>
      <c r="Q311" s="7"/>
      <c r="R311" s="7"/>
      <c r="S311" s="7"/>
      <c r="T311" s="7"/>
      <c r="U311" s="7"/>
      <c r="V311" s="7"/>
      <c r="W311" s="7"/>
      <c r="X311" s="10"/>
      <c r="Y311" s="7"/>
      <c r="Z311" s="7"/>
      <c r="AA311" s="10"/>
      <c r="AB311" s="7"/>
      <c r="AC311" s="7"/>
      <c r="AD311" s="7"/>
      <c r="AE311" s="7"/>
      <c r="AF311" s="7"/>
      <c r="AG311" s="7"/>
      <c r="AH311" s="7"/>
      <c r="AI311" s="7"/>
      <c r="AJ311" s="7"/>
      <c r="AK311" s="7"/>
      <c r="AL311" s="7"/>
      <c r="AM311" s="7"/>
      <c r="AN311" s="7"/>
      <c r="AO311" s="7"/>
      <c r="AP311" s="10"/>
      <c r="AQ311" s="7"/>
      <c r="AR311" s="7"/>
      <c r="AS311" s="7"/>
      <c r="AT311" s="7"/>
      <c r="AU311" s="7"/>
      <c r="AV311" s="7"/>
      <c r="AW311" s="7"/>
      <c r="AX311" s="7"/>
      <c r="AY311" s="7"/>
      <c r="AZ311" s="7"/>
      <c r="BA311" s="7"/>
      <c r="BB311" s="7"/>
      <c r="BC311" s="7"/>
      <c r="BD311" s="10"/>
      <c r="BE311" s="10"/>
      <c r="BF311" s="266"/>
      <c r="BG311" s="266"/>
    </row>
    <row r="312" spans="1:59" s="268" customFormat="1" x14ac:dyDescent="0.25">
      <c r="A312" s="107"/>
      <c r="B312" s="107"/>
      <c r="C312" s="7"/>
      <c r="D312" s="7"/>
      <c r="E312" s="7"/>
      <c r="F312" s="10"/>
      <c r="G312" s="10"/>
      <c r="H312" s="8"/>
      <c r="I312" s="107"/>
      <c r="J312" s="107"/>
      <c r="K312" s="7"/>
      <c r="L312" s="7"/>
      <c r="M312" s="7"/>
      <c r="N312" s="7"/>
      <c r="O312" s="10"/>
      <c r="P312" s="7"/>
      <c r="Q312" s="7"/>
      <c r="R312" s="7"/>
      <c r="S312" s="7"/>
      <c r="T312" s="7"/>
      <c r="U312" s="7"/>
      <c r="V312" s="7"/>
      <c r="W312" s="7"/>
      <c r="X312" s="10"/>
      <c r="Y312" s="7"/>
      <c r="Z312" s="7"/>
      <c r="AA312" s="10"/>
      <c r="AB312" s="7"/>
      <c r="AC312" s="7"/>
      <c r="AD312" s="7"/>
      <c r="AE312" s="7"/>
      <c r="AF312" s="7"/>
      <c r="AG312" s="7"/>
      <c r="AH312" s="7"/>
      <c r="AI312" s="7"/>
      <c r="AJ312" s="7"/>
      <c r="AK312" s="7"/>
      <c r="AL312" s="7"/>
      <c r="AM312" s="7"/>
      <c r="AN312" s="7"/>
      <c r="AO312" s="7"/>
      <c r="AP312" s="10"/>
      <c r="AQ312" s="7"/>
      <c r="AR312" s="7"/>
      <c r="AS312" s="7"/>
      <c r="AT312" s="7"/>
      <c r="AU312" s="7"/>
      <c r="AV312" s="7"/>
      <c r="AW312" s="7"/>
      <c r="AX312" s="7"/>
      <c r="AY312" s="7"/>
      <c r="AZ312" s="7"/>
      <c r="BA312" s="7"/>
      <c r="BB312" s="7"/>
      <c r="BC312" s="7"/>
      <c r="BD312" s="10"/>
      <c r="BE312" s="10"/>
      <c r="BF312" s="266"/>
      <c r="BG312" s="266"/>
    </row>
    <row r="313" spans="1:59" s="268" customFormat="1" x14ac:dyDescent="0.25">
      <c r="A313" s="107"/>
      <c r="B313" s="107"/>
      <c r="C313" s="7"/>
      <c r="D313" s="7"/>
      <c r="E313" s="7"/>
      <c r="F313" s="10"/>
      <c r="G313" s="10"/>
      <c r="H313" s="8"/>
      <c r="I313" s="107"/>
      <c r="J313" s="107"/>
      <c r="K313" s="7"/>
      <c r="L313" s="7"/>
      <c r="M313" s="7"/>
      <c r="N313" s="7"/>
      <c r="O313" s="10"/>
      <c r="P313" s="7"/>
      <c r="Q313" s="7"/>
      <c r="R313" s="7"/>
      <c r="S313" s="7"/>
      <c r="T313" s="7"/>
      <c r="U313" s="7"/>
      <c r="V313" s="7"/>
      <c r="W313" s="7"/>
      <c r="X313" s="10"/>
      <c r="Y313" s="7"/>
      <c r="Z313" s="7"/>
      <c r="AA313" s="10"/>
      <c r="AB313" s="7"/>
      <c r="AC313" s="7"/>
      <c r="AD313" s="7"/>
      <c r="AE313" s="7"/>
      <c r="AF313" s="7"/>
      <c r="AG313" s="7"/>
      <c r="AH313" s="7"/>
      <c r="AI313" s="7"/>
      <c r="AJ313" s="7"/>
      <c r="AK313" s="7"/>
      <c r="AL313" s="7"/>
      <c r="AM313" s="7"/>
      <c r="AN313" s="7"/>
      <c r="AO313" s="7"/>
      <c r="AP313" s="10"/>
      <c r="AQ313" s="7"/>
      <c r="AR313" s="7"/>
      <c r="AS313" s="7"/>
      <c r="AT313" s="7"/>
      <c r="AU313" s="7"/>
      <c r="AV313" s="7"/>
      <c r="AW313" s="7"/>
      <c r="AX313" s="7"/>
      <c r="AY313" s="7"/>
      <c r="AZ313" s="7"/>
      <c r="BA313" s="7"/>
      <c r="BB313" s="7"/>
      <c r="BC313" s="7"/>
      <c r="BD313" s="10"/>
      <c r="BE313" s="10"/>
      <c r="BF313" s="266"/>
      <c r="BG313" s="266"/>
    </row>
    <row r="314" spans="1:59" s="268" customFormat="1" x14ac:dyDescent="0.25">
      <c r="A314" s="107"/>
      <c r="B314" s="107"/>
      <c r="C314" s="7"/>
      <c r="D314" s="7"/>
      <c r="E314" s="7"/>
      <c r="F314" s="10"/>
      <c r="G314" s="10"/>
      <c r="H314" s="8"/>
      <c r="I314" s="107"/>
      <c r="J314" s="107"/>
      <c r="K314" s="7"/>
      <c r="L314" s="7"/>
      <c r="M314" s="7"/>
      <c r="N314" s="7"/>
      <c r="O314" s="10"/>
      <c r="P314" s="7"/>
      <c r="Q314" s="7"/>
      <c r="R314" s="7"/>
      <c r="S314" s="7"/>
      <c r="T314" s="7"/>
      <c r="U314" s="7"/>
      <c r="V314" s="7"/>
      <c r="W314" s="7"/>
      <c r="X314" s="10"/>
      <c r="Y314" s="7"/>
      <c r="Z314" s="7"/>
      <c r="AA314" s="10"/>
      <c r="AB314" s="7"/>
      <c r="AC314" s="7"/>
      <c r="AD314" s="7"/>
      <c r="AE314" s="7"/>
      <c r="AF314" s="7"/>
      <c r="AG314" s="7"/>
      <c r="AH314" s="7"/>
      <c r="AI314" s="7"/>
      <c r="AJ314" s="7"/>
      <c r="AK314" s="7"/>
      <c r="AL314" s="7"/>
      <c r="AM314" s="7"/>
      <c r="AN314" s="7"/>
      <c r="AO314" s="7"/>
      <c r="AP314" s="10"/>
      <c r="AQ314" s="7"/>
      <c r="AR314" s="7"/>
      <c r="AS314" s="7"/>
      <c r="AT314" s="7"/>
      <c r="AU314" s="7"/>
      <c r="AV314" s="7"/>
      <c r="AW314" s="7"/>
      <c r="AX314" s="7"/>
      <c r="AY314" s="7"/>
      <c r="AZ314" s="7"/>
      <c r="BA314" s="7"/>
      <c r="BB314" s="7"/>
      <c r="BC314" s="7"/>
      <c r="BD314" s="10"/>
      <c r="BE314" s="10"/>
      <c r="BF314" s="266"/>
      <c r="BG314" s="266"/>
    </row>
    <row r="315" spans="1:59" s="268" customFormat="1" x14ac:dyDescent="0.25">
      <c r="A315" s="107"/>
      <c r="B315" s="107"/>
      <c r="C315" s="7"/>
      <c r="D315" s="7"/>
      <c r="E315" s="7"/>
      <c r="F315" s="10"/>
      <c r="G315" s="10"/>
      <c r="H315" s="8"/>
      <c r="I315" s="107"/>
      <c r="J315" s="107"/>
      <c r="K315" s="7"/>
      <c r="L315" s="7"/>
      <c r="M315" s="7"/>
      <c r="N315" s="7"/>
      <c r="O315" s="10"/>
      <c r="P315" s="7"/>
      <c r="Q315" s="7"/>
      <c r="R315" s="7"/>
      <c r="S315" s="7"/>
      <c r="T315" s="7"/>
      <c r="U315" s="7"/>
      <c r="V315" s="7"/>
      <c r="W315" s="7"/>
      <c r="X315" s="10"/>
      <c r="Y315" s="7"/>
      <c r="Z315" s="7"/>
      <c r="AA315" s="10"/>
      <c r="AB315" s="7"/>
      <c r="AC315" s="7"/>
      <c r="AD315" s="7"/>
      <c r="AE315" s="7"/>
      <c r="AF315" s="7"/>
      <c r="AG315" s="7"/>
      <c r="AH315" s="7"/>
      <c r="AI315" s="7"/>
      <c r="AJ315" s="7"/>
      <c r="AK315" s="7"/>
      <c r="AL315" s="7"/>
      <c r="AM315" s="7"/>
      <c r="AN315" s="7"/>
      <c r="AO315" s="7"/>
      <c r="AP315" s="10"/>
      <c r="AQ315" s="7"/>
      <c r="AR315" s="7"/>
      <c r="AS315" s="7"/>
      <c r="AT315" s="7"/>
      <c r="AU315" s="7"/>
      <c r="AV315" s="7"/>
      <c r="AW315" s="7"/>
      <c r="AX315" s="7"/>
      <c r="AY315" s="7"/>
      <c r="AZ315" s="7"/>
      <c r="BA315" s="7"/>
      <c r="BB315" s="7"/>
      <c r="BC315" s="7"/>
      <c r="BD315" s="10"/>
      <c r="BE315" s="10"/>
      <c r="BF315" s="266"/>
      <c r="BG315" s="266"/>
    </row>
    <row r="316" spans="1:59" s="268" customFormat="1" x14ac:dyDescent="0.25">
      <c r="A316" s="107"/>
      <c r="B316" s="107"/>
      <c r="C316" s="7"/>
      <c r="D316" s="7"/>
      <c r="E316" s="7"/>
      <c r="F316" s="10"/>
      <c r="G316" s="10"/>
      <c r="H316" s="8"/>
      <c r="I316" s="107"/>
      <c r="J316" s="107"/>
      <c r="K316" s="7"/>
      <c r="L316" s="7"/>
      <c r="M316" s="7"/>
      <c r="N316" s="7"/>
      <c r="O316" s="10"/>
      <c r="P316" s="7"/>
      <c r="Q316" s="7"/>
      <c r="R316" s="7"/>
      <c r="S316" s="7"/>
      <c r="T316" s="7"/>
      <c r="U316" s="7"/>
      <c r="V316" s="7"/>
      <c r="W316" s="7"/>
      <c r="X316" s="10"/>
      <c r="Y316" s="7"/>
      <c r="Z316" s="7"/>
      <c r="AA316" s="10"/>
      <c r="AB316" s="7"/>
      <c r="AC316" s="7"/>
      <c r="AD316" s="7"/>
      <c r="AE316" s="7"/>
      <c r="AF316" s="7"/>
      <c r="AG316" s="7"/>
      <c r="AH316" s="7"/>
      <c r="AI316" s="7"/>
      <c r="AJ316" s="7"/>
      <c r="AK316" s="7"/>
      <c r="AL316" s="7"/>
      <c r="AM316" s="7"/>
      <c r="AN316" s="7"/>
      <c r="AO316" s="7"/>
      <c r="AP316" s="10"/>
      <c r="AQ316" s="7"/>
      <c r="AR316" s="7"/>
      <c r="AS316" s="7"/>
      <c r="AT316" s="7"/>
      <c r="AU316" s="7"/>
      <c r="AV316" s="7"/>
      <c r="AW316" s="7"/>
      <c r="AX316" s="7"/>
      <c r="AY316" s="7"/>
      <c r="AZ316" s="7"/>
      <c r="BA316" s="7"/>
      <c r="BB316" s="7"/>
      <c r="BC316" s="7"/>
      <c r="BD316" s="10"/>
      <c r="BE316" s="10"/>
      <c r="BF316" s="266"/>
      <c r="BG316" s="266"/>
    </row>
    <row r="317" spans="1:59" s="268" customFormat="1" x14ac:dyDescent="0.25">
      <c r="A317" s="107"/>
      <c r="B317" s="107"/>
      <c r="C317" s="7"/>
      <c r="D317" s="7"/>
      <c r="E317" s="7"/>
      <c r="F317" s="10"/>
      <c r="G317" s="10"/>
      <c r="H317" s="8"/>
      <c r="I317" s="107"/>
      <c r="J317" s="107"/>
      <c r="K317" s="7"/>
      <c r="L317" s="7"/>
      <c r="M317" s="7"/>
      <c r="N317" s="7"/>
      <c r="O317" s="10"/>
      <c r="P317" s="7"/>
      <c r="Q317" s="7"/>
      <c r="R317" s="7"/>
      <c r="S317" s="7"/>
      <c r="T317" s="7"/>
      <c r="U317" s="7"/>
      <c r="V317" s="7"/>
      <c r="W317" s="7"/>
      <c r="X317" s="10"/>
      <c r="Y317" s="7"/>
      <c r="Z317" s="7"/>
      <c r="AA317" s="10"/>
      <c r="AB317" s="7"/>
      <c r="AC317" s="7"/>
      <c r="AD317" s="7"/>
      <c r="AE317" s="7"/>
      <c r="AF317" s="7"/>
      <c r="AG317" s="7"/>
      <c r="AH317" s="7"/>
      <c r="AI317" s="7"/>
      <c r="AJ317" s="7"/>
      <c r="AK317" s="7"/>
      <c r="AL317" s="7"/>
      <c r="AM317" s="7"/>
      <c r="AN317" s="7"/>
      <c r="AO317" s="7"/>
      <c r="AP317" s="10"/>
      <c r="AQ317" s="7"/>
      <c r="AR317" s="7"/>
      <c r="AS317" s="7"/>
      <c r="AT317" s="7"/>
      <c r="AU317" s="7"/>
      <c r="AV317" s="7"/>
      <c r="AW317" s="7"/>
      <c r="AX317" s="7"/>
      <c r="AY317" s="7"/>
      <c r="AZ317" s="7"/>
      <c r="BA317" s="7"/>
      <c r="BB317" s="7"/>
      <c r="BC317" s="7"/>
      <c r="BD317" s="10"/>
      <c r="BE317" s="10"/>
      <c r="BF317" s="266"/>
      <c r="BG317" s="266"/>
    </row>
    <row r="318" spans="1:59" s="268" customFormat="1" x14ac:dyDescent="0.25">
      <c r="A318" s="107"/>
      <c r="B318" s="107"/>
      <c r="C318" s="7"/>
      <c r="D318" s="7"/>
      <c r="E318" s="7"/>
      <c r="F318" s="10"/>
      <c r="G318" s="10"/>
      <c r="H318" s="8"/>
      <c r="I318" s="107"/>
      <c r="J318" s="107"/>
      <c r="K318" s="7"/>
      <c r="L318" s="7"/>
      <c r="M318" s="7"/>
      <c r="N318" s="7"/>
      <c r="O318" s="10"/>
      <c r="P318" s="7"/>
      <c r="Q318" s="7"/>
      <c r="R318" s="7"/>
      <c r="S318" s="7"/>
      <c r="T318" s="7"/>
      <c r="U318" s="7"/>
      <c r="V318" s="7"/>
      <c r="W318" s="7"/>
      <c r="X318" s="10"/>
      <c r="Y318" s="7"/>
      <c r="Z318" s="7"/>
      <c r="AA318" s="10"/>
      <c r="AB318" s="7"/>
      <c r="AC318" s="7"/>
      <c r="AD318" s="7"/>
      <c r="AE318" s="7"/>
      <c r="AF318" s="7"/>
      <c r="AG318" s="7"/>
      <c r="AH318" s="7"/>
      <c r="AI318" s="7"/>
      <c r="AJ318" s="7"/>
      <c r="AK318" s="7"/>
      <c r="AL318" s="7"/>
      <c r="AM318" s="7"/>
      <c r="AN318" s="7"/>
      <c r="AO318" s="7"/>
      <c r="AP318" s="10"/>
      <c r="AQ318" s="7"/>
      <c r="AR318" s="7"/>
      <c r="AS318" s="7"/>
      <c r="AT318" s="7"/>
      <c r="AU318" s="7"/>
      <c r="AV318" s="7"/>
      <c r="AW318" s="7"/>
      <c r="AX318" s="7"/>
      <c r="AY318" s="7"/>
      <c r="AZ318" s="7"/>
      <c r="BA318" s="7"/>
      <c r="BB318" s="7"/>
      <c r="BC318" s="7"/>
      <c r="BD318" s="10"/>
      <c r="BE318" s="10"/>
      <c r="BF318" s="266"/>
      <c r="BG318" s="266"/>
    </row>
    <row r="319" spans="1:59" s="268" customFormat="1" x14ac:dyDescent="0.25">
      <c r="A319" s="107"/>
      <c r="B319" s="107"/>
      <c r="C319" s="7"/>
      <c r="D319" s="7"/>
      <c r="E319" s="7"/>
      <c r="F319" s="10"/>
      <c r="G319" s="10"/>
      <c r="H319" s="8"/>
      <c r="I319" s="107"/>
      <c r="J319" s="107"/>
      <c r="K319" s="7"/>
      <c r="L319" s="7"/>
      <c r="M319" s="7"/>
      <c r="N319" s="7"/>
      <c r="O319" s="10"/>
      <c r="P319" s="7"/>
      <c r="Q319" s="7"/>
      <c r="R319" s="7"/>
      <c r="S319" s="7"/>
      <c r="T319" s="7"/>
      <c r="U319" s="7"/>
      <c r="V319" s="7"/>
      <c r="W319" s="7"/>
      <c r="X319" s="10"/>
      <c r="Y319" s="7"/>
      <c r="Z319" s="7"/>
      <c r="AA319" s="10"/>
      <c r="AB319" s="7"/>
      <c r="AC319" s="7"/>
      <c r="AD319" s="7"/>
      <c r="AE319" s="7"/>
      <c r="AF319" s="7"/>
      <c r="AG319" s="7"/>
      <c r="AH319" s="7"/>
      <c r="AI319" s="7"/>
      <c r="AJ319" s="7"/>
      <c r="AK319" s="7"/>
      <c r="AL319" s="7"/>
      <c r="AM319" s="7"/>
      <c r="AN319" s="7"/>
      <c r="AO319" s="7"/>
      <c r="AP319" s="10"/>
      <c r="AQ319" s="7"/>
      <c r="AR319" s="7"/>
      <c r="AS319" s="7"/>
      <c r="AT319" s="7"/>
      <c r="AU319" s="7"/>
      <c r="AV319" s="7"/>
      <c r="AW319" s="7"/>
      <c r="AX319" s="7"/>
      <c r="AY319" s="7"/>
      <c r="AZ319" s="7"/>
      <c r="BA319" s="7"/>
      <c r="BB319" s="7"/>
      <c r="BC319" s="7"/>
      <c r="BD319" s="10"/>
      <c r="BE319" s="10"/>
      <c r="BF319" s="266"/>
      <c r="BG319" s="266"/>
    </row>
    <row r="320" spans="1:59" s="268" customFormat="1" x14ac:dyDescent="0.25">
      <c r="A320" s="107"/>
      <c r="B320" s="107"/>
      <c r="C320" s="7"/>
      <c r="D320" s="7"/>
      <c r="E320" s="7"/>
      <c r="F320" s="10"/>
      <c r="G320" s="10"/>
      <c r="H320" s="8"/>
      <c r="I320" s="107"/>
      <c r="J320" s="107"/>
      <c r="K320" s="7"/>
      <c r="L320" s="7"/>
      <c r="M320" s="7"/>
      <c r="N320" s="7"/>
      <c r="O320" s="10"/>
      <c r="P320" s="7"/>
      <c r="Q320" s="7"/>
      <c r="R320" s="7"/>
      <c r="S320" s="7"/>
      <c r="T320" s="7"/>
      <c r="U320" s="7"/>
      <c r="V320" s="7"/>
      <c r="W320" s="7"/>
      <c r="X320" s="10"/>
      <c r="Y320" s="7"/>
      <c r="Z320" s="7"/>
      <c r="AA320" s="10"/>
      <c r="AB320" s="7"/>
      <c r="AC320" s="7"/>
      <c r="AD320" s="7"/>
      <c r="AE320" s="7"/>
      <c r="AF320" s="7"/>
      <c r="AG320" s="7"/>
      <c r="AH320" s="7"/>
      <c r="AI320" s="7"/>
      <c r="AJ320" s="7"/>
      <c r="AK320" s="7"/>
      <c r="AL320" s="7"/>
      <c r="AM320" s="7"/>
      <c r="AN320" s="7"/>
      <c r="AO320" s="7"/>
      <c r="AP320" s="10"/>
      <c r="AQ320" s="7"/>
      <c r="AR320" s="7"/>
      <c r="AS320" s="7"/>
      <c r="AT320" s="7"/>
      <c r="AU320" s="7"/>
      <c r="AV320" s="7"/>
      <c r="AW320" s="7"/>
      <c r="AX320" s="7"/>
      <c r="AY320" s="7"/>
      <c r="AZ320" s="7"/>
      <c r="BA320" s="7"/>
      <c r="BB320" s="7"/>
      <c r="BC320" s="7"/>
      <c r="BD320" s="10"/>
      <c r="BE320" s="10"/>
      <c r="BF320" s="266"/>
      <c r="BG320" s="266"/>
    </row>
    <row r="321" spans="1:59" s="268" customFormat="1" x14ac:dyDescent="0.25">
      <c r="A321" s="107"/>
      <c r="B321" s="107"/>
      <c r="C321" s="7"/>
      <c r="D321" s="7"/>
      <c r="E321" s="7"/>
      <c r="F321" s="10"/>
      <c r="G321" s="10"/>
      <c r="H321" s="8"/>
      <c r="I321" s="107"/>
      <c r="J321" s="107"/>
      <c r="K321" s="7"/>
      <c r="L321" s="7"/>
      <c r="M321" s="7"/>
      <c r="N321" s="7"/>
      <c r="O321" s="10"/>
      <c r="P321" s="7"/>
      <c r="Q321" s="7"/>
      <c r="R321" s="7"/>
      <c r="S321" s="7"/>
      <c r="T321" s="7"/>
      <c r="U321" s="7"/>
      <c r="V321" s="7"/>
      <c r="W321" s="7"/>
      <c r="X321" s="10"/>
      <c r="Y321" s="7"/>
      <c r="Z321" s="7"/>
      <c r="AA321" s="10"/>
      <c r="AB321" s="7"/>
      <c r="AC321" s="7"/>
      <c r="AD321" s="7"/>
      <c r="AE321" s="7"/>
      <c r="AF321" s="7"/>
      <c r="AG321" s="7"/>
      <c r="AH321" s="7"/>
      <c r="AI321" s="7"/>
      <c r="AJ321" s="7"/>
      <c r="AK321" s="7"/>
      <c r="AL321" s="7"/>
      <c r="AM321" s="7"/>
      <c r="AN321" s="7"/>
      <c r="AO321" s="7"/>
      <c r="AP321" s="10"/>
      <c r="AQ321" s="7"/>
      <c r="AR321" s="7"/>
      <c r="AS321" s="7"/>
      <c r="AT321" s="7"/>
      <c r="AU321" s="7"/>
      <c r="AV321" s="7"/>
      <c r="AW321" s="7"/>
      <c r="AX321" s="7"/>
      <c r="AY321" s="7"/>
      <c r="AZ321" s="7"/>
      <c r="BA321" s="7"/>
      <c r="BB321" s="7"/>
      <c r="BC321" s="7"/>
      <c r="BD321" s="10"/>
      <c r="BE321" s="10"/>
      <c r="BF321" s="266"/>
      <c r="BG321" s="266"/>
    </row>
    <row r="322" spans="1:59" s="268" customFormat="1" x14ac:dyDescent="0.25">
      <c r="A322" s="107"/>
      <c r="B322" s="107"/>
      <c r="C322" s="7"/>
      <c r="D322" s="7"/>
      <c r="E322" s="7"/>
      <c r="F322" s="10"/>
      <c r="G322" s="10"/>
      <c r="H322" s="8"/>
      <c r="I322" s="107"/>
      <c r="J322" s="107"/>
      <c r="K322" s="7"/>
      <c r="L322" s="7"/>
      <c r="M322" s="7"/>
      <c r="N322" s="7"/>
      <c r="O322" s="10"/>
      <c r="P322" s="7"/>
      <c r="Q322" s="7"/>
      <c r="R322" s="7"/>
      <c r="S322" s="7"/>
      <c r="T322" s="7"/>
      <c r="U322" s="7"/>
      <c r="V322" s="7"/>
      <c r="W322" s="7"/>
      <c r="X322" s="10"/>
      <c r="Y322" s="7"/>
      <c r="Z322" s="7"/>
      <c r="AA322" s="10"/>
      <c r="AB322" s="7"/>
      <c r="AC322" s="7"/>
      <c r="AD322" s="7"/>
      <c r="AE322" s="7"/>
      <c r="AF322" s="7"/>
      <c r="AG322" s="7"/>
      <c r="AH322" s="7"/>
      <c r="AI322" s="7"/>
      <c r="AJ322" s="7"/>
      <c r="AK322" s="7"/>
      <c r="AL322" s="7"/>
      <c r="AM322" s="7"/>
      <c r="AN322" s="7"/>
      <c r="AO322" s="7"/>
      <c r="AP322" s="10"/>
      <c r="AQ322" s="7"/>
      <c r="AR322" s="7"/>
      <c r="AS322" s="7"/>
      <c r="AT322" s="7"/>
      <c r="AU322" s="7"/>
      <c r="AV322" s="7"/>
      <c r="AW322" s="7"/>
      <c r="AX322" s="7"/>
      <c r="AY322" s="7"/>
      <c r="AZ322" s="7"/>
      <c r="BA322" s="7"/>
      <c r="BB322" s="7"/>
      <c r="BC322" s="7"/>
      <c r="BD322" s="10"/>
      <c r="BE322" s="10"/>
      <c r="BF322" s="266"/>
      <c r="BG322" s="266"/>
    </row>
    <row r="323" spans="1:59" s="268" customFormat="1" x14ac:dyDescent="0.25">
      <c r="A323" s="107"/>
      <c r="B323" s="107"/>
      <c r="C323" s="7"/>
      <c r="D323" s="7"/>
      <c r="E323" s="7"/>
      <c r="F323" s="10"/>
      <c r="G323" s="10"/>
      <c r="H323" s="8"/>
      <c r="I323" s="107"/>
      <c r="J323" s="107"/>
      <c r="K323" s="7"/>
      <c r="L323" s="7"/>
      <c r="M323" s="7"/>
      <c r="N323" s="7"/>
      <c r="O323" s="10"/>
      <c r="P323" s="7"/>
      <c r="Q323" s="7"/>
      <c r="R323" s="7"/>
      <c r="S323" s="7"/>
      <c r="T323" s="7"/>
      <c r="U323" s="7"/>
      <c r="V323" s="7"/>
      <c r="W323" s="7"/>
      <c r="X323" s="10"/>
      <c r="Y323" s="7"/>
      <c r="Z323" s="7"/>
      <c r="AA323" s="10"/>
      <c r="AB323" s="7"/>
      <c r="AC323" s="7"/>
      <c r="AD323" s="7"/>
      <c r="AE323" s="7"/>
      <c r="AF323" s="7"/>
      <c r="AG323" s="7"/>
      <c r="AH323" s="7"/>
      <c r="AI323" s="7"/>
      <c r="AJ323" s="7"/>
      <c r="AK323" s="7"/>
      <c r="AL323" s="7"/>
      <c r="AM323" s="7"/>
      <c r="AN323" s="7"/>
      <c r="AO323" s="7"/>
      <c r="AP323" s="10"/>
      <c r="AQ323" s="7"/>
      <c r="AR323" s="7"/>
      <c r="AS323" s="7"/>
      <c r="AT323" s="7"/>
      <c r="AU323" s="7"/>
      <c r="AV323" s="7"/>
      <c r="AW323" s="7"/>
      <c r="AX323" s="7"/>
      <c r="AY323" s="7"/>
      <c r="AZ323" s="7"/>
      <c r="BA323" s="7"/>
      <c r="BB323" s="7"/>
      <c r="BC323" s="7"/>
      <c r="BD323" s="10"/>
      <c r="BE323" s="10"/>
      <c r="BF323" s="266"/>
      <c r="BG323" s="266"/>
    </row>
    <row r="324" spans="1:59" s="268" customFormat="1" x14ac:dyDescent="0.25">
      <c r="A324" s="107"/>
      <c r="B324" s="107"/>
      <c r="C324" s="7"/>
      <c r="D324" s="7"/>
      <c r="E324" s="7"/>
      <c r="F324" s="10"/>
      <c r="G324" s="10"/>
      <c r="H324" s="8"/>
      <c r="I324" s="107"/>
      <c r="J324" s="107"/>
      <c r="K324" s="7"/>
      <c r="L324" s="7"/>
      <c r="M324" s="7"/>
      <c r="N324" s="7"/>
      <c r="O324" s="10"/>
      <c r="P324" s="7"/>
      <c r="Q324" s="7"/>
      <c r="R324" s="7"/>
      <c r="S324" s="7"/>
      <c r="T324" s="7"/>
      <c r="U324" s="7"/>
      <c r="V324" s="7"/>
      <c r="W324" s="7"/>
      <c r="X324" s="10"/>
      <c r="Y324" s="7"/>
      <c r="Z324" s="7"/>
      <c r="AA324" s="10"/>
      <c r="AB324" s="7"/>
      <c r="AC324" s="7"/>
      <c r="AD324" s="7"/>
      <c r="AE324" s="7"/>
      <c r="AF324" s="7"/>
      <c r="AG324" s="7"/>
      <c r="AH324" s="7"/>
      <c r="AI324" s="7"/>
      <c r="AJ324" s="7"/>
      <c r="AK324" s="7"/>
      <c r="AL324" s="7"/>
      <c r="AM324" s="7"/>
      <c r="AN324" s="7"/>
      <c r="AO324" s="7"/>
      <c r="AP324" s="10"/>
      <c r="AQ324" s="7"/>
      <c r="AR324" s="7"/>
      <c r="AS324" s="7"/>
      <c r="AT324" s="7"/>
      <c r="AU324" s="7"/>
      <c r="AV324" s="7"/>
      <c r="AW324" s="7"/>
      <c r="AX324" s="7"/>
      <c r="AY324" s="7"/>
      <c r="AZ324" s="7"/>
      <c r="BA324" s="7"/>
      <c r="BB324" s="7"/>
      <c r="BC324" s="7"/>
      <c r="BD324" s="10"/>
      <c r="BE324" s="10"/>
      <c r="BF324" s="266"/>
      <c r="BG324" s="266"/>
    </row>
    <row r="325" spans="1:59" s="268" customFormat="1" x14ac:dyDescent="0.25">
      <c r="A325" s="107"/>
      <c r="B325" s="107"/>
      <c r="C325" s="7"/>
      <c r="D325" s="7"/>
      <c r="E325" s="7"/>
      <c r="F325" s="10"/>
      <c r="G325" s="10"/>
      <c r="H325" s="8"/>
      <c r="I325" s="107"/>
      <c r="J325" s="107"/>
      <c r="K325" s="7"/>
      <c r="L325" s="7"/>
      <c r="M325" s="7"/>
      <c r="N325" s="7"/>
      <c r="O325" s="10"/>
      <c r="P325" s="7"/>
      <c r="Q325" s="7"/>
      <c r="R325" s="7"/>
      <c r="S325" s="7"/>
      <c r="T325" s="7"/>
      <c r="U325" s="7"/>
      <c r="V325" s="7"/>
      <c r="W325" s="7"/>
      <c r="X325" s="10"/>
      <c r="Y325" s="7"/>
      <c r="Z325" s="7"/>
      <c r="AA325" s="10"/>
      <c r="AB325" s="7"/>
      <c r="AC325" s="7"/>
      <c r="AD325" s="7"/>
      <c r="AE325" s="7"/>
      <c r="AF325" s="7"/>
      <c r="AG325" s="7"/>
      <c r="AH325" s="7"/>
      <c r="AI325" s="7"/>
      <c r="AJ325" s="7"/>
      <c r="AK325" s="7"/>
      <c r="AL325" s="7"/>
      <c r="AM325" s="7"/>
      <c r="AN325" s="7"/>
      <c r="AO325" s="7"/>
      <c r="AP325" s="10"/>
      <c r="AQ325" s="7"/>
      <c r="AR325" s="7"/>
      <c r="AS325" s="7"/>
      <c r="AT325" s="7"/>
      <c r="AU325" s="7"/>
      <c r="AV325" s="7"/>
      <c r="AW325" s="7"/>
      <c r="AX325" s="7"/>
      <c r="AY325" s="7"/>
      <c r="AZ325" s="7"/>
      <c r="BA325" s="7"/>
      <c r="BB325" s="7"/>
      <c r="BC325" s="7"/>
      <c r="BD325" s="10"/>
      <c r="BE325" s="10"/>
      <c r="BF325" s="266"/>
      <c r="BG325" s="266"/>
    </row>
    <row r="326" spans="1:59" s="268" customFormat="1" x14ac:dyDescent="0.25">
      <c r="A326" s="107"/>
      <c r="B326" s="107"/>
      <c r="C326" s="7"/>
      <c r="D326" s="7"/>
      <c r="E326" s="7"/>
      <c r="F326" s="10"/>
      <c r="G326" s="10"/>
      <c r="H326" s="8"/>
      <c r="I326" s="107"/>
      <c r="J326" s="107"/>
      <c r="K326" s="7"/>
      <c r="L326" s="7"/>
      <c r="M326" s="7"/>
      <c r="N326" s="7"/>
      <c r="O326" s="10"/>
      <c r="P326" s="7"/>
      <c r="Q326" s="7"/>
      <c r="R326" s="7"/>
      <c r="S326" s="7"/>
      <c r="T326" s="7"/>
      <c r="U326" s="7"/>
      <c r="V326" s="7"/>
      <c r="W326" s="7"/>
      <c r="X326" s="10"/>
      <c r="Y326" s="7"/>
      <c r="Z326" s="7"/>
      <c r="AA326" s="10"/>
      <c r="AB326" s="7"/>
      <c r="AC326" s="7"/>
      <c r="AD326" s="7"/>
      <c r="AE326" s="7"/>
      <c r="AF326" s="7"/>
      <c r="AG326" s="7"/>
      <c r="AH326" s="7"/>
      <c r="AI326" s="7"/>
      <c r="AJ326" s="7"/>
      <c r="AK326" s="7"/>
      <c r="AL326" s="7"/>
      <c r="AM326" s="7"/>
      <c r="AN326" s="7"/>
      <c r="AO326" s="7"/>
      <c r="AP326" s="10"/>
      <c r="AQ326" s="7"/>
      <c r="AR326" s="7"/>
      <c r="AS326" s="7"/>
      <c r="AT326" s="7"/>
      <c r="AU326" s="7"/>
      <c r="AV326" s="7"/>
      <c r="AW326" s="7"/>
      <c r="AX326" s="7"/>
      <c r="AY326" s="7"/>
      <c r="AZ326" s="7"/>
      <c r="BA326" s="7"/>
      <c r="BB326" s="7"/>
      <c r="BC326" s="7"/>
      <c r="BD326" s="10"/>
      <c r="BE326" s="10"/>
      <c r="BF326" s="266"/>
      <c r="BG326" s="266"/>
    </row>
    <row r="327" spans="1:59" s="268" customFormat="1" x14ac:dyDescent="0.25">
      <c r="A327" s="107"/>
      <c r="B327" s="107"/>
      <c r="C327" s="7"/>
      <c r="D327" s="7"/>
      <c r="E327" s="7"/>
      <c r="F327" s="10"/>
      <c r="G327" s="10"/>
      <c r="H327" s="8"/>
      <c r="I327" s="107"/>
      <c r="J327" s="107"/>
      <c r="K327" s="7"/>
      <c r="L327" s="7"/>
      <c r="M327" s="7"/>
      <c r="N327" s="7"/>
      <c r="O327" s="10"/>
      <c r="P327" s="7"/>
      <c r="Q327" s="7"/>
      <c r="R327" s="7"/>
      <c r="S327" s="7"/>
      <c r="T327" s="7"/>
      <c r="U327" s="7"/>
      <c r="V327" s="7"/>
      <c r="W327" s="7"/>
      <c r="X327" s="10"/>
      <c r="Y327" s="7"/>
      <c r="Z327" s="7"/>
      <c r="AA327" s="10"/>
      <c r="AB327" s="7"/>
      <c r="AC327" s="7"/>
      <c r="AD327" s="7"/>
      <c r="AE327" s="7"/>
      <c r="AF327" s="7"/>
      <c r="AG327" s="7"/>
      <c r="AH327" s="7"/>
      <c r="AI327" s="7"/>
      <c r="AJ327" s="7"/>
      <c r="AK327" s="7"/>
      <c r="AL327" s="7"/>
      <c r="AM327" s="7"/>
      <c r="AN327" s="7"/>
      <c r="AO327" s="7"/>
      <c r="AP327" s="10"/>
      <c r="AQ327" s="7"/>
      <c r="AR327" s="7"/>
      <c r="AS327" s="7"/>
      <c r="AT327" s="7"/>
      <c r="AU327" s="7"/>
      <c r="AV327" s="7"/>
      <c r="AW327" s="7"/>
      <c r="AX327" s="7"/>
      <c r="AY327" s="7"/>
      <c r="AZ327" s="7"/>
      <c r="BA327" s="7"/>
      <c r="BB327" s="7"/>
      <c r="BC327" s="7"/>
      <c r="BD327" s="10"/>
      <c r="BE327" s="10"/>
      <c r="BF327" s="266"/>
      <c r="BG327" s="266"/>
    </row>
    <row r="328" spans="1:59" s="268" customFormat="1" x14ac:dyDescent="0.25">
      <c r="A328" s="107"/>
      <c r="B328" s="107"/>
      <c r="C328" s="7"/>
      <c r="D328" s="7"/>
      <c r="E328" s="7"/>
      <c r="F328" s="10"/>
      <c r="G328" s="10"/>
      <c r="H328" s="8"/>
      <c r="I328" s="107"/>
      <c r="J328" s="107"/>
      <c r="K328" s="108"/>
      <c r="L328" s="108"/>
      <c r="M328" s="108"/>
      <c r="N328" s="108"/>
      <c r="O328" s="11"/>
      <c r="P328" s="108"/>
      <c r="Q328" s="108"/>
      <c r="R328" s="108"/>
      <c r="S328" s="108"/>
      <c r="T328" s="108"/>
      <c r="U328" s="108"/>
      <c r="V328" s="108"/>
      <c r="W328" s="108"/>
      <c r="X328" s="11"/>
      <c r="Y328" s="108"/>
      <c r="Z328" s="108"/>
      <c r="AA328" s="11"/>
      <c r="AB328" s="108"/>
      <c r="AC328" s="108"/>
      <c r="AD328" s="108"/>
      <c r="AE328" s="108"/>
      <c r="AF328" s="108"/>
      <c r="AG328" s="108"/>
      <c r="AH328" s="108"/>
      <c r="AI328" s="108"/>
      <c r="AJ328" s="108"/>
      <c r="AK328" s="108"/>
      <c r="AL328" s="108"/>
      <c r="AM328" s="108"/>
      <c r="AN328" s="108"/>
      <c r="AO328" s="108"/>
      <c r="AP328" s="11"/>
      <c r="AQ328" s="108"/>
      <c r="AR328" s="108"/>
      <c r="AS328" s="108"/>
      <c r="AT328" s="108"/>
      <c r="AU328" s="108"/>
      <c r="AV328" s="108"/>
      <c r="AW328" s="108"/>
      <c r="AX328" s="108"/>
      <c r="AY328" s="108"/>
      <c r="AZ328" s="108"/>
      <c r="BA328" s="108"/>
      <c r="BB328" s="108"/>
      <c r="BC328" s="108"/>
      <c r="BD328" s="11"/>
      <c r="BE328" s="11"/>
      <c r="BF328" s="270"/>
      <c r="BG328" s="270"/>
    </row>
    <row r="329" spans="1:59" s="268" customFormat="1" x14ac:dyDescent="0.25">
      <c r="A329" s="107"/>
      <c r="B329" s="107"/>
      <c r="C329" s="7"/>
      <c r="D329" s="7"/>
      <c r="E329" s="7"/>
      <c r="F329" s="10"/>
      <c r="G329" s="10"/>
      <c r="H329" s="8"/>
      <c r="I329" s="107"/>
      <c r="J329" s="107"/>
      <c r="K329" s="108"/>
      <c r="L329" s="108"/>
      <c r="M329" s="108"/>
      <c r="N329" s="108"/>
      <c r="O329" s="11"/>
      <c r="P329" s="108"/>
      <c r="Q329" s="108"/>
      <c r="R329" s="108"/>
      <c r="S329" s="108"/>
      <c r="T329" s="108"/>
      <c r="U329" s="108"/>
      <c r="V329" s="108"/>
      <c r="W329" s="108"/>
      <c r="X329" s="11"/>
      <c r="Y329" s="108"/>
      <c r="Z329" s="108"/>
      <c r="AA329" s="11"/>
      <c r="AB329" s="108"/>
      <c r="AC329" s="108"/>
      <c r="AD329" s="108"/>
      <c r="AE329" s="108"/>
      <c r="AF329" s="108"/>
      <c r="AG329" s="108"/>
      <c r="AH329" s="108"/>
      <c r="AI329" s="108"/>
      <c r="AJ329" s="108"/>
      <c r="AK329" s="108"/>
      <c r="AL329" s="108"/>
      <c r="AM329" s="108"/>
      <c r="AN329" s="108"/>
      <c r="AO329" s="108"/>
      <c r="AP329" s="11"/>
      <c r="AQ329" s="108"/>
      <c r="AR329" s="108"/>
      <c r="AS329" s="108"/>
      <c r="AT329" s="108"/>
      <c r="AU329" s="108"/>
      <c r="AV329" s="108"/>
      <c r="AW329" s="108"/>
      <c r="AX329" s="108"/>
      <c r="AY329" s="108"/>
      <c r="AZ329" s="108"/>
      <c r="BA329" s="108"/>
      <c r="BB329" s="108"/>
      <c r="BC329" s="108"/>
      <c r="BD329" s="11"/>
      <c r="BE329" s="11"/>
      <c r="BF329" s="270"/>
      <c r="BG329" s="270"/>
    </row>
    <row r="330" spans="1:59" s="268" customFormat="1" x14ac:dyDescent="0.25">
      <c r="A330" s="107"/>
      <c r="B330" s="107"/>
      <c r="C330" s="7"/>
      <c r="D330" s="7"/>
      <c r="E330" s="7"/>
      <c r="F330" s="10"/>
      <c r="G330" s="10"/>
      <c r="H330" s="8"/>
      <c r="I330" s="107"/>
      <c r="J330" s="107"/>
      <c r="K330" s="108"/>
      <c r="L330" s="108"/>
      <c r="M330" s="108"/>
      <c r="N330" s="108"/>
      <c r="O330" s="11"/>
      <c r="P330" s="108"/>
      <c r="Q330" s="108"/>
      <c r="R330" s="108"/>
      <c r="S330" s="108"/>
      <c r="T330" s="108"/>
      <c r="U330" s="108"/>
      <c r="V330" s="108"/>
      <c r="W330" s="108"/>
      <c r="X330" s="11"/>
      <c r="Y330" s="108"/>
      <c r="Z330" s="108"/>
      <c r="AA330" s="11"/>
      <c r="AB330" s="108"/>
      <c r="AC330" s="108"/>
      <c r="AD330" s="108"/>
      <c r="AE330" s="108"/>
      <c r="AF330" s="108"/>
      <c r="AG330" s="108"/>
      <c r="AH330" s="108"/>
      <c r="AI330" s="108"/>
      <c r="AJ330" s="108"/>
      <c r="AK330" s="108"/>
      <c r="AL330" s="108"/>
      <c r="AM330" s="108"/>
      <c r="AN330" s="108"/>
      <c r="AO330" s="108"/>
      <c r="AP330" s="11"/>
      <c r="AQ330" s="108"/>
      <c r="AR330" s="108"/>
      <c r="AS330" s="108"/>
      <c r="AT330" s="108"/>
      <c r="AU330" s="108"/>
      <c r="AV330" s="108"/>
      <c r="AW330" s="108"/>
      <c r="AX330" s="108"/>
      <c r="AY330" s="108"/>
      <c r="AZ330" s="108"/>
      <c r="BA330" s="108"/>
      <c r="BB330" s="108"/>
      <c r="BC330" s="108"/>
      <c r="BD330" s="11"/>
      <c r="BE330" s="11"/>
      <c r="BF330" s="270"/>
      <c r="BG330" s="270"/>
    </row>
    <row r="331" spans="1:59" s="268" customFormat="1" x14ac:dyDescent="0.25">
      <c r="A331" s="107"/>
      <c r="B331" s="107"/>
      <c r="C331" s="7"/>
      <c r="D331" s="7"/>
      <c r="E331" s="7"/>
      <c r="F331" s="10"/>
      <c r="G331" s="10"/>
      <c r="H331" s="8"/>
      <c r="I331" s="107"/>
      <c r="J331" s="107"/>
      <c r="K331" s="108"/>
      <c r="L331" s="108"/>
      <c r="M331" s="108"/>
      <c r="N331" s="108"/>
      <c r="O331" s="11"/>
      <c r="P331" s="108"/>
      <c r="Q331" s="108"/>
      <c r="R331" s="108"/>
      <c r="S331" s="108"/>
      <c r="T331" s="108"/>
      <c r="U331" s="108"/>
      <c r="V331" s="108"/>
      <c r="W331" s="108"/>
      <c r="X331" s="11"/>
      <c r="Y331" s="108"/>
      <c r="Z331" s="108"/>
      <c r="AA331" s="11"/>
      <c r="AB331" s="108"/>
      <c r="AC331" s="108"/>
      <c r="AD331" s="108"/>
      <c r="AE331" s="108"/>
      <c r="AF331" s="108"/>
      <c r="AG331" s="108"/>
      <c r="AH331" s="108"/>
      <c r="AI331" s="108"/>
      <c r="AJ331" s="108"/>
      <c r="AK331" s="108"/>
      <c r="AL331" s="108"/>
      <c r="AM331" s="108"/>
      <c r="AN331" s="108"/>
      <c r="AO331" s="108"/>
      <c r="AP331" s="11"/>
      <c r="AQ331" s="108"/>
      <c r="AR331" s="108"/>
      <c r="AS331" s="108"/>
      <c r="AT331" s="108"/>
      <c r="AU331" s="108"/>
      <c r="AV331" s="108"/>
      <c r="AW331" s="108"/>
      <c r="AX331" s="108"/>
      <c r="AY331" s="108"/>
      <c r="AZ331" s="108"/>
      <c r="BA331" s="108"/>
      <c r="BB331" s="108"/>
      <c r="BC331" s="108"/>
      <c r="BD331" s="11"/>
      <c r="BE331" s="11"/>
      <c r="BF331" s="270"/>
      <c r="BG331" s="270"/>
    </row>
    <row r="332" spans="1:59" s="268" customFormat="1" x14ac:dyDescent="0.25">
      <c r="A332" s="107"/>
      <c r="B332" s="107"/>
      <c r="C332" s="7"/>
      <c r="D332" s="7"/>
      <c r="E332" s="7"/>
      <c r="F332" s="10"/>
      <c r="G332" s="10"/>
      <c r="H332" s="8"/>
      <c r="I332" s="107"/>
      <c r="J332" s="107"/>
      <c r="K332" s="108"/>
      <c r="L332" s="108"/>
      <c r="M332" s="108"/>
      <c r="N332" s="108"/>
      <c r="O332" s="11"/>
      <c r="P332" s="108"/>
      <c r="Q332" s="108"/>
      <c r="R332" s="108"/>
      <c r="S332" s="108"/>
      <c r="T332" s="108"/>
      <c r="U332" s="108"/>
      <c r="V332" s="108"/>
      <c r="W332" s="108"/>
      <c r="X332" s="11"/>
      <c r="Y332" s="108"/>
      <c r="Z332" s="108"/>
      <c r="AA332" s="11"/>
      <c r="AB332" s="108"/>
      <c r="AC332" s="108"/>
      <c r="AD332" s="108"/>
      <c r="AE332" s="108"/>
      <c r="AF332" s="108"/>
      <c r="AG332" s="108"/>
      <c r="AH332" s="108"/>
      <c r="AI332" s="108"/>
      <c r="AJ332" s="108"/>
      <c r="AK332" s="108"/>
      <c r="AL332" s="108"/>
      <c r="AM332" s="108"/>
      <c r="AN332" s="108"/>
      <c r="AO332" s="108"/>
      <c r="AP332" s="11"/>
      <c r="AQ332" s="108"/>
      <c r="AR332" s="108"/>
      <c r="AS332" s="108"/>
      <c r="AT332" s="108"/>
      <c r="AU332" s="108"/>
      <c r="AV332" s="108"/>
      <c r="AW332" s="108"/>
      <c r="AX332" s="108"/>
      <c r="AY332" s="108"/>
      <c r="AZ332" s="108"/>
      <c r="BA332" s="108"/>
      <c r="BB332" s="108"/>
      <c r="BC332" s="108"/>
      <c r="BD332" s="11"/>
      <c r="BE332" s="11"/>
      <c r="BF332" s="270"/>
      <c r="BG332" s="270"/>
    </row>
    <row r="333" spans="1:59" s="268" customFormat="1" x14ac:dyDescent="0.25">
      <c r="A333" s="107"/>
      <c r="B333" s="107"/>
      <c r="C333" s="7"/>
      <c r="D333" s="7"/>
      <c r="E333" s="7"/>
      <c r="F333" s="10"/>
      <c r="G333" s="10"/>
      <c r="H333" s="8"/>
      <c r="I333" s="107"/>
      <c r="J333" s="107"/>
      <c r="K333" s="108"/>
      <c r="L333" s="108"/>
      <c r="M333" s="108"/>
      <c r="N333" s="108"/>
      <c r="O333" s="11"/>
      <c r="P333" s="108"/>
      <c r="Q333" s="108"/>
      <c r="R333" s="108"/>
      <c r="S333" s="108"/>
      <c r="T333" s="108"/>
      <c r="U333" s="108"/>
      <c r="V333" s="108"/>
      <c r="W333" s="108"/>
      <c r="X333" s="11"/>
      <c r="Y333" s="108"/>
      <c r="Z333" s="108"/>
      <c r="AA333" s="11"/>
      <c r="AB333" s="108"/>
      <c r="AC333" s="108"/>
      <c r="AD333" s="108"/>
      <c r="AE333" s="108"/>
      <c r="AF333" s="108"/>
      <c r="AG333" s="108"/>
      <c r="AH333" s="108"/>
      <c r="AI333" s="108"/>
      <c r="AJ333" s="108"/>
      <c r="AK333" s="108"/>
      <c r="AL333" s="108"/>
      <c r="AM333" s="108"/>
      <c r="AN333" s="108"/>
      <c r="AO333" s="108"/>
      <c r="AP333" s="11"/>
      <c r="AQ333" s="108"/>
      <c r="AR333" s="108"/>
      <c r="AS333" s="108"/>
      <c r="AT333" s="108"/>
      <c r="AU333" s="108"/>
      <c r="AV333" s="108"/>
      <c r="AW333" s="108"/>
      <c r="AX333" s="108"/>
      <c r="AY333" s="108"/>
      <c r="AZ333" s="108"/>
      <c r="BA333" s="108"/>
      <c r="BB333" s="108"/>
      <c r="BC333" s="108"/>
      <c r="BD333" s="11"/>
      <c r="BE333" s="11"/>
      <c r="BF333" s="270"/>
      <c r="BG333" s="270"/>
    </row>
    <row r="334" spans="1:59" s="268" customFormat="1" x14ac:dyDescent="0.25">
      <c r="A334" s="107"/>
      <c r="B334" s="107"/>
      <c r="C334" s="7"/>
      <c r="D334" s="7"/>
      <c r="E334" s="7"/>
      <c r="F334" s="10"/>
      <c r="G334" s="10"/>
      <c r="H334" s="8"/>
      <c r="I334" s="107"/>
      <c r="J334" s="107"/>
      <c r="K334" s="108"/>
      <c r="L334" s="108"/>
      <c r="M334" s="108"/>
      <c r="N334" s="108"/>
      <c r="O334" s="11"/>
      <c r="P334" s="108"/>
      <c r="Q334" s="108"/>
      <c r="R334" s="108"/>
      <c r="S334" s="108"/>
      <c r="T334" s="108"/>
      <c r="U334" s="108"/>
      <c r="V334" s="108"/>
      <c r="W334" s="108"/>
      <c r="X334" s="11"/>
      <c r="Y334" s="108"/>
      <c r="Z334" s="108"/>
      <c r="AA334" s="11"/>
      <c r="AB334" s="108"/>
      <c r="AC334" s="108"/>
      <c r="AD334" s="108"/>
      <c r="AE334" s="108"/>
      <c r="AF334" s="108"/>
      <c r="AG334" s="108"/>
      <c r="AH334" s="108"/>
      <c r="AI334" s="108"/>
      <c r="AJ334" s="108"/>
      <c r="AK334" s="108"/>
      <c r="AL334" s="108"/>
      <c r="AM334" s="108"/>
      <c r="AN334" s="108"/>
      <c r="AO334" s="108"/>
      <c r="AP334" s="11"/>
      <c r="AQ334" s="108"/>
      <c r="AR334" s="108"/>
      <c r="AS334" s="108"/>
      <c r="AT334" s="108"/>
      <c r="AU334" s="108"/>
      <c r="AV334" s="108"/>
      <c r="AW334" s="108"/>
      <c r="AX334" s="108"/>
      <c r="AY334" s="108"/>
      <c r="AZ334" s="108"/>
      <c r="BA334" s="108"/>
      <c r="BB334" s="108"/>
      <c r="BC334" s="108"/>
      <c r="BD334" s="11"/>
      <c r="BE334" s="11"/>
      <c r="BF334" s="270"/>
      <c r="BG334" s="270"/>
    </row>
    <row r="335" spans="1:59" s="268" customFormat="1" x14ac:dyDescent="0.25">
      <c r="A335" s="107"/>
      <c r="B335" s="107"/>
      <c r="C335" s="7"/>
      <c r="D335" s="7"/>
      <c r="E335" s="7"/>
      <c r="F335" s="10"/>
      <c r="G335" s="10"/>
      <c r="H335" s="8"/>
      <c r="I335" s="107"/>
      <c r="J335" s="107"/>
      <c r="K335" s="108"/>
      <c r="L335" s="108"/>
      <c r="M335" s="108"/>
      <c r="N335" s="108"/>
      <c r="O335" s="11"/>
      <c r="P335" s="108"/>
      <c r="Q335" s="108"/>
      <c r="R335" s="108"/>
      <c r="S335" s="108"/>
      <c r="T335" s="108"/>
      <c r="U335" s="108"/>
      <c r="V335" s="108"/>
      <c r="W335" s="108"/>
      <c r="X335" s="11"/>
      <c r="Y335" s="108"/>
      <c r="Z335" s="108"/>
      <c r="AA335" s="11"/>
      <c r="AB335" s="108"/>
      <c r="AC335" s="108"/>
      <c r="AD335" s="108"/>
      <c r="AE335" s="108"/>
      <c r="AF335" s="108"/>
      <c r="AG335" s="108"/>
      <c r="AH335" s="108"/>
      <c r="AI335" s="108"/>
      <c r="AJ335" s="108"/>
      <c r="AK335" s="108"/>
      <c r="AL335" s="108"/>
      <c r="AM335" s="108"/>
      <c r="AN335" s="108"/>
      <c r="AO335" s="108"/>
      <c r="AP335" s="11"/>
      <c r="AQ335" s="108"/>
      <c r="AR335" s="108"/>
      <c r="AS335" s="108"/>
      <c r="AT335" s="108"/>
      <c r="AU335" s="108"/>
      <c r="AV335" s="108"/>
      <c r="AW335" s="108"/>
      <c r="AX335" s="108"/>
      <c r="AY335" s="108"/>
      <c r="AZ335" s="108"/>
      <c r="BA335" s="108"/>
      <c r="BB335" s="108"/>
      <c r="BC335" s="108"/>
      <c r="BD335" s="11"/>
      <c r="BE335" s="11"/>
      <c r="BF335" s="270"/>
      <c r="BG335" s="270"/>
    </row>
    <row r="336" spans="1:59" s="268" customFormat="1" x14ac:dyDescent="0.25">
      <c r="A336" s="107"/>
      <c r="B336" s="107"/>
      <c r="C336" s="7"/>
      <c r="D336" s="7"/>
      <c r="E336" s="7"/>
      <c r="F336" s="10"/>
      <c r="G336" s="10"/>
      <c r="H336" s="8"/>
      <c r="I336" s="107"/>
      <c r="J336" s="107"/>
      <c r="K336" s="108"/>
      <c r="L336" s="108"/>
      <c r="M336" s="108"/>
      <c r="N336" s="108"/>
      <c r="O336" s="11"/>
      <c r="P336" s="108"/>
      <c r="Q336" s="108"/>
      <c r="R336" s="108"/>
      <c r="S336" s="108"/>
      <c r="T336" s="108"/>
      <c r="U336" s="108"/>
      <c r="V336" s="108"/>
      <c r="W336" s="108"/>
      <c r="X336" s="11"/>
      <c r="Y336" s="108"/>
      <c r="Z336" s="108"/>
      <c r="AA336" s="11"/>
      <c r="AB336" s="108"/>
      <c r="AC336" s="108"/>
      <c r="AD336" s="108"/>
      <c r="AE336" s="108"/>
      <c r="AF336" s="108"/>
      <c r="AG336" s="108"/>
      <c r="AH336" s="108"/>
      <c r="AI336" s="108"/>
      <c r="AJ336" s="108"/>
      <c r="AK336" s="108"/>
      <c r="AL336" s="108"/>
      <c r="AM336" s="108"/>
      <c r="AN336" s="108"/>
      <c r="AO336" s="108"/>
      <c r="AP336" s="11"/>
      <c r="AQ336" s="108"/>
      <c r="AR336" s="108"/>
      <c r="AS336" s="108"/>
      <c r="AT336" s="108"/>
      <c r="AU336" s="108"/>
      <c r="AV336" s="108"/>
      <c r="AW336" s="108"/>
      <c r="AX336" s="108"/>
      <c r="AY336" s="108"/>
      <c r="AZ336" s="108"/>
      <c r="BA336" s="108"/>
      <c r="BB336" s="108"/>
      <c r="BC336" s="108"/>
      <c r="BD336" s="11"/>
      <c r="BE336" s="11"/>
      <c r="BF336" s="270"/>
      <c r="BG336" s="270"/>
    </row>
    <row r="337" spans="1:59" s="268" customFormat="1" x14ac:dyDescent="0.25">
      <c r="A337" s="107"/>
      <c r="B337" s="107"/>
      <c r="C337" s="7"/>
      <c r="D337" s="7"/>
      <c r="E337" s="7"/>
      <c r="F337" s="10"/>
      <c r="G337" s="10"/>
      <c r="H337" s="8"/>
      <c r="I337" s="107"/>
      <c r="J337" s="107"/>
      <c r="K337" s="108"/>
      <c r="L337" s="108"/>
      <c r="M337" s="108"/>
      <c r="N337" s="108"/>
      <c r="O337" s="11"/>
      <c r="P337" s="108"/>
      <c r="Q337" s="108"/>
      <c r="R337" s="108"/>
      <c r="S337" s="108"/>
      <c r="T337" s="108"/>
      <c r="U337" s="108"/>
      <c r="V337" s="108"/>
      <c r="W337" s="108"/>
      <c r="X337" s="11"/>
      <c r="Y337" s="108"/>
      <c r="Z337" s="108"/>
      <c r="AA337" s="11"/>
      <c r="AB337" s="108"/>
      <c r="AC337" s="108"/>
      <c r="AD337" s="108"/>
      <c r="AE337" s="108"/>
      <c r="AF337" s="108"/>
      <c r="AG337" s="108"/>
      <c r="AH337" s="108"/>
      <c r="AI337" s="108"/>
      <c r="AJ337" s="108"/>
      <c r="AK337" s="108"/>
      <c r="AL337" s="108"/>
      <c r="AM337" s="108"/>
      <c r="AN337" s="108"/>
      <c r="AO337" s="108"/>
      <c r="AP337" s="11"/>
      <c r="AQ337" s="108"/>
      <c r="AR337" s="108"/>
      <c r="AS337" s="108"/>
      <c r="AT337" s="108"/>
      <c r="AU337" s="108"/>
      <c r="AV337" s="108"/>
      <c r="AW337" s="108"/>
      <c r="AX337" s="108"/>
      <c r="AY337" s="108"/>
      <c r="AZ337" s="108"/>
      <c r="BA337" s="108"/>
      <c r="BB337" s="108"/>
      <c r="BC337" s="108"/>
      <c r="BD337" s="11"/>
      <c r="BE337" s="11"/>
      <c r="BF337" s="270"/>
      <c r="BG337" s="270"/>
    </row>
    <row r="338" spans="1:59" s="268" customFormat="1" x14ac:dyDescent="0.25">
      <c r="A338" s="107"/>
      <c r="B338" s="107"/>
      <c r="C338" s="7"/>
      <c r="D338" s="7"/>
      <c r="E338" s="7"/>
      <c r="F338" s="10"/>
      <c r="G338" s="10"/>
      <c r="H338" s="8"/>
      <c r="I338" s="107"/>
      <c r="J338" s="107"/>
      <c r="K338" s="108"/>
      <c r="L338" s="108"/>
      <c r="M338" s="108"/>
      <c r="N338" s="108"/>
      <c r="O338" s="11"/>
      <c r="P338" s="108"/>
      <c r="Q338" s="108"/>
      <c r="R338" s="108"/>
      <c r="S338" s="108"/>
      <c r="T338" s="108"/>
      <c r="U338" s="108"/>
      <c r="V338" s="108"/>
      <c r="W338" s="108"/>
      <c r="X338" s="11"/>
      <c r="Y338" s="108"/>
      <c r="Z338" s="108"/>
      <c r="AA338" s="11"/>
      <c r="AB338" s="108"/>
      <c r="AC338" s="108"/>
      <c r="AD338" s="108"/>
      <c r="AE338" s="108"/>
      <c r="AF338" s="108"/>
      <c r="AG338" s="108"/>
      <c r="AH338" s="108"/>
      <c r="AI338" s="108"/>
      <c r="AJ338" s="108"/>
      <c r="AK338" s="108"/>
      <c r="AL338" s="108"/>
      <c r="AM338" s="108"/>
      <c r="AN338" s="108"/>
      <c r="AO338" s="108"/>
      <c r="AP338" s="11"/>
      <c r="AQ338" s="108"/>
      <c r="AR338" s="108"/>
      <c r="AS338" s="108"/>
      <c r="AT338" s="108"/>
      <c r="AU338" s="108"/>
      <c r="AV338" s="108"/>
      <c r="AW338" s="108"/>
      <c r="AX338" s="108"/>
      <c r="AY338" s="108"/>
      <c r="AZ338" s="108"/>
      <c r="BA338" s="108"/>
      <c r="BB338" s="108"/>
      <c r="BC338" s="108"/>
      <c r="BD338" s="11"/>
      <c r="BE338" s="11"/>
      <c r="BF338" s="270"/>
      <c r="BG338" s="270"/>
    </row>
    <row r="339" spans="1:59" s="268" customFormat="1" x14ac:dyDescent="0.25">
      <c r="A339" s="107"/>
      <c r="B339" s="107"/>
      <c r="C339" s="7"/>
      <c r="D339" s="7"/>
      <c r="E339" s="7"/>
      <c r="F339" s="10"/>
      <c r="G339" s="10"/>
      <c r="H339" s="8"/>
      <c r="I339" s="107"/>
      <c r="J339" s="107"/>
      <c r="K339" s="108"/>
      <c r="L339" s="108"/>
      <c r="M339" s="108"/>
      <c r="N339" s="108"/>
      <c r="O339" s="11"/>
      <c r="P339" s="108"/>
      <c r="Q339" s="108"/>
      <c r="R339" s="108"/>
      <c r="S339" s="108"/>
      <c r="T339" s="108"/>
      <c r="U339" s="108"/>
      <c r="V339" s="108"/>
      <c r="W339" s="108"/>
      <c r="X339" s="11"/>
      <c r="Y339" s="108"/>
      <c r="Z339" s="108"/>
      <c r="AA339" s="11"/>
      <c r="AB339" s="108"/>
      <c r="AC339" s="108"/>
      <c r="AD339" s="108"/>
      <c r="AE339" s="108"/>
      <c r="AF339" s="108"/>
      <c r="AG339" s="108"/>
      <c r="AH339" s="108"/>
      <c r="AI339" s="108"/>
      <c r="AJ339" s="108"/>
      <c r="AK339" s="108"/>
      <c r="AL339" s="108"/>
      <c r="AM339" s="108"/>
      <c r="AN339" s="108"/>
      <c r="AO339" s="108"/>
      <c r="AP339" s="11"/>
      <c r="AQ339" s="108"/>
      <c r="AR339" s="108"/>
      <c r="AS339" s="108"/>
      <c r="AT339" s="108"/>
      <c r="AU339" s="108"/>
      <c r="AV339" s="108"/>
      <c r="AW339" s="108"/>
      <c r="AX339" s="108"/>
      <c r="AY339" s="108"/>
      <c r="AZ339" s="108"/>
      <c r="BA339" s="108"/>
      <c r="BB339" s="108"/>
      <c r="BC339" s="108"/>
      <c r="BD339" s="11"/>
      <c r="BE339" s="11"/>
      <c r="BF339" s="270"/>
      <c r="BG339" s="270"/>
    </row>
    <row r="340" spans="1:59" s="268" customFormat="1" x14ac:dyDescent="0.25">
      <c r="A340" s="107"/>
      <c r="B340" s="107"/>
      <c r="C340" s="7"/>
      <c r="D340" s="7"/>
      <c r="E340" s="7"/>
      <c r="F340" s="10"/>
      <c r="G340" s="10"/>
      <c r="H340" s="8"/>
      <c r="I340" s="107"/>
      <c r="J340" s="107"/>
      <c r="K340" s="108"/>
      <c r="L340" s="108"/>
      <c r="M340" s="108"/>
      <c r="N340" s="108"/>
      <c r="O340" s="11"/>
      <c r="P340" s="108"/>
      <c r="Q340" s="108"/>
      <c r="R340" s="108"/>
      <c r="S340" s="108"/>
      <c r="T340" s="108"/>
      <c r="U340" s="108"/>
      <c r="V340" s="108"/>
      <c r="W340" s="108"/>
      <c r="X340" s="11"/>
      <c r="Y340" s="108"/>
      <c r="Z340" s="108"/>
      <c r="AA340" s="11"/>
      <c r="AB340" s="108"/>
      <c r="AC340" s="108"/>
      <c r="AD340" s="108"/>
      <c r="AE340" s="108"/>
      <c r="AF340" s="108"/>
      <c r="AG340" s="108"/>
      <c r="AH340" s="108"/>
      <c r="AI340" s="108"/>
      <c r="AJ340" s="108"/>
      <c r="AK340" s="108"/>
      <c r="AL340" s="108"/>
      <c r="AM340" s="108"/>
      <c r="AN340" s="108"/>
      <c r="AO340" s="108"/>
      <c r="AP340" s="11"/>
      <c r="AQ340" s="108"/>
      <c r="AR340" s="108"/>
      <c r="AS340" s="108"/>
      <c r="AT340" s="108"/>
      <c r="AU340" s="108"/>
      <c r="AV340" s="108"/>
      <c r="AW340" s="108"/>
      <c r="AX340" s="108"/>
      <c r="AY340" s="108"/>
      <c r="AZ340" s="108"/>
      <c r="BA340" s="108"/>
      <c r="BB340" s="108"/>
      <c r="BC340" s="108"/>
      <c r="BD340" s="11"/>
      <c r="BE340" s="11"/>
      <c r="BF340" s="270"/>
      <c r="BG340" s="270"/>
    </row>
    <row r="341" spans="1:59" s="268" customFormat="1" x14ac:dyDescent="0.25">
      <c r="A341" s="107"/>
      <c r="B341" s="107"/>
      <c r="C341" s="7"/>
      <c r="D341" s="7"/>
      <c r="E341" s="7"/>
      <c r="F341" s="10"/>
      <c r="G341" s="10"/>
      <c r="H341" s="8"/>
      <c r="I341" s="107"/>
      <c r="J341" s="107"/>
      <c r="K341" s="108"/>
      <c r="L341" s="108"/>
      <c r="M341" s="108"/>
      <c r="N341" s="108"/>
      <c r="O341" s="11"/>
      <c r="P341" s="108"/>
      <c r="Q341" s="108"/>
      <c r="R341" s="108"/>
      <c r="S341" s="108"/>
      <c r="T341" s="108"/>
      <c r="U341" s="108"/>
      <c r="V341" s="108"/>
      <c r="W341" s="108"/>
      <c r="X341" s="11"/>
      <c r="Y341" s="108"/>
      <c r="Z341" s="108"/>
      <c r="AA341" s="11"/>
      <c r="AB341" s="108"/>
      <c r="AC341" s="108"/>
      <c r="AD341" s="108"/>
      <c r="AE341" s="108"/>
      <c r="AF341" s="108"/>
      <c r="AG341" s="108"/>
      <c r="AH341" s="108"/>
      <c r="AI341" s="108"/>
      <c r="AJ341" s="108"/>
      <c r="AK341" s="108"/>
      <c r="AL341" s="108"/>
      <c r="AM341" s="108"/>
      <c r="AN341" s="108"/>
      <c r="AO341" s="108"/>
      <c r="AP341" s="11"/>
      <c r="AQ341" s="108"/>
      <c r="AR341" s="108"/>
      <c r="AS341" s="108"/>
      <c r="AT341" s="108"/>
      <c r="AU341" s="108"/>
      <c r="AV341" s="108"/>
      <c r="AW341" s="108"/>
      <c r="AX341" s="108"/>
      <c r="AY341" s="108"/>
      <c r="AZ341" s="108"/>
      <c r="BA341" s="108"/>
      <c r="BB341" s="108"/>
      <c r="BC341" s="108"/>
      <c r="BD341" s="11"/>
      <c r="BE341" s="11"/>
      <c r="BF341" s="270"/>
      <c r="BG341" s="270"/>
    </row>
    <row r="342" spans="1:59" s="268" customFormat="1" x14ac:dyDescent="0.25">
      <c r="A342" s="107"/>
      <c r="B342" s="107"/>
      <c r="C342" s="7"/>
      <c r="D342" s="7"/>
      <c r="E342" s="7"/>
      <c r="F342" s="10"/>
      <c r="G342" s="10"/>
      <c r="H342" s="8"/>
      <c r="I342" s="107"/>
      <c r="J342" s="107"/>
      <c r="K342" s="108"/>
      <c r="L342" s="108"/>
      <c r="M342" s="108"/>
      <c r="N342" s="108"/>
      <c r="O342" s="11"/>
      <c r="P342" s="108"/>
      <c r="Q342" s="108"/>
      <c r="R342" s="108"/>
      <c r="S342" s="108"/>
      <c r="T342" s="108"/>
      <c r="U342" s="108"/>
      <c r="V342" s="108"/>
      <c r="W342" s="108"/>
      <c r="X342" s="11"/>
      <c r="Y342" s="108"/>
      <c r="Z342" s="108"/>
      <c r="AA342" s="11"/>
      <c r="AB342" s="108"/>
      <c r="AC342" s="108"/>
      <c r="AD342" s="108"/>
      <c r="AE342" s="108"/>
      <c r="AF342" s="108"/>
      <c r="AG342" s="108"/>
      <c r="AH342" s="108"/>
      <c r="AI342" s="108"/>
      <c r="AJ342" s="108"/>
      <c r="AK342" s="108"/>
      <c r="AL342" s="108"/>
      <c r="AM342" s="108"/>
      <c r="AN342" s="108"/>
      <c r="AO342" s="108"/>
      <c r="AP342" s="11"/>
      <c r="AQ342" s="108"/>
      <c r="AR342" s="108"/>
      <c r="AS342" s="108"/>
      <c r="AT342" s="108"/>
      <c r="AU342" s="108"/>
      <c r="AV342" s="108"/>
      <c r="AW342" s="108"/>
      <c r="AX342" s="108"/>
      <c r="AY342" s="108"/>
      <c r="AZ342" s="108"/>
      <c r="BA342" s="108"/>
      <c r="BB342" s="108"/>
      <c r="BC342" s="108"/>
      <c r="BD342" s="11"/>
      <c r="BE342" s="11"/>
      <c r="BF342" s="270"/>
      <c r="BG342" s="270"/>
    </row>
    <row r="343" spans="1:59" x14ac:dyDescent="0.25">
      <c r="C343" s="7"/>
      <c r="D343" s="7"/>
      <c r="E343" s="7"/>
      <c r="F343" s="10"/>
      <c r="G343" s="10"/>
      <c r="H343" s="8"/>
    </row>
    <row r="344" spans="1:59" x14ac:dyDescent="0.25">
      <c r="C344" s="7"/>
      <c r="D344" s="7"/>
      <c r="E344" s="7"/>
      <c r="F344" s="10"/>
      <c r="G344" s="10"/>
      <c r="H344" s="8"/>
    </row>
    <row r="345" spans="1:59" x14ac:dyDescent="0.25">
      <c r="C345" s="7"/>
      <c r="D345" s="7"/>
      <c r="E345" s="7"/>
      <c r="F345" s="10"/>
      <c r="G345" s="10"/>
      <c r="H345" s="8"/>
    </row>
    <row r="346" spans="1:59" x14ac:dyDescent="0.25">
      <c r="C346" s="7"/>
      <c r="D346" s="7"/>
      <c r="E346" s="7"/>
      <c r="F346" s="10"/>
      <c r="G346" s="10"/>
      <c r="H346" s="8"/>
    </row>
    <row r="347" spans="1:59" x14ac:dyDescent="0.25">
      <c r="C347" s="7"/>
      <c r="D347" s="7"/>
      <c r="E347" s="7"/>
      <c r="F347" s="10"/>
      <c r="G347" s="10"/>
      <c r="H347" s="8"/>
    </row>
    <row r="348" spans="1:59" x14ac:dyDescent="0.25">
      <c r="C348" s="7"/>
      <c r="D348" s="7"/>
      <c r="E348" s="7"/>
      <c r="F348" s="10"/>
      <c r="G348" s="10"/>
      <c r="H348" s="8"/>
    </row>
    <row r="349" spans="1:59" x14ac:dyDescent="0.25">
      <c r="C349" s="7"/>
      <c r="D349" s="7"/>
      <c r="E349" s="7"/>
      <c r="F349" s="10"/>
      <c r="G349" s="10"/>
      <c r="H349" s="8"/>
    </row>
    <row r="350" spans="1:59" x14ac:dyDescent="0.25">
      <c r="C350" s="7"/>
      <c r="D350" s="7"/>
      <c r="E350" s="7"/>
      <c r="F350" s="10"/>
      <c r="G350" s="10"/>
      <c r="H350" s="8"/>
    </row>
    <row r="351" spans="1:59" x14ac:dyDescent="0.25">
      <c r="C351" s="7"/>
      <c r="D351" s="7"/>
      <c r="E351" s="7"/>
      <c r="F351" s="10"/>
      <c r="G351" s="10"/>
      <c r="H351" s="8"/>
    </row>
    <row r="352" spans="1:59" x14ac:dyDescent="0.25">
      <c r="C352" s="7"/>
      <c r="D352" s="7"/>
      <c r="E352" s="7"/>
      <c r="F352" s="10"/>
      <c r="G352" s="10"/>
      <c r="H352" s="8"/>
    </row>
    <row r="353" spans="3:8" x14ac:dyDescent="0.25">
      <c r="C353" s="108"/>
      <c r="D353" s="108"/>
      <c r="E353" s="108"/>
      <c r="F353" s="11"/>
      <c r="G353" s="10"/>
      <c r="H353" s="8"/>
    </row>
    <row r="354" spans="3:8" x14ac:dyDescent="0.25">
      <c r="C354" s="108"/>
      <c r="D354" s="108"/>
      <c r="E354" s="108"/>
      <c r="F354" s="11"/>
      <c r="G354" s="11"/>
      <c r="H354" s="3"/>
    </row>
    <row r="355" spans="3:8" x14ac:dyDescent="0.25">
      <c r="C355" s="108"/>
      <c r="D355" s="108"/>
      <c r="E355" s="108"/>
      <c r="F355" s="11"/>
      <c r="G355" s="11"/>
      <c r="H355" s="3"/>
    </row>
    <row r="356" spans="3:8" x14ac:dyDescent="0.25">
      <c r="C356" s="108"/>
      <c r="D356" s="108"/>
      <c r="E356" s="108"/>
      <c r="F356" s="11"/>
      <c r="G356" s="11"/>
      <c r="H356" s="3"/>
    </row>
    <row r="357" spans="3:8" x14ac:dyDescent="0.25">
      <c r="C357" s="108"/>
      <c r="D357" s="108"/>
      <c r="E357" s="108"/>
      <c r="F357" s="11"/>
      <c r="G357" s="11"/>
      <c r="H357" s="3"/>
    </row>
    <row r="358" spans="3:8" x14ac:dyDescent="0.25">
      <c r="C358" s="108"/>
      <c r="D358" s="108"/>
      <c r="E358" s="108"/>
      <c r="F358" s="11"/>
      <c r="G358" s="11"/>
      <c r="H358" s="3"/>
    </row>
    <row r="359" spans="3:8" x14ac:dyDescent="0.25">
      <c r="C359" s="108"/>
      <c r="D359" s="108"/>
      <c r="E359" s="108"/>
      <c r="F359" s="11"/>
      <c r="G359" s="11"/>
      <c r="H359" s="3"/>
    </row>
    <row r="360" spans="3:8" x14ac:dyDescent="0.25">
      <c r="C360" s="108"/>
      <c r="D360" s="108"/>
      <c r="E360" s="108"/>
      <c r="F360" s="11"/>
      <c r="G360" s="11"/>
      <c r="H360" s="3"/>
    </row>
    <row r="361" spans="3:8" x14ac:dyDescent="0.25">
      <c r="C361" s="108"/>
      <c r="D361" s="108"/>
      <c r="E361" s="108"/>
      <c r="F361" s="11"/>
      <c r="G361" s="11"/>
      <c r="H361" s="3"/>
    </row>
    <row r="362" spans="3:8" x14ac:dyDescent="0.25">
      <c r="C362" s="108"/>
      <c r="D362" s="108"/>
      <c r="E362" s="108"/>
      <c r="F362" s="11"/>
      <c r="G362" s="11"/>
      <c r="H362" s="3"/>
    </row>
    <row r="363" spans="3:8" x14ac:dyDescent="0.25">
      <c r="C363" s="108"/>
      <c r="D363" s="108"/>
      <c r="E363" s="108"/>
      <c r="F363" s="11"/>
      <c r="G363" s="11"/>
      <c r="H363" s="3"/>
    </row>
    <row r="364" spans="3:8" x14ac:dyDescent="0.25">
      <c r="C364" s="108"/>
      <c r="D364" s="108"/>
      <c r="E364" s="108"/>
      <c r="F364" s="11"/>
      <c r="G364" s="11"/>
      <c r="H364" s="3"/>
    </row>
    <row r="365" spans="3:8" x14ac:dyDescent="0.25">
      <c r="C365" s="108"/>
      <c r="D365" s="108"/>
      <c r="E365" s="108"/>
      <c r="F365" s="11"/>
      <c r="G365" s="11"/>
      <c r="H365" s="3"/>
    </row>
    <row r="366" spans="3:8" x14ac:dyDescent="0.25">
      <c r="C366" s="108"/>
      <c r="D366" s="108"/>
      <c r="E366" s="108"/>
      <c r="F366" s="11"/>
      <c r="G366" s="11"/>
      <c r="H366" s="3"/>
    </row>
    <row r="367" spans="3:8" x14ac:dyDescent="0.25">
      <c r="C367" s="108"/>
      <c r="D367" s="108"/>
      <c r="E367" s="108"/>
      <c r="F367" s="11"/>
      <c r="G367" s="11"/>
      <c r="H367" s="3"/>
    </row>
    <row r="368" spans="3:8" x14ac:dyDescent="0.25">
      <c r="G368" s="11"/>
      <c r="H368" s="3"/>
    </row>
  </sheetData>
  <mergeCells count="31">
    <mergeCell ref="E2:E3"/>
    <mergeCell ref="I1:K1"/>
    <mergeCell ref="AX2:AX3"/>
    <mergeCell ref="AY2:AY3"/>
    <mergeCell ref="L1:AZ1"/>
    <mergeCell ref="L2:L3"/>
    <mergeCell ref="BB2:BC2"/>
    <mergeCell ref="BA2:BA3"/>
    <mergeCell ref="AQ2:AQ3"/>
    <mergeCell ref="AR2:AR3"/>
    <mergeCell ref="AS2:AS3"/>
    <mergeCell ref="AT2:AT3"/>
    <mergeCell ref="AU2:AU3"/>
    <mergeCell ref="AV2:AV3"/>
    <mergeCell ref="AW2:AW3"/>
    <mergeCell ref="BD1:BE1"/>
    <mergeCell ref="BD2:BD3"/>
    <mergeCell ref="BE2:BE3"/>
    <mergeCell ref="B1:F1"/>
    <mergeCell ref="B2:B3"/>
    <mergeCell ref="C2:C3"/>
    <mergeCell ref="F2:F3"/>
    <mergeCell ref="M2:X2"/>
    <mergeCell ref="Y2:AP2"/>
    <mergeCell ref="D2:D3"/>
    <mergeCell ref="I2:I3"/>
    <mergeCell ref="J2:J3"/>
    <mergeCell ref="K2:K3"/>
    <mergeCell ref="G2:H2"/>
    <mergeCell ref="G1:H1"/>
    <mergeCell ref="BA1:BC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BE61F-7EDB-4921-A4D2-DBCC0618923A}">
  <dimension ref="A1:BL78"/>
  <sheetViews>
    <sheetView topLeftCell="BI1" zoomScale="60" zoomScaleNormal="60" workbookViewId="0">
      <pane ySplit="4" topLeftCell="A5" activePane="bottomLeft" state="frozen"/>
      <selection activeCell="AV1" sqref="AV1"/>
      <selection pane="bottomLeft" activeCell="BJ66" sqref="BJ66"/>
    </sheetView>
  </sheetViews>
  <sheetFormatPr baseColWidth="10" defaultRowHeight="15" x14ac:dyDescent="0.25"/>
  <cols>
    <col min="1" max="1" width="3.5703125" style="107" customWidth="1"/>
    <col min="2" max="4" width="5.28515625" style="107" customWidth="1"/>
    <col min="5" max="5" width="9.28515625" style="107" customWidth="1"/>
    <col min="6" max="8" width="8.85546875" style="107" customWidth="1"/>
    <col min="9" max="11" width="5.28515625" style="107" customWidth="1"/>
    <col min="12" max="12" width="4.5703125" style="107" customWidth="1"/>
    <col min="13" max="16" width="5.28515625" style="107" customWidth="1"/>
    <col min="17" max="17" width="9.28515625" style="107" customWidth="1"/>
    <col min="18" max="19" width="8.85546875" style="107" customWidth="1"/>
    <col min="20" max="20" width="12.85546875" style="107" customWidth="1"/>
    <col min="21" max="23" width="5.28515625" style="107" customWidth="1"/>
    <col min="24" max="24" width="4.5703125" style="107" customWidth="1"/>
    <col min="25" max="28" width="5.28515625" style="107" customWidth="1"/>
    <col min="29" max="29" width="10.28515625" style="107" bestFit="1" customWidth="1"/>
    <col min="30" max="30" width="8.85546875" style="107" customWidth="1"/>
    <col min="31" max="31" width="12.85546875" style="107" customWidth="1"/>
    <col min="32" max="34" width="5.28515625" style="107" customWidth="1"/>
    <col min="35" max="35" width="4.5703125" style="107" customWidth="1"/>
    <col min="36" max="39" width="5.28515625" style="107" customWidth="1"/>
    <col min="40" max="40" width="10.28515625" style="107" bestFit="1" customWidth="1"/>
    <col min="41" max="41" width="8.85546875" style="107" customWidth="1"/>
    <col min="42" max="42" width="12.85546875" style="107" customWidth="1"/>
    <col min="43" max="45" width="5.28515625" style="107" customWidth="1"/>
    <col min="46" max="46" width="4.5703125" style="107" customWidth="1"/>
    <col min="47" max="50" width="5.28515625" style="107" customWidth="1"/>
    <col min="51" max="51" width="10.28515625" style="107" bestFit="1" customWidth="1"/>
    <col min="52" max="52" width="8.85546875" style="107" customWidth="1"/>
    <col min="53" max="53" width="7" style="107" bestFit="1" customWidth="1"/>
    <col min="54" max="54" width="5.140625" style="107" customWidth="1"/>
    <col min="55" max="55" width="12.85546875" style="107" customWidth="1"/>
    <col min="56" max="58" width="5.28515625" style="107" customWidth="1"/>
    <col min="59" max="59" width="4.5703125" style="107" customWidth="1"/>
    <col min="60" max="60" width="5.28515625" style="107" customWidth="1"/>
    <col min="61" max="61" width="73.140625" style="268" bestFit="1" customWidth="1"/>
    <col min="62" max="62" width="219" style="268" bestFit="1" customWidth="1"/>
    <col min="63" max="63" width="135.7109375" style="268" bestFit="1" customWidth="1"/>
    <col min="64" max="64" width="87" style="268" customWidth="1"/>
    <col min="65" max="16384" width="11.42578125" style="107"/>
  </cols>
  <sheetData>
    <row r="1" spans="1:64" s="12" customFormat="1" ht="15.75" thickTop="1" x14ac:dyDescent="0.25">
      <c r="B1" s="610" t="s">
        <v>918</v>
      </c>
      <c r="C1" s="611"/>
      <c r="D1" s="611"/>
      <c r="E1" s="611"/>
      <c r="F1" s="611"/>
      <c r="G1" s="611"/>
      <c r="H1" s="611"/>
      <c r="I1" s="611"/>
      <c r="J1" s="611"/>
      <c r="K1" s="611"/>
      <c r="L1" s="611"/>
      <c r="M1" s="622"/>
      <c r="N1" s="610" t="s">
        <v>1059</v>
      </c>
      <c r="O1" s="611"/>
      <c r="P1" s="611"/>
      <c r="Q1" s="611"/>
      <c r="R1" s="611"/>
      <c r="S1" s="611"/>
      <c r="T1" s="611"/>
      <c r="U1" s="611"/>
      <c r="V1" s="611"/>
      <c r="W1" s="611"/>
      <c r="X1" s="611"/>
      <c r="Y1" s="622"/>
      <c r="Z1" s="610" t="s">
        <v>1085</v>
      </c>
      <c r="AA1" s="611"/>
      <c r="AB1" s="611"/>
      <c r="AC1" s="611"/>
      <c r="AD1" s="611"/>
      <c r="AE1" s="611"/>
      <c r="AF1" s="611"/>
      <c r="AG1" s="611"/>
      <c r="AH1" s="611"/>
      <c r="AI1" s="611"/>
      <c r="AJ1" s="622"/>
      <c r="AK1" s="610" t="s">
        <v>1100</v>
      </c>
      <c r="AL1" s="611"/>
      <c r="AM1" s="611"/>
      <c r="AN1" s="611"/>
      <c r="AO1" s="611"/>
      <c r="AP1" s="611"/>
      <c r="AQ1" s="611"/>
      <c r="AR1" s="611"/>
      <c r="AS1" s="611"/>
      <c r="AT1" s="611"/>
      <c r="AU1" s="612"/>
      <c r="AV1" s="610" t="s">
        <v>1114</v>
      </c>
      <c r="AW1" s="611"/>
      <c r="AX1" s="611"/>
      <c r="AY1" s="611"/>
      <c r="AZ1" s="611"/>
      <c r="BA1" s="611"/>
      <c r="BB1" s="611"/>
      <c r="BC1" s="611"/>
      <c r="BD1" s="611"/>
      <c r="BE1" s="611"/>
      <c r="BF1" s="611"/>
      <c r="BG1" s="611"/>
      <c r="BH1" s="612"/>
      <c r="BI1" s="263"/>
      <c r="BJ1" s="263"/>
      <c r="BK1" s="264"/>
      <c r="BL1" s="264"/>
    </row>
    <row r="2" spans="1:64" s="12" customFormat="1" ht="30" customHeight="1" x14ac:dyDescent="0.25">
      <c r="B2" s="531" t="s">
        <v>554</v>
      </c>
      <c r="C2" s="524"/>
      <c r="D2" s="516"/>
      <c r="E2" s="515" t="s">
        <v>555</v>
      </c>
      <c r="F2" s="516"/>
      <c r="G2" s="513" t="s">
        <v>180</v>
      </c>
      <c r="H2" s="513" t="s">
        <v>254</v>
      </c>
      <c r="I2" s="517" t="s">
        <v>554</v>
      </c>
      <c r="J2" s="519"/>
      <c r="K2" s="520" t="s">
        <v>921</v>
      </c>
      <c r="L2" s="605" t="s">
        <v>919</v>
      </c>
      <c r="M2" s="605" t="s">
        <v>558</v>
      </c>
      <c r="N2" s="531" t="s">
        <v>554</v>
      </c>
      <c r="O2" s="524"/>
      <c r="P2" s="516"/>
      <c r="Q2" s="515" t="s">
        <v>555</v>
      </c>
      <c r="R2" s="516"/>
      <c r="S2" s="513" t="s">
        <v>1060</v>
      </c>
      <c r="T2" s="513" t="s">
        <v>995</v>
      </c>
      <c r="U2" s="517" t="s">
        <v>554</v>
      </c>
      <c r="V2" s="519"/>
      <c r="W2" s="520" t="s">
        <v>1061</v>
      </c>
      <c r="X2" s="605" t="s">
        <v>1062</v>
      </c>
      <c r="Y2" s="605" t="s">
        <v>558</v>
      </c>
      <c r="Z2" s="531" t="s">
        <v>554</v>
      </c>
      <c r="AA2" s="524"/>
      <c r="AB2" s="516"/>
      <c r="AC2" s="515" t="s">
        <v>555</v>
      </c>
      <c r="AD2" s="516"/>
      <c r="AE2" s="513" t="s">
        <v>995</v>
      </c>
      <c r="AF2" s="517" t="s">
        <v>554</v>
      </c>
      <c r="AG2" s="519"/>
      <c r="AH2" s="520" t="s">
        <v>1061</v>
      </c>
      <c r="AI2" s="605" t="s">
        <v>1062</v>
      </c>
      <c r="AJ2" s="605" t="s">
        <v>558</v>
      </c>
      <c r="AK2" s="531" t="s">
        <v>554</v>
      </c>
      <c r="AL2" s="524"/>
      <c r="AM2" s="516"/>
      <c r="AN2" s="515" t="s">
        <v>555</v>
      </c>
      <c r="AO2" s="516"/>
      <c r="AP2" s="513" t="s">
        <v>1101</v>
      </c>
      <c r="AQ2" s="517" t="s">
        <v>554</v>
      </c>
      <c r="AR2" s="519"/>
      <c r="AS2" s="520" t="s">
        <v>1061</v>
      </c>
      <c r="AT2" s="605" t="s">
        <v>1062</v>
      </c>
      <c r="AU2" s="613" t="s">
        <v>558</v>
      </c>
      <c r="AV2" s="531" t="s">
        <v>554</v>
      </c>
      <c r="AW2" s="524"/>
      <c r="AX2" s="516"/>
      <c r="AY2" s="515" t="s">
        <v>555</v>
      </c>
      <c r="AZ2" s="516"/>
      <c r="BA2" s="513" t="s">
        <v>264</v>
      </c>
      <c r="BB2" s="520" t="s">
        <v>1113</v>
      </c>
      <c r="BC2" s="513" t="s">
        <v>995</v>
      </c>
      <c r="BD2" s="517" t="s">
        <v>554</v>
      </c>
      <c r="BE2" s="519"/>
      <c r="BF2" s="520" t="s">
        <v>1061</v>
      </c>
      <c r="BG2" s="605" t="s">
        <v>1543</v>
      </c>
      <c r="BH2" s="613" t="s">
        <v>558</v>
      </c>
      <c r="BI2" s="263"/>
      <c r="BJ2" s="263"/>
      <c r="BK2" s="264"/>
      <c r="BL2" s="264"/>
    </row>
    <row r="3" spans="1:64" s="12" customFormat="1" ht="26.25" customHeight="1" x14ac:dyDescent="0.25">
      <c r="B3" s="614" t="s">
        <v>456</v>
      </c>
      <c r="C3" s="616" t="s">
        <v>448</v>
      </c>
      <c r="D3" s="520" t="s">
        <v>335</v>
      </c>
      <c r="E3" s="525" t="s">
        <v>704</v>
      </c>
      <c r="F3" s="539"/>
      <c r="G3" s="626"/>
      <c r="H3" s="626"/>
      <c r="I3" s="616" t="s">
        <v>920</v>
      </c>
      <c r="J3" s="520" t="s">
        <v>355</v>
      </c>
      <c r="K3" s="627"/>
      <c r="L3" s="621"/>
      <c r="M3" s="621"/>
      <c r="N3" s="614" t="s">
        <v>456</v>
      </c>
      <c r="O3" s="616" t="s">
        <v>448</v>
      </c>
      <c r="P3" s="520" t="s">
        <v>335</v>
      </c>
      <c r="Q3" s="525" t="s">
        <v>995</v>
      </c>
      <c r="R3" s="539"/>
      <c r="S3" s="626"/>
      <c r="T3" s="626"/>
      <c r="U3" s="616" t="s">
        <v>920</v>
      </c>
      <c r="V3" s="520" t="s">
        <v>355</v>
      </c>
      <c r="W3" s="627"/>
      <c r="X3" s="621"/>
      <c r="Y3" s="621"/>
      <c r="Z3" s="614" t="s">
        <v>456</v>
      </c>
      <c r="AA3" s="616" t="s">
        <v>448</v>
      </c>
      <c r="AB3" s="520" t="s">
        <v>335</v>
      </c>
      <c r="AC3" s="525" t="s">
        <v>995</v>
      </c>
      <c r="AD3" s="539"/>
      <c r="AE3" s="626"/>
      <c r="AF3" s="616" t="s">
        <v>920</v>
      </c>
      <c r="AG3" s="520" t="s">
        <v>355</v>
      </c>
      <c r="AH3" s="627"/>
      <c r="AI3" s="621"/>
      <c r="AJ3" s="621"/>
      <c r="AK3" s="614" t="s">
        <v>456</v>
      </c>
      <c r="AL3" s="616" t="s">
        <v>448</v>
      </c>
      <c r="AM3" s="520" t="s">
        <v>335</v>
      </c>
      <c r="AN3" s="525" t="s">
        <v>1101</v>
      </c>
      <c r="AO3" s="539"/>
      <c r="AP3" s="626"/>
      <c r="AQ3" s="616" t="s">
        <v>920</v>
      </c>
      <c r="AR3" s="520" t="s">
        <v>355</v>
      </c>
      <c r="AS3" s="627"/>
      <c r="AT3" s="621"/>
      <c r="AU3" s="537"/>
      <c r="AV3" s="614" t="s">
        <v>456</v>
      </c>
      <c r="AW3" s="616" t="s">
        <v>448</v>
      </c>
      <c r="AX3" s="520" t="s">
        <v>335</v>
      </c>
      <c r="AY3" s="525" t="s">
        <v>264</v>
      </c>
      <c r="AZ3" s="539"/>
      <c r="BA3" s="626"/>
      <c r="BB3" s="627"/>
      <c r="BC3" s="626"/>
      <c r="BD3" s="616" t="s">
        <v>920</v>
      </c>
      <c r="BE3" s="520" t="s">
        <v>355</v>
      </c>
      <c r="BF3" s="627"/>
      <c r="BG3" s="621"/>
      <c r="BH3" s="537"/>
      <c r="BI3" s="263"/>
      <c r="BJ3" s="263"/>
      <c r="BK3" s="264"/>
      <c r="BL3" s="264"/>
    </row>
    <row r="4" spans="1:64" s="12" customFormat="1" ht="42" customHeight="1" x14ac:dyDescent="0.25">
      <c r="B4" s="615"/>
      <c r="C4" s="617"/>
      <c r="D4" s="521"/>
      <c r="E4" s="463" t="s">
        <v>562</v>
      </c>
      <c r="F4" s="464" t="s">
        <v>563</v>
      </c>
      <c r="G4" s="514"/>
      <c r="H4" s="514"/>
      <c r="I4" s="617"/>
      <c r="J4" s="521"/>
      <c r="K4" s="521"/>
      <c r="L4" s="606"/>
      <c r="M4" s="606"/>
      <c r="N4" s="615"/>
      <c r="O4" s="617"/>
      <c r="P4" s="521"/>
      <c r="Q4" s="463" t="s">
        <v>562</v>
      </c>
      <c r="R4" s="464" t="s">
        <v>563</v>
      </c>
      <c r="S4" s="514"/>
      <c r="T4" s="514"/>
      <c r="U4" s="617"/>
      <c r="V4" s="521"/>
      <c r="W4" s="521"/>
      <c r="X4" s="606"/>
      <c r="Y4" s="606"/>
      <c r="Z4" s="615"/>
      <c r="AA4" s="617"/>
      <c r="AB4" s="521"/>
      <c r="AC4" s="463" t="s">
        <v>562</v>
      </c>
      <c r="AD4" s="464" t="s">
        <v>563</v>
      </c>
      <c r="AE4" s="514"/>
      <c r="AF4" s="617"/>
      <c r="AG4" s="521"/>
      <c r="AH4" s="521"/>
      <c r="AI4" s="606"/>
      <c r="AJ4" s="606"/>
      <c r="AK4" s="615"/>
      <c r="AL4" s="617"/>
      <c r="AM4" s="521"/>
      <c r="AN4" s="463" t="s">
        <v>562</v>
      </c>
      <c r="AO4" s="464" t="s">
        <v>563</v>
      </c>
      <c r="AP4" s="514"/>
      <c r="AQ4" s="617"/>
      <c r="AR4" s="521"/>
      <c r="AS4" s="521"/>
      <c r="AT4" s="606"/>
      <c r="AU4" s="538"/>
      <c r="AV4" s="615"/>
      <c r="AW4" s="617"/>
      <c r="AX4" s="521"/>
      <c r="AY4" s="463" t="s">
        <v>562</v>
      </c>
      <c r="AZ4" s="464" t="s">
        <v>563</v>
      </c>
      <c r="BA4" s="514"/>
      <c r="BB4" s="521"/>
      <c r="BC4" s="514"/>
      <c r="BD4" s="617"/>
      <c r="BE4" s="521"/>
      <c r="BF4" s="521"/>
      <c r="BG4" s="606"/>
      <c r="BH4" s="538"/>
      <c r="BI4" s="263" t="s">
        <v>549</v>
      </c>
      <c r="BJ4" s="263" t="s">
        <v>1063</v>
      </c>
      <c r="BK4" s="264" t="s">
        <v>7</v>
      </c>
      <c r="BL4" s="265" t="s">
        <v>8</v>
      </c>
    </row>
    <row r="5" spans="1:64" s="109" customFormat="1" ht="15" customHeight="1" x14ac:dyDescent="0.25">
      <c r="A5" s="23"/>
      <c r="B5" s="20"/>
      <c r="C5" s="13"/>
      <c r="D5" s="103"/>
      <c r="E5" s="13"/>
      <c r="F5" s="111">
        <v>1</v>
      </c>
      <c r="G5" s="111"/>
      <c r="H5" s="111"/>
      <c r="I5" s="13"/>
      <c r="J5" s="103"/>
      <c r="K5" s="103"/>
      <c r="L5" s="111"/>
      <c r="M5" s="111">
        <v>1</v>
      </c>
      <c r="N5" s="20"/>
      <c r="O5" s="13"/>
      <c r="P5" s="103"/>
      <c r="Q5" s="13"/>
      <c r="R5" s="111"/>
      <c r="S5" s="111"/>
      <c r="T5" s="111"/>
      <c r="U5" s="13"/>
      <c r="V5" s="103"/>
      <c r="W5" s="103"/>
      <c r="X5" s="111"/>
      <c r="Y5" s="111"/>
      <c r="Z5" s="20"/>
      <c r="AA5" s="13"/>
      <c r="AB5" s="103"/>
      <c r="AC5" s="13"/>
      <c r="AD5" s="111"/>
      <c r="AE5" s="111"/>
      <c r="AF5" s="13"/>
      <c r="AG5" s="103"/>
      <c r="AH5" s="103"/>
      <c r="AI5" s="111"/>
      <c r="AJ5" s="111"/>
      <c r="AK5" s="20"/>
      <c r="AL5" s="13"/>
      <c r="AM5" s="103"/>
      <c r="AN5" s="13"/>
      <c r="AO5" s="111"/>
      <c r="AP5" s="111"/>
      <c r="AQ5" s="13"/>
      <c r="AR5" s="103"/>
      <c r="AS5" s="103"/>
      <c r="AT5" s="111"/>
      <c r="AU5" s="280"/>
      <c r="AV5" s="20"/>
      <c r="AW5" s="13"/>
      <c r="AX5" s="103"/>
      <c r="AY5" s="13"/>
      <c r="AZ5" s="111"/>
      <c r="BA5" s="111"/>
      <c r="BB5" s="111"/>
      <c r="BC5" s="111"/>
      <c r="BD5" s="13"/>
      <c r="BE5" s="103"/>
      <c r="BF5" s="103"/>
      <c r="BG5" s="111"/>
      <c r="BH5" s="280"/>
      <c r="BI5" s="266" t="s">
        <v>922</v>
      </c>
      <c r="BJ5" s="310" t="str">
        <f>CONCATENATE("Acceder al sistema Gemma con usuario y perfil activo para la funcionalidad modulo Maestro - Regiones, hacer clic en el boton ",IF(M5=1,$M$2,""),IF(B5=1,$B$3,"")," ",IF(C5=1,$C$3,""),"",IF(D5=1,$D$3,"")," ",IF(E5=1,$E$4,""),"",IF(F5=1,$F$4,""), " en el filtro ", IF(K5=1,$K$2,"")," ",IF(L5=1,$L$2,"")," ",)</f>
        <v xml:space="preserve">Acceder al sistema Gemma con usuario y perfil activo para la funcionalidad modulo Maestro - Regiones, hacer clic en el boton Exportar Excel   Sin Valores en el filtro   </v>
      </c>
      <c r="BK5" s="267" t="str">
        <f>CONCATENATE(" Validar funcionalidad Maestro Regiones seleccionando la opcion "," ",IF(B5=1,$B$3,IF(C5=1,$C$3,IF(D5=1,$D$3,""))),"Exportar Excel, sin seleccionar valores en el filtro",)</f>
        <v xml:space="preserve"> Validar funcionalidad Maestro Regiones seleccionando la opcion  Exportar Excel, sin seleccionar valores en el filtro</v>
      </c>
      <c r="BL5" s="267" t="s">
        <v>1486</v>
      </c>
    </row>
    <row r="6" spans="1:64" s="109" customFormat="1" ht="15" customHeight="1" x14ac:dyDescent="0.25">
      <c r="A6" s="23"/>
      <c r="B6" s="20">
        <v>1</v>
      </c>
      <c r="C6" s="13"/>
      <c r="D6" s="103"/>
      <c r="E6" s="13"/>
      <c r="F6" s="111"/>
      <c r="G6" s="111">
        <v>1</v>
      </c>
      <c r="H6" s="111">
        <v>1</v>
      </c>
      <c r="I6" s="13">
        <v>1</v>
      </c>
      <c r="J6" s="103"/>
      <c r="K6" s="103"/>
      <c r="L6" s="111"/>
      <c r="M6" s="111"/>
      <c r="N6" s="20"/>
      <c r="O6" s="13"/>
      <c r="P6" s="103"/>
      <c r="Q6" s="13"/>
      <c r="R6" s="111"/>
      <c r="S6" s="111"/>
      <c r="T6" s="111"/>
      <c r="U6" s="13"/>
      <c r="V6" s="103"/>
      <c r="W6" s="103"/>
      <c r="X6" s="111"/>
      <c r="Y6" s="111"/>
      <c r="Z6" s="20"/>
      <c r="AA6" s="13"/>
      <c r="AB6" s="103"/>
      <c r="AC6" s="13"/>
      <c r="AD6" s="111"/>
      <c r="AE6" s="111"/>
      <c r="AF6" s="13"/>
      <c r="AG6" s="103"/>
      <c r="AH6" s="103"/>
      <c r="AI6" s="111"/>
      <c r="AJ6" s="111"/>
      <c r="AK6" s="20"/>
      <c r="AL6" s="13"/>
      <c r="AM6" s="103"/>
      <c r="AN6" s="13"/>
      <c r="AO6" s="111"/>
      <c r="AP6" s="111"/>
      <c r="AQ6" s="13"/>
      <c r="AR6" s="103"/>
      <c r="AS6" s="103"/>
      <c r="AT6" s="111"/>
      <c r="AU6" s="280"/>
      <c r="AV6" s="20"/>
      <c r="AW6" s="13"/>
      <c r="AX6" s="103"/>
      <c r="AY6" s="13"/>
      <c r="AZ6" s="111"/>
      <c r="BA6" s="111"/>
      <c r="BB6" s="111"/>
      <c r="BC6" s="111"/>
      <c r="BD6" s="13"/>
      <c r="BE6" s="103"/>
      <c r="BF6" s="103"/>
      <c r="BG6" s="111"/>
      <c r="BH6" s="280"/>
      <c r="BI6" s="266" t="s">
        <v>923</v>
      </c>
      <c r="BJ6" s="310" t="str">
        <f>CONCATENATE("Acceder al sistema Gemma con usuario y perfil activo para la funcionalidad modulo Maestro -Regiones, hacer clic en el boton ",IF(B6=1,$B$3,"")," ",IF(C6=1,$C$3,""),"",IF(D6=1,$D$3,"")," ",IF(E6=1,$E$4,"")," nueva región ",IF(F6=1,$F$4,""), "  ", IF(K6=1,$K$2,""),"con el campo nombre ",IF(L6=1,$L$2,"")," y presionar Confirmar.",IF(M6=1,$M$2,""),)</f>
        <v>Acceder al sistema Gemma con usuario y perfil activo para la funcionalidad modulo Maestro -Regiones, hacer clic en el boton Agregar   nueva región   con el campo nombre  y presionar Confirmar.</v>
      </c>
      <c r="BK6" s="267" t="str">
        <f>CONCATENATE(" Validar funcionalidad Maestro Regiones seleccionando la opcion "," ",IF(B6=1,$B$3,IF(C6=1,$C$3,IF(D6=1,$D$3,""))),"un nuevo registro",)</f>
        <v xml:space="preserve"> Validar funcionalidad Maestro Regiones seleccionando la opcion  Agregarun nuevo registro</v>
      </c>
      <c r="BL6" s="267" t="s">
        <v>982</v>
      </c>
    </row>
    <row r="7" spans="1:64" s="109" customFormat="1" ht="15" customHeight="1" x14ac:dyDescent="0.25">
      <c r="A7" s="23"/>
      <c r="B7" s="20">
        <v>1</v>
      </c>
      <c r="C7" s="13"/>
      <c r="D7" s="103"/>
      <c r="E7" s="13"/>
      <c r="F7" s="111"/>
      <c r="G7" s="111">
        <v>1</v>
      </c>
      <c r="H7" s="111"/>
      <c r="I7" s="13">
        <v>1</v>
      </c>
      <c r="J7" s="103"/>
      <c r="K7" s="103"/>
      <c r="L7" s="111"/>
      <c r="M7" s="111"/>
      <c r="N7" s="20"/>
      <c r="O7" s="13"/>
      <c r="P7" s="103"/>
      <c r="Q7" s="13"/>
      <c r="R7" s="111"/>
      <c r="S7" s="111"/>
      <c r="T7" s="111"/>
      <c r="U7" s="13"/>
      <c r="V7" s="103"/>
      <c r="W7" s="103"/>
      <c r="X7" s="111"/>
      <c r="Y7" s="111"/>
      <c r="Z7" s="20"/>
      <c r="AA7" s="13"/>
      <c r="AB7" s="103"/>
      <c r="AC7" s="13"/>
      <c r="AD7" s="111"/>
      <c r="AE7" s="111"/>
      <c r="AF7" s="13"/>
      <c r="AG7" s="103"/>
      <c r="AH7" s="103"/>
      <c r="AI7" s="111"/>
      <c r="AJ7" s="111"/>
      <c r="AK7" s="20"/>
      <c r="AL7" s="13"/>
      <c r="AM7" s="103"/>
      <c r="AN7" s="13"/>
      <c r="AO7" s="111"/>
      <c r="AP7" s="111"/>
      <c r="AQ7" s="13"/>
      <c r="AR7" s="103"/>
      <c r="AS7" s="103"/>
      <c r="AT7" s="111"/>
      <c r="AU7" s="280"/>
      <c r="AV7" s="20"/>
      <c r="AW7" s="13"/>
      <c r="AX7" s="103"/>
      <c r="AY7" s="13"/>
      <c r="AZ7" s="111"/>
      <c r="BA7" s="111"/>
      <c r="BB7" s="111"/>
      <c r="BC7" s="111"/>
      <c r="BD7" s="13"/>
      <c r="BE7" s="103"/>
      <c r="BF7" s="103"/>
      <c r="BG7" s="111"/>
      <c r="BH7" s="280"/>
      <c r="BI7" s="266" t="s">
        <v>924</v>
      </c>
      <c r="BJ7" s="310" t="str">
        <f>CONCATENATE("Acceder al sistema Gemma con usuario y perfil activo para la funcionalidad modulo Maestro - Regiones, hacer clic en el boton ",IF(B7=1,$B$3,"")," ",IF(C7=1,$C$3,""),"",IF(D7=1,$D$3,"")," ",IF(E7=1,$E$4,"")," nuevo registro ",IF(F7=1,$F$4,""), " con todos los campos y presionar Confirmar", IF(K7=1,$K$2,"")," ",IF(L7=1,$L$2,"")," ",IF(M7=1,$M$2,""),)</f>
        <v xml:space="preserve">Acceder al sistema Gemma con usuario y perfil activo para la funcionalidad modulo Maestro - Regiones, hacer clic en el boton Agregar   nuevo registro  con todos los campos y presionar Confirmar  </v>
      </c>
      <c r="BK7" s="267" t="str">
        <f>CONCATENATE(" Validar funcionalidad Maestro Regiones seleccionando la opcion "," ",IF(B7=1,$B$3,IF(C7=1,$C$3,IF(D7=1,$D$3,""))),"un registro con todos los campos",)</f>
        <v xml:space="preserve"> Validar funcionalidad Maestro Regiones seleccionando la opcion  Agregarun registro con todos los campos</v>
      </c>
      <c r="BL7" s="267" t="s">
        <v>982</v>
      </c>
    </row>
    <row r="8" spans="1:64" s="109" customFormat="1" ht="15" customHeight="1" x14ac:dyDescent="0.25">
      <c r="A8" s="23"/>
      <c r="B8" s="20"/>
      <c r="C8" s="13">
        <v>1</v>
      </c>
      <c r="D8" s="103"/>
      <c r="E8" s="13">
        <v>1</v>
      </c>
      <c r="F8" s="111"/>
      <c r="G8" s="111">
        <v>1</v>
      </c>
      <c r="H8" s="111"/>
      <c r="I8" s="13">
        <v>1</v>
      </c>
      <c r="J8" s="103"/>
      <c r="K8" s="103"/>
      <c r="L8" s="111"/>
      <c r="M8" s="111"/>
      <c r="N8" s="20"/>
      <c r="O8" s="13"/>
      <c r="P8" s="103"/>
      <c r="Q8" s="13"/>
      <c r="R8" s="111"/>
      <c r="S8" s="111"/>
      <c r="T8" s="111"/>
      <c r="U8" s="13"/>
      <c r="V8" s="103"/>
      <c r="W8" s="103"/>
      <c r="X8" s="111"/>
      <c r="Y8" s="111"/>
      <c r="Z8" s="20"/>
      <c r="AA8" s="13"/>
      <c r="AB8" s="103"/>
      <c r="AC8" s="13"/>
      <c r="AD8" s="111"/>
      <c r="AE8" s="111"/>
      <c r="AF8" s="13"/>
      <c r="AG8" s="103"/>
      <c r="AH8" s="103"/>
      <c r="AI8" s="111"/>
      <c r="AJ8" s="111"/>
      <c r="AK8" s="20"/>
      <c r="AL8" s="13"/>
      <c r="AM8" s="103"/>
      <c r="AN8" s="13"/>
      <c r="AO8" s="111"/>
      <c r="AP8" s="111"/>
      <c r="AQ8" s="13"/>
      <c r="AR8" s="103"/>
      <c r="AS8" s="103"/>
      <c r="AT8" s="111"/>
      <c r="AU8" s="280"/>
      <c r="AV8" s="20"/>
      <c r="AW8" s="13"/>
      <c r="AX8" s="103"/>
      <c r="AY8" s="13"/>
      <c r="AZ8" s="111"/>
      <c r="BA8" s="111"/>
      <c r="BB8" s="111"/>
      <c r="BC8" s="111"/>
      <c r="BD8" s="13"/>
      <c r="BE8" s="103"/>
      <c r="BF8" s="103"/>
      <c r="BG8" s="111"/>
      <c r="BH8" s="280"/>
      <c r="BI8" s="266" t="s">
        <v>925</v>
      </c>
      <c r="BJ8" s="310" t="str">
        <f>CONCATENATE("Acceder al sistema Gemma con usuario y perfil activo para la funcionalidad modulo Maestro - Regiones, hacer clic en el boton ",IF(B8=1,$B$3,"")," ",IF(C8=1,$C$3,""),"",IF(D8=1,$D$3,"")," ",IF(E8=1,$E$4,"")," de Region en el filtro, luego presionar Confirmar",IF(F8=1,$F$4,""), "  ", IF(K8=1,$K$2,"")," ",IF(L8=1,$L$2,"")," ",IF(M8=1,$M$2,""),)</f>
        <v xml:space="preserve">Acceder al sistema Gemma con usuario y perfil activo para la funcionalidad modulo Maestro - Regiones, hacer clic en el boton  Modificar Con Valores de Region en el filtro, luego presionar Confirmar    </v>
      </c>
      <c r="BK8" s="267" t="str">
        <f>CONCATENATE(" Validar funcionalidad Maestro Regiones seleccionando la opcion "," ",IF(B8=1,$B$3,IF(C8=1,$C$3,IF(D8=1,$D$3,"")))," seleccionando un valor en el filtro.",)</f>
        <v xml:space="preserve"> Validar funcionalidad Maestro Regiones seleccionando la opcion  Modificar seleccionando un valor en el filtro.</v>
      </c>
      <c r="BL8" s="267" t="s">
        <v>1009</v>
      </c>
    </row>
    <row r="9" spans="1:64" s="109" customFormat="1" ht="15" customHeight="1" x14ac:dyDescent="0.25">
      <c r="A9" s="23"/>
      <c r="B9" s="20"/>
      <c r="C9" s="13">
        <v>1</v>
      </c>
      <c r="D9" s="103"/>
      <c r="E9" s="13"/>
      <c r="F9" s="111">
        <v>1</v>
      </c>
      <c r="G9" s="111">
        <v>1</v>
      </c>
      <c r="H9" s="111">
        <v>1</v>
      </c>
      <c r="I9" s="13">
        <v>1</v>
      </c>
      <c r="J9" s="103"/>
      <c r="K9" s="103"/>
      <c r="L9" s="111"/>
      <c r="M9" s="111"/>
      <c r="N9" s="20"/>
      <c r="O9" s="13"/>
      <c r="P9" s="103"/>
      <c r="Q9" s="13"/>
      <c r="R9" s="111"/>
      <c r="S9" s="111"/>
      <c r="T9" s="111"/>
      <c r="U9" s="13"/>
      <c r="V9" s="103"/>
      <c r="W9" s="103"/>
      <c r="X9" s="111"/>
      <c r="Y9" s="111"/>
      <c r="Z9" s="20"/>
      <c r="AA9" s="13"/>
      <c r="AB9" s="103"/>
      <c r="AC9" s="13"/>
      <c r="AD9" s="111"/>
      <c r="AE9" s="111"/>
      <c r="AF9" s="13"/>
      <c r="AG9" s="103"/>
      <c r="AH9" s="103"/>
      <c r="AI9" s="111"/>
      <c r="AJ9" s="111"/>
      <c r="AK9" s="20"/>
      <c r="AL9" s="13"/>
      <c r="AM9" s="103"/>
      <c r="AN9" s="13"/>
      <c r="AO9" s="111"/>
      <c r="AP9" s="111"/>
      <c r="AQ9" s="13"/>
      <c r="AR9" s="103"/>
      <c r="AS9" s="103"/>
      <c r="AT9" s="111"/>
      <c r="AU9" s="280"/>
      <c r="AV9" s="20"/>
      <c r="AW9" s="13"/>
      <c r="AX9" s="103"/>
      <c r="AY9" s="13"/>
      <c r="AZ9" s="111"/>
      <c r="BA9" s="111"/>
      <c r="BB9" s="111"/>
      <c r="BC9" s="111"/>
      <c r="BD9" s="13"/>
      <c r="BE9" s="103"/>
      <c r="BF9" s="103"/>
      <c r="BG9" s="111"/>
      <c r="BH9" s="280"/>
      <c r="BI9" s="266" t="s">
        <v>926</v>
      </c>
      <c r="BJ9" s="310" t="str">
        <f>CONCATENATE("Acceder al sistema Gemma con usuario y perfil activo para la funcionalidad modulo Maestro - Regiones, hacer clic en el boton ",IF(B9=1,$B$3,"")," ",IF(C9=1,$C$3,""),"",IF(D9=1,$D$3,"")," ",IF(E9=1,$E$4,""),"  ",IF(F9=1,$F$4,""), " de Region en el filtro, seleccionar de la Tabla consulta ", IF(K9=1,$K$2,"")," ",IF(L9=1,$L$2,"")," ",IF(M9=1,$M$2,""),"y presionar Confirmar.")</f>
        <v>Acceder al sistema Gemma con usuario y perfil activo para la funcionalidad modulo Maestro - Regiones, hacer clic en el boton  Modificar   Sin Valores de Region en el filtro, seleccionar de la Tabla consulta   y presionar Confirmar.</v>
      </c>
      <c r="BK9" s="267" t="str">
        <f>CONCATENATE(" Validar funcionalidad Maestro Regiones seleccionando la opcion "," ",IF(B9=1,$B$3,IF(C9=1,$C$3,IF(D9=1,$D$3,"")))," tomando un valor de la tabla resumen.",)</f>
        <v xml:space="preserve"> Validar funcionalidad Maestro Regiones seleccionando la opcion  Modificar tomando un valor de la tabla resumen.</v>
      </c>
      <c r="BL9" s="267" t="s">
        <v>1010</v>
      </c>
    </row>
    <row r="10" spans="1:64" s="109" customFormat="1" ht="15" customHeight="1" x14ac:dyDescent="0.25">
      <c r="A10" s="23"/>
      <c r="B10" s="20"/>
      <c r="C10" s="13"/>
      <c r="D10" s="13">
        <v>1</v>
      </c>
      <c r="E10" s="13">
        <v>1</v>
      </c>
      <c r="F10" s="111"/>
      <c r="G10" s="111"/>
      <c r="H10" s="111"/>
      <c r="I10" s="13">
        <v>1</v>
      </c>
      <c r="J10" s="13"/>
      <c r="K10" s="13"/>
      <c r="L10" s="111"/>
      <c r="M10" s="111"/>
      <c r="N10" s="20"/>
      <c r="O10" s="13"/>
      <c r="P10" s="13"/>
      <c r="Q10" s="13"/>
      <c r="R10" s="111"/>
      <c r="S10" s="111"/>
      <c r="T10" s="111"/>
      <c r="U10" s="13"/>
      <c r="V10" s="13"/>
      <c r="W10" s="13"/>
      <c r="X10" s="111"/>
      <c r="Y10" s="111"/>
      <c r="Z10" s="20"/>
      <c r="AA10" s="13"/>
      <c r="AB10" s="13"/>
      <c r="AC10" s="13"/>
      <c r="AD10" s="111"/>
      <c r="AE10" s="111"/>
      <c r="AF10" s="13"/>
      <c r="AG10" s="13"/>
      <c r="AH10" s="13"/>
      <c r="AI10" s="111"/>
      <c r="AJ10" s="111"/>
      <c r="AK10" s="20"/>
      <c r="AL10" s="13"/>
      <c r="AM10" s="13"/>
      <c r="AN10" s="13"/>
      <c r="AO10" s="111"/>
      <c r="AP10" s="111"/>
      <c r="AQ10" s="13"/>
      <c r="AR10" s="13"/>
      <c r="AS10" s="13"/>
      <c r="AT10" s="111"/>
      <c r="AU10" s="280"/>
      <c r="AV10" s="20"/>
      <c r="AW10" s="13"/>
      <c r="AX10" s="13"/>
      <c r="AY10" s="13"/>
      <c r="AZ10" s="111"/>
      <c r="BA10" s="111"/>
      <c r="BB10" s="111"/>
      <c r="BC10" s="111"/>
      <c r="BD10" s="13"/>
      <c r="BE10" s="13"/>
      <c r="BF10" s="13"/>
      <c r="BG10" s="111"/>
      <c r="BH10" s="280"/>
      <c r="BI10" s="266" t="s">
        <v>927</v>
      </c>
      <c r="BJ10" s="310" t="str">
        <f>CONCATENATE("Acceder al sistema Gemma con usuario y perfil activo para la funcionalidad modulo Maestro - Regiones, hacer clic en el boton ",IF(B10=1,$B$3,"")," ",IF(C10=1,$C$3,""),"",IF(D10=1,$D$3,"")," considerando valor de Region en el filtro, luego presionar  Confirmar.","  ", IF(K10=1,$K$2,"")," ",IF(L10=1,$L$2,"")," ",IF(M10=1,$M$2,""),)</f>
        <v xml:space="preserve">Acceder al sistema Gemma con usuario y perfil activo para la funcionalidad modulo Maestro - Regiones, hacer clic en el boton  Eliminar considerando valor de Region en el filtro, luego presionar  Confirmar.    </v>
      </c>
      <c r="BK10" s="267" t="str">
        <f>CONCATENATE(" Validar funcionalidad Maestro Regiones seleccionando la opcion "," ",IF(B10=1,$B$3,IF(C10=1,$C$3,IF(D10=1,$D$3,"")))," seleccionando un valor en el filtro.",)</f>
        <v xml:space="preserve"> Validar funcionalidad Maestro Regiones seleccionando la opcion  Eliminar seleccionando un valor en el filtro.</v>
      </c>
      <c r="BL10" s="267" t="s">
        <v>1011</v>
      </c>
    </row>
    <row r="11" spans="1:64" s="109" customFormat="1" ht="15" customHeight="1" x14ac:dyDescent="0.25">
      <c r="A11" s="23"/>
      <c r="B11" s="20"/>
      <c r="C11" s="13"/>
      <c r="D11" s="13">
        <v>1</v>
      </c>
      <c r="E11" s="13"/>
      <c r="F11" s="111">
        <v>1</v>
      </c>
      <c r="G11" s="111"/>
      <c r="H11" s="111"/>
      <c r="I11" s="13">
        <v>1</v>
      </c>
      <c r="J11" s="13"/>
      <c r="K11" s="13"/>
      <c r="L11" s="111"/>
      <c r="M11" s="111"/>
      <c r="N11" s="20"/>
      <c r="O11" s="13"/>
      <c r="P11" s="13"/>
      <c r="Q11" s="13"/>
      <c r="R11" s="111"/>
      <c r="S11" s="111"/>
      <c r="T11" s="111"/>
      <c r="U11" s="13"/>
      <c r="V11" s="13"/>
      <c r="W11" s="13"/>
      <c r="X11" s="111"/>
      <c r="Y11" s="111"/>
      <c r="Z11" s="20"/>
      <c r="AA11" s="13"/>
      <c r="AB11" s="13"/>
      <c r="AC11" s="13"/>
      <c r="AD11" s="111"/>
      <c r="AE11" s="111"/>
      <c r="AF11" s="13"/>
      <c r="AG11" s="13"/>
      <c r="AH11" s="13"/>
      <c r="AI11" s="111"/>
      <c r="AJ11" s="111"/>
      <c r="AK11" s="20"/>
      <c r="AL11" s="13"/>
      <c r="AM11" s="13"/>
      <c r="AN11" s="13"/>
      <c r="AO11" s="111"/>
      <c r="AP11" s="111"/>
      <c r="AQ11" s="13"/>
      <c r="AR11" s="13"/>
      <c r="AS11" s="13"/>
      <c r="AT11" s="111"/>
      <c r="AU11" s="280"/>
      <c r="AV11" s="20"/>
      <c r="AW11" s="13"/>
      <c r="AX11" s="13"/>
      <c r="AY11" s="13"/>
      <c r="AZ11" s="111"/>
      <c r="BA11" s="111"/>
      <c r="BB11" s="111"/>
      <c r="BC11" s="111"/>
      <c r="BD11" s="13"/>
      <c r="BE11" s="13"/>
      <c r="BF11" s="13"/>
      <c r="BG11" s="111"/>
      <c r="BH11" s="280"/>
      <c r="BI11" s="266" t="s">
        <v>928</v>
      </c>
      <c r="BJ11" s="310" t="str">
        <f>CONCATENATE(" Acceder al sistema Gemma con usuario y perfil activo para la funcionalidad modulo Maestro - Regiones, hacer clic en el boton ",IF(B11=1,$B$3,"")," ",IF(C11=1,$C$3,""),"",IF(D11=1,$D$3,"")," Sin la Region  en el filtro seleccionar de la tabla resumen, luego presionar Confirmar ", IF(K11=1,$K$2,"")," ",IF(L11=1,$L$2,"")," ",IF(M11=1,$M$2,""),)</f>
        <v xml:space="preserve"> Acceder al sistema Gemma con usuario y perfil activo para la funcionalidad modulo Maestro - Regiones, hacer clic en el boton  Eliminar Sin la Region  en el filtro seleccionar de la tabla resumen, luego presionar Confirmar   </v>
      </c>
      <c r="BK11" s="267" t="str">
        <f>CONCATENATE(" Validar funcionalidad Maestro Regiones seleccionando la opcion "," ",IF(B11=1,$B$3,IF(C11=1,$C$3,IF(D11=1,$D$3,"")))," tomando un valor de la tabla resumen.",)</f>
        <v xml:space="preserve"> Validar funcionalidad Maestro Regiones seleccionando la opcion  Eliminar tomando un valor de la tabla resumen.</v>
      </c>
      <c r="BL11" s="267" t="s">
        <v>1012</v>
      </c>
    </row>
    <row r="12" spans="1:64" s="109" customFormat="1" x14ac:dyDescent="0.25">
      <c r="A12" s="23"/>
      <c r="B12" s="291"/>
      <c r="C12" s="272">
        <v>1</v>
      </c>
      <c r="D12" s="272"/>
      <c r="E12" s="272">
        <v>1</v>
      </c>
      <c r="F12" s="273"/>
      <c r="G12" s="273">
        <v>1</v>
      </c>
      <c r="H12" s="273"/>
      <c r="I12" s="272">
        <v>1</v>
      </c>
      <c r="J12" s="272"/>
      <c r="K12" s="272"/>
      <c r="L12" s="273">
        <v>1</v>
      </c>
      <c r="M12" s="273">
        <v>1</v>
      </c>
      <c r="N12" s="291"/>
      <c r="O12" s="272"/>
      <c r="P12" s="272"/>
      <c r="Q12" s="272"/>
      <c r="R12" s="273"/>
      <c r="S12" s="273"/>
      <c r="T12" s="273"/>
      <c r="U12" s="272"/>
      <c r="V12" s="272"/>
      <c r="W12" s="272"/>
      <c r="X12" s="273"/>
      <c r="Y12" s="273"/>
      <c r="Z12" s="291"/>
      <c r="AA12" s="272"/>
      <c r="AB12" s="272"/>
      <c r="AC12" s="272"/>
      <c r="AD12" s="273"/>
      <c r="AE12" s="273"/>
      <c r="AF12" s="272"/>
      <c r="AG12" s="272"/>
      <c r="AH12" s="272"/>
      <c r="AI12" s="273"/>
      <c r="AJ12" s="273"/>
      <c r="AK12" s="291"/>
      <c r="AL12" s="272"/>
      <c r="AM12" s="272"/>
      <c r="AN12" s="272"/>
      <c r="AO12" s="273"/>
      <c r="AP12" s="273"/>
      <c r="AQ12" s="272"/>
      <c r="AR12" s="272"/>
      <c r="AS12" s="272"/>
      <c r="AT12" s="273"/>
      <c r="AU12" s="316"/>
      <c r="AV12" s="291"/>
      <c r="AW12" s="272"/>
      <c r="AX12" s="272"/>
      <c r="AY12" s="272"/>
      <c r="AZ12" s="273"/>
      <c r="BA12" s="273"/>
      <c r="BB12" s="273"/>
      <c r="BC12" s="273"/>
      <c r="BD12" s="272"/>
      <c r="BE12" s="272"/>
      <c r="BF12" s="272"/>
      <c r="BG12" s="273"/>
      <c r="BH12" s="316"/>
      <c r="BI12" s="266" t="s">
        <v>929</v>
      </c>
      <c r="BJ12" s="310" t="str">
        <f>CONCATENATE("Acceder al sistema Gemma con usuario y perfil activo para la funcionalidad modulo Maestro - Regiones, con el valor a buscar en el filtro, hacer clic ",IF(B12=1,$B$3,"")," ",IF(L12=1,$L$2,"")," presionar el boton ",IF(C12=1,$C$3,"")," "," luego presionar Confirmar y al Regresar presionar ",IF(F12=1,$F$4,""), "",IF(M12=1,$M$2,"")," ", IF(K12=1,$K$2,"")," ",)</f>
        <v xml:space="preserve">Acceder al sistema Gemma con usuario y perfil activo para la funcionalidad modulo Maestro - Regiones, con el valor a buscar en el filtro, hacer clic  Link Región presionar el boton Modificar  luego presionar Confirmar y al Regresar presionar Exportar Excel   </v>
      </c>
      <c r="BK12" s="267" t="str">
        <f>CONCATENATE(" Validar funcionalidad Maestro Regiones seleccionando la opcion "," ",IF(B12=1,$B$3,IF(C12=1,$C$3,IF(D12=1,$D$3,"")))," mediante el Link Region y Exportar Excel, tomando un valor de la tabla resumen",)</f>
        <v xml:space="preserve"> Validar funcionalidad Maestro Regiones seleccionando la opcion  Modificar mediante el Link Region y Exportar Excel, tomando un valor de la tabla resumen</v>
      </c>
      <c r="BL12" s="267" t="s">
        <v>1067</v>
      </c>
    </row>
    <row r="13" spans="1:64" s="109" customFormat="1" x14ac:dyDescent="0.25">
      <c r="A13" s="23"/>
      <c r="B13" s="291"/>
      <c r="C13" s="272">
        <v>1</v>
      </c>
      <c r="D13" s="272"/>
      <c r="E13" s="272"/>
      <c r="F13" s="273">
        <v>1</v>
      </c>
      <c r="G13" s="297"/>
      <c r="H13" s="297">
        <v>1</v>
      </c>
      <c r="I13" s="272">
        <v>1</v>
      </c>
      <c r="J13" s="272"/>
      <c r="K13" s="326"/>
      <c r="L13" s="297">
        <v>1</v>
      </c>
      <c r="M13" s="297"/>
      <c r="N13" s="291"/>
      <c r="O13" s="272"/>
      <c r="P13" s="272"/>
      <c r="Q13" s="272"/>
      <c r="R13" s="273"/>
      <c r="S13" s="297"/>
      <c r="T13" s="297"/>
      <c r="U13" s="272"/>
      <c r="V13" s="272"/>
      <c r="W13" s="326"/>
      <c r="X13" s="297"/>
      <c r="Y13" s="297"/>
      <c r="Z13" s="291"/>
      <c r="AA13" s="272"/>
      <c r="AB13" s="272"/>
      <c r="AC13" s="272"/>
      <c r="AD13" s="273"/>
      <c r="AE13" s="297"/>
      <c r="AF13" s="272"/>
      <c r="AG13" s="272"/>
      <c r="AH13" s="326"/>
      <c r="AI13" s="297"/>
      <c r="AJ13" s="297"/>
      <c r="AK13" s="291"/>
      <c r="AL13" s="272"/>
      <c r="AM13" s="272"/>
      <c r="AN13" s="272"/>
      <c r="AO13" s="273"/>
      <c r="AP13" s="297"/>
      <c r="AQ13" s="272"/>
      <c r="AR13" s="272"/>
      <c r="AS13" s="326"/>
      <c r="AT13" s="297"/>
      <c r="AU13" s="316"/>
      <c r="AV13" s="291"/>
      <c r="AW13" s="272"/>
      <c r="AX13" s="272"/>
      <c r="AY13" s="272"/>
      <c r="AZ13" s="273"/>
      <c r="BA13" s="297"/>
      <c r="BB13" s="297"/>
      <c r="BC13" s="297"/>
      <c r="BD13" s="272"/>
      <c r="BE13" s="272"/>
      <c r="BF13" s="326"/>
      <c r="BG13" s="297"/>
      <c r="BH13" s="316"/>
      <c r="BI13" s="266" t="s">
        <v>930</v>
      </c>
      <c r="BJ13" s="310" t="str">
        <f>CONCATENATE("Acceder al sistema Gemma con usuario y perfil activo para la funcionalidad modulo Maestro - Regiones, tomando un valor de la tabla resumen, hacer clic ",IF(B13=1,$B$3,"")," ",IF(L13=1,$L$2,"")," presionar el boton ",IF(C13=1,$C$3,"")," "," luego presionar Confirmar ",IF(M13=1,$M$2,"")," ", IF(K13=1,$K$2,"")," ",)</f>
        <v xml:space="preserve">Acceder al sistema Gemma con usuario y perfil activo para la funcionalidad modulo Maestro - Regiones, tomando un valor de la tabla resumen, hacer clic  Link Región presionar el boton Modificar  luego presionar Confirmar   </v>
      </c>
      <c r="BK13" s="267" t="str">
        <f>CONCATENATE(" Validar funcionalidad Maestro Regiones seleccionando la opcion "," ",IF(B13=1,$B$3,IF(C13=1,$C$3,IF(D13=1,$D$3,"")))," mediante el Link Region, seleccionando valores en el filtro",)</f>
        <v xml:space="preserve"> Validar funcionalidad Maestro Regiones seleccionando la opcion  Modificar mediante el Link Region, seleccionando valores en el filtro</v>
      </c>
      <c r="BL13" s="267" t="s">
        <v>1066</v>
      </c>
    </row>
    <row r="14" spans="1:64" s="109" customFormat="1" x14ac:dyDescent="0.25">
      <c r="A14" s="23"/>
      <c r="B14" s="291"/>
      <c r="C14" s="272"/>
      <c r="D14" s="272">
        <v>1</v>
      </c>
      <c r="E14" s="272">
        <v>1</v>
      </c>
      <c r="F14" s="273"/>
      <c r="G14" s="297"/>
      <c r="H14" s="297"/>
      <c r="I14" s="272">
        <v>1</v>
      </c>
      <c r="J14" s="272"/>
      <c r="K14" s="326"/>
      <c r="L14" s="297">
        <v>1</v>
      </c>
      <c r="M14" s="297">
        <v>1</v>
      </c>
      <c r="N14" s="291"/>
      <c r="O14" s="272"/>
      <c r="P14" s="272"/>
      <c r="Q14" s="272"/>
      <c r="R14" s="273"/>
      <c r="S14" s="297"/>
      <c r="T14" s="297"/>
      <c r="U14" s="272"/>
      <c r="V14" s="272"/>
      <c r="W14" s="326"/>
      <c r="X14" s="297"/>
      <c r="Y14" s="297"/>
      <c r="Z14" s="291"/>
      <c r="AA14" s="272"/>
      <c r="AB14" s="272"/>
      <c r="AC14" s="272"/>
      <c r="AD14" s="273"/>
      <c r="AE14" s="297"/>
      <c r="AF14" s="272"/>
      <c r="AG14" s="272"/>
      <c r="AH14" s="326"/>
      <c r="AI14" s="297"/>
      <c r="AJ14" s="297"/>
      <c r="AK14" s="291"/>
      <c r="AL14" s="272"/>
      <c r="AM14" s="272"/>
      <c r="AN14" s="272"/>
      <c r="AO14" s="273"/>
      <c r="AP14" s="297"/>
      <c r="AQ14" s="272"/>
      <c r="AR14" s="272"/>
      <c r="AS14" s="326"/>
      <c r="AT14" s="297"/>
      <c r="AU14" s="316"/>
      <c r="AV14" s="291"/>
      <c r="AW14" s="272"/>
      <c r="AX14" s="272"/>
      <c r="AY14" s="272"/>
      <c r="AZ14" s="273"/>
      <c r="BA14" s="297"/>
      <c r="BB14" s="297"/>
      <c r="BC14" s="297"/>
      <c r="BD14" s="272"/>
      <c r="BE14" s="272"/>
      <c r="BF14" s="326"/>
      <c r="BG14" s="297"/>
      <c r="BH14" s="316"/>
      <c r="BI14" s="266" t="s">
        <v>931</v>
      </c>
      <c r="BJ14" s="310" t="str">
        <f>CONCATENATE("Acceder al sistema Gemma con usuario y perfil activo para la funcionalidad modulo Maestro - Regiones, con el valor a buscar en el filtro, hacer clic ",IF(B14=1,$B$3,"")," ",IF(L14=1,$L$2,"")," presionar el boton ",IF(D14=1,$D$3,"")," "," luego presionar Confirmar y al Regresar presionar ",IF(F14=1,$F$4,""), "",IF(M14=1,$M$2,"")," ", IF(K14=1,$K$2,"")," ",)</f>
        <v xml:space="preserve">Acceder al sistema Gemma con usuario y perfil activo para la funcionalidad modulo Maestro - Regiones, con el valor a buscar en el filtro, hacer clic  Link Región presionar el boton Eliminar  luego presionar Confirmar y al Regresar presionar Exportar Excel   </v>
      </c>
      <c r="BK14" s="267" t="str">
        <f>CONCATENATE(" Validar funcionalidad Maestro Regiones seleccionando la opcion "," ",IF(B14=1,$B$3,IF(C14=1,$C$3,IF(D14=1,$D$3,"")))," mediante el Link Region y Exportar Excel, tomando un valor de la tabla resumen",)</f>
        <v xml:space="preserve"> Validar funcionalidad Maestro Regiones seleccionando la opcion  Eliminar mediante el Link Region y Exportar Excel, tomando un valor de la tabla resumen</v>
      </c>
      <c r="BL14" s="267" t="s">
        <v>1068</v>
      </c>
    </row>
    <row r="15" spans="1:64" s="109" customFormat="1" x14ac:dyDescent="0.25">
      <c r="A15" s="23"/>
      <c r="B15" s="291"/>
      <c r="C15" s="272"/>
      <c r="D15" s="272">
        <v>1</v>
      </c>
      <c r="E15" s="272"/>
      <c r="F15" s="273">
        <v>1</v>
      </c>
      <c r="G15" s="297"/>
      <c r="H15" s="297"/>
      <c r="I15" s="272">
        <v>1</v>
      </c>
      <c r="J15" s="272"/>
      <c r="K15" s="326"/>
      <c r="L15" s="297">
        <v>1</v>
      </c>
      <c r="M15" s="316"/>
      <c r="N15" s="291"/>
      <c r="O15" s="272"/>
      <c r="P15" s="272"/>
      <c r="Q15" s="272"/>
      <c r="R15" s="273"/>
      <c r="S15" s="297"/>
      <c r="T15" s="297"/>
      <c r="U15" s="272"/>
      <c r="V15" s="272"/>
      <c r="W15" s="326"/>
      <c r="X15" s="297"/>
      <c r="Y15" s="316"/>
      <c r="Z15" s="20"/>
      <c r="AA15" s="13"/>
      <c r="AB15" s="13"/>
      <c r="AC15" s="13"/>
      <c r="AD15" s="111"/>
      <c r="AE15" s="101"/>
      <c r="AF15" s="13"/>
      <c r="AG15" s="13"/>
      <c r="AH15" s="98"/>
      <c r="AI15" s="101"/>
      <c r="AJ15" s="280"/>
      <c r="AK15" s="20"/>
      <c r="AL15" s="13"/>
      <c r="AM15" s="13"/>
      <c r="AN15" s="13"/>
      <c r="AO15" s="111"/>
      <c r="AP15" s="101"/>
      <c r="AQ15" s="13"/>
      <c r="AR15" s="13"/>
      <c r="AS15" s="98"/>
      <c r="AT15" s="101"/>
      <c r="AU15" s="280"/>
      <c r="AV15" s="20"/>
      <c r="AW15" s="13"/>
      <c r="AX15" s="13"/>
      <c r="AY15" s="13"/>
      <c r="AZ15" s="111"/>
      <c r="BA15" s="101"/>
      <c r="BB15" s="101"/>
      <c r="BC15" s="101"/>
      <c r="BD15" s="13"/>
      <c r="BE15" s="13"/>
      <c r="BF15" s="98"/>
      <c r="BG15" s="101"/>
      <c r="BH15" s="280"/>
      <c r="BI15" s="266" t="s">
        <v>932</v>
      </c>
      <c r="BJ15" s="310" t="str">
        <f>CONCATENATE("Acceder al sistema Gemma con usuario y perfil activo para la funcionalidad modulo Maestro - Regiones, tomando un valor de la tabla resumen, hacer clic ",IF(B15=1,$B$3,"")," ",IF(L15=1,$L$2,"")," presionar el boton ",IF(D15=1,$D$3,"")," "," luego presionar Confirmar ",IF(F15=1,$F$4,""), "",IF(M15=1,$M$2,"")," ", IF(K15=1,$K$2,"")," ",)</f>
        <v xml:space="preserve">Acceder al sistema Gemma con usuario y perfil activo para la funcionalidad modulo Maestro - Regiones, tomando un valor de la tabla resumen, hacer clic  Link Región presionar el boton Eliminar  luego presionar Confirmar Sin Valores  </v>
      </c>
      <c r="BK15" s="267" t="str">
        <f>CONCATENATE(" Validar funcionalidad Maestro Regiones seleccionando la opcion "," ",IF(B15=1,$B$3,IF(C15=1,$C$3,IF(D15=1,$D$3,"")))," mediante el Link Region, seleccionando valores en el filtro",)</f>
        <v xml:space="preserve"> Validar funcionalidad Maestro Regiones seleccionando la opcion  Eliminar mediante el Link Region, seleccionando valores en el filtro</v>
      </c>
      <c r="BL15" s="267" t="s">
        <v>1065</v>
      </c>
    </row>
    <row r="16" spans="1:64" s="109" customFormat="1" ht="15" customHeight="1" thickBot="1" x14ac:dyDescent="0.3">
      <c r="A16" s="23"/>
      <c r="B16" s="301"/>
      <c r="C16" s="281"/>
      <c r="D16" s="317">
        <v>1</v>
      </c>
      <c r="E16" s="317">
        <v>1</v>
      </c>
      <c r="F16" s="282">
        <v>1</v>
      </c>
      <c r="G16" s="351"/>
      <c r="H16" s="351"/>
      <c r="I16" s="281"/>
      <c r="J16" s="317"/>
      <c r="K16" s="330">
        <v>1</v>
      </c>
      <c r="L16" s="351">
        <v>1</v>
      </c>
      <c r="M16" s="302"/>
      <c r="N16" s="301"/>
      <c r="O16" s="281"/>
      <c r="P16" s="317"/>
      <c r="Q16" s="317"/>
      <c r="R16" s="282"/>
      <c r="S16" s="351"/>
      <c r="T16" s="351"/>
      <c r="U16" s="281"/>
      <c r="V16" s="317"/>
      <c r="W16" s="330"/>
      <c r="X16" s="351"/>
      <c r="Y16" s="302"/>
      <c r="Z16" s="301"/>
      <c r="AA16" s="281"/>
      <c r="AB16" s="317"/>
      <c r="AC16" s="317"/>
      <c r="AD16" s="282"/>
      <c r="AE16" s="351"/>
      <c r="AF16" s="281"/>
      <c r="AG16" s="317"/>
      <c r="AH16" s="330"/>
      <c r="AI16" s="351"/>
      <c r="AJ16" s="302"/>
      <c r="AK16" s="301"/>
      <c r="AL16" s="281"/>
      <c r="AM16" s="317"/>
      <c r="AN16" s="317"/>
      <c r="AO16" s="282"/>
      <c r="AP16" s="351"/>
      <c r="AQ16" s="281"/>
      <c r="AR16" s="317"/>
      <c r="AS16" s="330"/>
      <c r="AT16" s="351"/>
      <c r="AU16" s="302"/>
      <c r="AV16" s="301"/>
      <c r="AW16" s="281"/>
      <c r="AX16" s="317"/>
      <c r="AY16" s="317"/>
      <c r="AZ16" s="282"/>
      <c r="BA16" s="351"/>
      <c r="BB16" s="351"/>
      <c r="BC16" s="351"/>
      <c r="BD16" s="281"/>
      <c r="BE16" s="317"/>
      <c r="BF16" s="330"/>
      <c r="BG16" s="351"/>
      <c r="BH16" s="302"/>
      <c r="BI16" s="266" t="s">
        <v>1485</v>
      </c>
      <c r="BJ16" s="310" t="str">
        <f>CONCATENATE("Acceder al sistema Gemma con usuario y perfil activo para la funcionalidad modulo Maestro - Regiones, hacer clic ",IF(B16=1,$B$3,"")," desde ",IF(L16=1,$L$2,"")," o desde la pantalla inicial y Eliminar un registro en uso.",)</f>
        <v>Acceder al sistema Gemma con usuario y perfil activo para la funcionalidad modulo Maestro - Regiones, hacer clic  desde Link Región o desde la pantalla inicial y Eliminar un registro en uso.</v>
      </c>
      <c r="BK16" s="267" t="str">
        <f>CONCATENATE(" Validar funcionalidad Maestro Regiones seleccionando la opcion "," ",IF(B16=1,$B$3,IF(C16=1,$C$3,IF(D16=1,$D$3,"")))," un registro que esta en uso.",)</f>
        <v xml:space="preserve"> Validar funcionalidad Maestro Regiones seleccionando la opcion  Eliminar un registro que esta en uso.</v>
      </c>
      <c r="BL16" s="267" t="s">
        <v>1487</v>
      </c>
    </row>
    <row r="17" spans="1:64" s="109" customFormat="1" ht="15" customHeight="1" thickTop="1" x14ac:dyDescent="0.25">
      <c r="A17" s="23"/>
      <c r="B17" s="295"/>
      <c r="C17" s="275"/>
      <c r="D17" s="473"/>
      <c r="E17" s="275"/>
      <c r="F17" s="276"/>
      <c r="G17" s="276"/>
      <c r="H17" s="276"/>
      <c r="I17" s="275"/>
      <c r="J17" s="473"/>
      <c r="K17" s="473"/>
      <c r="L17" s="276"/>
      <c r="M17" s="312"/>
      <c r="N17" s="20"/>
      <c r="O17" s="13"/>
      <c r="P17" s="103"/>
      <c r="Q17" s="13"/>
      <c r="R17" s="111">
        <v>1</v>
      </c>
      <c r="S17" s="111"/>
      <c r="T17" s="111"/>
      <c r="U17" s="13"/>
      <c r="V17" s="103"/>
      <c r="W17" s="103"/>
      <c r="X17" s="111"/>
      <c r="Y17" s="111">
        <v>1</v>
      </c>
      <c r="Z17" s="20"/>
      <c r="AA17" s="13"/>
      <c r="AB17" s="103"/>
      <c r="AC17" s="13"/>
      <c r="AD17" s="111"/>
      <c r="AE17" s="111"/>
      <c r="AF17" s="13"/>
      <c r="AG17" s="103"/>
      <c r="AH17" s="103"/>
      <c r="AI17" s="111"/>
      <c r="AJ17" s="111"/>
      <c r="AK17" s="20"/>
      <c r="AL17" s="13"/>
      <c r="AM17" s="103"/>
      <c r="AN17" s="13"/>
      <c r="AO17" s="111"/>
      <c r="AP17" s="111"/>
      <c r="AQ17" s="13"/>
      <c r="AR17" s="103"/>
      <c r="AS17" s="103"/>
      <c r="AT17" s="111"/>
      <c r="AU17" s="280"/>
      <c r="AV17" s="20"/>
      <c r="AW17" s="13"/>
      <c r="AX17" s="103"/>
      <c r="AY17" s="13"/>
      <c r="AZ17" s="111"/>
      <c r="BA17" s="111"/>
      <c r="BB17" s="111"/>
      <c r="BC17" s="111"/>
      <c r="BD17" s="13"/>
      <c r="BE17" s="103"/>
      <c r="BF17" s="103"/>
      <c r="BG17" s="111"/>
      <c r="BH17" s="280"/>
      <c r="BI17" s="266" t="s">
        <v>1069</v>
      </c>
      <c r="BJ17" s="310" t="str">
        <f>CONCATENATE("Acceder al sistema Gemma con usuario y perfil activo para la funcionalidad modulo Maestro - Opcion, hacer clic en el boton ",IF(N17=1,$N$3,"")," ",IF(O17=1,$O$3,""),"",IF(P17=1,$P$3,"")," ", IF(W17=1,$W$2,""),"sin seleccion en el filtro ",IF(X17=1,$X$2,"")," ",IF(Y17=1,$Y$2,""),)</f>
        <v xml:space="preserve">Acceder al sistema Gemma con usuario y perfil activo para la funcionalidad modulo Maestro - Opcion, hacer clic en el boton   sin seleccion en el filtro  Exportar Excel </v>
      </c>
      <c r="BK17" s="267" t="s">
        <v>1491</v>
      </c>
      <c r="BL17" s="267" t="s">
        <v>1505</v>
      </c>
    </row>
    <row r="18" spans="1:64" s="109" customFormat="1" ht="15" customHeight="1" x14ac:dyDescent="0.25">
      <c r="A18" s="23"/>
      <c r="B18" s="20"/>
      <c r="C18" s="13"/>
      <c r="D18" s="103"/>
      <c r="E18" s="13"/>
      <c r="F18" s="111"/>
      <c r="G18" s="111"/>
      <c r="H18" s="111"/>
      <c r="I18" s="13"/>
      <c r="J18" s="103"/>
      <c r="K18" s="103"/>
      <c r="L18" s="111"/>
      <c r="M18" s="280"/>
      <c r="N18" s="20">
        <v>1</v>
      </c>
      <c r="O18" s="13"/>
      <c r="P18" s="103"/>
      <c r="Q18" s="13"/>
      <c r="R18" s="111"/>
      <c r="S18" s="111">
        <v>1</v>
      </c>
      <c r="T18" s="111">
        <v>1</v>
      </c>
      <c r="U18" s="13">
        <v>1</v>
      </c>
      <c r="V18" s="103"/>
      <c r="W18" s="103"/>
      <c r="X18" s="111"/>
      <c r="Y18" s="111"/>
      <c r="Z18" s="20"/>
      <c r="AA18" s="13"/>
      <c r="AB18" s="103"/>
      <c r="AC18" s="13"/>
      <c r="AD18" s="111"/>
      <c r="AE18" s="111"/>
      <c r="AF18" s="13"/>
      <c r="AG18" s="103"/>
      <c r="AH18" s="103"/>
      <c r="AI18" s="111"/>
      <c r="AJ18" s="111"/>
      <c r="AK18" s="20"/>
      <c r="AL18" s="13"/>
      <c r="AM18" s="103"/>
      <c r="AN18" s="13"/>
      <c r="AO18" s="111"/>
      <c r="AP18" s="111"/>
      <c r="AQ18" s="13"/>
      <c r="AR18" s="103"/>
      <c r="AS18" s="103"/>
      <c r="AT18" s="111"/>
      <c r="AU18" s="280"/>
      <c r="AV18" s="20"/>
      <c r="AW18" s="13"/>
      <c r="AX18" s="103"/>
      <c r="AY18" s="13"/>
      <c r="AZ18" s="111"/>
      <c r="BA18" s="111"/>
      <c r="BB18" s="111"/>
      <c r="BC18" s="111"/>
      <c r="BD18" s="13"/>
      <c r="BE18" s="103"/>
      <c r="BF18" s="103"/>
      <c r="BG18" s="111"/>
      <c r="BH18" s="280"/>
      <c r="BI18" s="266" t="s">
        <v>1070</v>
      </c>
      <c r="BJ18" s="310" t="str">
        <f>CONCATENATE("Acceder al sistema Gemma con usuario y perfil activo para la funcionalidad modulo Maestro - Opcion, hacer clic en el boton ",IF(N18=1,$N$3,"")," nuevo ",IF(O18=1,$O$3,""),"",IF(P18=1,$P$3,"")," ",IF(Q18=1,$Q$4,"")," considerando el campo codigo solamente, y presionar Confirmar ",IF(R18=1,$R$4,""), " ", IF(W18=1,$W$2,"")," ",IF(X18=1,$X$2,"")," ",IF(Y18=1,$Y$2,""),)</f>
        <v xml:space="preserve">Acceder al sistema Gemma con usuario y perfil activo para la funcionalidad modulo Maestro - Opcion, hacer clic en el boton Agregar nuevo   considerando el campo codigo solamente, y presionar Confirmar    </v>
      </c>
      <c r="BK18" s="267" t="s">
        <v>1492</v>
      </c>
      <c r="BL18" s="267" t="s">
        <v>1080</v>
      </c>
    </row>
    <row r="19" spans="1:64" s="109" customFormat="1" ht="15" customHeight="1" x14ac:dyDescent="0.25">
      <c r="A19" s="23"/>
      <c r="B19" s="20"/>
      <c r="C19" s="13"/>
      <c r="D19" s="103"/>
      <c r="E19" s="13"/>
      <c r="F19" s="111"/>
      <c r="G19" s="111"/>
      <c r="H19" s="111"/>
      <c r="I19" s="13"/>
      <c r="J19" s="103"/>
      <c r="K19" s="103"/>
      <c r="L19" s="111"/>
      <c r="M19" s="280"/>
      <c r="N19" s="20">
        <v>1</v>
      </c>
      <c r="O19" s="13"/>
      <c r="P19" s="103"/>
      <c r="Q19" s="13"/>
      <c r="R19" s="111"/>
      <c r="S19" s="111">
        <v>1</v>
      </c>
      <c r="T19" s="111"/>
      <c r="U19" s="13">
        <v>1</v>
      </c>
      <c r="V19" s="103"/>
      <c r="W19" s="103"/>
      <c r="X19" s="111"/>
      <c r="Y19" s="111">
        <v>1</v>
      </c>
      <c r="Z19" s="20"/>
      <c r="AA19" s="13"/>
      <c r="AB19" s="103"/>
      <c r="AC19" s="13"/>
      <c r="AD19" s="111"/>
      <c r="AE19" s="111"/>
      <c r="AF19" s="13"/>
      <c r="AG19" s="103"/>
      <c r="AH19" s="103"/>
      <c r="AI19" s="111"/>
      <c r="AJ19" s="111"/>
      <c r="AK19" s="20"/>
      <c r="AL19" s="13"/>
      <c r="AM19" s="103"/>
      <c r="AN19" s="13"/>
      <c r="AO19" s="111"/>
      <c r="AP19" s="111"/>
      <c r="AQ19" s="13"/>
      <c r="AR19" s="103"/>
      <c r="AS19" s="103"/>
      <c r="AT19" s="111"/>
      <c r="AU19" s="280"/>
      <c r="AV19" s="20"/>
      <c r="AW19" s="13"/>
      <c r="AX19" s="103"/>
      <c r="AY19" s="13"/>
      <c r="AZ19" s="111"/>
      <c r="BA19" s="111"/>
      <c r="BB19" s="111"/>
      <c r="BC19" s="111"/>
      <c r="BD19" s="13"/>
      <c r="BE19" s="103"/>
      <c r="BF19" s="103"/>
      <c r="BG19" s="111"/>
      <c r="BH19" s="280"/>
      <c r="BI19" s="266" t="s">
        <v>1071</v>
      </c>
      <c r="BJ19" s="310" t="str">
        <f>CONCATENATE("Acceder al sistema Gemma con usuario y perfil activo para la funcionalidad modulo Maestro - Opcion, hacer clic en el boton ",IF(N19=1,$N$3,"")," nuevo ",IF(O19=1,$O$3,""),"",IF(P19=1,$P$3,"")," ",IF(Q19=1,$Q$4,"")," considerando todos los campos, ",IF(R19=1,$R$4,""), " ", IF(W19=1,$W$2,"")," ",IF(X19=1,$X$2,""),"luego presionar ",IF(Y19=1,$Y$2,""),)</f>
        <v xml:space="preserve">Acceder al sistema Gemma con usuario y perfil activo para la funcionalidad modulo Maestro - Opcion, hacer clic en el boton Agregar nuevo   considerando todos los campos,   luego presionar Exportar Excel </v>
      </c>
      <c r="BK19" s="267" t="s">
        <v>1493</v>
      </c>
      <c r="BL19" s="267" t="s">
        <v>1064</v>
      </c>
    </row>
    <row r="20" spans="1:64" s="109" customFormat="1" ht="15" customHeight="1" x14ac:dyDescent="0.25">
      <c r="A20" s="23"/>
      <c r="B20" s="20"/>
      <c r="C20" s="13"/>
      <c r="D20" s="103"/>
      <c r="E20" s="13"/>
      <c r="F20" s="111"/>
      <c r="G20" s="111"/>
      <c r="H20" s="111"/>
      <c r="I20" s="13"/>
      <c r="J20" s="103"/>
      <c r="K20" s="103"/>
      <c r="L20" s="111"/>
      <c r="M20" s="280"/>
      <c r="N20" s="20"/>
      <c r="O20" s="13">
        <v>1</v>
      </c>
      <c r="P20" s="103"/>
      <c r="Q20" s="13">
        <v>1</v>
      </c>
      <c r="R20" s="111"/>
      <c r="S20" s="111">
        <v>1</v>
      </c>
      <c r="T20" s="111"/>
      <c r="U20" s="13">
        <v>1</v>
      </c>
      <c r="V20" s="103"/>
      <c r="W20" s="103"/>
      <c r="X20" s="111"/>
      <c r="Y20" s="111"/>
      <c r="Z20" s="20"/>
      <c r="AA20" s="13"/>
      <c r="AB20" s="103"/>
      <c r="AC20" s="13"/>
      <c r="AD20" s="111"/>
      <c r="AE20" s="111"/>
      <c r="AF20" s="13"/>
      <c r="AG20" s="103"/>
      <c r="AH20" s="103"/>
      <c r="AI20" s="111"/>
      <c r="AJ20" s="111"/>
      <c r="AK20" s="20"/>
      <c r="AL20" s="13"/>
      <c r="AM20" s="103"/>
      <c r="AN20" s="13"/>
      <c r="AO20" s="111"/>
      <c r="AP20" s="111"/>
      <c r="AQ20" s="13"/>
      <c r="AR20" s="103"/>
      <c r="AS20" s="103"/>
      <c r="AT20" s="111"/>
      <c r="AU20" s="280"/>
      <c r="AV20" s="20"/>
      <c r="AW20" s="13"/>
      <c r="AX20" s="103"/>
      <c r="AY20" s="13"/>
      <c r="AZ20" s="111"/>
      <c r="BA20" s="111"/>
      <c r="BB20" s="111"/>
      <c r="BC20" s="111"/>
      <c r="BD20" s="13"/>
      <c r="BE20" s="103"/>
      <c r="BF20" s="103"/>
      <c r="BG20" s="111"/>
      <c r="BH20" s="280"/>
      <c r="BI20" s="266" t="s">
        <v>1072</v>
      </c>
      <c r="BJ20" s="310" t="str">
        <f>CONCATENATE("Acceder al sistema Gemma con usuario y perfil activo para la funcionalidad modulo Maestro - Opcion, hacer clic en el boton ",IF(N20=1,$N$3,"")," ",IF(O20=1,$O$3,""),"",IF(P20=1,$P$3,"")," una vez colocada la Descripcion en el filtro, y presionar Confirmar. ", IF(W20=1,$W$2,"")," ",IF(X20=1,$X$2,"")," ",IF(Y20=1,$Y$2,""),)</f>
        <v xml:space="preserve">Acceder al sistema Gemma con usuario y perfil activo para la funcionalidad modulo Maestro - Opcion, hacer clic en el boton  Modificar una vez colocada la Descripcion en el filtro, y presionar Confirmar.   </v>
      </c>
      <c r="BK20" s="267" t="s">
        <v>1494</v>
      </c>
      <c r="BL20" s="267" t="s">
        <v>1009</v>
      </c>
    </row>
    <row r="21" spans="1:64" s="109" customFormat="1" ht="15" customHeight="1" x14ac:dyDescent="0.25">
      <c r="A21" s="23"/>
      <c r="B21" s="20"/>
      <c r="C21" s="13"/>
      <c r="D21" s="103"/>
      <c r="E21" s="13"/>
      <c r="F21" s="111"/>
      <c r="G21" s="111"/>
      <c r="H21" s="111"/>
      <c r="I21" s="13"/>
      <c r="J21" s="103"/>
      <c r="K21" s="103"/>
      <c r="L21" s="111"/>
      <c r="M21" s="280"/>
      <c r="N21" s="20"/>
      <c r="O21" s="13">
        <v>1</v>
      </c>
      <c r="P21" s="103"/>
      <c r="Q21" s="13"/>
      <c r="R21" s="111">
        <v>1</v>
      </c>
      <c r="S21" s="111">
        <v>1</v>
      </c>
      <c r="T21" s="111">
        <v>1</v>
      </c>
      <c r="U21" s="13">
        <v>1</v>
      </c>
      <c r="V21" s="103"/>
      <c r="W21" s="103"/>
      <c r="X21" s="111"/>
      <c r="Y21" s="111"/>
      <c r="Z21" s="20"/>
      <c r="AA21" s="13"/>
      <c r="AB21" s="103"/>
      <c r="AC21" s="13"/>
      <c r="AD21" s="111"/>
      <c r="AE21" s="111"/>
      <c r="AF21" s="13"/>
      <c r="AG21" s="103"/>
      <c r="AH21" s="103"/>
      <c r="AI21" s="111"/>
      <c r="AJ21" s="111"/>
      <c r="AK21" s="20"/>
      <c r="AL21" s="13"/>
      <c r="AM21" s="103"/>
      <c r="AN21" s="13"/>
      <c r="AO21" s="111"/>
      <c r="AP21" s="111"/>
      <c r="AQ21" s="13"/>
      <c r="AR21" s="103"/>
      <c r="AS21" s="103"/>
      <c r="AT21" s="111"/>
      <c r="AU21" s="280"/>
      <c r="AV21" s="20"/>
      <c r="AW21" s="13"/>
      <c r="AX21" s="103"/>
      <c r="AY21" s="13"/>
      <c r="AZ21" s="111"/>
      <c r="BA21" s="111"/>
      <c r="BB21" s="111"/>
      <c r="BC21" s="111"/>
      <c r="BD21" s="13"/>
      <c r="BE21" s="103"/>
      <c r="BF21" s="103"/>
      <c r="BG21" s="111"/>
      <c r="BH21" s="280"/>
      <c r="BI21" s="266" t="s">
        <v>1073</v>
      </c>
      <c r="BJ21" s="310" t="str">
        <f>CONCATENATE("Acceder al sistema Gemma con usuario y perfil activo para la funcionalidad modulo Maestro - Opcion, hacer clic en el boton ",IF(N21=1,$N$3,"")," ",IF(O21=1,$O$3,""),"",IF(P21=1,$P$3,""),", tomando valores de la tabla resumen, y presionar Confirmar", IF(W21=1,$W$2,"")," ",IF(X21=1,$X$2,"")," ",IF(Y21=1,$Y$2,""),)</f>
        <v xml:space="preserve">Acceder al sistema Gemma con usuario y perfil activo para la funcionalidad modulo Maestro - Opcion, hacer clic en el boton  Modificar, tomando valores de la tabla resumen, y presionar Confirmar  </v>
      </c>
      <c r="BK21" s="267" t="s">
        <v>1495</v>
      </c>
      <c r="BL21" s="267" t="s">
        <v>1010</v>
      </c>
    </row>
    <row r="22" spans="1:64" s="109" customFormat="1" ht="15" customHeight="1" x14ac:dyDescent="0.25">
      <c r="A22" s="23"/>
      <c r="B22" s="20"/>
      <c r="C22" s="13"/>
      <c r="D22" s="103"/>
      <c r="E22" s="13"/>
      <c r="F22" s="111"/>
      <c r="G22" s="111"/>
      <c r="H22" s="111"/>
      <c r="I22" s="13"/>
      <c r="J22" s="103"/>
      <c r="K22" s="103"/>
      <c r="L22" s="111"/>
      <c r="M22" s="280"/>
      <c r="N22" s="20"/>
      <c r="O22" s="13"/>
      <c r="P22" s="13">
        <v>1</v>
      </c>
      <c r="Q22" s="13">
        <v>1</v>
      </c>
      <c r="R22" s="111"/>
      <c r="S22" s="111"/>
      <c r="T22" s="111"/>
      <c r="U22" s="13">
        <v>1</v>
      </c>
      <c r="V22" s="13"/>
      <c r="W22" s="13"/>
      <c r="X22" s="111"/>
      <c r="Y22" s="111"/>
      <c r="Z22" s="20"/>
      <c r="AA22" s="13"/>
      <c r="AB22" s="13"/>
      <c r="AC22" s="13"/>
      <c r="AD22" s="111"/>
      <c r="AE22" s="111"/>
      <c r="AF22" s="13"/>
      <c r="AG22" s="13"/>
      <c r="AH22" s="13"/>
      <c r="AI22" s="111"/>
      <c r="AJ22" s="111"/>
      <c r="AK22" s="20"/>
      <c r="AL22" s="13"/>
      <c r="AM22" s="13"/>
      <c r="AN22" s="13"/>
      <c r="AO22" s="111"/>
      <c r="AP22" s="111"/>
      <c r="AQ22" s="13"/>
      <c r="AR22" s="13"/>
      <c r="AS22" s="13"/>
      <c r="AT22" s="111"/>
      <c r="AU22" s="280"/>
      <c r="AV22" s="20"/>
      <c r="AW22" s="13"/>
      <c r="AX22" s="13"/>
      <c r="AY22" s="13"/>
      <c r="AZ22" s="111"/>
      <c r="BA22" s="111"/>
      <c r="BB22" s="111"/>
      <c r="BC22" s="111"/>
      <c r="BD22" s="13"/>
      <c r="BE22" s="13"/>
      <c r="BF22" s="13"/>
      <c r="BG22" s="111"/>
      <c r="BH22" s="280"/>
      <c r="BI22" s="266" t="s">
        <v>1074</v>
      </c>
      <c r="BJ22" s="310" t="str">
        <f>CONCATENATE("Acceder al sistema Gemma con usuario y perfil activo para la funcionalidad modulo Maestro - Opcion, hacer clic en el boton ",IF(N22=1,$N$3,"")," ",IF(O22=1,$O$3,""),"",IF(P22=1,$P$3,"")," una vez colocada la Descripcion en el filtro, y presionar Confirmar. ", IF(W22=1,$W$2,"")," ",IF(X22=1,$X$2,"")," ",IF(Y22=1,$Y$2,""),)</f>
        <v xml:space="preserve">Acceder al sistema Gemma con usuario y perfil activo para la funcionalidad modulo Maestro - Opcion, hacer clic en el boton  Eliminar una vez colocada la Descripcion en el filtro, y presionar Confirmar.   </v>
      </c>
      <c r="BK22" s="267" t="s">
        <v>1496</v>
      </c>
      <c r="BL22" s="267" t="s">
        <v>1011</v>
      </c>
    </row>
    <row r="23" spans="1:64" s="109" customFormat="1" ht="15" customHeight="1" x14ac:dyDescent="0.25">
      <c r="A23" s="23"/>
      <c r="B23" s="20"/>
      <c r="C23" s="13"/>
      <c r="D23" s="13"/>
      <c r="E23" s="13"/>
      <c r="F23" s="111"/>
      <c r="G23" s="111"/>
      <c r="H23" s="111"/>
      <c r="I23" s="13"/>
      <c r="J23" s="13"/>
      <c r="K23" s="13"/>
      <c r="L23" s="111"/>
      <c r="M23" s="280"/>
      <c r="N23" s="20"/>
      <c r="O23" s="13"/>
      <c r="P23" s="13">
        <v>1</v>
      </c>
      <c r="Q23" s="13"/>
      <c r="R23" s="111">
        <v>1</v>
      </c>
      <c r="S23" s="111"/>
      <c r="T23" s="111"/>
      <c r="U23" s="13">
        <v>1</v>
      </c>
      <c r="V23" s="13"/>
      <c r="W23" s="13"/>
      <c r="X23" s="111"/>
      <c r="Y23" s="111"/>
      <c r="Z23" s="20"/>
      <c r="AA23" s="13"/>
      <c r="AB23" s="13"/>
      <c r="AC23" s="13"/>
      <c r="AD23" s="111"/>
      <c r="AE23" s="111"/>
      <c r="AF23" s="13"/>
      <c r="AG23" s="13"/>
      <c r="AH23" s="13"/>
      <c r="AI23" s="111"/>
      <c r="AJ23" s="111"/>
      <c r="AK23" s="20"/>
      <c r="AL23" s="13"/>
      <c r="AM23" s="13"/>
      <c r="AN23" s="13"/>
      <c r="AO23" s="111"/>
      <c r="AP23" s="111"/>
      <c r="AQ23" s="13"/>
      <c r="AR23" s="13"/>
      <c r="AS23" s="13"/>
      <c r="AT23" s="111"/>
      <c r="AU23" s="280"/>
      <c r="AV23" s="20"/>
      <c r="AW23" s="13"/>
      <c r="AX23" s="13"/>
      <c r="AY23" s="13"/>
      <c r="AZ23" s="111"/>
      <c r="BA23" s="111"/>
      <c r="BB23" s="111"/>
      <c r="BC23" s="111"/>
      <c r="BD23" s="13"/>
      <c r="BE23" s="13"/>
      <c r="BF23" s="13"/>
      <c r="BG23" s="111"/>
      <c r="BH23" s="280"/>
      <c r="BI23" s="266" t="s">
        <v>1075</v>
      </c>
      <c r="BJ23" s="310" t="str">
        <f>CONCATENATE("Acceder al sistema Gemma con usuario y perfil activo para la funcionalidad modulo Maestro - Opcion, hacer clic en el boton ",IF(N23=1,$N$3,"")," ",IF(O23=1,$O$3,""),"",IF(P23=1,$P$3,""),", tomando valores de la tabla resumen, y presionar Confirmar", IF(W23=1,$W$2,"")," ",IF(X23=1,$X$2,"")," ",IF(Y23=1,$Y$2,""),)</f>
        <v xml:space="preserve">Acceder al sistema Gemma con usuario y perfil activo para la funcionalidad modulo Maestro - Opcion, hacer clic en el boton  Eliminar, tomando valores de la tabla resumen, y presionar Confirmar  </v>
      </c>
      <c r="BK23" s="267" t="s">
        <v>1497</v>
      </c>
      <c r="BL23" s="267" t="s">
        <v>1012</v>
      </c>
    </row>
    <row r="24" spans="1:64" s="109" customFormat="1" ht="15" customHeight="1" x14ac:dyDescent="0.25">
      <c r="A24" s="23"/>
      <c r="B24" s="20"/>
      <c r="C24" s="13"/>
      <c r="D24" s="13"/>
      <c r="E24" s="13"/>
      <c r="F24" s="111"/>
      <c r="G24" s="111"/>
      <c r="H24" s="111"/>
      <c r="I24" s="13"/>
      <c r="J24" s="13"/>
      <c r="K24" s="13"/>
      <c r="L24" s="111"/>
      <c r="M24" s="280"/>
      <c r="N24" s="291"/>
      <c r="O24" s="272">
        <v>1</v>
      </c>
      <c r="P24" s="272"/>
      <c r="Q24" s="272">
        <v>1</v>
      </c>
      <c r="R24" s="273"/>
      <c r="S24" s="273"/>
      <c r="T24" s="273"/>
      <c r="U24" s="272">
        <v>1</v>
      </c>
      <c r="V24" s="272"/>
      <c r="W24" s="272"/>
      <c r="X24" s="273">
        <v>1</v>
      </c>
      <c r="Y24" s="273"/>
      <c r="Z24" s="291"/>
      <c r="AA24" s="272"/>
      <c r="AB24" s="272"/>
      <c r="AC24" s="272"/>
      <c r="AD24" s="273"/>
      <c r="AE24" s="273"/>
      <c r="AF24" s="272"/>
      <c r="AG24" s="272"/>
      <c r="AH24" s="272"/>
      <c r="AI24" s="273"/>
      <c r="AJ24" s="273"/>
      <c r="AK24" s="291"/>
      <c r="AL24" s="272"/>
      <c r="AM24" s="272"/>
      <c r="AN24" s="272"/>
      <c r="AO24" s="273"/>
      <c r="AP24" s="273"/>
      <c r="AQ24" s="272"/>
      <c r="AR24" s="272"/>
      <c r="AS24" s="272"/>
      <c r="AT24" s="273"/>
      <c r="AU24" s="316"/>
      <c r="AV24" s="291"/>
      <c r="AW24" s="272"/>
      <c r="AX24" s="272"/>
      <c r="AY24" s="272"/>
      <c r="AZ24" s="273"/>
      <c r="BA24" s="273"/>
      <c r="BB24" s="273"/>
      <c r="BC24" s="273"/>
      <c r="BD24" s="272"/>
      <c r="BE24" s="272"/>
      <c r="BF24" s="272"/>
      <c r="BG24" s="273"/>
      <c r="BH24" s="316"/>
      <c r="BI24" s="266" t="s">
        <v>1076</v>
      </c>
      <c r="BJ24" s="310" t="str">
        <f>CONCATENATE("Acceder al sistema Gemma con usuario y perfil activo para la funcionalidad modulo Maestro - Opcion, colocando la Descripcion en el filtro, hacer clic mediante el",IF(N24=1,$N$3,"")," ",IF(X24=1,$X$2,""),", luego presionar ",IF(O24=1,$O$3,""),"",IF(P24=1,$P$3,"")," y luego Confirmar el cambio", IF(W24=1,$W$2,"")," ",IF(Y24=1,$Y$2,""),)</f>
        <v xml:space="preserve">Acceder al sistema Gemma con usuario y perfil activo para la funcionalidad modulo Maestro - Opcion, colocando la Descripcion en el filtro, hacer clic mediante el Link Descripcion, luego presionar Modificar y luego Confirmar el cambio </v>
      </c>
      <c r="BK24" s="267" t="s">
        <v>1498</v>
      </c>
      <c r="BL24" s="267" t="s">
        <v>1081</v>
      </c>
    </row>
    <row r="25" spans="1:64" s="109" customFormat="1" x14ac:dyDescent="0.25">
      <c r="A25" s="23"/>
      <c r="B25" s="20"/>
      <c r="C25" s="13"/>
      <c r="D25" s="13"/>
      <c r="E25" s="13"/>
      <c r="F25" s="111"/>
      <c r="G25" s="111"/>
      <c r="H25" s="111"/>
      <c r="I25" s="13"/>
      <c r="J25" s="13"/>
      <c r="K25" s="13"/>
      <c r="L25" s="111"/>
      <c r="M25" s="280"/>
      <c r="N25" s="291"/>
      <c r="O25" s="272">
        <v>1</v>
      </c>
      <c r="P25" s="272"/>
      <c r="Q25" s="272"/>
      <c r="R25" s="273">
        <v>1</v>
      </c>
      <c r="S25" s="297"/>
      <c r="T25" s="297"/>
      <c r="U25" s="272">
        <v>1</v>
      </c>
      <c r="V25" s="272"/>
      <c r="W25" s="326"/>
      <c r="X25" s="297">
        <v>1</v>
      </c>
      <c r="Y25" s="297">
        <v>1</v>
      </c>
      <c r="Z25" s="291"/>
      <c r="AA25" s="272"/>
      <c r="AB25" s="272"/>
      <c r="AC25" s="272"/>
      <c r="AD25" s="273"/>
      <c r="AE25" s="297"/>
      <c r="AF25" s="272"/>
      <c r="AG25" s="272"/>
      <c r="AH25" s="326"/>
      <c r="AI25" s="297"/>
      <c r="AJ25" s="297"/>
      <c r="AK25" s="291"/>
      <c r="AL25" s="272"/>
      <c r="AM25" s="272"/>
      <c r="AN25" s="272"/>
      <c r="AO25" s="273"/>
      <c r="AP25" s="297"/>
      <c r="AQ25" s="272"/>
      <c r="AR25" s="272"/>
      <c r="AS25" s="326"/>
      <c r="AT25" s="297"/>
      <c r="AU25" s="316"/>
      <c r="AV25" s="291"/>
      <c r="AW25" s="272"/>
      <c r="AX25" s="272"/>
      <c r="AY25" s="272"/>
      <c r="AZ25" s="273"/>
      <c r="BA25" s="297"/>
      <c r="BB25" s="297"/>
      <c r="BC25" s="297"/>
      <c r="BD25" s="272"/>
      <c r="BE25" s="272"/>
      <c r="BF25" s="326"/>
      <c r="BG25" s="297"/>
      <c r="BH25" s="316"/>
      <c r="BI25" s="266" t="s">
        <v>1077</v>
      </c>
      <c r="BJ25" s="310" t="str">
        <f>CONCATENATE("Acceder al sistema Gemma con usuario y perfil activo para la funcionalidad modulo Maestro - Opcion, tomando un valor de la tabla resumen, hacer clic mediante el",IF(N25=1,$N$3,"")," ",IF(X25=1,$X$2,""),", luego presionar ",IF(O25=1,$O$3,""),"",IF(P25=1,$P$3,"")," y luego  ", IF(W25=1,$W$2,"")," ",IF(Y25=1,$Y$2,""),)</f>
        <v xml:space="preserve">Acceder al sistema Gemma con usuario y perfil activo para la funcionalidad modulo Maestro - Opcion, tomando un valor de la tabla resumen, hacer clic mediante el Link Descripcion, luego presionar Modificar y luego   Exportar Excel </v>
      </c>
      <c r="BK25" s="267" t="s">
        <v>1499</v>
      </c>
      <c r="BL25" s="267" t="s">
        <v>1082</v>
      </c>
    </row>
    <row r="26" spans="1:64" s="109" customFormat="1" x14ac:dyDescent="0.25">
      <c r="A26" s="23"/>
      <c r="B26" s="20"/>
      <c r="C26" s="13"/>
      <c r="D26" s="13"/>
      <c r="E26" s="13"/>
      <c r="F26" s="111"/>
      <c r="G26" s="111"/>
      <c r="H26" s="111"/>
      <c r="I26" s="13"/>
      <c r="J26" s="13"/>
      <c r="K26" s="13"/>
      <c r="L26" s="111"/>
      <c r="M26" s="280"/>
      <c r="N26" s="291"/>
      <c r="O26" s="272"/>
      <c r="P26" s="272">
        <v>1</v>
      </c>
      <c r="Q26" s="272">
        <v>1</v>
      </c>
      <c r="R26" s="273"/>
      <c r="S26" s="297"/>
      <c r="T26" s="297"/>
      <c r="U26" s="272">
        <v>1</v>
      </c>
      <c r="V26" s="272"/>
      <c r="W26" s="326"/>
      <c r="X26" s="297">
        <v>1</v>
      </c>
      <c r="Y26" s="297"/>
      <c r="Z26" s="291"/>
      <c r="AA26" s="272"/>
      <c r="AB26" s="272"/>
      <c r="AC26" s="272"/>
      <c r="AD26" s="273"/>
      <c r="AE26" s="297"/>
      <c r="AF26" s="272"/>
      <c r="AG26" s="272"/>
      <c r="AH26" s="326"/>
      <c r="AI26" s="297"/>
      <c r="AJ26" s="297"/>
      <c r="AK26" s="291"/>
      <c r="AL26" s="272"/>
      <c r="AM26" s="272"/>
      <c r="AN26" s="272"/>
      <c r="AO26" s="273"/>
      <c r="AP26" s="297"/>
      <c r="AQ26" s="272"/>
      <c r="AR26" s="272"/>
      <c r="AS26" s="326"/>
      <c r="AT26" s="297"/>
      <c r="AU26" s="316"/>
      <c r="AV26" s="291"/>
      <c r="AW26" s="272"/>
      <c r="AX26" s="272"/>
      <c r="AY26" s="272"/>
      <c r="AZ26" s="273"/>
      <c r="BA26" s="297"/>
      <c r="BB26" s="297"/>
      <c r="BC26" s="297"/>
      <c r="BD26" s="272"/>
      <c r="BE26" s="272"/>
      <c r="BF26" s="326"/>
      <c r="BG26" s="297"/>
      <c r="BH26" s="316"/>
      <c r="BI26" s="266" t="s">
        <v>1078</v>
      </c>
      <c r="BJ26" s="310" t="str">
        <f>CONCATENATE("Acceder al sistema Gemma con usuario y perfil activo para la funcionalidad modulo Maestro - Opcion, colocando la Descripcion en el filtro, hacer clic mediante el",IF(N26=1,$N$3,"")," ",IF(X26=1,$X$2,""),", luego presionar ",IF(O26=1,$O$3,""),"",IF(P26=1,$P$3,"")," y luego Confirmar el cambio", IF(W26=1,$W$2,"")," ",IF(Y26=1,$Y$2,""),)</f>
        <v xml:space="preserve">Acceder al sistema Gemma con usuario y perfil activo para la funcionalidad modulo Maestro - Opcion, colocando la Descripcion en el filtro, hacer clic mediante el Link Descripcion, luego presionar Eliminar y luego Confirmar el cambio </v>
      </c>
      <c r="BK26" s="267" t="s">
        <v>1500</v>
      </c>
      <c r="BL26" s="267" t="s">
        <v>1083</v>
      </c>
    </row>
    <row r="27" spans="1:64" s="109" customFormat="1" ht="15.75" thickBot="1" x14ac:dyDescent="0.3">
      <c r="A27" s="23"/>
      <c r="B27" s="20"/>
      <c r="C27" s="13"/>
      <c r="D27" s="13"/>
      <c r="E27" s="13"/>
      <c r="F27" s="111"/>
      <c r="G27" s="111"/>
      <c r="H27" s="111"/>
      <c r="I27" s="13"/>
      <c r="J27" s="13"/>
      <c r="K27" s="13"/>
      <c r="L27" s="111"/>
      <c r="M27" s="280"/>
      <c r="N27" s="346"/>
      <c r="O27" s="27"/>
      <c r="P27" s="27">
        <v>1</v>
      </c>
      <c r="Q27" s="27"/>
      <c r="R27" s="26">
        <v>1</v>
      </c>
      <c r="S27" s="349"/>
      <c r="T27" s="349"/>
      <c r="U27" s="27">
        <v>1</v>
      </c>
      <c r="V27" s="27"/>
      <c r="W27" s="448"/>
      <c r="X27" s="349">
        <v>1</v>
      </c>
      <c r="Y27" s="347">
        <v>1</v>
      </c>
      <c r="Z27" s="20"/>
      <c r="AA27" s="13"/>
      <c r="AB27" s="13"/>
      <c r="AC27" s="13"/>
      <c r="AD27" s="111"/>
      <c r="AE27" s="101"/>
      <c r="AF27" s="13"/>
      <c r="AG27" s="13"/>
      <c r="AH27" s="98"/>
      <c r="AI27" s="101"/>
      <c r="AJ27" s="280"/>
      <c r="AK27" s="20"/>
      <c r="AL27" s="13"/>
      <c r="AM27" s="13"/>
      <c r="AN27" s="13"/>
      <c r="AO27" s="111"/>
      <c r="AP27" s="101"/>
      <c r="AQ27" s="13"/>
      <c r="AR27" s="13"/>
      <c r="AS27" s="98"/>
      <c r="AT27" s="101"/>
      <c r="AU27" s="280"/>
      <c r="AV27" s="20"/>
      <c r="AW27" s="13"/>
      <c r="AX27" s="13"/>
      <c r="AY27" s="13"/>
      <c r="AZ27" s="111"/>
      <c r="BA27" s="101"/>
      <c r="BB27" s="101"/>
      <c r="BC27" s="101"/>
      <c r="BD27" s="13"/>
      <c r="BE27" s="13"/>
      <c r="BF27" s="98"/>
      <c r="BG27" s="101"/>
      <c r="BH27" s="280"/>
      <c r="BI27" s="266" t="s">
        <v>1079</v>
      </c>
      <c r="BJ27" s="310" t="str">
        <f>CONCATENATE("Acceder al sistema Gemma con usuario y perfil activo para la funcionalidad modulo Maestro - Opcion, tomando un valor de la tabla resumen, hacer clic mediante el",IF(N27=1,$N$3,"")," ",IF(X27=1,$X$2,""),", luego presionar ",IF(O27=1,$O$3,""),"",IF(P27=1,$P$3,"")," y luego  ", IF(W27=1,$W$2,"")," ",IF(Y27=1,$Y$2,""),)</f>
        <v xml:space="preserve">Acceder al sistema Gemma con usuario y perfil activo para la funcionalidad modulo Maestro - Opcion, tomando un valor de la tabla resumen, hacer clic mediante el Link Descripcion, luego presionar Eliminar y luego   Exportar Excel </v>
      </c>
      <c r="BK27" s="267" t="s">
        <v>1501</v>
      </c>
      <c r="BL27" s="267" t="s">
        <v>1084</v>
      </c>
    </row>
    <row r="28" spans="1:64" s="109" customFormat="1" ht="15.75" thickTop="1" x14ac:dyDescent="0.25">
      <c r="A28" s="23"/>
      <c r="B28" s="20"/>
      <c r="C28" s="13"/>
      <c r="D28" s="13"/>
      <c r="E28" s="13"/>
      <c r="F28" s="111"/>
      <c r="G28" s="111"/>
      <c r="H28" s="111"/>
      <c r="I28" s="13"/>
      <c r="J28" s="13"/>
      <c r="K28" s="13"/>
      <c r="L28" s="111"/>
      <c r="M28" s="280"/>
      <c r="N28" s="105">
        <v>1</v>
      </c>
      <c r="O28" s="25"/>
      <c r="P28" s="25"/>
      <c r="Q28" s="25"/>
      <c r="R28" s="24"/>
      <c r="S28" s="100">
        <v>1</v>
      </c>
      <c r="T28" s="100">
        <v>1</v>
      </c>
      <c r="U28" s="25"/>
      <c r="V28" s="25">
        <v>1</v>
      </c>
      <c r="W28" s="285"/>
      <c r="X28" s="100"/>
      <c r="Y28" s="279"/>
      <c r="Z28" s="105"/>
      <c r="AA28" s="25"/>
      <c r="AB28" s="25"/>
      <c r="AC28" s="25"/>
      <c r="AD28" s="24"/>
      <c r="AE28" s="100"/>
      <c r="AF28" s="25"/>
      <c r="AG28" s="25"/>
      <c r="AH28" s="285"/>
      <c r="AI28" s="100"/>
      <c r="AJ28" s="279"/>
      <c r="AK28" s="105"/>
      <c r="AL28" s="25"/>
      <c r="AM28" s="25"/>
      <c r="AN28" s="25"/>
      <c r="AO28" s="24"/>
      <c r="AP28" s="100"/>
      <c r="AQ28" s="25"/>
      <c r="AR28" s="25"/>
      <c r="AS28" s="285"/>
      <c r="AT28" s="100"/>
      <c r="AU28" s="279"/>
      <c r="AV28" s="105"/>
      <c r="AW28" s="25"/>
      <c r="AX28" s="25"/>
      <c r="AY28" s="25"/>
      <c r="AZ28" s="24"/>
      <c r="BA28" s="100"/>
      <c r="BB28" s="100"/>
      <c r="BC28" s="100"/>
      <c r="BD28" s="25"/>
      <c r="BE28" s="25"/>
      <c r="BF28" s="285"/>
      <c r="BG28" s="100"/>
      <c r="BH28" s="279"/>
      <c r="BI28" s="266" t="s">
        <v>1490</v>
      </c>
      <c r="BJ28" s="310" t="str">
        <f>CONCATENATE("Acceder al sistema Gemma con usuario y perfil activo para la funcionalidad modulo Maestro - Opcion, hacer clic en el boton ",IF(N28=1,$N$3,"")," o ",IF(O28=1,$O$3,"")," colocando valores no numericos en codigo y colocar un valor de Codido repetido, Confirmar",)</f>
        <v>Acceder al sistema Gemma con usuario y perfil activo para la funcionalidad modulo Maestro - Opcion, hacer clic en el boton Agregar o  colocando valores no numericos en codigo y colocar un valor de Codido repetido, Confirmar</v>
      </c>
      <c r="BK28" s="267" t="s">
        <v>1502</v>
      </c>
      <c r="BL28" s="267" t="s">
        <v>1487</v>
      </c>
    </row>
    <row r="29" spans="1:64" s="109" customFormat="1" x14ac:dyDescent="0.25">
      <c r="A29" s="23"/>
      <c r="B29" s="20"/>
      <c r="C29" s="13"/>
      <c r="D29" s="13"/>
      <c r="E29" s="13"/>
      <c r="F29" s="111"/>
      <c r="G29" s="111"/>
      <c r="H29" s="111"/>
      <c r="I29" s="13"/>
      <c r="J29" s="13"/>
      <c r="K29" s="13"/>
      <c r="L29" s="111"/>
      <c r="M29" s="280"/>
      <c r="N29" s="645">
        <v>1</v>
      </c>
      <c r="O29" s="646">
        <v>1</v>
      </c>
      <c r="P29" s="646"/>
      <c r="Q29" s="646"/>
      <c r="R29" s="306"/>
      <c r="S29" s="647"/>
      <c r="T29" s="647"/>
      <c r="U29" s="646"/>
      <c r="V29" s="646"/>
      <c r="W29" s="648"/>
      <c r="X29" s="647"/>
      <c r="Y29" s="307"/>
      <c r="Z29" s="645"/>
      <c r="AA29" s="646"/>
      <c r="AB29" s="646"/>
      <c r="AC29" s="646"/>
      <c r="AD29" s="306"/>
      <c r="AE29" s="647"/>
      <c r="AF29" s="646"/>
      <c r="AG29" s="646"/>
      <c r="AH29" s="648"/>
      <c r="AI29" s="647"/>
      <c r="AJ29" s="307"/>
      <c r="AK29" s="645"/>
      <c r="AL29" s="646"/>
      <c r="AM29" s="646"/>
      <c r="AN29" s="646"/>
      <c r="AO29" s="306"/>
      <c r="AP29" s="647"/>
      <c r="AQ29" s="646"/>
      <c r="AR29" s="646"/>
      <c r="AS29" s="648"/>
      <c r="AT29" s="647"/>
      <c r="AU29" s="307"/>
      <c r="AV29" s="645"/>
      <c r="AW29" s="646"/>
      <c r="AX29" s="646"/>
      <c r="AY29" s="646"/>
      <c r="AZ29" s="306"/>
      <c r="BA29" s="647"/>
      <c r="BB29" s="647"/>
      <c r="BC29" s="647"/>
      <c r="BD29" s="646"/>
      <c r="BE29" s="646"/>
      <c r="BF29" s="648"/>
      <c r="BG29" s="647"/>
      <c r="BH29" s="307"/>
      <c r="BI29" s="266" t="s">
        <v>1488</v>
      </c>
      <c r="BJ29" s="310" t="str">
        <f>CONCATENATE("Acceder al sistema Gemma con usuario y perfil activo para la funcionalidad modulo Maestro - Opcion, hacer clic en el boton ","Agregar o Modificar, un dejando los campos vacios, Confirmar",)</f>
        <v>Acceder al sistema Gemma con usuario y perfil activo para la funcionalidad modulo Maestro - Opcion, hacer clic en el boton Agregar o Modificar, un dejando los campos vacios, Confirmar</v>
      </c>
      <c r="BK29" s="267" t="s">
        <v>1503</v>
      </c>
      <c r="BL29" s="267" t="s">
        <v>1487</v>
      </c>
    </row>
    <row r="30" spans="1:64" s="109" customFormat="1" ht="15" customHeight="1" thickBot="1" x14ac:dyDescent="0.3">
      <c r="A30" s="23"/>
      <c r="B30" s="20"/>
      <c r="C30" s="13"/>
      <c r="D30" s="287"/>
      <c r="E30" s="287"/>
      <c r="F30" s="111"/>
      <c r="G30" s="111"/>
      <c r="H30" s="111"/>
      <c r="I30" s="13"/>
      <c r="J30" s="287"/>
      <c r="K30" s="287"/>
      <c r="L30" s="111"/>
      <c r="M30" s="280"/>
      <c r="N30" s="301"/>
      <c r="O30" s="281"/>
      <c r="P30" s="317">
        <v>1</v>
      </c>
      <c r="Q30" s="317">
        <v>1</v>
      </c>
      <c r="R30" s="282">
        <v>1</v>
      </c>
      <c r="S30" s="351"/>
      <c r="T30" s="351"/>
      <c r="U30" s="281"/>
      <c r="V30" s="317"/>
      <c r="W30" s="330">
        <v>1</v>
      </c>
      <c r="X30" s="351">
        <v>1</v>
      </c>
      <c r="Y30" s="302"/>
      <c r="Z30" s="301"/>
      <c r="AA30" s="281"/>
      <c r="AB30" s="317"/>
      <c r="AC30" s="317"/>
      <c r="AD30" s="282"/>
      <c r="AE30" s="351"/>
      <c r="AF30" s="281"/>
      <c r="AG30" s="317"/>
      <c r="AH30" s="330"/>
      <c r="AI30" s="351"/>
      <c r="AJ30" s="302"/>
      <c r="AK30" s="301"/>
      <c r="AL30" s="281"/>
      <c r="AM30" s="317"/>
      <c r="AN30" s="317"/>
      <c r="AO30" s="282"/>
      <c r="AP30" s="351"/>
      <c r="AQ30" s="281"/>
      <c r="AR30" s="317"/>
      <c r="AS30" s="330"/>
      <c r="AT30" s="351"/>
      <c r="AU30" s="302"/>
      <c r="AV30" s="301"/>
      <c r="AW30" s="281"/>
      <c r="AX30" s="317"/>
      <c r="AY30" s="317"/>
      <c r="AZ30" s="282"/>
      <c r="BA30" s="351"/>
      <c r="BB30" s="351"/>
      <c r="BC30" s="351"/>
      <c r="BD30" s="281"/>
      <c r="BE30" s="317"/>
      <c r="BF30" s="330"/>
      <c r="BG30" s="351"/>
      <c r="BH30" s="302"/>
      <c r="BI30" s="266" t="s">
        <v>1489</v>
      </c>
      <c r="BJ30" s="310" t="str">
        <f>CONCATENATE("Acceder al sistema Gemma con usuario y perfil activo para la funcionalidad modulo Maestro - Opcion, hacer clic mediante ",IF(N30=1,$N$3,"")," ",IF(X30=1,$X$2,"")," ",IF(P30=1,$P$3,""), "Un registro en Uso.")</f>
        <v>Acceder al sistema Gemma con usuario y perfil activo para la funcionalidad modulo Maestro - Opcion, hacer clic mediante  Link Descripcion EliminarUn registro en Uso.</v>
      </c>
      <c r="BK30" s="267" t="s">
        <v>1504</v>
      </c>
      <c r="BL30" s="267" t="s">
        <v>1487</v>
      </c>
    </row>
    <row r="31" spans="1:64" s="109" customFormat="1" ht="15" customHeight="1" thickTop="1" x14ac:dyDescent="0.25">
      <c r="A31" s="23"/>
      <c r="B31" s="20"/>
      <c r="C31" s="13"/>
      <c r="D31" s="103"/>
      <c r="E31" s="13"/>
      <c r="F31" s="111"/>
      <c r="G31" s="111"/>
      <c r="H31" s="111"/>
      <c r="I31" s="13"/>
      <c r="J31" s="103"/>
      <c r="K31" s="103"/>
      <c r="L31" s="111"/>
      <c r="M31" s="280"/>
      <c r="N31" s="105"/>
      <c r="O31" s="25"/>
      <c r="P31" s="345"/>
      <c r="Q31" s="25"/>
      <c r="R31" s="24"/>
      <c r="S31" s="24"/>
      <c r="T31" s="24"/>
      <c r="U31" s="25"/>
      <c r="V31" s="345"/>
      <c r="W31" s="345"/>
      <c r="X31" s="24"/>
      <c r="Y31" s="24"/>
      <c r="Z31" s="20"/>
      <c r="AA31" s="13"/>
      <c r="AB31" s="103"/>
      <c r="AC31" s="13"/>
      <c r="AD31" s="111">
        <v>1</v>
      </c>
      <c r="AE31" s="111"/>
      <c r="AF31" s="13"/>
      <c r="AG31" s="103"/>
      <c r="AH31" s="103"/>
      <c r="AI31" s="111"/>
      <c r="AJ31" s="111">
        <v>1</v>
      </c>
      <c r="AK31" s="20"/>
      <c r="AL31" s="13"/>
      <c r="AM31" s="103"/>
      <c r="AN31" s="13"/>
      <c r="AO31" s="111"/>
      <c r="AP31" s="111"/>
      <c r="AQ31" s="13"/>
      <c r="AR31" s="103"/>
      <c r="AS31" s="103"/>
      <c r="AT31" s="111"/>
      <c r="AU31" s="280"/>
      <c r="AV31" s="20"/>
      <c r="AW31" s="13"/>
      <c r="AX31" s="103"/>
      <c r="AY31" s="13"/>
      <c r="AZ31" s="111"/>
      <c r="BA31" s="111"/>
      <c r="BB31" s="111"/>
      <c r="BC31" s="111"/>
      <c r="BD31" s="13"/>
      <c r="BE31" s="103"/>
      <c r="BF31" s="103"/>
      <c r="BG31" s="111"/>
      <c r="BH31" s="280"/>
      <c r="BI31" s="266" t="s">
        <v>1087</v>
      </c>
      <c r="BJ31" s="310" t="str">
        <f>CONCATENATE("Acceder al sistema Gemma con usuario y perfil activo para la funcionalidad modulo Maestro - Adicionales, hacer clic en el boton ",IF(AJ31=1,$AJ$2,""), IF(Z31=1,$Z$3,"")," ",IF(AA31=1,$AA$3,""),"",IF(AB31=1,$AB$3,"")," ",IF(AC31=1,$AC$4,"")," ",IF(AD31=1,$AD$4,""), " Descripcion en el filtro ", IF(AH31=1,$AH$2,"")," ",IF(AI31=1,$AI$2,"")," ")</f>
        <v xml:space="preserve">Acceder al sistema Gemma con usuario y perfil activo para la funcionalidad modulo Maestro - Adicionales, hacer clic en el boton Exportar Excel    Sin Valores Descripcion en el filtro   </v>
      </c>
      <c r="BK31" s="267" t="s">
        <v>1509</v>
      </c>
      <c r="BL31" s="267" t="s">
        <v>1008</v>
      </c>
    </row>
    <row r="32" spans="1:64" s="109" customFormat="1" ht="15" customHeight="1" x14ac:dyDescent="0.25">
      <c r="A32" s="23"/>
      <c r="B32" s="20"/>
      <c r="C32" s="13"/>
      <c r="D32" s="103"/>
      <c r="E32" s="13"/>
      <c r="F32" s="111"/>
      <c r="G32" s="111"/>
      <c r="H32" s="111"/>
      <c r="I32" s="13"/>
      <c r="J32" s="103"/>
      <c r="K32" s="103"/>
      <c r="L32" s="111"/>
      <c r="M32" s="280"/>
      <c r="N32" s="20"/>
      <c r="O32" s="13"/>
      <c r="P32" s="103"/>
      <c r="Q32" s="13"/>
      <c r="R32" s="111"/>
      <c r="S32" s="111"/>
      <c r="T32" s="111"/>
      <c r="U32" s="13"/>
      <c r="V32" s="103"/>
      <c r="W32" s="103"/>
      <c r="X32" s="111"/>
      <c r="Y32" s="111"/>
      <c r="Z32" s="20">
        <v>1</v>
      </c>
      <c r="AA32" s="13"/>
      <c r="AB32" s="103"/>
      <c r="AC32" s="13"/>
      <c r="AD32" s="111"/>
      <c r="AE32" s="111">
        <v>1</v>
      </c>
      <c r="AF32" s="13">
        <v>1</v>
      </c>
      <c r="AG32" s="103"/>
      <c r="AH32" s="103"/>
      <c r="AI32" s="111"/>
      <c r="AJ32" s="111"/>
      <c r="AK32" s="20"/>
      <c r="AL32" s="13"/>
      <c r="AM32" s="103"/>
      <c r="AN32" s="13"/>
      <c r="AO32" s="111"/>
      <c r="AP32" s="111"/>
      <c r="AQ32" s="13"/>
      <c r="AR32" s="103"/>
      <c r="AS32" s="103"/>
      <c r="AT32" s="111"/>
      <c r="AU32" s="280"/>
      <c r="AV32" s="20"/>
      <c r="AW32" s="13"/>
      <c r="AX32" s="103"/>
      <c r="AY32" s="13"/>
      <c r="AZ32" s="111"/>
      <c r="BA32" s="111"/>
      <c r="BB32" s="111"/>
      <c r="BC32" s="111"/>
      <c r="BD32" s="13"/>
      <c r="BE32" s="103"/>
      <c r="BF32" s="103"/>
      <c r="BG32" s="111"/>
      <c r="BH32" s="280"/>
      <c r="BI32" s="266" t="s">
        <v>1088</v>
      </c>
      <c r="BJ32" s="310" t="str">
        <f>CONCATENATE("Acceder al sistema Gemma con usuario y perfil activo para la funcionalidad modulo Maestro - Adicionales, hacer clic en el boton ",IF(AJ32=1,$AJ$2,""), IF(Z32=1,$Z$3,"")," ",IF(AA32=1,$AA$3,""),"",IF(AB32=1,$AB$3,"")," ",IF(AC32=1,$AC$4,"")," ",IF(AD32=1,$AD$4,""), "un nuevo registro, y luego presionar Confirmar  ", IF(AH32=1,$AH$2,"")," ",IF(AI32=1,$AI$2,"")," ")</f>
        <v xml:space="preserve">Acceder al sistema Gemma con usuario y perfil activo para la funcionalidad modulo Maestro - Adicionales, hacer clic en el boton Agregar   un nuevo registro, y luego presionar Confirmar    </v>
      </c>
      <c r="BK32" s="267" t="s">
        <v>1510</v>
      </c>
      <c r="BL32" s="267" t="s">
        <v>1097</v>
      </c>
    </row>
    <row r="33" spans="1:64" s="109" customFormat="1" ht="15" customHeight="1" x14ac:dyDescent="0.25">
      <c r="A33" s="23"/>
      <c r="B33" s="20"/>
      <c r="C33" s="13"/>
      <c r="D33" s="103"/>
      <c r="E33" s="13"/>
      <c r="F33" s="111"/>
      <c r="G33" s="111"/>
      <c r="H33" s="111"/>
      <c r="I33" s="13"/>
      <c r="J33" s="103"/>
      <c r="K33" s="103"/>
      <c r="L33" s="111"/>
      <c r="M33" s="280"/>
      <c r="N33" s="20"/>
      <c r="O33" s="13"/>
      <c r="P33" s="103"/>
      <c r="Q33" s="13"/>
      <c r="R33" s="111"/>
      <c r="S33" s="111"/>
      <c r="T33" s="111"/>
      <c r="U33" s="13"/>
      <c r="V33" s="103"/>
      <c r="W33" s="103"/>
      <c r="X33" s="111"/>
      <c r="Y33" s="111"/>
      <c r="Z33" s="20"/>
      <c r="AA33" s="13">
        <v>1</v>
      </c>
      <c r="AB33" s="103"/>
      <c r="AC33" s="13">
        <v>1</v>
      </c>
      <c r="AD33" s="111"/>
      <c r="AE33" s="111">
        <v>1</v>
      </c>
      <c r="AF33" s="13">
        <v>1</v>
      </c>
      <c r="AG33" s="103"/>
      <c r="AH33" s="103"/>
      <c r="AI33" s="111"/>
      <c r="AJ33" s="111"/>
      <c r="AK33" s="20"/>
      <c r="AL33" s="13"/>
      <c r="AM33" s="103"/>
      <c r="AN33" s="13"/>
      <c r="AO33" s="111"/>
      <c r="AP33" s="111"/>
      <c r="AQ33" s="13"/>
      <c r="AR33" s="103"/>
      <c r="AS33" s="103"/>
      <c r="AT33" s="111"/>
      <c r="AU33" s="280"/>
      <c r="AV33" s="20"/>
      <c r="AW33" s="13"/>
      <c r="AX33" s="103"/>
      <c r="AY33" s="13"/>
      <c r="AZ33" s="111"/>
      <c r="BA33" s="111"/>
      <c r="BB33" s="111"/>
      <c r="BC33" s="111"/>
      <c r="BD33" s="13"/>
      <c r="BE33" s="103"/>
      <c r="BF33" s="103"/>
      <c r="BG33" s="111"/>
      <c r="BH33" s="280"/>
      <c r="BI33" s="266" t="s">
        <v>1089</v>
      </c>
      <c r="BJ33" s="310" t="str">
        <f>CONCATENATE("Acceder al sistema Gemma con usuario y perfil activo para la funcionalidad modulo Maestro - Adicionales, hacer clic en el boton ",IF(AJ33=1,$AJ$2,""), IF(Z33=1,$Z$3,"")," ",IF(AA33=1,$AA$3,""),"",IF(AB33=1,$AB$3,"")," buscado con la Descripcion en el filtro, y presionar Confirmar ", IF(AH33=1,$AH$2,"")," ",IF(AI33=1,$AI$2,"")," ")</f>
        <v xml:space="preserve">Acceder al sistema Gemma con usuario y perfil activo para la funcionalidad modulo Maestro - Adicionales, hacer clic en el boton  Modificar buscado con la Descripcion en el filtro, y presionar Confirmar   </v>
      </c>
      <c r="BK33" s="267" t="s">
        <v>1511</v>
      </c>
      <c r="BL33" s="267" t="s">
        <v>1009</v>
      </c>
    </row>
    <row r="34" spans="1:64" s="109" customFormat="1" ht="15" customHeight="1" x14ac:dyDescent="0.25">
      <c r="A34" s="23"/>
      <c r="B34" s="20"/>
      <c r="C34" s="13"/>
      <c r="D34" s="103"/>
      <c r="E34" s="13"/>
      <c r="F34" s="111"/>
      <c r="G34" s="111"/>
      <c r="H34" s="111"/>
      <c r="I34" s="13"/>
      <c r="J34" s="103"/>
      <c r="K34" s="103"/>
      <c r="L34" s="111"/>
      <c r="M34" s="280"/>
      <c r="N34" s="20"/>
      <c r="O34" s="13"/>
      <c r="P34" s="103"/>
      <c r="Q34" s="13"/>
      <c r="R34" s="111"/>
      <c r="S34" s="111"/>
      <c r="T34" s="111"/>
      <c r="U34" s="13"/>
      <c r="V34" s="103"/>
      <c r="W34" s="103"/>
      <c r="X34" s="111"/>
      <c r="Y34" s="111"/>
      <c r="Z34" s="20"/>
      <c r="AA34" s="13">
        <v>1</v>
      </c>
      <c r="AB34" s="103"/>
      <c r="AC34" s="13"/>
      <c r="AD34" s="111">
        <v>1</v>
      </c>
      <c r="AE34" s="111">
        <v>1</v>
      </c>
      <c r="AF34" s="13">
        <v>1</v>
      </c>
      <c r="AG34" s="103"/>
      <c r="AH34" s="103"/>
      <c r="AI34" s="111"/>
      <c r="AJ34" s="111"/>
      <c r="AK34" s="20"/>
      <c r="AL34" s="13"/>
      <c r="AM34" s="103"/>
      <c r="AN34" s="13"/>
      <c r="AO34" s="111"/>
      <c r="AP34" s="111"/>
      <c r="AQ34" s="13"/>
      <c r="AR34" s="103"/>
      <c r="AS34" s="103"/>
      <c r="AT34" s="111"/>
      <c r="AU34" s="280"/>
      <c r="AV34" s="20"/>
      <c r="AW34" s="13"/>
      <c r="AX34" s="103"/>
      <c r="AY34" s="13"/>
      <c r="AZ34" s="111"/>
      <c r="BA34" s="111"/>
      <c r="BB34" s="111"/>
      <c r="BC34" s="111"/>
      <c r="BD34" s="13"/>
      <c r="BE34" s="103"/>
      <c r="BF34" s="103"/>
      <c r="BG34" s="111"/>
      <c r="BH34" s="280"/>
      <c r="BI34" s="266" t="s">
        <v>1090</v>
      </c>
      <c r="BJ34" s="310" t="str">
        <f>CONCATENATE("Acceder al sistema Gemma con usuario y perfil activo para la funcionalidad modulo Maestro - Adicionales, hacer clic en el boton ",IF(AJ34=1,$AJ$2,""), IF(Z34=1,$Z$3,"")," ",IF(AA34=1,$AA$3,""),"",IF(AB34=1,$AB$3,"")," tomando un valor de la tabla resumen, presionar Confirmar ", IF(AH34=1,$AH$2,"")," ",IF(AI34=1,$AI$2,"")," ")</f>
        <v xml:space="preserve">Acceder al sistema Gemma con usuario y perfil activo para la funcionalidad modulo Maestro - Adicionales, hacer clic en el boton  Modificar tomando un valor de la tabla resumen, presionar Confirmar   </v>
      </c>
      <c r="BK34" s="267" t="s">
        <v>1512</v>
      </c>
      <c r="BL34" s="267" t="s">
        <v>1010</v>
      </c>
    </row>
    <row r="35" spans="1:64" s="109" customFormat="1" ht="15" customHeight="1" x14ac:dyDescent="0.25">
      <c r="A35" s="23"/>
      <c r="B35" s="20"/>
      <c r="C35" s="13"/>
      <c r="D35" s="13"/>
      <c r="E35" s="13"/>
      <c r="F35" s="111"/>
      <c r="G35" s="111"/>
      <c r="H35" s="111"/>
      <c r="I35" s="13"/>
      <c r="J35" s="13"/>
      <c r="K35" s="13"/>
      <c r="L35" s="111"/>
      <c r="M35" s="280"/>
      <c r="N35" s="20"/>
      <c r="O35" s="13"/>
      <c r="P35" s="13"/>
      <c r="Q35" s="13"/>
      <c r="R35" s="111"/>
      <c r="S35" s="111"/>
      <c r="T35" s="111"/>
      <c r="U35" s="13"/>
      <c r="V35" s="13"/>
      <c r="W35" s="13"/>
      <c r="X35" s="111"/>
      <c r="Y35" s="111"/>
      <c r="Z35" s="20"/>
      <c r="AA35" s="13"/>
      <c r="AB35" s="13">
        <v>1</v>
      </c>
      <c r="AC35" s="13">
        <v>1</v>
      </c>
      <c r="AD35" s="111"/>
      <c r="AE35" s="111"/>
      <c r="AF35" s="13">
        <v>1</v>
      </c>
      <c r="AG35" s="13"/>
      <c r="AH35" s="13"/>
      <c r="AI35" s="111"/>
      <c r="AJ35" s="111"/>
      <c r="AK35" s="20"/>
      <c r="AL35" s="13"/>
      <c r="AM35" s="13"/>
      <c r="AN35" s="13"/>
      <c r="AO35" s="111"/>
      <c r="AP35" s="111"/>
      <c r="AQ35" s="13"/>
      <c r="AR35" s="13"/>
      <c r="AS35" s="13"/>
      <c r="AT35" s="111"/>
      <c r="AU35" s="280"/>
      <c r="AV35" s="20"/>
      <c r="AW35" s="13"/>
      <c r="AX35" s="13"/>
      <c r="AY35" s="13"/>
      <c r="AZ35" s="111"/>
      <c r="BA35" s="111"/>
      <c r="BB35" s="111"/>
      <c r="BC35" s="111"/>
      <c r="BD35" s="13"/>
      <c r="BE35" s="13"/>
      <c r="BF35" s="13"/>
      <c r="BG35" s="111"/>
      <c r="BH35" s="280"/>
      <c r="BI35" s="266" t="s">
        <v>1091</v>
      </c>
      <c r="BJ35" s="310" t="str">
        <f>CONCATENATE("Acceder al sistema Gemma con usuario y perfil activo para la funcionalidad modulo Maestro - Adicionales, hacer clic en el boton ",IF(AJ35=1,$AJ$2,""), IF(Z35=1,$Z$3,"")," ",IF(AA35=1,$AA$3,""),"",IF(AB35=1,$AB$3,"")," buscando con la Descripcion en el filtro, y presionar Confirmar ", IF(AH35=1,$AH$2,"")," ",IF(AI35=1,$AI$2,"")," ")</f>
        <v xml:space="preserve">Acceder al sistema Gemma con usuario y perfil activo para la funcionalidad modulo Maestro - Adicionales, hacer clic en el boton  Eliminar buscando con la Descripcion en el filtro, y presionar Confirmar   </v>
      </c>
      <c r="BK35" s="267" t="s">
        <v>1513</v>
      </c>
      <c r="BL35" s="267" t="s">
        <v>1011</v>
      </c>
    </row>
    <row r="36" spans="1:64" s="109" customFormat="1" ht="15" customHeight="1" x14ac:dyDescent="0.25">
      <c r="A36" s="23"/>
      <c r="B36" s="20"/>
      <c r="C36" s="13"/>
      <c r="D36" s="13"/>
      <c r="E36" s="13"/>
      <c r="F36" s="111"/>
      <c r="G36" s="111"/>
      <c r="H36" s="111"/>
      <c r="I36" s="13"/>
      <c r="J36" s="13"/>
      <c r="K36" s="13"/>
      <c r="L36" s="111"/>
      <c r="M36" s="280"/>
      <c r="N36" s="20"/>
      <c r="O36" s="13"/>
      <c r="P36" s="13"/>
      <c r="Q36" s="13"/>
      <c r="R36" s="111"/>
      <c r="S36" s="111"/>
      <c r="T36" s="111"/>
      <c r="U36" s="13"/>
      <c r="V36" s="13"/>
      <c r="W36" s="13"/>
      <c r="X36" s="111"/>
      <c r="Y36" s="111"/>
      <c r="Z36" s="20"/>
      <c r="AA36" s="13"/>
      <c r="AB36" s="13">
        <v>1</v>
      </c>
      <c r="AC36" s="13"/>
      <c r="AD36" s="111">
        <v>1</v>
      </c>
      <c r="AE36" s="111"/>
      <c r="AF36" s="13">
        <v>1</v>
      </c>
      <c r="AG36" s="13"/>
      <c r="AH36" s="13"/>
      <c r="AI36" s="111"/>
      <c r="AJ36" s="111"/>
      <c r="AK36" s="20"/>
      <c r="AL36" s="13"/>
      <c r="AM36" s="13"/>
      <c r="AN36" s="13"/>
      <c r="AO36" s="111"/>
      <c r="AP36" s="111"/>
      <c r="AQ36" s="13"/>
      <c r="AR36" s="13"/>
      <c r="AS36" s="13"/>
      <c r="AT36" s="111"/>
      <c r="AU36" s="280"/>
      <c r="AV36" s="20"/>
      <c r="AW36" s="13"/>
      <c r="AX36" s="13"/>
      <c r="AY36" s="13"/>
      <c r="AZ36" s="111"/>
      <c r="BA36" s="111"/>
      <c r="BB36" s="111"/>
      <c r="BC36" s="111"/>
      <c r="BD36" s="13"/>
      <c r="BE36" s="13"/>
      <c r="BF36" s="13"/>
      <c r="BG36" s="111"/>
      <c r="BH36" s="280"/>
      <c r="BI36" s="266" t="s">
        <v>1092</v>
      </c>
      <c r="BJ36" s="310" t="str">
        <f>CONCATENATE("Acceder al sistema Gemma con usuario y perfil activo para la funcionalidad modulo Maestro - Adicionales, hacer clic en el boton ",IF(AJ36=1,$AJ$2,""), IF(Z36=1,$Z$3,"")," ",IF(AA36=1,$AA$3,""),"",IF(AB36=1,$AB$3,"")," tomando un valor de la tabla resumen, presionar Confirmar ", IF(AH36=1,$AH$2,"")," ",IF(AI36=1,$AI$2,"")," ")</f>
        <v xml:space="preserve">Acceder al sistema Gemma con usuario y perfil activo para la funcionalidad modulo Maestro - Adicionales, hacer clic en el boton  Eliminar tomando un valor de la tabla resumen, presionar Confirmar   </v>
      </c>
      <c r="BK36" s="267" t="s">
        <v>1514</v>
      </c>
      <c r="BL36" s="267" t="s">
        <v>1012</v>
      </c>
    </row>
    <row r="37" spans="1:64" s="109" customFormat="1" x14ac:dyDescent="0.25">
      <c r="A37" s="23"/>
      <c r="B37" s="20"/>
      <c r="C37" s="13"/>
      <c r="D37" s="13"/>
      <c r="E37" s="13"/>
      <c r="F37" s="111"/>
      <c r="G37" s="111"/>
      <c r="H37" s="111"/>
      <c r="I37" s="13"/>
      <c r="J37" s="13"/>
      <c r="K37" s="13"/>
      <c r="L37" s="111"/>
      <c r="M37" s="280"/>
      <c r="N37" s="291"/>
      <c r="O37" s="272"/>
      <c r="P37" s="272"/>
      <c r="Q37" s="272"/>
      <c r="R37" s="273"/>
      <c r="S37" s="273"/>
      <c r="T37" s="273"/>
      <c r="U37" s="272"/>
      <c r="V37" s="272"/>
      <c r="W37" s="272"/>
      <c r="X37" s="273"/>
      <c r="Y37" s="273"/>
      <c r="Z37" s="291"/>
      <c r="AA37" s="272">
        <v>1</v>
      </c>
      <c r="AB37" s="272"/>
      <c r="AC37" s="272">
        <v>1</v>
      </c>
      <c r="AD37" s="273"/>
      <c r="AE37" s="273"/>
      <c r="AF37" s="272">
        <v>1</v>
      </c>
      <c r="AG37" s="272"/>
      <c r="AH37" s="272"/>
      <c r="AI37" s="273">
        <v>1</v>
      </c>
      <c r="AJ37" s="273"/>
      <c r="AK37" s="291"/>
      <c r="AL37" s="272"/>
      <c r="AM37" s="272"/>
      <c r="AN37" s="272"/>
      <c r="AO37" s="273"/>
      <c r="AP37" s="273"/>
      <c r="AQ37" s="272"/>
      <c r="AR37" s="272"/>
      <c r="AS37" s="272"/>
      <c r="AT37" s="273"/>
      <c r="AU37" s="316"/>
      <c r="AV37" s="291"/>
      <c r="AW37" s="272"/>
      <c r="AX37" s="272"/>
      <c r="AY37" s="272"/>
      <c r="AZ37" s="273"/>
      <c r="BA37" s="273"/>
      <c r="BB37" s="273"/>
      <c r="BC37" s="273"/>
      <c r="BD37" s="272"/>
      <c r="BE37" s="272"/>
      <c r="BF37" s="272"/>
      <c r="BG37" s="273"/>
      <c r="BH37" s="316"/>
      <c r="BI37" s="266" t="s">
        <v>1093</v>
      </c>
      <c r="BJ37" s="310" t="str">
        <f>CONCATENATE("Acceder al sistema Gemma con usuario y perfil activo para la funcionalidad modulo Maestro - Adicionales, al buscar la Descripcion en el filtro, hacer clic en el enlace ",IF(AI37=1,$AI$2,"")," ",IF(AJ37=1,$AJ$2,""), " presionar el boton ",IF(Z37=1,$Z$3,"")," ",IF(AA37=1,$AA$3,""),"",IF(AB37=1,$AB$3,"")," ", IF(AH37=1,$AH$2,""),"y Confirmar ")</f>
        <v xml:space="preserve">Acceder al sistema Gemma con usuario y perfil activo para la funcionalidad modulo Maestro - Adicionales, al buscar la Descripcion en el filtro, hacer clic en el enlace Link Descripcion  presionar el boton  Modificar y Confirmar </v>
      </c>
      <c r="BK37" s="267" t="s">
        <v>1515</v>
      </c>
      <c r="BL37" s="267" t="s">
        <v>1081</v>
      </c>
    </row>
    <row r="38" spans="1:64" s="109" customFormat="1" x14ac:dyDescent="0.25">
      <c r="A38" s="23"/>
      <c r="B38" s="20"/>
      <c r="C38" s="13"/>
      <c r="D38" s="13"/>
      <c r="E38" s="13"/>
      <c r="F38" s="111"/>
      <c r="G38" s="111"/>
      <c r="H38" s="111"/>
      <c r="I38" s="13"/>
      <c r="J38" s="13"/>
      <c r="K38" s="13"/>
      <c r="L38" s="111"/>
      <c r="M38" s="280"/>
      <c r="N38" s="291"/>
      <c r="O38" s="272"/>
      <c r="P38" s="272"/>
      <c r="Q38" s="272"/>
      <c r="R38" s="273"/>
      <c r="S38" s="297"/>
      <c r="T38" s="297"/>
      <c r="U38" s="272"/>
      <c r="V38" s="272"/>
      <c r="W38" s="326"/>
      <c r="X38" s="297"/>
      <c r="Y38" s="316"/>
      <c r="Z38" s="291"/>
      <c r="AA38" s="272">
        <v>1</v>
      </c>
      <c r="AB38" s="272"/>
      <c r="AC38" s="272"/>
      <c r="AD38" s="273">
        <v>1</v>
      </c>
      <c r="AE38" s="297"/>
      <c r="AF38" s="272">
        <v>1</v>
      </c>
      <c r="AG38" s="272"/>
      <c r="AH38" s="326"/>
      <c r="AI38" s="297">
        <v>1</v>
      </c>
      <c r="AJ38" s="297"/>
      <c r="AK38" s="291"/>
      <c r="AL38" s="272"/>
      <c r="AM38" s="272"/>
      <c r="AN38" s="272"/>
      <c r="AO38" s="273"/>
      <c r="AP38" s="297"/>
      <c r="AQ38" s="272"/>
      <c r="AR38" s="272"/>
      <c r="AS38" s="326"/>
      <c r="AT38" s="297"/>
      <c r="AU38" s="316"/>
      <c r="AV38" s="291"/>
      <c r="AW38" s="272"/>
      <c r="AX38" s="272"/>
      <c r="AY38" s="272"/>
      <c r="AZ38" s="273"/>
      <c r="BA38" s="297"/>
      <c r="BB38" s="297"/>
      <c r="BC38" s="297"/>
      <c r="BD38" s="272"/>
      <c r="BE38" s="272"/>
      <c r="BF38" s="326"/>
      <c r="BG38" s="297"/>
      <c r="BH38" s="316"/>
      <c r="BI38" s="266" t="s">
        <v>1094</v>
      </c>
      <c r="BJ38" s="310" t="str">
        <f>CONCATENATE("Acceder al sistema Gemma con usuario y perfil activo para la funcionalidad modulo Maestro - Adicionales, tomando una Descripcion de la tabla resumen, hacer clic en el enlace ",IF(AI38=1,$AI$2,"")," ",IF(AJ38=1,$AJ$2,""), " presionar el boton ",IF(Z38=1,$Z$3,"")," ",IF(AA38=1,$AA$3,""),"",IF(AB38=1,$AB$3,"")," ", IF(AH38=1,$AH$2,""),"y Confirmar ")</f>
        <v xml:space="preserve">Acceder al sistema Gemma con usuario y perfil activo para la funcionalidad modulo Maestro - Adicionales, tomando una Descripcion de la tabla resumen, hacer clic en el enlace Link Descripcion  presionar el boton  Modificar y Confirmar </v>
      </c>
      <c r="BK38" s="267" t="s">
        <v>1516</v>
      </c>
      <c r="BL38" s="267" t="s">
        <v>1082</v>
      </c>
    </row>
    <row r="39" spans="1:64" s="109" customFormat="1" x14ac:dyDescent="0.25">
      <c r="A39" s="23"/>
      <c r="B39" s="20"/>
      <c r="C39" s="13"/>
      <c r="D39" s="13"/>
      <c r="E39" s="13"/>
      <c r="F39" s="111"/>
      <c r="G39" s="111"/>
      <c r="H39" s="111"/>
      <c r="I39" s="13"/>
      <c r="J39" s="13"/>
      <c r="K39" s="13"/>
      <c r="L39" s="111"/>
      <c r="M39" s="280"/>
      <c r="N39" s="20"/>
      <c r="O39" s="13"/>
      <c r="P39" s="13"/>
      <c r="Q39" s="13"/>
      <c r="R39" s="111"/>
      <c r="S39" s="101"/>
      <c r="T39" s="101"/>
      <c r="U39" s="13"/>
      <c r="V39" s="13"/>
      <c r="W39" s="98"/>
      <c r="X39" s="101"/>
      <c r="Y39" s="280"/>
      <c r="Z39" s="291"/>
      <c r="AA39" s="272"/>
      <c r="AB39" s="272">
        <v>1</v>
      </c>
      <c r="AC39" s="272">
        <v>1</v>
      </c>
      <c r="AD39" s="273"/>
      <c r="AE39" s="297"/>
      <c r="AF39" s="272">
        <v>1</v>
      </c>
      <c r="AG39" s="272"/>
      <c r="AH39" s="326"/>
      <c r="AI39" s="297">
        <v>1</v>
      </c>
      <c r="AJ39" s="297"/>
      <c r="AK39" s="291"/>
      <c r="AL39" s="272"/>
      <c r="AM39" s="272"/>
      <c r="AN39" s="272"/>
      <c r="AO39" s="273"/>
      <c r="AP39" s="297"/>
      <c r="AQ39" s="272"/>
      <c r="AR39" s="272"/>
      <c r="AS39" s="326"/>
      <c r="AT39" s="297"/>
      <c r="AU39" s="316"/>
      <c r="AV39" s="291"/>
      <c r="AW39" s="272"/>
      <c r="AX39" s="272"/>
      <c r="AY39" s="272"/>
      <c r="AZ39" s="273"/>
      <c r="BA39" s="297"/>
      <c r="BB39" s="297"/>
      <c r="BC39" s="297"/>
      <c r="BD39" s="272"/>
      <c r="BE39" s="272"/>
      <c r="BF39" s="326"/>
      <c r="BG39" s="297"/>
      <c r="BH39" s="316"/>
      <c r="BI39" s="266" t="s">
        <v>1095</v>
      </c>
      <c r="BJ39" s="310" t="str">
        <f>CONCATENATE("Acceder al sistema Gemma con usuario y perfil activo para la funcionalidad modulo Maestro - Adicionales, al buscar la Descripcion en el filtro, hacer clic en el enlace ",IF(AI39=1,$AI$2,"")," ",IF(AJ39=1,$AJ$2,""), " presionar el boton ",IF(Z39=1,$Z$3,"")," ",IF(AA39=1,$AA$3,""),"",IF(AB39=1,$AB$3,"")," ", IF(AH39=1,$AH$2,""),"y Confirmar ")</f>
        <v xml:space="preserve">Acceder al sistema Gemma con usuario y perfil activo para la funcionalidad modulo Maestro - Adicionales, al buscar la Descripcion en el filtro, hacer clic en el enlace Link Descripcion  presionar el boton  Eliminar y Confirmar </v>
      </c>
      <c r="BK39" s="267" t="s">
        <v>1517</v>
      </c>
      <c r="BL39" s="267" t="s">
        <v>1083</v>
      </c>
    </row>
    <row r="40" spans="1:64" s="109" customFormat="1" ht="15.75" thickBot="1" x14ac:dyDescent="0.3">
      <c r="A40" s="23"/>
      <c r="B40" s="20"/>
      <c r="C40" s="13"/>
      <c r="D40" s="13"/>
      <c r="E40" s="13"/>
      <c r="F40" s="111"/>
      <c r="G40" s="111"/>
      <c r="H40" s="111"/>
      <c r="I40" s="13"/>
      <c r="J40" s="13"/>
      <c r="K40" s="13"/>
      <c r="L40" s="111"/>
      <c r="M40" s="280"/>
      <c r="N40" s="105"/>
      <c r="O40" s="25"/>
      <c r="P40" s="25"/>
      <c r="Q40" s="25"/>
      <c r="R40" s="24"/>
      <c r="S40" s="100"/>
      <c r="T40" s="100"/>
      <c r="U40" s="25"/>
      <c r="V40" s="25"/>
      <c r="W40" s="285"/>
      <c r="X40" s="100"/>
      <c r="Y40" s="279"/>
      <c r="Z40" s="346"/>
      <c r="AA40" s="27"/>
      <c r="AB40" s="27">
        <v>1</v>
      </c>
      <c r="AC40" s="27"/>
      <c r="AD40" s="26">
        <v>1</v>
      </c>
      <c r="AE40" s="349"/>
      <c r="AF40" s="27">
        <v>1</v>
      </c>
      <c r="AG40" s="27"/>
      <c r="AH40" s="448"/>
      <c r="AI40" s="349">
        <v>1</v>
      </c>
      <c r="AJ40" s="347"/>
      <c r="AK40" s="20"/>
      <c r="AL40" s="13"/>
      <c r="AM40" s="13"/>
      <c r="AN40" s="13"/>
      <c r="AO40" s="111"/>
      <c r="AP40" s="101"/>
      <c r="AQ40" s="13"/>
      <c r="AR40" s="13"/>
      <c r="AS40" s="98"/>
      <c r="AT40" s="101"/>
      <c r="AU40" s="280"/>
      <c r="AV40" s="20"/>
      <c r="AW40" s="13"/>
      <c r="AX40" s="13"/>
      <c r="AY40" s="13"/>
      <c r="AZ40" s="111"/>
      <c r="BA40" s="101"/>
      <c r="BB40" s="101"/>
      <c r="BC40" s="101"/>
      <c r="BD40" s="13"/>
      <c r="BE40" s="13"/>
      <c r="BF40" s="98"/>
      <c r="BG40" s="101"/>
      <c r="BH40" s="280"/>
      <c r="BI40" s="266" t="s">
        <v>1096</v>
      </c>
      <c r="BJ40" s="310" t="str">
        <f>CONCATENATE("Acceder al sistema Gemma con usuario y perfil activo para la funcionalidad modulo Maestro - Adicionales, tomando una Descripcion de la tabla resumen, hacer clic en el enlace ",IF(AI40=1,$AI$2,"")," ",IF(AJ40=1,$AJ$2,""), " presionar el boton ",IF(Z40=1,$Z$3,"")," ",IF(AA40=1,$AA$3,""),"",IF(AB40=1,$AB$3,"")," ", IF(AH40=1,$AH$2,""),"y Confirmar ")</f>
        <v xml:space="preserve">Acceder al sistema Gemma con usuario y perfil activo para la funcionalidad modulo Maestro - Adicionales, tomando una Descripcion de la tabla resumen, hacer clic en el enlace Link Descripcion  presionar el boton  Eliminar y Confirmar </v>
      </c>
      <c r="BK40" s="267" t="s">
        <v>1518</v>
      </c>
      <c r="BL40" s="267" t="s">
        <v>1084</v>
      </c>
    </row>
    <row r="41" spans="1:64" s="109" customFormat="1" ht="15.75" thickTop="1" x14ac:dyDescent="0.25">
      <c r="A41" s="23"/>
      <c r="B41" s="20"/>
      <c r="C41" s="13"/>
      <c r="D41" s="13"/>
      <c r="E41" s="13"/>
      <c r="F41" s="111"/>
      <c r="G41" s="111"/>
      <c r="H41" s="111"/>
      <c r="I41" s="13"/>
      <c r="J41" s="13"/>
      <c r="K41" s="13"/>
      <c r="L41" s="111"/>
      <c r="M41" s="280"/>
      <c r="N41" s="20"/>
      <c r="O41" s="13"/>
      <c r="P41" s="13"/>
      <c r="Q41" s="13"/>
      <c r="R41" s="111"/>
      <c r="S41" s="101"/>
      <c r="T41" s="101"/>
      <c r="U41" s="13"/>
      <c r="V41" s="13"/>
      <c r="W41" s="98"/>
      <c r="X41" s="101"/>
      <c r="Y41" s="280"/>
      <c r="Z41" s="105"/>
      <c r="AA41" s="25"/>
      <c r="AB41" s="25">
        <v>1</v>
      </c>
      <c r="AC41" s="25"/>
      <c r="AD41" s="24"/>
      <c r="AE41" s="100"/>
      <c r="AF41" s="25"/>
      <c r="AG41" s="25"/>
      <c r="AH41" s="285"/>
      <c r="AI41" s="100"/>
      <c r="AJ41" s="279"/>
      <c r="AK41" s="105"/>
      <c r="AL41" s="25"/>
      <c r="AM41" s="25"/>
      <c r="AN41" s="25"/>
      <c r="AO41" s="24"/>
      <c r="AP41" s="100"/>
      <c r="AQ41" s="25"/>
      <c r="AR41" s="25"/>
      <c r="AS41" s="285"/>
      <c r="AT41" s="100"/>
      <c r="AU41" s="279"/>
      <c r="AV41" s="105"/>
      <c r="AW41" s="25"/>
      <c r="AX41" s="25"/>
      <c r="AY41" s="25"/>
      <c r="AZ41" s="24"/>
      <c r="BA41" s="100"/>
      <c r="BB41" s="100"/>
      <c r="BC41" s="100"/>
      <c r="BD41" s="25"/>
      <c r="BE41" s="25"/>
      <c r="BF41" s="285"/>
      <c r="BG41" s="100"/>
      <c r="BH41" s="279"/>
      <c r="BI41" s="266" t="s">
        <v>1506</v>
      </c>
      <c r="BJ41" s="310" t="s">
        <v>1507</v>
      </c>
      <c r="BK41" s="267" t="s">
        <v>1519</v>
      </c>
      <c r="BL41" s="267" t="s">
        <v>1487</v>
      </c>
    </row>
    <row r="42" spans="1:64" s="109" customFormat="1" ht="15" customHeight="1" thickBot="1" x14ac:dyDescent="0.3">
      <c r="A42" s="23"/>
      <c r="B42" s="20"/>
      <c r="C42" s="13"/>
      <c r="D42" s="287"/>
      <c r="E42" s="287"/>
      <c r="F42" s="111"/>
      <c r="G42" s="111"/>
      <c r="H42" s="111"/>
      <c r="I42" s="13"/>
      <c r="J42" s="287"/>
      <c r="K42" s="287"/>
      <c r="L42" s="111"/>
      <c r="M42" s="280"/>
      <c r="N42" s="105"/>
      <c r="O42" s="25"/>
      <c r="P42" s="288"/>
      <c r="Q42" s="288"/>
      <c r="R42" s="24"/>
      <c r="S42" s="100"/>
      <c r="T42" s="100"/>
      <c r="U42" s="25"/>
      <c r="V42" s="288"/>
      <c r="W42" s="449"/>
      <c r="X42" s="100"/>
      <c r="Y42" s="279"/>
      <c r="Z42" s="301"/>
      <c r="AA42" s="281"/>
      <c r="AB42" s="317"/>
      <c r="AC42" s="472" t="s">
        <v>1086</v>
      </c>
      <c r="AD42" s="282"/>
      <c r="AE42" s="351"/>
      <c r="AF42" s="281"/>
      <c r="AG42" s="317"/>
      <c r="AH42" s="330"/>
      <c r="AI42" s="351"/>
      <c r="AJ42" s="302"/>
      <c r="AK42" s="301"/>
      <c r="AL42" s="281"/>
      <c r="AM42" s="317"/>
      <c r="AN42" s="472"/>
      <c r="AO42" s="282"/>
      <c r="AP42" s="351"/>
      <c r="AQ42" s="281"/>
      <c r="AR42" s="317"/>
      <c r="AS42" s="330"/>
      <c r="AT42" s="351"/>
      <c r="AU42" s="302"/>
      <c r="AV42" s="301"/>
      <c r="AW42" s="281"/>
      <c r="AX42" s="317"/>
      <c r="AY42" s="472"/>
      <c r="AZ42" s="282"/>
      <c r="BA42" s="351"/>
      <c r="BB42" s="351"/>
      <c r="BC42" s="351"/>
      <c r="BD42" s="281"/>
      <c r="BE42" s="317"/>
      <c r="BF42" s="330"/>
      <c r="BG42" s="351"/>
      <c r="BH42" s="302"/>
      <c r="BI42" s="266" t="s">
        <v>1098</v>
      </c>
      <c r="BJ42" s="310" t="s">
        <v>1508</v>
      </c>
      <c r="BK42" s="267" t="s">
        <v>1520</v>
      </c>
      <c r="BL42" s="267" t="s">
        <v>1099</v>
      </c>
    </row>
    <row r="43" spans="1:64" s="109" customFormat="1" ht="15.75" thickTop="1" x14ac:dyDescent="0.25">
      <c r="A43" s="23"/>
      <c r="B43" s="14"/>
      <c r="C43" s="13"/>
      <c r="D43" s="13"/>
      <c r="E43" s="13"/>
      <c r="F43" s="111"/>
      <c r="G43" s="111"/>
      <c r="H43" s="111"/>
      <c r="I43" s="13"/>
      <c r="J43" s="13"/>
      <c r="K43" s="13"/>
      <c r="L43" s="111"/>
      <c r="M43" s="308"/>
      <c r="N43" s="274"/>
      <c r="O43" s="275"/>
      <c r="P43" s="275"/>
      <c r="Q43" s="275"/>
      <c r="R43" s="276"/>
      <c r="S43" s="276"/>
      <c r="T43" s="276"/>
      <c r="U43" s="275"/>
      <c r="V43" s="275"/>
      <c r="W43" s="275"/>
      <c r="X43" s="276"/>
      <c r="Y43" s="277"/>
      <c r="Z43" s="274"/>
      <c r="AA43" s="275"/>
      <c r="AB43" s="275"/>
      <c r="AC43" s="275"/>
      <c r="AD43" s="276"/>
      <c r="AE43" s="276"/>
      <c r="AF43" s="275"/>
      <c r="AG43" s="275"/>
      <c r="AH43" s="275"/>
      <c r="AI43" s="276"/>
      <c r="AJ43" s="277"/>
      <c r="AK43" s="20"/>
      <c r="AL43" s="13"/>
      <c r="AM43" s="103"/>
      <c r="AN43" s="13"/>
      <c r="AO43" s="111">
        <v>1</v>
      </c>
      <c r="AP43" s="111"/>
      <c r="AQ43" s="13"/>
      <c r="AR43" s="103"/>
      <c r="AS43" s="103"/>
      <c r="AT43" s="111"/>
      <c r="AU43" s="280">
        <v>1</v>
      </c>
      <c r="AV43" s="20"/>
      <c r="AW43" s="13"/>
      <c r="AX43" s="103"/>
      <c r="AY43" s="13"/>
      <c r="AZ43" s="111"/>
      <c r="BA43" s="111"/>
      <c r="BB43" s="111"/>
      <c r="BC43" s="111"/>
      <c r="BD43" s="13"/>
      <c r="BE43" s="103"/>
      <c r="BF43" s="103"/>
      <c r="BG43" s="111"/>
      <c r="BH43" s="280"/>
      <c r="BI43" s="266" t="s">
        <v>1102</v>
      </c>
      <c r="BJ43" s="310" t="str">
        <f>CONCATENATE("Acceder al sistema Gemma con usuario y perfil activo para la funcionalidad modulo Maestro - Mensajes Tramos, hacer clic en el boton ",IF(AU43=1,$AU$2,""), IF(AK43=1,$AK$3,"")," ",IF(AL43=1,$AL$3,""),"",IF(AM43=1,$AM$3,""),"sin valores en Tramos de Descripcion, en el filtro ", IF(AH43=1,$AH$2,"")," ",IF(AI43=1,$AI$2,"")," ")</f>
        <v xml:space="preserve">Acceder al sistema Gemma con usuario y perfil activo para la funcionalidad modulo Maestro - Mensajes Tramos, hacer clic en el boton Exportar Excel  sin valores en Tramos de Descripcion, en el filtro   </v>
      </c>
      <c r="BK43" s="267" t="s">
        <v>1524</v>
      </c>
      <c r="BL43" s="267" t="s">
        <v>1008</v>
      </c>
    </row>
    <row r="44" spans="1:64" s="109" customFormat="1" x14ac:dyDescent="0.25">
      <c r="A44" s="23"/>
      <c r="B44" s="14"/>
      <c r="C44" s="13"/>
      <c r="D44" s="13"/>
      <c r="E44" s="13"/>
      <c r="F44" s="111"/>
      <c r="G44" s="111"/>
      <c r="H44" s="111"/>
      <c r="I44" s="13"/>
      <c r="J44" s="13"/>
      <c r="K44" s="13"/>
      <c r="L44" s="111"/>
      <c r="M44" s="308"/>
      <c r="N44" s="299"/>
      <c r="O44" s="25"/>
      <c r="P44" s="25"/>
      <c r="Q44" s="25"/>
      <c r="R44" s="24"/>
      <c r="S44" s="24"/>
      <c r="T44" s="24"/>
      <c r="U44" s="25"/>
      <c r="V44" s="25"/>
      <c r="W44" s="25"/>
      <c r="X44" s="24"/>
      <c r="Y44" s="283"/>
      <c r="Z44" s="299"/>
      <c r="AA44" s="25"/>
      <c r="AB44" s="25"/>
      <c r="AC44" s="25"/>
      <c r="AD44" s="24"/>
      <c r="AE44" s="24"/>
      <c r="AF44" s="25"/>
      <c r="AG44" s="25"/>
      <c r="AH44" s="25"/>
      <c r="AI44" s="24"/>
      <c r="AJ44" s="283"/>
      <c r="AK44" s="20">
        <v>1</v>
      </c>
      <c r="AL44" s="13"/>
      <c r="AM44" s="103"/>
      <c r="AN44" s="13"/>
      <c r="AO44" s="111"/>
      <c r="AP44" s="111">
        <v>1</v>
      </c>
      <c r="AQ44" s="13">
        <v>1</v>
      </c>
      <c r="AR44" s="103"/>
      <c r="AS44" s="103"/>
      <c r="AT44" s="111"/>
      <c r="AU44" s="280"/>
      <c r="AV44" s="20"/>
      <c r="AW44" s="13"/>
      <c r="AX44" s="103"/>
      <c r="AY44" s="13"/>
      <c r="AZ44" s="111"/>
      <c r="BA44" s="111"/>
      <c r="BB44" s="111"/>
      <c r="BC44" s="111"/>
      <c r="BD44" s="13"/>
      <c r="BE44" s="103"/>
      <c r="BF44" s="103"/>
      <c r="BG44" s="111"/>
      <c r="BH44" s="280"/>
      <c r="BI44" s="266" t="s">
        <v>1103</v>
      </c>
      <c r="BJ44" s="310" t="str">
        <f>CONCATENATE("Acceder al sistema Gemma con usuario y perfil activo para la funcionalidad modulo Maestro - Mensajes Tramos, hacer clic en el boton ",IF(AU44=1,$AU$2,""), IF(AK44=1,$AK$3,"")," ",IF(AL44=1,$AL$3,""),"",IF(AM44=1,$AM$3,"")," ",IF(AN44=1,$AN$4,"")," ",IF(AO44=1,$AO$4,""), "nuevo regristo, y luego presionar Confirmar  ", IF(AH44=1,$AH$2,"")," ",IF(AI44=1,$AI$2,"")," ")</f>
        <v xml:space="preserve">Acceder al sistema Gemma con usuario y perfil activo para la funcionalidad modulo Maestro - Mensajes Tramos, hacer clic en el boton Agregar   nuevo regristo, y luego presionar Confirmar    </v>
      </c>
      <c r="BK44" s="267" t="s">
        <v>1525</v>
      </c>
      <c r="BL44" s="267" t="s">
        <v>1097</v>
      </c>
    </row>
    <row r="45" spans="1:64" s="109" customFormat="1" x14ac:dyDescent="0.25">
      <c r="A45" s="23"/>
      <c r="B45" s="14"/>
      <c r="C45" s="13"/>
      <c r="D45" s="13"/>
      <c r="E45" s="13"/>
      <c r="F45" s="111"/>
      <c r="G45" s="111"/>
      <c r="H45" s="111"/>
      <c r="I45" s="13"/>
      <c r="J45" s="13"/>
      <c r="K45" s="13"/>
      <c r="L45" s="111"/>
      <c r="M45" s="308"/>
      <c r="N45" s="14"/>
      <c r="O45" s="13"/>
      <c r="P45" s="13"/>
      <c r="Q45" s="13"/>
      <c r="R45" s="111"/>
      <c r="S45" s="111"/>
      <c r="T45" s="111"/>
      <c r="U45" s="13"/>
      <c r="V45" s="13"/>
      <c r="W45" s="13"/>
      <c r="X45" s="111"/>
      <c r="Y45" s="112"/>
      <c r="Z45" s="14"/>
      <c r="AA45" s="13"/>
      <c r="AB45" s="13"/>
      <c r="AC45" s="13"/>
      <c r="AD45" s="111"/>
      <c r="AE45" s="111"/>
      <c r="AF45" s="13"/>
      <c r="AG45" s="13"/>
      <c r="AH45" s="13"/>
      <c r="AI45" s="111"/>
      <c r="AJ45" s="112"/>
      <c r="AK45" s="20"/>
      <c r="AL45" s="13">
        <v>1</v>
      </c>
      <c r="AM45" s="103"/>
      <c r="AN45" s="13">
        <v>1</v>
      </c>
      <c r="AO45" s="111"/>
      <c r="AP45" s="111">
        <v>1</v>
      </c>
      <c r="AQ45" s="13">
        <v>1</v>
      </c>
      <c r="AR45" s="103"/>
      <c r="AS45" s="103"/>
      <c r="AT45" s="111"/>
      <c r="AU45" s="280"/>
      <c r="AV45" s="20"/>
      <c r="AW45" s="13"/>
      <c r="AX45" s="103"/>
      <c r="AY45" s="13"/>
      <c r="AZ45" s="111"/>
      <c r="BA45" s="111"/>
      <c r="BB45" s="111"/>
      <c r="BC45" s="111"/>
      <c r="BD45" s="13"/>
      <c r="BE45" s="103"/>
      <c r="BF45" s="103"/>
      <c r="BG45" s="111"/>
      <c r="BH45" s="280"/>
      <c r="BI45" s="266" t="s">
        <v>1104</v>
      </c>
      <c r="BJ45" s="310" t="str">
        <f>CONCATENATE("Acceder al sistema Gemma con usuario y perfil activo para la funcionalidad modulo Maestro - Mensajes Tramos, hacer clic en el boton ",IF(AU45=1,$AU$2,""), IF(AK45=1,$AK$3,"")," ",IF(AL45=1,$AL$3,""),"",IF(AM45=1,$AM$3,"")," buscado con la Descripcion en el filtro, y presionar Confirmar ", IF(AH45=1,$AH$2,"")," ",IF(AI45=1,$AI$2,"")," ")</f>
        <v xml:space="preserve">Acceder al sistema Gemma con usuario y perfil activo para la funcionalidad modulo Maestro - Mensajes Tramos, hacer clic en el boton  Modificar buscado con la Descripcion en el filtro, y presionar Confirmar   </v>
      </c>
      <c r="BK45" s="267" t="s">
        <v>1526</v>
      </c>
      <c r="BL45" s="267" t="s">
        <v>1009</v>
      </c>
    </row>
    <row r="46" spans="1:64" s="109" customFormat="1" x14ac:dyDescent="0.25">
      <c r="A46" s="23"/>
      <c r="B46" s="14"/>
      <c r="C46" s="13"/>
      <c r="D46" s="13"/>
      <c r="E46" s="13"/>
      <c r="F46" s="111"/>
      <c r="G46" s="111"/>
      <c r="H46" s="111"/>
      <c r="I46" s="13"/>
      <c r="J46" s="13"/>
      <c r="K46" s="13"/>
      <c r="L46" s="111"/>
      <c r="M46" s="308"/>
      <c r="N46" s="14"/>
      <c r="O46" s="13"/>
      <c r="P46" s="13"/>
      <c r="Q46" s="13"/>
      <c r="R46" s="111"/>
      <c r="S46" s="111"/>
      <c r="T46" s="111"/>
      <c r="U46" s="13"/>
      <c r="V46" s="13"/>
      <c r="W46" s="13"/>
      <c r="X46" s="111"/>
      <c r="Y46" s="112"/>
      <c r="Z46" s="14"/>
      <c r="AA46" s="13"/>
      <c r="AB46" s="13"/>
      <c r="AC46" s="13"/>
      <c r="AD46" s="111"/>
      <c r="AE46" s="111"/>
      <c r="AF46" s="13"/>
      <c r="AG46" s="13"/>
      <c r="AH46" s="13"/>
      <c r="AI46" s="111"/>
      <c r="AJ46" s="112"/>
      <c r="AK46" s="20"/>
      <c r="AL46" s="13">
        <v>1</v>
      </c>
      <c r="AM46" s="103"/>
      <c r="AN46" s="13"/>
      <c r="AO46" s="111">
        <v>1</v>
      </c>
      <c r="AP46" s="111">
        <v>1</v>
      </c>
      <c r="AQ46" s="13">
        <v>1</v>
      </c>
      <c r="AR46" s="103"/>
      <c r="AS46" s="103"/>
      <c r="AT46" s="111"/>
      <c r="AU46" s="280"/>
      <c r="AV46" s="20"/>
      <c r="AW46" s="13"/>
      <c r="AX46" s="103"/>
      <c r="AY46" s="13"/>
      <c r="AZ46" s="111"/>
      <c r="BA46" s="111"/>
      <c r="BB46" s="111"/>
      <c r="BC46" s="111"/>
      <c r="BD46" s="13"/>
      <c r="BE46" s="103"/>
      <c r="BF46" s="103"/>
      <c r="BG46" s="111"/>
      <c r="BH46" s="280"/>
      <c r="BI46" s="266" t="s">
        <v>1105</v>
      </c>
      <c r="BJ46" s="310" t="str">
        <f>CONCATENATE("Acceder al sistema Gemma con usuario y perfil activo para la funcionalidad modulo Maestro - Mensajes Tramos, hacer clic en el boton ",IF(AU46=1,$AU$2,""), IF(AK46=1,$AK$3,"")," ",IF(AL46=1,$AL$3,""),"",IF(AM46=1,$AM$3,"")," tomando un valor de la tabla resumen, presionar Confirmar ", IF(AH46=1,$AH$2,"")," ",IF(AI46=1,$AI$2,"")," ")</f>
        <v xml:space="preserve">Acceder al sistema Gemma con usuario y perfil activo para la funcionalidad modulo Maestro - Mensajes Tramos, hacer clic en el boton  Modificar tomando un valor de la tabla resumen, presionar Confirmar   </v>
      </c>
      <c r="BK46" s="267" t="s">
        <v>1527</v>
      </c>
      <c r="BL46" s="267" t="s">
        <v>1010</v>
      </c>
    </row>
    <row r="47" spans="1:64" s="109" customFormat="1" x14ac:dyDescent="0.25">
      <c r="A47" s="23"/>
      <c r="B47" s="14"/>
      <c r="C47" s="13"/>
      <c r="D47" s="13"/>
      <c r="E47" s="13"/>
      <c r="F47" s="111"/>
      <c r="G47" s="111"/>
      <c r="H47" s="111"/>
      <c r="I47" s="13"/>
      <c r="J47" s="13"/>
      <c r="K47" s="13"/>
      <c r="L47" s="111"/>
      <c r="M47" s="308"/>
      <c r="N47" s="14"/>
      <c r="O47" s="13"/>
      <c r="P47" s="13"/>
      <c r="Q47" s="13"/>
      <c r="R47" s="111"/>
      <c r="S47" s="111"/>
      <c r="T47" s="111"/>
      <c r="U47" s="13"/>
      <c r="V47" s="13"/>
      <c r="W47" s="13"/>
      <c r="X47" s="111"/>
      <c r="Y47" s="112"/>
      <c r="Z47" s="14"/>
      <c r="AA47" s="13"/>
      <c r="AB47" s="13"/>
      <c r="AC47" s="13"/>
      <c r="AD47" s="111"/>
      <c r="AE47" s="111"/>
      <c r="AF47" s="13"/>
      <c r="AG47" s="13"/>
      <c r="AH47" s="13"/>
      <c r="AI47" s="111"/>
      <c r="AJ47" s="112"/>
      <c r="AK47" s="20"/>
      <c r="AL47" s="13"/>
      <c r="AM47" s="13">
        <v>1</v>
      </c>
      <c r="AN47" s="13">
        <v>1</v>
      </c>
      <c r="AO47" s="111"/>
      <c r="AP47" s="111"/>
      <c r="AQ47" s="13">
        <v>1</v>
      </c>
      <c r="AR47" s="13"/>
      <c r="AS47" s="13"/>
      <c r="AT47" s="111"/>
      <c r="AU47" s="280"/>
      <c r="AV47" s="20"/>
      <c r="AW47" s="13"/>
      <c r="AX47" s="13"/>
      <c r="AY47" s="13"/>
      <c r="AZ47" s="111"/>
      <c r="BA47" s="111"/>
      <c r="BB47" s="111"/>
      <c r="BC47" s="111"/>
      <c r="BD47" s="13"/>
      <c r="BE47" s="13"/>
      <c r="BF47" s="13"/>
      <c r="BG47" s="111"/>
      <c r="BH47" s="280"/>
      <c r="BI47" s="266" t="s">
        <v>1106</v>
      </c>
      <c r="BJ47" s="310" t="str">
        <f>CONCATENATE("Acceder al sistema Gemma con usuario y perfil activo para la funcionalidad modulo Maestro - Mensajes Tramos, hacer clic en el boton ",IF(AU47=1,$AU$2,""), IF(AK47=1,$AK$3,"")," ",IF(AL47=1,$AL$3,""),"",IF(AM47=1,$AM$3,""), " buscando con la Descripcion en el filtro, y presionar Confirmar", IF(AH47=1,$AH$2,"")," ",IF(AI47=1,$AI$2,"")," ")</f>
        <v xml:space="preserve">Acceder al sistema Gemma con usuario y perfil activo para la funcionalidad modulo Maestro - Mensajes Tramos, hacer clic en el boton  Eliminar buscando con la Descripcion en el filtro, y presionar Confirmar  </v>
      </c>
      <c r="BK47" s="267" t="s">
        <v>1528</v>
      </c>
      <c r="BL47" s="267" t="s">
        <v>1011</v>
      </c>
    </row>
    <row r="48" spans="1:64" s="109" customFormat="1" x14ac:dyDescent="0.25">
      <c r="A48" s="23"/>
      <c r="B48" s="14"/>
      <c r="C48" s="13"/>
      <c r="D48" s="13"/>
      <c r="E48" s="13"/>
      <c r="F48" s="111"/>
      <c r="G48" s="111"/>
      <c r="H48" s="111"/>
      <c r="I48" s="13"/>
      <c r="J48" s="13"/>
      <c r="K48" s="13"/>
      <c r="L48" s="111"/>
      <c r="M48" s="308"/>
      <c r="N48" s="14"/>
      <c r="O48" s="13"/>
      <c r="P48" s="13"/>
      <c r="Q48" s="13"/>
      <c r="R48" s="111"/>
      <c r="S48" s="111"/>
      <c r="T48" s="111"/>
      <c r="U48" s="13"/>
      <c r="V48" s="13"/>
      <c r="W48" s="13"/>
      <c r="X48" s="111"/>
      <c r="Y48" s="112"/>
      <c r="Z48" s="14"/>
      <c r="AA48" s="13"/>
      <c r="AB48" s="13"/>
      <c r="AC48" s="13"/>
      <c r="AD48" s="111"/>
      <c r="AE48" s="111"/>
      <c r="AF48" s="13"/>
      <c r="AG48" s="13"/>
      <c r="AH48" s="13"/>
      <c r="AI48" s="111"/>
      <c r="AJ48" s="112"/>
      <c r="AK48" s="20"/>
      <c r="AL48" s="13"/>
      <c r="AM48" s="13">
        <v>1</v>
      </c>
      <c r="AN48" s="13"/>
      <c r="AO48" s="111">
        <v>1</v>
      </c>
      <c r="AP48" s="111"/>
      <c r="AQ48" s="13">
        <v>1</v>
      </c>
      <c r="AR48" s="13"/>
      <c r="AS48" s="13"/>
      <c r="AT48" s="111"/>
      <c r="AU48" s="280"/>
      <c r="AV48" s="20"/>
      <c r="AW48" s="13"/>
      <c r="AX48" s="13"/>
      <c r="AY48" s="13"/>
      <c r="AZ48" s="111"/>
      <c r="BA48" s="111"/>
      <c r="BB48" s="111"/>
      <c r="BC48" s="111"/>
      <c r="BD48" s="13"/>
      <c r="BE48" s="13"/>
      <c r="BF48" s="13"/>
      <c r="BG48" s="111"/>
      <c r="BH48" s="280"/>
      <c r="BI48" s="266" t="s">
        <v>1107</v>
      </c>
      <c r="BJ48" s="310" t="str">
        <f>CONCATENATE("Acceder al sistema Gemma con usuario y perfil activo para la funcionalidad modulo Maestro - Mensajes Tramos, hacer clic en el boton ",IF(AU48=1,$AU$2,""), IF(AK48=1,$AK$3,"")," ",IF(AL48=1,$AL$3,""),"",IF(AM48=1,$AM$3,"")," tomando un valor de la tabla resumen, presionar Confirmar ", IF(AH48=1,$AH$2,"")," ",IF(AI48=1,$AI$2,"")," ")</f>
        <v xml:space="preserve">Acceder al sistema Gemma con usuario y perfil activo para la funcionalidad modulo Maestro - Mensajes Tramos, hacer clic en el boton  Eliminar tomando un valor de la tabla resumen, presionar Confirmar   </v>
      </c>
      <c r="BK48" s="267" t="s">
        <v>1529</v>
      </c>
      <c r="BL48" s="267" t="s">
        <v>1012</v>
      </c>
    </row>
    <row r="49" spans="1:64" s="109" customFormat="1" x14ac:dyDescent="0.25">
      <c r="A49" s="23"/>
      <c r="B49" s="14"/>
      <c r="C49" s="13"/>
      <c r="D49" s="13"/>
      <c r="E49" s="13"/>
      <c r="F49" s="111"/>
      <c r="G49" s="111"/>
      <c r="H49" s="111"/>
      <c r="I49" s="13"/>
      <c r="J49" s="13"/>
      <c r="K49" s="13"/>
      <c r="L49" s="111"/>
      <c r="M49" s="308"/>
      <c r="N49" s="14"/>
      <c r="O49" s="13"/>
      <c r="P49" s="13"/>
      <c r="Q49" s="13"/>
      <c r="R49" s="111"/>
      <c r="S49" s="111"/>
      <c r="T49" s="111"/>
      <c r="U49" s="13"/>
      <c r="V49" s="13"/>
      <c r="W49" s="13"/>
      <c r="X49" s="111"/>
      <c r="Y49" s="112"/>
      <c r="Z49" s="14"/>
      <c r="AA49" s="13"/>
      <c r="AB49" s="13"/>
      <c r="AC49" s="13"/>
      <c r="AD49" s="111"/>
      <c r="AE49" s="111"/>
      <c r="AF49" s="13"/>
      <c r="AG49" s="13"/>
      <c r="AH49" s="13"/>
      <c r="AI49" s="111"/>
      <c r="AJ49" s="112"/>
      <c r="AK49" s="291"/>
      <c r="AL49" s="272">
        <v>1</v>
      </c>
      <c r="AM49" s="272"/>
      <c r="AN49" s="272">
        <v>1</v>
      </c>
      <c r="AO49" s="273"/>
      <c r="AP49" s="273"/>
      <c r="AQ49" s="272">
        <v>1</v>
      </c>
      <c r="AR49" s="272"/>
      <c r="AS49" s="272"/>
      <c r="AT49" s="273">
        <v>1</v>
      </c>
      <c r="AU49" s="316"/>
      <c r="AV49" s="291"/>
      <c r="AW49" s="272"/>
      <c r="AX49" s="272"/>
      <c r="AY49" s="272"/>
      <c r="AZ49" s="273"/>
      <c r="BA49" s="273"/>
      <c r="BB49" s="273"/>
      <c r="BC49" s="273"/>
      <c r="BD49" s="272"/>
      <c r="BE49" s="272"/>
      <c r="BF49" s="272"/>
      <c r="BG49" s="273"/>
      <c r="BH49" s="316"/>
      <c r="BI49" s="266" t="s">
        <v>1108</v>
      </c>
      <c r="BJ49" s="310" t="str">
        <f>CONCATENATE("Acceder al sistema Gemma con usuario y perfil activo para la funcionalidad modulo Maestro - Mensajes Tramos, al buscar la Descripcion en el filtro, hacer clic en el enlace  ",IF(AT49=1,$AT$2,"")," ",IF(AU49=1,$AU$2,""), IF(AK49=1,$AK$3,"")," presionar el boton ",IF(AL49=1,$AL$3,""),"",IF(AM49=1,$AM$3,""),"  y Confirmar",IF(AO49=1,$AO$4,""), "  ", IF(AS49=1,$AS$2,"")," ")</f>
        <v xml:space="preserve">Acceder al sistema Gemma con usuario y perfil activo para la funcionalidad modulo Maestro - Mensajes Tramos, al buscar la Descripcion en el filtro, hacer clic en el enlace  Link Descripcion  presionar el boton Modificar  y Confirmar   </v>
      </c>
      <c r="BK49" s="267" t="s">
        <v>1530</v>
      </c>
      <c r="BL49" s="267" t="s">
        <v>1081</v>
      </c>
    </row>
    <row r="50" spans="1:64" s="109" customFormat="1" x14ac:dyDescent="0.25">
      <c r="A50" s="23"/>
      <c r="B50" s="14"/>
      <c r="C50" s="13"/>
      <c r="D50" s="13"/>
      <c r="E50" s="13"/>
      <c r="F50" s="111"/>
      <c r="G50" s="111"/>
      <c r="H50" s="111"/>
      <c r="I50" s="13"/>
      <c r="J50" s="13"/>
      <c r="K50" s="13"/>
      <c r="L50" s="111"/>
      <c r="M50" s="308"/>
      <c r="N50" s="14"/>
      <c r="O50" s="13"/>
      <c r="P50" s="13"/>
      <c r="Q50" s="13"/>
      <c r="R50" s="111"/>
      <c r="S50" s="111"/>
      <c r="T50" s="111"/>
      <c r="U50" s="13"/>
      <c r="V50" s="13"/>
      <c r="W50" s="13"/>
      <c r="X50" s="111"/>
      <c r="Y50" s="112"/>
      <c r="Z50" s="14"/>
      <c r="AA50" s="13"/>
      <c r="AB50" s="13"/>
      <c r="AC50" s="13"/>
      <c r="AD50" s="111"/>
      <c r="AE50" s="111"/>
      <c r="AF50" s="13"/>
      <c r="AG50" s="13"/>
      <c r="AH50" s="13"/>
      <c r="AI50" s="111"/>
      <c r="AJ50" s="112"/>
      <c r="AK50" s="291"/>
      <c r="AL50" s="272">
        <v>1</v>
      </c>
      <c r="AM50" s="272"/>
      <c r="AN50" s="272"/>
      <c r="AO50" s="273">
        <v>1</v>
      </c>
      <c r="AP50" s="297"/>
      <c r="AQ50" s="272">
        <v>1</v>
      </c>
      <c r="AR50" s="272"/>
      <c r="AS50" s="326"/>
      <c r="AT50" s="297">
        <v>1</v>
      </c>
      <c r="AU50" s="316"/>
      <c r="AV50" s="291"/>
      <c r="AW50" s="272"/>
      <c r="AX50" s="272"/>
      <c r="AY50" s="272"/>
      <c r="AZ50" s="273"/>
      <c r="BA50" s="297"/>
      <c r="BB50" s="297"/>
      <c r="BC50" s="297"/>
      <c r="BD50" s="272"/>
      <c r="BE50" s="272"/>
      <c r="BF50" s="326"/>
      <c r="BG50" s="297"/>
      <c r="BH50" s="316"/>
      <c r="BI50" s="266" t="s">
        <v>1109</v>
      </c>
      <c r="BJ50" s="310" t="str">
        <f>CONCATENATE("Acceder al sistema Gemma con usuario y perfil activo para la funcionalidad modulo Maestro - Mensajes Tramos, tomando una Descripcion de la tabla resumen, hacer clic en el enlace ",IF(AT50=1,$AT$2,""),IF(AU50=1,$AU$2,""), IF(AK50=1,$AK$3,"")," presionar ",IF(AL50=1,$AL$3,""),"",IF(AM50=1,$AM$3,"")," ", " y confirmar", IF(AS50=1,$AS$2,""),"")</f>
        <v>Acceder al sistema Gemma con usuario y perfil activo para la funcionalidad modulo Maestro - Mensajes Tramos, tomando una Descripcion de la tabla resumen, hacer clic en el enlace Link Descripcion presionar Modificar  y confirmar</v>
      </c>
      <c r="BK50" s="267" t="s">
        <v>1531</v>
      </c>
      <c r="BL50" s="267" t="s">
        <v>1082</v>
      </c>
    </row>
    <row r="51" spans="1:64" s="109" customFormat="1" x14ac:dyDescent="0.25">
      <c r="A51" s="23"/>
      <c r="B51" s="14"/>
      <c r="C51" s="13"/>
      <c r="D51" s="13"/>
      <c r="E51" s="13"/>
      <c r="F51" s="111"/>
      <c r="G51" s="111"/>
      <c r="H51" s="111"/>
      <c r="I51" s="13"/>
      <c r="J51" s="13"/>
      <c r="K51" s="13"/>
      <c r="L51" s="111"/>
      <c r="M51" s="308"/>
      <c r="N51" s="14"/>
      <c r="O51" s="13"/>
      <c r="P51" s="13"/>
      <c r="Q51" s="13"/>
      <c r="R51" s="111"/>
      <c r="S51" s="111"/>
      <c r="T51" s="111"/>
      <c r="U51" s="13"/>
      <c r="V51" s="13"/>
      <c r="W51" s="13"/>
      <c r="X51" s="111"/>
      <c r="Y51" s="112"/>
      <c r="Z51" s="14"/>
      <c r="AA51" s="13"/>
      <c r="AB51" s="13"/>
      <c r="AC51" s="13"/>
      <c r="AD51" s="111"/>
      <c r="AE51" s="111"/>
      <c r="AF51" s="13"/>
      <c r="AG51" s="13"/>
      <c r="AH51" s="13"/>
      <c r="AI51" s="111"/>
      <c r="AJ51" s="112"/>
      <c r="AK51" s="291"/>
      <c r="AL51" s="272"/>
      <c r="AM51" s="272">
        <v>1</v>
      </c>
      <c r="AN51" s="272">
        <v>1</v>
      </c>
      <c r="AO51" s="273"/>
      <c r="AP51" s="297"/>
      <c r="AQ51" s="272">
        <v>1</v>
      </c>
      <c r="AR51" s="272"/>
      <c r="AS51" s="326"/>
      <c r="AT51" s="297">
        <v>1</v>
      </c>
      <c r="AU51" s="316"/>
      <c r="AV51" s="291"/>
      <c r="AW51" s="272"/>
      <c r="AX51" s="272"/>
      <c r="AY51" s="272"/>
      <c r="AZ51" s="273"/>
      <c r="BA51" s="297"/>
      <c r="BB51" s="297"/>
      <c r="BC51" s="297"/>
      <c r="BD51" s="272"/>
      <c r="BE51" s="272"/>
      <c r="BF51" s="326"/>
      <c r="BG51" s="297"/>
      <c r="BH51" s="316"/>
      <c r="BI51" s="266" t="s">
        <v>1110</v>
      </c>
      <c r="BJ51" s="310" t="str">
        <f>CONCATENATE("Acceder al sistema Gemma con usuario y perfil activo para la funcionalidad modulo Maestro - Mensajes Tramos, al buscar la Descripcion en el filtro, hacer clic en el enlace  ",IF(AT51=1,$AT$2,"")," ",IF(AU51=1,$AU$2,""), IF(AK51=1,$AK$3,"")," presionar el boton ",IF(AL51=1,$AL$3,""),"",IF(AM51=1,$AM$3,""),"  y Confirmar",IF(AO51=1,$AO$4,""), "  ", IF(AS51=1,$AS$2,"")," ")</f>
        <v xml:space="preserve">Acceder al sistema Gemma con usuario y perfil activo para la funcionalidad modulo Maestro - Mensajes Tramos, al buscar la Descripcion en el filtro, hacer clic en el enlace  Link Descripcion  presionar el boton Eliminar  y Confirmar   </v>
      </c>
      <c r="BK51" s="267" t="s">
        <v>1532</v>
      </c>
      <c r="BL51" s="267" t="s">
        <v>1083</v>
      </c>
    </row>
    <row r="52" spans="1:64" s="109" customFormat="1" ht="15.75" thickBot="1" x14ac:dyDescent="0.3">
      <c r="A52" s="23"/>
      <c r="B52" s="14"/>
      <c r="C52" s="13"/>
      <c r="D52" s="13"/>
      <c r="E52" s="13"/>
      <c r="F52" s="111"/>
      <c r="G52" s="111"/>
      <c r="H52" s="111"/>
      <c r="I52" s="13"/>
      <c r="J52" s="13"/>
      <c r="K52" s="13"/>
      <c r="L52" s="111"/>
      <c r="M52" s="308"/>
      <c r="N52" s="14"/>
      <c r="O52" s="13"/>
      <c r="P52" s="13"/>
      <c r="Q52" s="13"/>
      <c r="R52" s="111"/>
      <c r="S52" s="111"/>
      <c r="T52" s="111"/>
      <c r="U52" s="13"/>
      <c r="V52" s="13"/>
      <c r="W52" s="13"/>
      <c r="X52" s="111"/>
      <c r="Y52" s="112"/>
      <c r="Z52" s="14"/>
      <c r="AA52" s="13"/>
      <c r="AB52" s="13"/>
      <c r="AC52" s="13"/>
      <c r="AD52" s="111"/>
      <c r="AE52" s="111"/>
      <c r="AF52" s="13"/>
      <c r="AG52" s="13"/>
      <c r="AH52" s="13"/>
      <c r="AI52" s="111"/>
      <c r="AJ52" s="112"/>
      <c r="AK52" s="346"/>
      <c r="AL52" s="27"/>
      <c r="AM52" s="27">
        <v>1</v>
      </c>
      <c r="AN52" s="27"/>
      <c r="AO52" s="26">
        <v>1</v>
      </c>
      <c r="AP52" s="349"/>
      <c r="AQ52" s="27">
        <v>1</v>
      </c>
      <c r="AR52" s="27"/>
      <c r="AS52" s="448"/>
      <c r="AT52" s="349">
        <v>1</v>
      </c>
      <c r="AU52" s="347"/>
      <c r="AV52" s="346"/>
      <c r="AW52" s="27"/>
      <c r="AX52" s="27"/>
      <c r="AY52" s="27"/>
      <c r="AZ52" s="26"/>
      <c r="BA52" s="349"/>
      <c r="BB52" s="349"/>
      <c r="BC52" s="349"/>
      <c r="BD52" s="27"/>
      <c r="BE52" s="27"/>
      <c r="BF52" s="448"/>
      <c r="BG52" s="349"/>
      <c r="BH52" s="347"/>
      <c r="BI52" s="266" t="s">
        <v>1111</v>
      </c>
      <c r="BJ52" s="310" t="str">
        <f>CONCATENATE("Acceder al sistema Gemma con usuario y perfil activo para la funcionalidad modulo Maestro - Mensajes Tramos, tomando una Descripcion de la tabla resumen, hacer clic en el enlace ",IF(AT52=1,$AT$2,""),IF(AU52=1,$AU$2,""), IF(AK52=1,$AK$3,"")," presionar ",IF(AL52=1,$AL$3,""),"",IF(AM52=1,$AM$3,"")," ", " y confirmar", IF(AS52=1,$AS$2,""),"")</f>
        <v>Acceder al sistema Gemma con usuario y perfil activo para la funcionalidad modulo Maestro - Mensajes Tramos, tomando una Descripcion de la tabla resumen, hacer clic en el enlace Link Descripcion presionar Eliminar  y confirmar</v>
      </c>
      <c r="BK52" s="267" t="s">
        <v>1533</v>
      </c>
      <c r="BL52" s="267" t="s">
        <v>1084</v>
      </c>
    </row>
    <row r="53" spans="1:64" s="109" customFormat="1" ht="15.75" thickTop="1" x14ac:dyDescent="0.25">
      <c r="A53" s="23"/>
      <c r="B53" s="14"/>
      <c r="C53" s="13"/>
      <c r="D53" s="13"/>
      <c r="E53" s="13"/>
      <c r="F53" s="111"/>
      <c r="G53" s="111"/>
      <c r="H53" s="111"/>
      <c r="I53" s="13"/>
      <c r="J53" s="13"/>
      <c r="K53" s="13"/>
      <c r="L53" s="111"/>
      <c r="M53" s="308"/>
      <c r="N53" s="14"/>
      <c r="O53" s="13"/>
      <c r="P53" s="13"/>
      <c r="Q53" s="13"/>
      <c r="R53" s="111"/>
      <c r="S53" s="111"/>
      <c r="T53" s="111"/>
      <c r="U53" s="13"/>
      <c r="V53" s="13"/>
      <c r="W53" s="13"/>
      <c r="X53" s="111"/>
      <c r="Y53" s="112"/>
      <c r="Z53" s="14"/>
      <c r="AA53" s="13"/>
      <c r="AB53" s="13"/>
      <c r="AC53" s="13"/>
      <c r="AD53" s="111"/>
      <c r="AE53" s="111"/>
      <c r="AF53" s="13"/>
      <c r="AG53" s="13"/>
      <c r="AH53" s="13"/>
      <c r="AI53" s="111"/>
      <c r="AJ53" s="112"/>
      <c r="AK53" s="105"/>
      <c r="AL53" s="25"/>
      <c r="AM53" s="25">
        <v>1</v>
      </c>
      <c r="AN53" s="25"/>
      <c r="AO53" s="24"/>
      <c r="AP53" s="100"/>
      <c r="AQ53" s="25"/>
      <c r="AR53" s="25">
        <v>1</v>
      </c>
      <c r="AS53" s="285">
        <v>1</v>
      </c>
      <c r="AT53" s="100">
        <v>1</v>
      </c>
      <c r="AU53" s="279"/>
      <c r="AV53" s="105"/>
      <c r="AW53" s="25"/>
      <c r="AX53" s="25"/>
      <c r="AY53" s="25"/>
      <c r="AZ53" s="24"/>
      <c r="BA53" s="100"/>
      <c r="BB53" s="100"/>
      <c r="BC53" s="100"/>
      <c r="BD53" s="25"/>
      <c r="BE53" s="25"/>
      <c r="BF53" s="285"/>
      <c r="BG53" s="100"/>
      <c r="BH53" s="279"/>
      <c r="BI53" s="266" t="s">
        <v>1523</v>
      </c>
      <c r="BJ53" s="310" t="s">
        <v>1521</v>
      </c>
      <c r="BK53" s="267" t="s">
        <v>1534</v>
      </c>
      <c r="BL53" s="267" t="s">
        <v>1487</v>
      </c>
    </row>
    <row r="54" spans="1:64" s="109" customFormat="1" ht="15.75" thickBot="1" x14ac:dyDescent="0.3">
      <c r="A54" s="23"/>
      <c r="B54" s="303"/>
      <c r="C54" s="281"/>
      <c r="D54" s="281"/>
      <c r="E54" s="281"/>
      <c r="F54" s="282"/>
      <c r="G54" s="282"/>
      <c r="H54" s="282"/>
      <c r="I54" s="281"/>
      <c r="J54" s="281"/>
      <c r="K54" s="281"/>
      <c r="L54" s="282"/>
      <c r="M54" s="474"/>
      <c r="N54" s="303"/>
      <c r="O54" s="281"/>
      <c r="P54" s="281"/>
      <c r="Q54" s="281"/>
      <c r="R54" s="282"/>
      <c r="S54" s="282"/>
      <c r="T54" s="282"/>
      <c r="U54" s="281"/>
      <c r="V54" s="281"/>
      <c r="W54" s="281"/>
      <c r="X54" s="282"/>
      <c r="Y54" s="475"/>
      <c r="Z54" s="303"/>
      <c r="AA54" s="281"/>
      <c r="AB54" s="281"/>
      <c r="AC54" s="281"/>
      <c r="AD54" s="282"/>
      <c r="AE54" s="282"/>
      <c r="AF54" s="281"/>
      <c r="AG54" s="281"/>
      <c r="AH54" s="281"/>
      <c r="AI54" s="282"/>
      <c r="AJ54" s="475"/>
      <c r="AK54" s="301"/>
      <c r="AL54" s="281"/>
      <c r="AM54" s="317"/>
      <c r="AN54" s="472" t="s">
        <v>1086</v>
      </c>
      <c r="AO54" s="282"/>
      <c r="AP54" s="351"/>
      <c r="AQ54" s="281"/>
      <c r="AR54" s="317"/>
      <c r="AS54" s="330"/>
      <c r="AT54" s="351"/>
      <c r="AU54" s="302"/>
      <c r="AV54" s="301"/>
      <c r="AW54" s="281"/>
      <c r="AX54" s="317"/>
      <c r="AY54" s="472"/>
      <c r="AZ54" s="282"/>
      <c r="BA54" s="351"/>
      <c r="BB54" s="351"/>
      <c r="BC54" s="351"/>
      <c r="BD54" s="281"/>
      <c r="BE54" s="317"/>
      <c r="BF54" s="330"/>
      <c r="BG54" s="351"/>
      <c r="BH54" s="302"/>
      <c r="BI54" s="266" t="s">
        <v>1112</v>
      </c>
      <c r="BJ54" s="310" t="s">
        <v>1522</v>
      </c>
      <c r="BK54" s="267" t="s">
        <v>1535</v>
      </c>
      <c r="BL54" s="267" t="s">
        <v>1099</v>
      </c>
    </row>
    <row r="55" spans="1:64" s="109" customFormat="1" ht="15.75" thickTop="1" x14ac:dyDescent="0.25">
      <c r="A55" s="23"/>
      <c r="B55" s="14"/>
      <c r="C55" s="13"/>
      <c r="D55" s="13"/>
      <c r="E55" s="13"/>
      <c r="F55" s="111"/>
      <c r="G55" s="111"/>
      <c r="H55" s="111"/>
      <c r="I55" s="13"/>
      <c r="J55" s="13"/>
      <c r="K55" s="13"/>
      <c r="L55" s="111"/>
      <c r="M55" s="308"/>
      <c r="N55" s="274"/>
      <c r="O55" s="275"/>
      <c r="P55" s="275"/>
      <c r="Q55" s="275"/>
      <c r="R55" s="276"/>
      <c r="S55" s="276"/>
      <c r="T55" s="276"/>
      <c r="U55" s="275"/>
      <c r="V55" s="275"/>
      <c r="W55" s="275"/>
      <c r="X55" s="276"/>
      <c r="Y55" s="277"/>
      <c r="Z55" s="274"/>
      <c r="AA55" s="275"/>
      <c r="AB55" s="275"/>
      <c r="AC55" s="275"/>
      <c r="AD55" s="276"/>
      <c r="AE55" s="276"/>
      <c r="AF55" s="275"/>
      <c r="AG55" s="275"/>
      <c r="AH55" s="275"/>
      <c r="AI55" s="276"/>
      <c r="AJ55" s="277"/>
      <c r="AK55" s="20"/>
      <c r="AL55" s="13"/>
      <c r="AM55" s="103"/>
      <c r="AN55" s="13"/>
      <c r="AO55" s="111"/>
      <c r="AP55" s="111"/>
      <c r="AQ55" s="13"/>
      <c r="AR55" s="103"/>
      <c r="AS55" s="103"/>
      <c r="AT55" s="111"/>
      <c r="AU55" s="280"/>
      <c r="AV55" s="20"/>
      <c r="AW55" s="13"/>
      <c r="AX55" s="103"/>
      <c r="AY55" s="13"/>
      <c r="AZ55" s="111">
        <v>1</v>
      </c>
      <c r="BA55" s="111"/>
      <c r="BB55" s="111"/>
      <c r="BC55" s="111"/>
      <c r="BD55" s="13"/>
      <c r="BE55" s="103"/>
      <c r="BF55" s="103"/>
      <c r="BG55" s="111"/>
      <c r="BH55" s="280">
        <v>1</v>
      </c>
      <c r="BI55" s="266" t="s">
        <v>1115</v>
      </c>
      <c r="BJ55" s="310" t="str">
        <f>CONCATENATE("Acceder al sistema Gemma con usuario y perfil activo para la funcionalidad modulo Maestro - Feriados, hacer clic en el boton ",IF(BH55=1,$BH$2,""),IF(AU55=1,$AU$2,""), IF(AK55=1,$AK$3,"")," ",IF(AL55=1,$AL$3,""),"",IF(AM55=1,$AM$3,""),"sin valores en la Fecha, en el filtro ", ," ",IF(AI55=1,$AI$2,"")," ")</f>
        <v xml:space="preserve">Acceder al sistema Gemma con usuario y perfil activo para la funcionalidad modulo Maestro - Feriados, hacer clic en el boton Exportar Excel  sin valores en la Fecha, en el filtro   </v>
      </c>
      <c r="BK55" s="267" t="s">
        <v>1537</v>
      </c>
      <c r="BL55" s="267" t="s">
        <v>1008</v>
      </c>
    </row>
    <row r="56" spans="1:64" s="109" customFormat="1" x14ac:dyDescent="0.25">
      <c r="A56" s="23"/>
      <c r="B56" s="14"/>
      <c r="C56" s="13"/>
      <c r="D56" s="13"/>
      <c r="E56" s="13"/>
      <c r="F56" s="111"/>
      <c r="G56" s="111"/>
      <c r="H56" s="111"/>
      <c r="I56" s="13"/>
      <c r="J56" s="13"/>
      <c r="K56" s="13"/>
      <c r="L56" s="111"/>
      <c r="M56" s="308"/>
      <c r="N56" s="299"/>
      <c r="O56" s="25"/>
      <c r="P56" s="25"/>
      <c r="Q56" s="25"/>
      <c r="R56" s="24"/>
      <c r="S56" s="24"/>
      <c r="T56" s="24"/>
      <c r="U56" s="25"/>
      <c r="V56" s="25"/>
      <c r="W56" s="25"/>
      <c r="X56" s="24"/>
      <c r="Y56" s="283"/>
      <c r="Z56" s="299"/>
      <c r="AA56" s="25"/>
      <c r="AB56" s="25"/>
      <c r="AC56" s="25"/>
      <c r="AD56" s="24"/>
      <c r="AE56" s="24"/>
      <c r="AF56" s="25"/>
      <c r="AG56" s="25"/>
      <c r="AH56" s="25"/>
      <c r="AI56" s="24"/>
      <c r="AJ56" s="283"/>
      <c r="AK56" s="20"/>
      <c r="AL56" s="13"/>
      <c r="AM56" s="103"/>
      <c r="AN56" s="13"/>
      <c r="AO56" s="111"/>
      <c r="AP56" s="111"/>
      <c r="AQ56" s="13"/>
      <c r="AR56" s="103"/>
      <c r="AS56" s="103"/>
      <c r="AT56" s="111"/>
      <c r="AU56" s="280"/>
      <c r="AV56" s="20">
        <v>1</v>
      </c>
      <c r="AW56" s="13"/>
      <c r="AX56" s="103"/>
      <c r="AY56" s="13"/>
      <c r="AZ56" s="111"/>
      <c r="BA56" s="111">
        <v>1</v>
      </c>
      <c r="BB56" s="111">
        <v>1</v>
      </c>
      <c r="BC56" s="111">
        <v>1</v>
      </c>
      <c r="BD56" s="13">
        <v>1</v>
      </c>
      <c r="BE56" s="103"/>
      <c r="BF56" s="103"/>
      <c r="BG56" s="111"/>
      <c r="BH56" s="280"/>
      <c r="BI56" s="266" t="s">
        <v>1116</v>
      </c>
      <c r="BJ56" s="310" t="str">
        <f>CONCATENATE("Acceder al sistema Gemma con usuario y perfil activo para la funcionalidad modulo Maestro - Feriados, hacer clic en el boton ",IF(AV56=1,$AV$2,""), IF(AK56=1,$AK$3,"")," ",IF(AL56=1,$AL$3,""),"",IF(AM56=1,$AM$3,"")," ",IF(AN56=1,$AN$4,"")," ",IF(AO56=1,$AO$4,""), "nuevo regristo, y luego presionar Confirmar  ", IF(AH56=1,$AH$2,"")," ",IF(AI56=1,$AI$2,"")," ")</f>
        <v xml:space="preserve">Acceder al sistema Gemma con usuario y perfil activo para la funcionalidad modulo Maestro - Feriados, hacer clic en el boton Acción   nuevo regristo, y luego presionar Confirmar    </v>
      </c>
      <c r="BK56" s="267" t="s">
        <v>1538</v>
      </c>
      <c r="BL56" s="267" t="s">
        <v>1097</v>
      </c>
    </row>
    <row r="57" spans="1:64" s="109" customFormat="1" x14ac:dyDescent="0.25">
      <c r="A57" s="23"/>
      <c r="B57" s="14"/>
      <c r="C57" s="13"/>
      <c r="D57" s="13"/>
      <c r="E57" s="13"/>
      <c r="F57" s="111"/>
      <c r="G57" s="111"/>
      <c r="H57" s="111"/>
      <c r="I57" s="13"/>
      <c r="J57" s="13"/>
      <c r="K57" s="13"/>
      <c r="L57" s="111"/>
      <c r="M57" s="308"/>
      <c r="N57" s="14"/>
      <c r="O57" s="13"/>
      <c r="P57" s="13"/>
      <c r="Q57" s="13"/>
      <c r="R57" s="111"/>
      <c r="S57" s="111"/>
      <c r="T57" s="111"/>
      <c r="U57" s="13"/>
      <c r="V57" s="13"/>
      <c r="W57" s="13"/>
      <c r="X57" s="111"/>
      <c r="Y57" s="112"/>
      <c r="Z57" s="14"/>
      <c r="AA57" s="13"/>
      <c r="AB57" s="13"/>
      <c r="AC57" s="13"/>
      <c r="AD57" s="111"/>
      <c r="AE57" s="111"/>
      <c r="AF57" s="13"/>
      <c r="AG57" s="13"/>
      <c r="AH57" s="13"/>
      <c r="AI57" s="111"/>
      <c r="AJ57" s="112"/>
      <c r="AK57" s="20"/>
      <c r="AL57" s="13"/>
      <c r="AM57" s="103"/>
      <c r="AN57" s="13"/>
      <c r="AO57" s="111"/>
      <c r="AP57" s="111"/>
      <c r="AQ57" s="13"/>
      <c r="AR57" s="103"/>
      <c r="AS57" s="103"/>
      <c r="AT57" s="111"/>
      <c r="AU57" s="280"/>
      <c r="AV57" s="20"/>
      <c r="AW57" s="13">
        <v>1</v>
      </c>
      <c r="AX57" s="103"/>
      <c r="AY57" s="13">
        <v>1</v>
      </c>
      <c r="AZ57" s="111"/>
      <c r="BA57" s="111">
        <v>1</v>
      </c>
      <c r="BB57" s="111">
        <v>1</v>
      </c>
      <c r="BC57" s="111"/>
      <c r="BD57" s="13">
        <v>1</v>
      </c>
      <c r="BE57" s="103"/>
      <c r="BF57" s="103"/>
      <c r="BG57" s="111"/>
      <c r="BH57" s="280"/>
      <c r="BI57" s="266" t="s">
        <v>1117</v>
      </c>
      <c r="BJ57" s="310" t="str">
        <f>CONCATENATE("Acceder al sistema Gemma con usuario y perfil activo para la funcionalidad modulo Maestro - Feriados, hacer clic en el boton ",IF(AU57=1,$AU$2,""), IF(AW57=1,$AW$3,"")," ",IF(AL57=1,$AL$3,""),"",IF(AM57=1,$AM$3,"")," buscado con la Descripcion en el filtro, y presionar Confirmar ", IF(AH57=1,$AH$2,"")," ",IF(AI57=1,$AI$2,"")," ")</f>
        <v xml:space="preserve">Acceder al sistema Gemma con usuario y perfil activo para la funcionalidad modulo Maestro - Feriados, hacer clic en el boton Modificar  buscado con la Descripcion en el filtro, y presionar Confirmar   </v>
      </c>
      <c r="BK57" s="267" t="s">
        <v>1539</v>
      </c>
      <c r="BL57" s="267" t="s">
        <v>1009</v>
      </c>
    </row>
    <row r="58" spans="1:64" s="109" customFormat="1" x14ac:dyDescent="0.25">
      <c r="A58" s="23"/>
      <c r="B58" s="14"/>
      <c r="C58" s="13"/>
      <c r="D58" s="13"/>
      <c r="E58" s="13"/>
      <c r="F58" s="111"/>
      <c r="G58" s="111"/>
      <c r="H58" s="111"/>
      <c r="I58" s="13"/>
      <c r="J58" s="13"/>
      <c r="K58" s="13"/>
      <c r="L58" s="111"/>
      <c r="M58" s="308"/>
      <c r="N58" s="14"/>
      <c r="O58" s="13"/>
      <c r="P58" s="13"/>
      <c r="Q58" s="13"/>
      <c r="R58" s="111"/>
      <c r="S58" s="111"/>
      <c r="T58" s="111"/>
      <c r="U58" s="13"/>
      <c r="V58" s="13"/>
      <c r="W58" s="13"/>
      <c r="X58" s="111"/>
      <c r="Y58" s="112"/>
      <c r="Z58" s="14"/>
      <c r="AA58" s="13"/>
      <c r="AB58" s="13"/>
      <c r="AC58" s="13"/>
      <c r="AD58" s="111"/>
      <c r="AE58" s="111"/>
      <c r="AF58" s="13"/>
      <c r="AG58" s="13"/>
      <c r="AH58" s="13"/>
      <c r="AI58" s="111"/>
      <c r="AJ58" s="112"/>
      <c r="AK58" s="20"/>
      <c r="AL58" s="13"/>
      <c r="AM58" s="103"/>
      <c r="AN58" s="13"/>
      <c r="AO58" s="111"/>
      <c r="AP58" s="111"/>
      <c r="AQ58" s="13"/>
      <c r="AR58" s="103"/>
      <c r="AS58" s="103"/>
      <c r="AT58" s="111"/>
      <c r="AU58" s="280"/>
      <c r="AV58" s="20"/>
      <c r="AW58" s="13">
        <v>1</v>
      </c>
      <c r="AX58" s="103"/>
      <c r="AY58" s="13"/>
      <c r="AZ58" s="111">
        <v>1</v>
      </c>
      <c r="BA58" s="111"/>
      <c r="BB58" s="111"/>
      <c r="BC58" s="111">
        <v>1</v>
      </c>
      <c r="BD58" s="13">
        <v>1</v>
      </c>
      <c r="BE58" s="103"/>
      <c r="BF58" s="103"/>
      <c r="BG58" s="111"/>
      <c r="BH58" s="280"/>
      <c r="BI58" s="266" t="s">
        <v>1118</v>
      </c>
      <c r="BJ58" s="310" t="str">
        <f>CONCATENATE("Acceder al sistema Gemma con usuario y perfil activo para la funcionalidad modulo Maestro - Feriados, hacer clic en el boton ",IF(AU58=1,$AU$2,""), IF(AW58=1,$AW$3,"")," ",IF(AL58=1,$AL$3,""),"",IF(AM58=1,$AM$3,"")," tomando un valor de la tabla resumen, presionar Confirmar ", IF(AH58=1,$AH$2,"")," ",IF(AI58=1,$AI$2,"")," ")</f>
        <v xml:space="preserve">Acceder al sistema Gemma con usuario y perfil activo para la funcionalidad modulo Maestro - Feriados, hacer clic en el boton Modificar  tomando un valor de la tabla resumen, presionar Confirmar   </v>
      </c>
      <c r="BK58" s="267" t="s">
        <v>1540</v>
      </c>
      <c r="BL58" s="267" t="s">
        <v>1010</v>
      </c>
    </row>
    <row r="59" spans="1:64" s="109" customFormat="1" x14ac:dyDescent="0.25">
      <c r="A59" s="23"/>
      <c r="B59" s="14"/>
      <c r="C59" s="13"/>
      <c r="D59" s="13"/>
      <c r="E59" s="13"/>
      <c r="F59" s="111"/>
      <c r="G59" s="111"/>
      <c r="H59" s="111"/>
      <c r="I59" s="13"/>
      <c r="J59" s="13"/>
      <c r="K59" s="13"/>
      <c r="L59" s="111"/>
      <c r="M59" s="308"/>
      <c r="N59" s="14"/>
      <c r="O59" s="13"/>
      <c r="P59" s="13"/>
      <c r="Q59" s="13"/>
      <c r="R59" s="111"/>
      <c r="S59" s="111"/>
      <c r="T59" s="111"/>
      <c r="U59" s="13"/>
      <c r="V59" s="13"/>
      <c r="W59" s="13"/>
      <c r="X59" s="111"/>
      <c r="Y59" s="112"/>
      <c r="Z59" s="14"/>
      <c r="AA59" s="13"/>
      <c r="AB59" s="13"/>
      <c r="AC59" s="13"/>
      <c r="AD59" s="111"/>
      <c r="AE59" s="111"/>
      <c r="AF59" s="13"/>
      <c r="AG59" s="13"/>
      <c r="AH59" s="13"/>
      <c r="AI59" s="111"/>
      <c r="AJ59" s="112"/>
      <c r="AK59" s="20"/>
      <c r="AL59" s="13"/>
      <c r="AM59" s="13"/>
      <c r="AN59" s="13"/>
      <c r="AO59" s="111"/>
      <c r="AP59" s="111"/>
      <c r="AQ59" s="13"/>
      <c r="AR59" s="13"/>
      <c r="AS59" s="13"/>
      <c r="AT59" s="111"/>
      <c r="AU59" s="280"/>
      <c r="AV59" s="20"/>
      <c r="AW59" s="13"/>
      <c r="AX59" s="13">
        <v>1</v>
      </c>
      <c r="AY59" s="13">
        <v>1</v>
      </c>
      <c r="AZ59" s="111"/>
      <c r="BA59" s="111"/>
      <c r="BB59" s="111"/>
      <c r="BC59" s="111"/>
      <c r="BD59" s="13">
        <v>1</v>
      </c>
      <c r="BE59" s="13"/>
      <c r="BF59" s="13"/>
      <c r="BG59" s="111"/>
      <c r="BH59" s="280"/>
      <c r="BI59" s="266" t="s">
        <v>1119</v>
      </c>
      <c r="BJ59" s="310" t="str">
        <f>CONCATENATE("Acceder al sistema Gemma con usuario y perfil activo para la funcionalidad modulo Maestro - Feriados, hacer clic en el boton ",IF(AU59=1,$AU$2,""), IF(AK59=1,$AK$3,"")," ",IF(AX59=1,$AX$3,""),"",IF(AM59=1,$AM$3,""), " buscando con la Descripcion en el filtro, y presionar Confirmar", IF(AH59=1,$AH$2,"")," ",IF(AI59=1,$AI$2,"")," ")</f>
        <v xml:space="preserve">Acceder al sistema Gemma con usuario y perfil activo para la funcionalidad modulo Maestro - Feriados, hacer clic en el boton  Eliminar buscando con la Descripcion en el filtro, y presionar Confirmar  </v>
      </c>
      <c r="BK59" s="267" t="s">
        <v>1541</v>
      </c>
      <c r="BL59" s="267" t="s">
        <v>1011</v>
      </c>
    </row>
    <row r="60" spans="1:64" s="109" customFormat="1" x14ac:dyDescent="0.25">
      <c r="A60" s="23"/>
      <c r="B60" s="14"/>
      <c r="C60" s="13"/>
      <c r="D60" s="13"/>
      <c r="E60" s="13"/>
      <c r="F60" s="111"/>
      <c r="G60" s="111"/>
      <c r="H60" s="111"/>
      <c r="I60" s="13"/>
      <c r="J60" s="13"/>
      <c r="K60" s="13"/>
      <c r="L60" s="111"/>
      <c r="M60" s="308"/>
      <c r="N60" s="14"/>
      <c r="O60" s="13"/>
      <c r="P60" s="13"/>
      <c r="Q60" s="13"/>
      <c r="R60" s="111"/>
      <c r="S60" s="111"/>
      <c r="T60" s="111"/>
      <c r="U60" s="13"/>
      <c r="V60" s="13"/>
      <c r="W60" s="13"/>
      <c r="X60" s="111"/>
      <c r="Y60" s="112"/>
      <c r="Z60" s="14"/>
      <c r="AA60" s="13"/>
      <c r="AB60" s="13"/>
      <c r="AC60" s="13"/>
      <c r="AD60" s="111"/>
      <c r="AE60" s="111"/>
      <c r="AF60" s="13"/>
      <c r="AG60" s="13"/>
      <c r="AH60" s="13"/>
      <c r="AI60" s="111"/>
      <c r="AJ60" s="112"/>
      <c r="AK60" s="20"/>
      <c r="AL60" s="13"/>
      <c r="AM60" s="13"/>
      <c r="AN60" s="13"/>
      <c r="AO60" s="111"/>
      <c r="AP60" s="111"/>
      <c r="AQ60" s="13"/>
      <c r="AR60" s="13"/>
      <c r="AS60" s="13"/>
      <c r="AT60" s="111"/>
      <c r="AU60" s="280"/>
      <c r="AV60" s="20"/>
      <c r="AW60" s="13"/>
      <c r="AX60" s="13">
        <v>1</v>
      </c>
      <c r="AY60" s="13"/>
      <c r="AZ60" s="111">
        <v>1</v>
      </c>
      <c r="BA60" s="111"/>
      <c r="BB60" s="111"/>
      <c r="BC60" s="111"/>
      <c r="BD60" s="13">
        <v>1</v>
      </c>
      <c r="BE60" s="13"/>
      <c r="BF60" s="13"/>
      <c r="BG60" s="111"/>
      <c r="BH60" s="280"/>
      <c r="BI60" s="266" t="s">
        <v>1120</v>
      </c>
      <c r="BJ60" s="310" t="str">
        <f>CONCATENATE("Acceder al sistema Gemma con usuario y perfil activo para la funcionalidad modulo Maestro - Feriados, hacer clic en el boton ",IF(AU60=1,$AU$2,""), IF(AK60=1,$AK$3,"")," ",IF(AX60=1,$AX$3,""),"",IF(AM60=1,$AM$3,"")," tomando un valor de la tabla resumen, presionar Confirmar ", IF(AH60=1,$AH$2,"")," ",IF(AI60=1,$AI$2,"")," ")</f>
        <v xml:space="preserve">Acceder al sistema Gemma con usuario y perfil activo para la funcionalidad modulo Maestro - Feriados, hacer clic en el boton  Eliminar tomando un valor de la tabla resumen, presionar Confirmar   </v>
      </c>
      <c r="BK60" s="267" t="s">
        <v>1542</v>
      </c>
      <c r="BL60" s="267" t="s">
        <v>1012</v>
      </c>
    </row>
    <row r="61" spans="1:64" s="109" customFormat="1" x14ac:dyDescent="0.25">
      <c r="A61" s="23"/>
      <c r="B61" s="14"/>
      <c r="C61" s="13"/>
      <c r="D61" s="13"/>
      <c r="E61" s="13"/>
      <c r="F61" s="111"/>
      <c r="G61" s="111"/>
      <c r="H61" s="111"/>
      <c r="I61" s="13"/>
      <c r="J61" s="13"/>
      <c r="K61" s="13"/>
      <c r="L61" s="111"/>
      <c r="M61" s="308"/>
      <c r="N61" s="14"/>
      <c r="O61" s="13"/>
      <c r="P61" s="13"/>
      <c r="Q61" s="13"/>
      <c r="R61" s="111"/>
      <c r="S61" s="111"/>
      <c r="T61" s="111"/>
      <c r="U61" s="13"/>
      <c r="V61" s="13"/>
      <c r="W61" s="13"/>
      <c r="X61" s="111"/>
      <c r="Y61" s="112"/>
      <c r="Z61" s="14"/>
      <c r="AA61" s="13"/>
      <c r="AB61" s="13"/>
      <c r="AC61" s="13"/>
      <c r="AD61" s="111"/>
      <c r="AE61" s="111"/>
      <c r="AF61" s="13"/>
      <c r="AG61" s="13"/>
      <c r="AH61" s="13"/>
      <c r="AI61" s="111"/>
      <c r="AJ61" s="112"/>
      <c r="AK61" s="291"/>
      <c r="AL61" s="272"/>
      <c r="AM61" s="272"/>
      <c r="AN61" s="272"/>
      <c r="AO61" s="273"/>
      <c r="AP61" s="273"/>
      <c r="AQ61" s="272"/>
      <c r="AR61" s="272"/>
      <c r="AS61" s="272"/>
      <c r="AT61" s="273"/>
      <c r="AU61" s="316"/>
      <c r="AV61" s="291"/>
      <c r="AW61" s="272">
        <v>1</v>
      </c>
      <c r="AX61" s="272"/>
      <c r="AY61" s="272">
        <v>1</v>
      </c>
      <c r="AZ61" s="273"/>
      <c r="BA61" s="273"/>
      <c r="BB61" s="273"/>
      <c r="BC61" s="273"/>
      <c r="BD61" s="272">
        <v>1</v>
      </c>
      <c r="BE61" s="272"/>
      <c r="BF61" s="272"/>
      <c r="BG61" s="273">
        <v>1</v>
      </c>
      <c r="BH61" s="316"/>
      <c r="BI61" s="266" t="s">
        <v>1121</v>
      </c>
      <c r="BJ61" s="310" t="str">
        <f>CONCATENATE("Acceder al sistema Gemma con usuario y perfil activo para la funcionalidad modulo Maestro - Feriados, al buscar la Descripcion en el filtro, hacer clic en el enlace  ",IF(BG61=1,$BG$2,"")," presionar el boton ",IF(AW61=1,$AW$3,""), IF(AK61=1,$AK$3,""),"  ",IF(AL61=1,$AL$3,""),"",IF(AM61=1,$AM$3,""),"y Confirmar", "  ", IF(AS61=1,$AS$2,"")," ")</f>
        <v xml:space="preserve">Acceder al sistema Gemma con usuario y perfil activo para la funcionalidad modulo Maestro - Feriados, al buscar la Descripcion en el filtro, hacer clic en el enlace  Link Fecha presionar el boton Modificar  y Confirmar   </v>
      </c>
      <c r="BK61" s="267" t="s">
        <v>1545</v>
      </c>
      <c r="BL61" s="267" t="s">
        <v>1081</v>
      </c>
    </row>
    <row r="62" spans="1:64" s="109" customFormat="1" x14ac:dyDescent="0.25">
      <c r="A62" s="23"/>
      <c r="B62" s="14"/>
      <c r="C62" s="13"/>
      <c r="D62" s="13"/>
      <c r="E62" s="13"/>
      <c r="F62" s="111"/>
      <c r="G62" s="111"/>
      <c r="H62" s="111"/>
      <c r="I62" s="13"/>
      <c r="J62" s="13"/>
      <c r="K62" s="13"/>
      <c r="L62" s="111"/>
      <c r="M62" s="308"/>
      <c r="N62" s="14"/>
      <c r="O62" s="13"/>
      <c r="P62" s="13"/>
      <c r="Q62" s="13"/>
      <c r="R62" s="111"/>
      <c r="S62" s="111"/>
      <c r="T62" s="111"/>
      <c r="U62" s="13"/>
      <c r="V62" s="13"/>
      <c r="W62" s="13"/>
      <c r="X62" s="111"/>
      <c r="Y62" s="112"/>
      <c r="Z62" s="14"/>
      <c r="AA62" s="13"/>
      <c r="AB62" s="13"/>
      <c r="AC62" s="13"/>
      <c r="AD62" s="111"/>
      <c r="AE62" s="111"/>
      <c r="AF62" s="13"/>
      <c r="AG62" s="13"/>
      <c r="AH62" s="13"/>
      <c r="AI62" s="111"/>
      <c r="AJ62" s="112"/>
      <c r="AK62" s="291"/>
      <c r="AL62" s="272"/>
      <c r="AM62" s="272"/>
      <c r="AN62" s="272"/>
      <c r="AO62" s="273"/>
      <c r="AP62" s="297"/>
      <c r="AQ62" s="272"/>
      <c r="AR62" s="272"/>
      <c r="AS62" s="326"/>
      <c r="AT62" s="297"/>
      <c r="AU62" s="316"/>
      <c r="AV62" s="291"/>
      <c r="AW62" s="272">
        <v>1</v>
      </c>
      <c r="AX62" s="272"/>
      <c r="AY62" s="272"/>
      <c r="AZ62" s="273">
        <v>1</v>
      </c>
      <c r="BA62" s="297"/>
      <c r="BB62" s="297"/>
      <c r="BC62" s="297"/>
      <c r="BD62" s="272">
        <v>1</v>
      </c>
      <c r="BE62" s="272"/>
      <c r="BF62" s="326"/>
      <c r="BG62" s="297">
        <v>1</v>
      </c>
      <c r="BH62" s="316"/>
      <c r="BI62" s="266" t="s">
        <v>1122</v>
      </c>
      <c r="BJ62" s="310" t="str">
        <f>CONCATENATE("Acceder al sistema Gemma con usuario y perfil activo para la funcionalidad modulo Maestro - Feriados, tomando una Descripcion de la tabla resumen, hacer clic en el enlace ",,IF(BG62=1,$BG$3,""), "  presionar ",IF(AW62=1,$AW$3,"")," ",IF(AL62=1,$AL$3,""),"", " y confirmar", IF(AS62=1,$AS$2,""),"")</f>
        <v>Acceder al sistema Gemma con usuario y perfil activo para la funcionalidad modulo Maestro - Feriados, tomando una Descripcion de la tabla resumen, hacer clic en el enlace   presionar Modificar  y confirmar</v>
      </c>
      <c r="BK62" s="267" t="s">
        <v>1546</v>
      </c>
      <c r="BL62" s="267" t="s">
        <v>1082</v>
      </c>
    </row>
    <row r="63" spans="1:64" s="109" customFormat="1" x14ac:dyDescent="0.25">
      <c r="A63" s="23"/>
      <c r="B63" s="14"/>
      <c r="C63" s="13"/>
      <c r="D63" s="13"/>
      <c r="E63" s="13"/>
      <c r="F63" s="111"/>
      <c r="G63" s="111"/>
      <c r="H63" s="111"/>
      <c r="I63" s="13"/>
      <c r="J63" s="13"/>
      <c r="K63" s="13"/>
      <c r="L63" s="111"/>
      <c r="M63" s="308"/>
      <c r="N63" s="14"/>
      <c r="O63" s="13"/>
      <c r="P63" s="13"/>
      <c r="Q63" s="13"/>
      <c r="R63" s="111"/>
      <c r="S63" s="111"/>
      <c r="T63" s="111"/>
      <c r="U63" s="13"/>
      <c r="V63" s="13"/>
      <c r="W63" s="13"/>
      <c r="X63" s="111"/>
      <c r="Y63" s="112"/>
      <c r="Z63" s="14"/>
      <c r="AA63" s="13"/>
      <c r="AB63" s="13"/>
      <c r="AC63" s="13"/>
      <c r="AD63" s="111"/>
      <c r="AE63" s="111"/>
      <c r="AF63" s="13"/>
      <c r="AG63" s="13"/>
      <c r="AH63" s="13"/>
      <c r="AI63" s="111"/>
      <c r="AJ63" s="112"/>
      <c r="AK63" s="291"/>
      <c r="AL63" s="272"/>
      <c r="AM63" s="272"/>
      <c r="AN63" s="272"/>
      <c r="AO63" s="273"/>
      <c r="AP63" s="297"/>
      <c r="AQ63" s="272"/>
      <c r="AR63" s="272"/>
      <c r="AS63" s="326"/>
      <c r="AT63" s="297"/>
      <c r="AU63" s="316"/>
      <c r="AV63" s="291"/>
      <c r="AW63" s="272"/>
      <c r="AX63" s="272">
        <v>1</v>
      </c>
      <c r="AY63" s="272">
        <v>1</v>
      </c>
      <c r="AZ63" s="273"/>
      <c r="BA63" s="297"/>
      <c r="BB63" s="297"/>
      <c r="BC63" s="297"/>
      <c r="BD63" s="272">
        <v>1</v>
      </c>
      <c r="BE63" s="272"/>
      <c r="BF63" s="326"/>
      <c r="BG63" s="297">
        <v>1</v>
      </c>
      <c r="BH63" s="316"/>
      <c r="BI63" s="266" t="s">
        <v>1123</v>
      </c>
      <c r="BJ63" s="310" t="str">
        <f>CONCATENATE("Acceder al sistema Gemma con usuario y perfil activo para la funcionalidad modulo Maestro - Feriados, al buscar la Descripcion en el filtro, hacer clic en el enlace  ",IF(BG63=1,$BG$2,"")," presionar el boton ",IF(AW63=1,$AW$3,""), IF(AX63=1,$AX$3,""),"  ",IF(AL63=1,$AL$3,""),"",IF(AM63=1,$AM$3,""),"y Confirmar", "  ", IF(AS63=1,$AS$2,"")," ")</f>
        <v xml:space="preserve">Acceder al sistema Gemma con usuario y perfil activo para la funcionalidad modulo Maestro - Feriados, al buscar la Descripcion en el filtro, hacer clic en el enlace  Link Fecha presionar el boton Eliminar  y Confirmar   </v>
      </c>
      <c r="BK63" s="267" t="s">
        <v>1547</v>
      </c>
      <c r="BL63" s="267" t="s">
        <v>1083</v>
      </c>
    </row>
    <row r="64" spans="1:64" s="109" customFormat="1" ht="15.75" thickBot="1" x14ac:dyDescent="0.3">
      <c r="A64" s="23"/>
      <c r="B64" s="14"/>
      <c r="C64" s="13"/>
      <c r="D64" s="13"/>
      <c r="E64" s="13"/>
      <c r="F64" s="111"/>
      <c r="G64" s="111"/>
      <c r="H64" s="111"/>
      <c r="I64" s="13"/>
      <c r="J64" s="13"/>
      <c r="K64" s="13"/>
      <c r="L64" s="111"/>
      <c r="M64" s="308"/>
      <c r="N64" s="14"/>
      <c r="O64" s="13"/>
      <c r="P64" s="13"/>
      <c r="Q64" s="13"/>
      <c r="R64" s="111"/>
      <c r="S64" s="111"/>
      <c r="T64" s="111"/>
      <c r="U64" s="13"/>
      <c r="V64" s="13"/>
      <c r="W64" s="13"/>
      <c r="X64" s="111"/>
      <c r="Y64" s="112"/>
      <c r="Z64" s="14"/>
      <c r="AA64" s="13"/>
      <c r="AB64" s="13"/>
      <c r="AC64" s="13"/>
      <c r="AD64" s="111"/>
      <c r="AE64" s="111"/>
      <c r="AF64" s="13"/>
      <c r="AG64" s="13"/>
      <c r="AH64" s="13"/>
      <c r="AI64" s="111"/>
      <c r="AJ64" s="112"/>
      <c r="AK64" s="346"/>
      <c r="AL64" s="27"/>
      <c r="AM64" s="27"/>
      <c r="AN64" s="27"/>
      <c r="AO64" s="26"/>
      <c r="AP64" s="349"/>
      <c r="AQ64" s="27"/>
      <c r="AR64" s="27"/>
      <c r="AS64" s="448"/>
      <c r="AT64" s="349"/>
      <c r="AU64" s="347"/>
      <c r="AV64" s="346"/>
      <c r="AW64" s="27"/>
      <c r="AX64" s="27">
        <v>1</v>
      </c>
      <c r="AY64" s="27"/>
      <c r="AZ64" s="26">
        <v>1</v>
      </c>
      <c r="BA64" s="349"/>
      <c r="BB64" s="349"/>
      <c r="BC64" s="349"/>
      <c r="BD64" s="27">
        <v>1</v>
      </c>
      <c r="BE64" s="27"/>
      <c r="BF64" s="448"/>
      <c r="BG64" s="349">
        <v>1</v>
      </c>
      <c r="BH64" s="347"/>
      <c r="BI64" s="266" t="s">
        <v>1124</v>
      </c>
      <c r="BJ64" s="310" t="str">
        <f>CONCATENATE("Acceder al sistema Gemma con usuario y perfil activo para la funcionalidad modulo Maestro - Feriados, tomando una Descripcion de la tabla resumen, hacer clic en el enlace ",IF(BG64=1,$BG$2,""), "  presionar ",IF(AW64=1,$AW$3,"")," ",IF(AX64=1,$AX$3,""),"", " y confirmar","")</f>
        <v>Acceder al sistema Gemma con usuario y perfil activo para la funcionalidad modulo Maestro - Feriados, tomando una Descripcion de la tabla resumen, hacer clic en el enlace Link Fecha  presionar  Eliminar y confirmar</v>
      </c>
      <c r="BK64" s="267" t="s">
        <v>1548</v>
      </c>
      <c r="BL64" s="267" t="s">
        <v>1084</v>
      </c>
    </row>
    <row r="65" spans="1:64" s="109" customFormat="1" ht="16.5" thickTop="1" thickBot="1" x14ac:dyDescent="0.3">
      <c r="A65" s="23"/>
      <c r="B65" s="14"/>
      <c r="C65" s="13"/>
      <c r="D65" s="13"/>
      <c r="E65" s="13"/>
      <c r="F65" s="111"/>
      <c r="G65" s="111"/>
      <c r="H65" s="111"/>
      <c r="I65" s="13"/>
      <c r="J65" s="13"/>
      <c r="K65" s="13"/>
      <c r="L65" s="111"/>
      <c r="M65" s="308"/>
      <c r="N65" s="14"/>
      <c r="O65" s="13"/>
      <c r="P65" s="13"/>
      <c r="Q65" s="13"/>
      <c r="R65" s="111"/>
      <c r="S65" s="111"/>
      <c r="T65" s="111"/>
      <c r="U65" s="13"/>
      <c r="V65" s="13"/>
      <c r="W65" s="13"/>
      <c r="X65" s="111"/>
      <c r="Y65" s="112"/>
      <c r="Z65" s="14"/>
      <c r="AA65" s="13"/>
      <c r="AB65" s="13"/>
      <c r="AC65" s="13"/>
      <c r="AD65" s="111"/>
      <c r="AE65" s="111"/>
      <c r="AF65" s="13"/>
      <c r="AG65" s="13"/>
      <c r="AH65" s="13"/>
      <c r="AI65" s="111"/>
      <c r="AJ65" s="112"/>
      <c r="AK65" s="105"/>
      <c r="AL65" s="25"/>
      <c r="AM65" s="25"/>
      <c r="AN65" s="25"/>
      <c r="AO65" s="24"/>
      <c r="AP65" s="100"/>
      <c r="AQ65" s="25"/>
      <c r="AR65" s="25"/>
      <c r="AS65" s="285"/>
      <c r="AT65" s="100"/>
      <c r="AU65" s="279"/>
      <c r="AV65" s="105">
        <v>1</v>
      </c>
      <c r="AW65" s="25">
        <v>1</v>
      </c>
      <c r="AX65" s="25">
        <v>1</v>
      </c>
      <c r="AY65" s="25"/>
      <c r="AZ65" s="24"/>
      <c r="BA65" s="100"/>
      <c r="BB65" s="100"/>
      <c r="BC65" s="100">
        <v>1</v>
      </c>
      <c r="BD65" s="25"/>
      <c r="BE65" s="25">
        <v>1</v>
      </c>
      <c r="BF65" s="285">
        <v>1</v>
      </c>
      <c r="BG65" s="100">
        <v>1</v>
      </c>
      <c r="BH65" s="279"/>
      <c r="BI65" s="266" t="s">
        <v>1536</v>
      </c>
      <c r="BJ65" s="310" t="s">
        <v>1544</v>
      </c>
      <c r="BK65" s="267" t="s">
        <v>1534</v>
      </c>
      <c r="BL65" s="267" t="s">
        <v>1487</v>
      </c>
    </row>
    <row r="66" spans="1:64" s="109" customFormat="1" ht="15.75" thickTop="1" x14ac:dyDescent="0.25">
      <c r="A66" s="23"/>
      <c r="B66" s="14"/>
      <c r="C66" s="13"/>
      <c r="D66" s="13"/>
      <c r="E66" s="13"/>
      <c r="F66" s="111"/>
      <c r="G66" s="111"/>
      <c r="H66" s="111"/>
      <c r="I66" s="13"/>
      <c r="J66" s="13"/>
      <c r="K66" s="13"/>
      <c r="L66" s="111"/>
      <c r="M66" s="308"/>
      <c r="N66" s="274"/>
      <c r="O66" s="275"/>
      <c r="P66" s="275"/>
      <c r="Q66" s="275"/>
      <c r="R66" s="276"/>
      <c r="S66" s="276"/>
      <c r="T66" s="276"/>
      <c r="U66" s="275"/>
      <c r="V66" s="275"/>
      <c r="W66" s="275"/>
      <c r="X66" s="276"/>
      <c r="Y66" s="277"/>
      <c r="Z66" s="274"/>
      <c r="AA66" s="275"/>
      <c r="AB66" s="275"/>
      <c r="AC66" s="275"/>
      <c r="AD66" s="276"/>
      <c r="AE66" s="276"/>
      <c r="AF66" s="275"/>
      <c r="AG66" s="275"/>
      <c r="AH66" s="275"/>
      <c r="AI66" s="276"/>
      <c r="AJ66" s="277"/>
      <c r="AK66" s="20"/>
      <c r="AL66" s="13"/>
      <c r="AM66" s="103"/>
      <c r="AN66" s="13"/>
      <c r="AO66" s="111"/>
      <c r="AP66" s="111"/>
      <c r="AQ66" s="13"/>
      <c r="AR66" s="103"/>
      <c r="AS66" s="103"/>
      <c r="AT66" s="111"/>
      <c r="AU66" s="280"/>
      <c r="AV66" s="20"/>
      <c r="AW66" s="13"/>
      <c r="AX66" s="103"/>
      <c r="AY66" s="13"/>
      <c r="AZ66" s="111"/>
      <c r="BA66" s="111"/>
      <c r="BB66" s="111"/>
      <c r="BC66" s="111"/>
      <c r="BD66" s="13"/>
      <c r="BE66" s="103"/>
      <c r="BF66" s="103"/>
      <c r="BG66" s="111"/>
      <c r="BH66" s="280"/>
      <c r="BI66" s="266"/>
      <c r="BJ66" s="310"/>
      <c r="BK66" s="267"/>
      <c r="BL66" s="267"/>
    </row>
    <row r="67" spans="1:64" s="109" customFormat="1" x14ac:dyDescent="0.25">
      <c r="A67" s="23"/>
      <c r="B67" s="14"/>
      <c r="C67" s="13"/>
      <c r="D67" s="13"/>
      <c r="E67" s="13"/>
      <c r="F67" s="111"/>
      <c r="G67" s="111"/>
      <c r="H67" s="111"/>
      <c r="I67" s="13"/>
      <c r="J67" s="13"/>
      <c r="K67" s="13"/>
      <c r="L67" s="111"/>
      <c r="M67" s="308"/>
      <c r="N67" s="299"/>
      <c r="O67" s="25"/>
      <c r="P67" s="25"/>
      <c r="Q67" s="25"/>
      <c r="R67" s="24"/>
      <c r="S67" s="24"/>
      <c r="T67" s="24"/>
      <c r="U67" s="25"/>
      <c r="V67" s="25"/>
      <c r="W67" s="25"/>
      <c r="X67" s="24"/>
      <c r="Y67" s="283"/>
      <c r="Z67" s="299"/>
      <c r="AA67" s="25"/>
      <c r="AB67" s="25"/>
      <c r="AC67" s="25"/>
      <c r="AD67" s="24"/>
      <c r="AE67" s="24"/>
      <c r="AF67" s="25"/>
      <c r="AG67" s="25"/>
      <c r="AH67" s="25"/>
      <c r="AI67" s="24"/>
      <c r="AJ67" s="283"/>
      <c r="AK67" s="20"/>
      <c r="AL67" s="13"/>
      <c r="AM67" s="103"/>
      <c r="AN67" s="13"/>
      <c r="AO67" s="111"/>
      <c r="AP67" s="111"/>
      <c r="AQ67" s="13"/>
      <c r="AR67" s="103"/>
      <c r="AS67" s="103"/>
      <c r="AT67" s="111"/>
      <c r="AU67" s="280"/>
      <c r="AV67" s="20"/>
      <c r="AW67" s="13"/>
      <c r="AX67" s="103"/>
      <c r="AY67" s="13"/>
      <c r="AZ67" s="111"/>
      <c r="BA67" s="111"/>
      <c r="BB67" s="111"/>
      <c r="BC67" s="111"/>
      <c r="BD67" s="13"/>
      <c r="BE67" s="103"/>
      <c r="BF67" s="103"/>
      <c r="BG67" s="111"/>
      <c r="BH67" s="280"/>
      <c r="BI67" s="266"/>
      <c r="BJ67" s="310"/>
      <c r="BK67" s="267"/>
      <c r="BL67" s="267"/>
    </row>
    <row r="68" spans="1:64" s="109" customFormat="1" x14ac:dyDescent="0.25">
      <c r="A68" s="23"/>
      <c r="B68" s="14"/>
      <c r="C68" s="13"/>
      <c r="D68" s="13"/>
      <c r="E68" s="13"/>
      <c r="F68" s="111"/>
      <c r="G68" s="111"/>
      <c r="H68" s="111"/>
      <c r="I68" s="13"/>
      <c r="J68" s="13"/>
      <c r="K68" s="13"/>
      <c r="L68" s="111"/>
      <c r="M68" s="308"/>
      <c r="N68" s="14"/>
      <c r="O68" s="13"/>
      <c r="P68" s="13"/>
      <c r="Q68" s="13"/>
      <c r="R68" s="111"/>
      <c r="S68" s="111"/>
      <c r="T68" s="111"/>
      <c r="U68" s="13"/>
      <c r="V68" s="13"/>
      <c r="W68" s="13"/>
      <c r="X68" s="111"/>
      <c r="Y68" s="112"/>
      <c r="Z68" s="14"/>
      <c r="AA68" s="13"/>
      <c r="AB68" s="13"/>
      <c r="AC68" s="13"/>
      <c r="AD68" s="111"/>
      <c r="AE68" s="111"/>
      <c r="AF68" s="13"/>
      <c r="AG68" s="13"/>
      <c r="AH68" s="13"/>
      <c r="AI68" s="111"/>
      <c r="AJ68" s="112"/>
      <c r="AK68" s="20"/>
      <c r="AL68" s="13"/>
      <c r="AM68" s="103"/>
      <c r="AN68" s="13"/>
      <c r="AO68" s="111"/>
      <c r="AP68" s="111"/>
      <c r="AQ68" s="13"/>
      <c r="AR68" s="103"/>
      <c r="AS68" s="103"/>
      <c r="AT68" s="111"/>
      <c r="AU68" s="280"/>
      <c r="AV68" s="20"/>
      <c r="AW68" s="13"/>
      <c r="AX68" s="103"/>
      <c r="AY68" s="13"/>
      <c r="AZ68" s="111"/>
      <c r="BA68" s="111"/>
      <c r="BB68" s="111"/>
      <c r="BC68" s="111"/>
      <c r="BD68" s="13"/>
      <c r="BE68" s="103"/>
      <c r="BF68" s="103"/>
      <c r="BG68" s="111"/>
      <c r="BH68" s="280"/>
      <c r="BI68" s="266"/>
      <c r="BJ68" s="310"/>
      <c r="BK68" s="267"/>
      <c r="BL68" s="267"/>
    </row>
    <row r="69" spans="1:64" s="109" customFormat="1" x14ac:dyDescent="0.25">
      <c r="A69" s="23"/>
      <c r="B69" s="14"/>
      <c r="C69" s="13"/>
      <c r="D69" s="13"/>
      <c r="E69" s="13"/>
      <c r="F69" s="111"/>
      <c r="G69" s="111"/>
      <c r="H69" s="111"/>
      <c r="I69" s="13"/>
      <c r="J69" s="13"/>
      <c r="K69" s="13"/>
      <c r="L69" s="111"/>
      <c r="M69" s="308"/>
      <c r="N69" s="14"/>
      <c r="O69" s="13"/>
      <c r="P69" s="13"/>
      <c r="Q69" s="13"/>
      <c r="R69" s="111"/>
      <c r="S69" s="111"/>
      <c r="T69" s="111"/>
      <c r="U69" s="13"/>
      <c r="V69" s="13"/>
      <c r="W69" s="13"/>
      <c r="X69" s="111"/>
      <c r="Y69" s="112"/>
      <c r="Z69" s="14"/>
      <c r="AA69" s="13"/>
      <c r="AB69" s="13"/>
      <c r="AC69" s="13"/>
      <c r="AD69" s="111"/>
      <c r="AE69" s="111"/>
      <c r="AF69" s="13"/>
      <c r="AG69" s="13"/>
      <c r="AH69" s="13"/>
      <c r="AI69" s="111"/>
      <c r="AJ69" s="112"/>
      <c r="AK69" s="20"/>
      <c r="AL69" s="13"/>
      <c r="AM69" s="103"/>
      <c r="AN69" s="13"/>
      <c r="AO69" s="111"/>
      <c r="AP69" s="111"/>
      <c r="AQ69" s="13"/>
      <c r="AR69" s="103"/>
      <c r="AS69" s="103"/>
      <c r="AT69" s="111"/>
      <c r="AU69" s="280"/>
      <c r="AV69" s="20"/>
      <c r="AW69" s="13"/>
      <c r="AX69" s="103"/>
      <c r="AY69" s="13"/>
      <c r="AZ69" s="111"/>
      <c r="BA69" s="111"/>
      <c r="BB69" s="111"/>
      <c r="BC69" s="111"/>
      <c r="BD69" s="13"/>
      <c r="BE69" s="103"/>
      <c r="BF69" s="103"/>
      <c r="BG69" s="111"/>
      <c r="BH69" s="280"/>
      <c r="BI69" s="266"/>
      <c r="BJ69" s="310"/>
      <c r="BK69" s="267"/>
      <c r="BL69" s="267"/>
    </row>
    <row r="70" spans="1:64" s="109" customFormat="1" x14ac:dyDescent="0.25">
      <c r="A70" s="23"/>
      <c r="B70" s="14"/>
      <c r="C70" s="13"/>
      <c r="D70" s="13"/>
      <c r="E70" s="13"/>
      <c r="F70" s="111"/>
      <c r="G70" s="111"/>
      <c r="H70" s="111"/>
      <c r="I70" s="13"/>
      <c r="J70" s="13"/>
      <c r="K70" s="13"/>
      <c r="L70" s="111"/>
      <c r="M70" s="308"/>
      <c r="N70" s="14"/>
      <c r="O70" s="13"/>
      <c r="P70" s="13"/>
      <c r="Q70" s="13"/>
      <c r="R70" s="111"/>
      <c r="S70" s="111"/>
      <c r="T70" s="111"/>
      <c r="U70" s="13"/>
      <c r="V70" s="13"/>
      <c r="W70" s="13"/>
      <c r="X70" s="111"/>
      <c r="Y70" s="112"/>
      <c r="Z70" s="14"/>
      <c r="AA70" s="13"/>
      <c r="AB70" s="13"/>
      <c r="AC70" s="13"/>
      <c r="AD70" s="111"/>
      <c r="AE70" s="111"/>
      <c r="AF70" s="13"/>
      <c r="AG70" s="13"/>
      <c r="AH70" s="13"/>
      <c r="AI70" s="111"/>
      <c r="AJ70" s="112"/>
      <c r="AK70" s="20"/>
      <c r="AL70" s="13"/>
      <c r="AM70" s="13"/>
      <c r="AN70" s="13"/>
      <c r="AO70" s="111"/>
      <c r="AP70" s="111"/>
      <c r="AQ70" s="13"/>
      <c r="AR70" s="13"/>
      <c r="AS70" s="13"/>
      <c r="AT70" s="111"/>
      <c r="AU70" s="280"/>
      <c r="AV70" s="20"/>
      <c r="AW70" s="13"/>
      <c r="AX70" s="13"/>
      <c r="AY70" s="13"/>
      <c r="AZ70" s="111"/>
      <c r="BA70" s="111"/>
      <c r="BB70" s="111"/>
      <c r="BC70" s="111"/>
      <c r="BD70" s="13"/>
      <c r="BE70" s="13"/>
      <c r="BF70" s="13"/>
      <c r="BG70" s="111"/>
      <c r="BH70" s="280"/>
      <c r="BI70" s="266"/>
      <c r="BJ70" s="310"/>
      <c r="BK70" s="267"/>
      <c r="BL70" s="267"/>
    </row>
    <row r="71" spans="1:64" s="109" customFormat="1" x14ac:dyDescent="0.25">
      <c r="A71" s="23"/>
      <c r="B71" s="14"/>
      <c r="C71" s="13"/>
      <c r="D71" s="13"/>
      <c r="E71" s="13"/>
      <c r="F71" s="111"/>
      <c r="G71" s="111"/>
      <c r="H71" s="111"/>
      <c r="I71" s="13"/>
      <c r="J71" s="13"/>
      <c r="K71" s="13"/>
      <c r="L71" s="111"/>
      <c r="M71" s="308"/>
      <c r="N71" s="14"/>
      <c r="O71" s="13"/>
      <c r="P71" s="13"/>
      <c r="Q71" s="13"/>
      <c r="R71" s="111"/>
      <c r="S71" s="111"/>
      <c r="T71" s="111"/>
      <c r="U71" s="13"/>
      <c r="V71" s="13"/>
      <c r="W71" s="13"/>
      <c r="X71" s="111"/>
      <c r="Y71" s="112"/>
      <c r="Z71" s="14"/>
      <c r="AA71" s="13"/>
      <c r="AB71" s="13"/>
      <c r="AC71" s="13"/>
      <c r="AD71" s="111"/>
      <c r="AE71" s="111"/>
      <c r="AF71" s="13"/>
      <c r="AG71" s="13"/>
      <c r="AH71" s="13"/>
      <c r="AI71" s="111"/>
      <c r="AJ71" s="112"/>
      <c r="AK71" s="20"/>
      <c r="AL71" s="13"/>
      <c r="AM71" s="13"/>
      <c r="AN71" s="13"/>
      <c r="AO71" s="111"/>
      <c r="AP71" s="111"/>
      <c r="AQ71" s="13"/>
      <c r="AR71" s="13"/>
      <c r="AS71" s="13"/>
      <c r="AT71" s="111"/>
      <c r="AU71" s="280"/>
      <c r="AV71" s="20"/>
      <c r="AW71" s="13"/>
      <c r="AX71" s="13"/>
      <c r="AY71" s="13"/>
      <c r="AZ71" s="111"/>
      <c r="BA71" s="111"/>
      <c r="BB71" s="111"/>
      <c r="BC71" s="111"/>
      <c r="BD71" s="13"/>
      <c r="BE71" s="13"/>
      <c r="BF71" s="13"/>
      <c r="BG71" s="111"/>
      <c r="BH71" s="280"/>
      <c r="BI71" s="266"/>
      <c r="BJ71" s="310"/>
      <c r="BK71" s="267"/>
      <c r="BL71" s="267"/>
    </row>
    <row r="72" spans="1:64" s="109" customFormat="1" x14ac:dyDescent="0.25">
      <c r="A72" s="23"/>
      <c r="B72" s="14"/>
      <c r="C72" s="13"/>
      <c r="D72" s="13"/>
      <c r="E72" s="13"/>
      <c r="F72" s="111"/>
      <c r="G72" s="111"/>
      <c r="H72" s="111"/>
      <c r="I72" s="13"/>
      <c r="J72" s="13"/>
      <c r="K72" s="13"/>
      <c r="L72" s="111"/>
      <c r="M72" s="308"/>
      <c r="N72" s="14"/>
      <c r="O72" s="13"/>
      <c r="P72" s="13"/>
      <c r="Q72" s="13"/>
      <c r="R72" s="111"/>
      <c r="S72" s="111"/>
      <c r="T72" s="111"/>
      <c r="U72" s="13"/>
      <c r="V72" s="13"/>
      <c r="W72" s="13"/>
      <c r="X72" s="111"/>
      <c r="Y72" s="112"/>
      <c r="Z72" s="14"/>
      <c r="AA72" s="13"/>
      <c r="AB72" s="13"/>
      <c r="AC72" s="13"/>
      <c r="AD72" s="111"/>
      <c r="AE72" s="111"/>
      <c r="AF72" s="13"/>
      <c r="AG72" s="13"/>
      <c r="AH72" s="13"/>
      <c r="AI72" s="111"/>
      <c r="AJ72" s="112"/>
      <c r="AK72" s="291"/>
      <c r="AL72" s="272"/>
      <c r="AM72" s="272"/>
      <c r="AN72" s="272"/>
      <c r="AO72" s="273"/>
      <c r="AP72" s="273"/>
      <c r="AQ72" s="272"/>
      <c r="AR72" s="272"/>
      <c r="AS72" s="272"/>
      <c r="AT72" s="273"/>
      <c r="AU72" s="316"/>
      <c r="AV72" s="291"/>
      <c r="AW72" s="272"/>
      <c r="AX72" s="272"/>
      <c r="AY72" s="272"/>
      <c r="AZ72" s="273"/>
      <c r="BA72" s="273"/>
      <c r="BB72" s="273"/>
      <c r="BC72" s="273"/>
      <c r="BD72" s="272"/>
      <c r="BE72" s="272"/>
      <c r="BF72" s="272"/>
      <c r="BG72" s="273"/>
      <c r="BH72" s="316"/>
      <c r="BI72" s="266"/>
      <c r="BJ72" s="310"/>
      <c r="BK72" s="267"/>
      <c r="BL72" s="267"/>
    </row>
    <row r="73" spans="1:64" s="109" customFormat="1" x14ac:dyDescent="0.25">
      <c r="A73" s="23"/>
      <c r="B73" s="14"/>
      <c r="C73" s="13"/>
      <c r="D73" s="13"/>
      <c r="E73" s="13"/>
      <c r="F73" s="111"/>
      <c r="G73" s="111"/>
      <c r="H73" s="111"/>
      <c r="I73" s="13"/>
      <c r="J73" s="13"/>
      <c r="K73" s="13"/>
      <c r="L73" s="111"/>
      <c r="M73" s="308"/>
      <c r="N73" s="14"/>
      <c r="O73" s="13"/>
      <c r="P73" s="13"/>
      <c r="Q73" s="13"/>
      <c r="R73" s="111"/>
      <c r="S73" s="111"/>
      <c r="T73" s="111"/>
      <c r="U73" s="13"/>
      <c r="V73" s="13"/>
      <c r="W73" s="13"/>
      <c r="X73" s="111"/>
      <c r="Y73" s="112"/>
      <c r="Z73" s="14"/>
      <c r="AA73" s="13"/>
      <c r="AB73" s="13"/>
      <c r="AC73" s="13"/>
      <c r="AD73" s="111"/>
      <c r="AE73" s="111"/>
      <c r="AF73" s="13"/>
      <c r="AG73" s="13"/>
      <c r="AH73" s="13"/>
      <c r="AI73" s="111"/>
      <c r="AJ73" s="112"/>
      <c r="AK73" s="291"/>
      <c r="AL73" s="272"/>
      <c r="AM73" s="272"/>
      <c r="AN73" s="272"/>
      <c r="AO73" s="273"/>
      <c r="AP73" s="297"/>
      <c r="AQ73" s="272"/>
      <c r="AR73" s="272"/>
      <c r="AS73" s="326"/>
      <c r="AT73" s="297"/>
      <c r="AU73" s="316"/>
      <c r="AV73" s="291"/>
      <c r="AW73" s="272"/>
      <c r="AX73" s="272"/>
      <c r="AY73" s="272"/>
      <c r="AZ73" s="273"/>
      <c r="BA73" s="297"/>
      <c r="BB73" s="297"/>
      <c r="BC73" s="297"/>
      <c r="BD73" s="272"/>
      <c r="BE73" s="272"/>
      <c r="BF73" s="326"/>
      <c r="BG73" s="297"/>
      <c r="BH73" s="316"/>
      <c r="BI73" s="266"/>
      <c r="BJ73" s="310"/>
      <c r="BK73" s="267"/>
      <c r="BL73" s="267"/>
    </row>
    <row r="74" spans="1:64" s="109" customFormat="1" x14ac:dyDescent="0.25">
      <c r="A74" s="23"/>
      <c r="B74" s="14"/>
      <c r="C74" s="13"/>
      <c r="D74" s="13"/>
      <c r="E74" s="13"/>
      <c r="F74" s="111"/>
      <c r="G74" s="111"/>
      <c r="H74" s="111"/>
      <c r="I74" s="13"/>
      <c r="J74" s="13"/>
      <c r="K74" s="13"/>
      <c r="L74" s="111"/>
      <c r="M74" s="308"/>
      <c r="N74" s="14"/>
      <c r="O74" s="13"/>
      <c r="P74" s="13"/>
      <c r="Q74" s="13"/>
      <c r="R74" s="111"/>
      <c r="S74" s="111"/>
      <c r="T74" s="111"/>
      <c r="U74" s="13"/>
      <c r="V74" s="13"/>
      <c r="W74" s="13"/>
      <c r="X74" s="111"/>
      <c r="Y74" s="112"/>
      <c r="Z74" s="14"/>
      <c r="AA74" s="13"/>
      <c r="AB74" s="13"/>
      <c r="AC74" s="13"/>
      <c r="AD74" s="111"/>
      <c r="AE74" s="111"/>
      <c r="AF74" s="13"/>
      <c r="AG74" s="13"/>
      <c r="AH74" s="13"/>
      <c r="AI74" s="111"/>
      <c r="AJ74" s="112"/>
      <c r="AK74" s="291"/>
      <c r="AL74" s="272"/>
      <c r="AM74" s="272"/>
      <c r="AN74" s="272"/>
      <c r="AO74" s="273"/>
      <c r="AP74" s="297"/>
      <c r="AQ74" s="272"/>
      <c r="AR74" s="272"/>
      <c r="AS74" s="326"/>
      <c r="AT74" s="297"/>
      <c r="AU74" s="316"/>
      <c r="AV74" s="291"/>
      <c r="AW74" s="272"/>
      <c r="AX74" s="272"/>
      <c r="AY74" s="272"/>
      <c r="AZ74" s="273"/>
      <c r="BA74" s="297"/>
      <c r="BB74" s="297"/>
      <c r="BC74" s="297"/>
      <c r="BD74" s="272"/>
      <c r="BE74" s="272"/>
      <c r="BF74" s="326"/>
      <c r="BG74" s="297"/>
      <c r="BH74" s="316"/>
      <c r="BI74" s="266"/>
      <c r="BJ74" s="310"/>
      <c r="BK74" s="267"/>
      <c r="BL74" s="267"/>
    </row>
    <row r="75" spans="1:64" s="109" customFormat="1" ht="15.75" thickBot="1" x14ac:dyDescent="0.3">
      <c r="A75" s="23"/>
      <c r="B75" s="14"/>
      <c r="C75" s="13"/>
      <c r="D75" s="13"/>
      <c r="E75" s="13"/>
      <c r="F75" s="111"/>
      <c r="G75" s="111"/>
      <c r="H75" s="111"/>
      <c r="I75" s="13"/>
      <c r="J75" s="13"/>
      <c r="K75" s="13"/>
      <c r="L75" s="111"/>
      <c r="M75" s="308"/>
      <c r="N75" s="14"/>
      <c r="O75" s="13"/>
      <c r="P75" s="13"/>
      <c r="Q75" s="13"/>
      <c r="R75" s="111"/>
      <c r="S75" s="111"/>
      <c r="T75" s="111"/>
      <c r="U75" s="13"/>
      <c r="V75" s="13"/>
      <c r="W75" s="13"/>
      <c r="X75" s="111"/>
      <c r="Y75" s="112"/>
      <c r="Z75" s="14"/>
      <c r="AA75" s="13"/>
      <c r="AB75" s="13"/>
      <c r="AC75" s="13"/>
      <c r="AD75" s="111"/>
      <c r="AE75" s="111"/>
      <c r="AF75" s="13"/>
      <c r="AG75" s="13"/>
      <c r="AH75" s="13"/>
      <c r="AI75" s="111"/>
      <c r="AJ75" s="112"/>
      <c r="AK75" s="346"/>
      <c r="AL75" s="27"/>
      <c r="AM75" s="27"/>
      <c r="AN75" s="27"/>
      <c r="AO75" s="26"/>
      <c r="AP75" s="349"/>
      <c r="AQ75" s="27"/>
      <c r="AR75" s="27"/>
      <c r="AS75" s="448"/>
      <c r="AT75" s="349"/>
      <c r="AU75" s="347"/>
      <c r="AV75" s="346"/>
      <c r="AW75" s="27"/>
      <c r="AX75" s="27"/>
      <c r="AY75" s="27"/>
      <c r="AZ75" s="26"/>
      <c r="BA75" s="349"/>
      <c r="BB75" s="349"/>
      <c r="BC75" s="349"/>
      <c r="BD75" s="27"/>
      <c r="BE75" s="27"/>
      <c r="BF75" s="448"/>
      <c r="BG75" s="349"/>
      <c r="BH75" s="347"/>
      <c r="BI75" s="266"/>
      <c r="BJ75" s="310"/>
      <c r="BK75" s="267"/>
      <c r="BL75" s="267"/>
    </row>
    <row r="76" spans="1:64" s="109" customFormat="1" ht="15.75" thickTop="1" x14ac:dyDescent="0.25">
      <c r="A76" s="23"/>
      <c r="B76" s="14"/>
      <c r="C76" s="13"/>
      <c r="D76" s="13"/>
      <c r="E76" s="13"/>
      <c r="F76" s="111"/>
      <c r="G76" s="111"/>
      <c r="H76" s="111"/>
      <c r="I76" s="13"/>
      <c r="J76" s="13"/>
      <c r="K76" s="13"/>
      <c r="L76" s="111"/>
      <c r="M76" s="308"/>
      <c r="N76" s="14"/>
      <c r="O76" s="13"/>
      <c r="P76" s="13"/>
      <c r="Q76" s="13"/>
      <c r="R76" s="111"/>
      <c r="S76" s="111"/>
      <c r="T76" s="111"/>
      <c r="U76" s="13"/>
      <c r="V76" s="13"/>
      <c r="W76" s="13"/>
      <c r="X76" s="111"/>
      <c r="Y76" s="112"/>
      <c r="Z76" s="14"/>
      <c r="AA76" s="13"/>
      <c r="AB76" s="13"/>
      <c r="AC76" s="13"/>
      <c r="AD76" s="111"/>
      <c r="AE76" s="111"/>
      <c r="AF76" s="13"/>
      <c r="AG76" s="13"/>
      <c r="AH76" s="13"/>
      <c r="AI76" s="111"/>
      <c r="AJ76" s="112"/>
      <c r="AK76" s="105"/>
      <c r="AL76" s="25"/>
      <c r="AM76" s="25"/>
      <c r="AN76" s="25"/>
      <c r="AO76" s="24"/>
      <c r="AP76" s="100"/>
      <c r="AQ76" s="25"/>
      <c r="AR76" s="25"/>
      <c r="AS76" s="285"/>
      <c r="AT76" s="100"/>
      <c r="AU76" s="279"/>
      <c r="AV76" s="105"/>
      <c r="AW76" s="25"/>
      <c r="AX76" s="25"/>
      <c r="AY76" s="25"/>
      <c r="AZ76" s="24"/>
      <c r="BA76" s="100"/>
      <c r="BB76" s="100"/>
      <c r="BC76" s="100"/>
      <c r="BD76" s="25"/>
      <c r="BE76" s="25"/>
      <c r="BF76" s="285"/>
      <c r="BG76" s="100"/>
      <c r="BH76" s="279"/>
      <c r="BI76" s="266"/>
      <c r="BJ76" s="310"/>
      <c r="BK76" s="267"/>
      <c r="BL76" s="267"/>
    </row>
    <row r="77" spans="1:64" s="109" customFormat="1" ht="15.75" thickBot="1" x14ac:dyDescent="0.3">
      <c r="A77" s="23"/>
      <c r="B77" s="303"/>
      <c r="C77" s="281"/>
      <c r="D77" s="281"/>
      <c r="E77" s="281"/>
      <c r="F77" s="282"/>
      <c r="G77" s="282"/>
      <c r="H77" s="282"/>
      <c r="I77" s="281"/>
      <c r="J77" s="281"/>
      <c r="K77" s="281"/>
      <c r="L77" s="282"/>
      <c r="M77" s="474"/>
      <c r="N77" s="303"/>
      <c r="O77" s="281"/>
      <c r="P77" s="281"/>
      <c r="Q77" s="281"/>
      <c r="R77" s="282"/>
      <c r="S77" s="282"/>
      <c r="T77" s="282"/>
      <c r="U77" s="281"/>
      <c r="V77" s="281"/>
      <c r="W77" s="281"/>
      <c r="X77" s="282"/>
      <c r="Y77" s="475"/>
      <c r="Z77" s="303"/>
      <c r="AA77" s="281"/>
      <c r="AB77" s="281"/>
      <c r="AC77" s="281"/>
      <c r="AD77" s="282"/>
      <c r="AE77" s="282"/>
      <c r="AF77" s="281"/>
      <c r="AG77" s="281"/>
      <c r="AH77" s="281"/>
      <c r="AI77" s="282"/>
      <c r="AJ77" s="475"/>
      <c r="AK77" s="301"/>
      <c r="AL77" s="281"/>
      <c r="AM77" s="317"/>
      <c r="AN77" s="472"/>
      <c r="AO77" s="282"/>
      <c r="AP77" s="351"/>
      <c r="AQ77" s="281"/>
      <c r="AR77" s="317"/>
      <c r="AS77" s="330"/>
      <c r="AT77" s="351"/>
      <c r="AU77" s="302"/>
      <c r="AV77" s="301"/>
      <c r="AW77" s="281"/>
      <c r="AX77" s="317"/>
      <c r="AY77" s="472"/>
      <c r="AZ77" s="282"/>
      <c r="BA77" s="351"/>
      <c r="BB77" s="351"/>
      <c r="BC77" s="351"/>
      <c r="BD77" s="281"/>
      <c r="BE77" s="317"/>
      <c r="BF77" s="330"/>
      <c r="BG77" s="351"/>
      <c r="BH77" s="302"/>
      <c r="BI77" s="266"/>
      <c r="BJ77" s="310"/>
      <c r="BK77" s="267"/>
      <c r="BL77" s="267"/>
    </row>
    <row r="78" spans="1:64" ht="15.75" thickTop="1" x14ac:dyDescent="0.25"/>
  </sheetData>
  <mergeCells count="74">
    <mergeCell ref="B1:M1"/>
    <mergeCell ref="AV3:AV4"/>
    <mergeCell ref="AV2:AX2"/>
    <mergeCell ref="B3:B4"/>
    <mergeCell ref="C3:C4"/>
    <mergeCell ref="D3:D4"/>
    <mergeCell ref="E3:F3"/>
    <mergeCell ref="AL3:AL4"/>
    <mergeCell ref="AM3:AM4"/>
    <mergeCell ref="N1:Y1"/>
    <mergeCell ref="N2:P2"/>
    <mergeCell ref="Q2:R2"/>
    <mergeCell ref="S2:S4"/>
    <mergeCell ref="W2:W4"/>
    <mergeCell ref="X2:X4"/>
    <mergeCell ref="Y2:Y4"/>
    <mergeCell ref="V3:V4"/>
    <mergeCell ref="B2:D2"/>
    <mergeCell ref="E2:F2"/>
    <mergeCell ref="M2:M4"/>
    <mergeCell ref="N3:N4"/>
    <mergeCell ref="O3:O4"/>
    <mergeCell ref="P3:P4"/>
    <mergeCell ref="Q3:R3"/>
    <mergeCell ref="U3:U4"/>
    <mergeCell ref="T2:T4"/>
    <mergeCell ref="U2:V2"/>
    <mergeCell ref="G2:G4"/>
    <mergeCell ref="H2:H4"/>
    <mergeCell ref="I3:I4"/>
    <mergeCell ref="J3:J4"/>
    <mergeCell ref="I2:J2"/>
    <mergeCell ref="L2:L4"/>
    <mergeCell ref="K2:K4"/>
    <mergeCell ref="Z1:AJ1"/>
    <mergeCell ref="Z2:AB2"/>
    <mergeCell ref="AC2:AD2"/>
    <mergeCell ref="AE2:AE4"/>
    <mergeCell ref="AF2:AG2"/>
    <mergeCell ref="AH2:AH4"/>
    <mergeCell ref="AI2:AI4"/>
    <mergeCell ref="AJ2:AJ4"/>
    <mergeCell ref="Z3:Z4"/>
    <mergeCell ref="AA3:AA4"/>
    <mergeCell ref="AB3:AB4"/>
    <mergeCell ref="AC3:AD3"/>
    <mergeCell ref="AF3:AF4"/>
    <mergeCell ref="AG3:AG4"/>
    <mergeCell ref="AK1:AU1"/>
    <mergeCell ref="AK2:AM2"/>
    <mergeCell ref="AN2:AO2"/>
    <mergeCell ref="AP2:AP4"/>
    <mergeCell ref="AQ2:AR2"/>
    <mergeCell ref="AS2:AS4"/>
    <mergeCell ref="AT2:AT4"/>
    <mergeCell ref="AU2:AU4"/>
    <mergeCell ref="AK3:AK4"/>
    <mergeCell ref="AN3:AO3"/>
    <mergeCell ref="AQ3:AQ4"/>
    <mergeCell ref="AR3:AR4"/>
    <mergeCell ref="AV1:BH1"/>
    <mergeCell ref="BC2:BC4"/>
    <mergeCell ref="BD2:BE2"/>
    <mergeCell ref="BF2:BF4"/>
    <mergeCell ref="BG2:BG4"/>
    <mergeCell ref="BH2:BH4"/>
    <mergeCell ref="BD3:BD4"/>
    <mergeCell ref="BA2:BA4"/>
    <mergeCell ref="BB2:BB4"/>
    <mergeCell ref="AW3:AW4"/>
    <mergeCell ref="AX3:AX4"/>
    <mergeCell ref="AY3:AZ3"/>
    <mergeCell ref="AY2:AZ2"/>
    <mergeCell ref="BE3:B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D10A2-281C-49AC-9B97-E29E92A9A471}">
  <dimension ref="A1:EZ104"/>
  <sheetViews>
    <sheetView topLeftCell="V1" zoomScale="77" zoomScaleNormal="77" workbookViewId="0">
      <pane ySplit="4" topLeftCell="A5" activePane="bottomLeft" state="frozen"/>
      <selection activeCell="T1" sqref="T1"/>
      <selection pane="bottomLeft" activeCell="V11" sqref="V11"/>
    </sheetView>
  </sheetViews>
  <sheetFormatPr baseColWidth="10" defaultRowHeight="15" x14ac:dyDescent="0.25"/>
  <cols>
    <col min="1" max="1" width="4.140625" style="107" customWidth="1"/>
    <col min="2" max="5" width="5.28515625" style="107" customWidth="1"/>
    <col min="6" max="6" width="11.42578125" style="107" bestFit="1" customWidth="1"/>
    <col min="7" max="7" width="10.7109375" style="107" bestFit="1" customWidth="1"/>
    <col min="8" max="8" width="11.42578125" style="107" bestFit="1" customWidth="1"/>
    <col min="9" max="9" width="10.7109375" style="107" bestFit="1" customWidth="1"/>
    <col min="10" max="10" width="11.85546875" style="107" bestFit="1" customWidth="1"/>
    <col min="11" max="11" width="7.140625" style="107" bestFit="1" customWidth="1"/>
    <col min="12" max="13" width="8.28515625" style="107" bestFit="1" customWidth="1"/>
    <col min="14" max="14" width="7.7109375" style="107" bestFit="1" customWidth="1"/>
    <col min="15" max="17" width="8.85546875" style="107" bestFit="1" customWidth="1"/>
    <col min="18" max="18" width="7" style="107" bestFit="1" customWidth="1"/>
    <col min="19" max="20" width="5.7109375" style="107" customWidth="1"/>
    <col min="21" max="21" width="57.42578125" style="268" bestFit="1" customWidth="1"/>
    <col min="22" max="22" width="202" style="268" bestFit="1" customWidth="1"/>
    <col min="23" max="23" width="117.28515625" style="268" bestFit="1" customWidth="1"/>
    <col min="24" max="24" width="102.140625" style="268" bestFit="1" customWidth="1"/>
    <col min="25" max="16384" width="11.42578125" style="107"/>
  </cols>
  <sheetData>
    <row r="1" spans="1:156" s="12" customFormat="1" ht="23.25" customHeight="1" thickTop="1" x14ac:dyDescent="0.25">
      <c r="B1" s="633" t="s">
        <v>1262</v>
      </c>
      <c r="C1" s="634"/>
      <c r="D1" s="634"/>
      <c r="E1" s="634"/>
      <c r="F1" s="634"/>
      <c r="G1" s="634"/>
      <c r="H1" s="634"/>
      <c r="I1" s="634"/>
      <c r="J1" s="634"/>
      <c r="K1" s="634"/>
      <c r="L1" s="634"/>
      <c r="M1" s="634"/>
      <c r="N1" s="634"/>
      <c r="O1" s="634"/>
      <c r="P1" s="634"/>
      <c r="Q1" s="634"/>
      <c r="R1" s="634"/>
      <c r="S1" s="634"/>
      <c r="T1" s="635"/>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59"/>
      <c r="CT1" s="459"/>
      <c r="CU1" s="459"/>
      <c r="CV1" s="460"/>
      <c r="CW1" s="359"/>
      <c r="CX1" s="362"/>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8"/>
      <c r="EW1" s="263"/>
      <c r="EX1" s="264"/>
      <c r="EY1" s="264"/>
      <c r="EZ1" s="264"/>
    </row>
    <row r="2" spans="1:156" s="12" customFormat="1" ht="30" customHeight="1" x14ac:dyDescent="0.25">
      <c r="B2" s="531" t="s">
        <v>554</v>
      </c>
      <c r="C2" s="524"/>
      <c r="D2" s="598" t="s">
        <v>456</v>
      </c>
      <c r="E2" s="598" t="s">
        <v>933</v>
      </c>
      <c r="F2" s="542" t="s">
        <v>658</v>
      </c>
      <c r="G2" s="543"/>
      <c r="H2" s="515" t="s">
        <v>206</v>
      </c>
      <c r="I2" s="524"/>
      <c r="J2" s="515" t="s">
        <v>1263</v>
      </c>
      <c r="K2" s="524"/>
      <c r="L2" s="524"/>
      <c r="M2" s="524"/>
      <c r="N2" s="524"/>
      <c r="O2" s="524"/>
      <c r="P2" s="524"/>
      <c r="Q2" s="524"/>
      <c r="R2" s="524"/>
      <c r="S2" s="524"/>
      <c r="T2" s="550"/>
      <c r="U2" s="263"/>
      <c r="V2" s="263"/>
      <c r="W2" s="264"/>
      <c r="X2" s="264"/>
    </row>
    <row r="3" spans="1:156" s="12" customFormat="1" ht="26.25" customHeight="1" x14ac:dyDescent="0.25">
      <c r="B3" s="614" t="s">
        <v>986</v>
      </c>
      <c r="C3" s="631" t="s">
        <v>335</v>
      </c>
      <c r="D3" s="636"/>
      <c r="E3" s="636"/>
      <c r="F3" s="515" t="s">
        <v>198</v>
      </c>
      <c r="G3" s="516"/>
      <c r="H3" s="515" t="s">
        <v>198</v>
      </c>
      <c r="I3" s="516"/>
      <c r="J3" s="489" t="s">
        <v>1264</v>
      </c>
      <c r="K3" s="513" t="s">
        <v>1265</v>
      </c>
      <c r="L3" s="513" t="s">
        <v>1266</v>
      </c>
      <c r="M3" s="513" t="s">
        <v>1267</v>
      </c>
      <c r="N3" s="513" t="s">
        <v>1268</v>
      </c>
      <c r="O3" s="513" t="s">
        <v>1269</v>
      </c>
      <c r="P3" s="513" t="s">
        <v>1270</v>
      </c>
      <c r="Q3" s="513" t="s">
        <v>1271</v>
      </c>
      <c r="R3" s="513" t="s">
        <v>1272</v>
      </c>
      <c r="S3" s="515" t="s">
        <v>554</v>
      </c>
      <c r="T3" s="550"/>
      <c r="U3" s="263"/>
      <c r="V3" s="263"/>
      <c r="W3" s="264"/>
      <c r="X3" s="264"/>
    </row>
    <row r="4" spans="1:156" s="12" customFormat="1" ht="62.25" customHeight="1" x14ac:dyDescent="0.25">
      <c r="B4" s="615"/>
      <c r="C4" s="632"/>
      <c r="D4" s="599"/>
      <c r="E4" s="599"/>
      <c r="F4" s="476" t="s">
        <v>1477</v>
      </c>
      <c r="G4" s="476" t="s">
        <v>1478</v>
      </c>
      <c r="H4" s="476" t="s">
        <v>1135</v>
      </c>
      <c r="I4" s="476" t="s">
        <v>1136</v>
      </c>
      <c r="J4" s="467" t="s">
        <v>1273</v>
      </c>
      <c r="K4" s="514"/>
      <c r="L4" s="514"/>
      <c r="M4" s="514"/>
      <c r="N4" s="514"/>
      <c r="O4" s="514"/>
      <c r="P4" s="514"/>
      <c r="Q4" s="514"/>
      <c r="R4" s="514"/>
      <c r="S4" s="455" t="s">
        <v>668</v>
      </c>
      <c r="T4" s="477" t="s">
        <v>355</v>
      </c>
      <c r="U4" s="263" t="s">
        <v>549</v>
      </c>
      <c r="V4" s="264" t="s">
        <v>981</v>
      </c>
      <c r="W4" s="264" t="s">
        <v>7</v>
      </c>
      <c r="X4" s="265" t="s">
        <v>8</v>
      </c>
    </row>
    <row r="5" spans="1:156" s="109" customFormat="1" ht="15" customHeight="1" x14ac:dyDescent="0.25">
      <c r="A5" s="23"/>
      <c r="B5" s="20"/>
      <c r="C5" s="13"/>
      <c r="D5" s="13"/>
      <c r="E5" s="13">
        <v>1</v>
      </c>
      <c r="F5" s="111"/>
      <c r="G5" s="111">
        <v>1</v>
      </c>
      <c r="H5" s="289"/>
      <c r="I5" s="289"/>
      <c r="J5" s="289"/>
      <c r="K5" s="289"/>
      <c r="L5" s="289"/>
      <c r="M5" s="289"/>
      <c r="N5" s="289"/>
      <c r="O5" s="289"/>
      <c r="P5" s="289"/>
      <c r="Q5" s="289"/>
      <c r="R5" s="289"/>
      <c r="S5" s="289"/>
      <c r="T5" s="453"/>
      <c r="U5" s="266" t="s">
        <v>1274</v>
      </c>
      <c r="V5" s="266" t="str">
        <f>CONCATENATE("Acceder al sistema Gemma con usuario y perfil activo para la funcionalidad modulo Maestro - Politicas de Prepago, hacer clic en el boton,"," ",IF(B5=1,"Modificar un registro","")," ",IF(C5=1,"Eliminar un registro","")," ",IF(D5=1,"Agregar un nuevo registro","")," ",IF(E5=1,"Exportar Documento Excel","")," ",IF(F5=1,$F$4,"")," ",IF(G5=1,$G$4,"")," seleccionados en el filtro ")</f>
        <v xml:space="preserve">Acceder al sistema Gemma con usuario y perfil activo para la funcionalidad modulo Maestro - Politicas de Prepago, hacer clic en el boton,    Exportar Documento Excel  Sin valor seleccionados en el filtro </v>
      </c>
      <c r="W5" s="267" t="str">
        <f>CONCATENATE(" Validar funcionalidad Maestro Documentos Requeridos seleccionando la opcion "," ",IF(B5=1,$B$3,IF(C5=1,$C$3,IF(D5=1,$D$2,IF(E5=1,$E$2,""))))," sin seleccionar valores",)</f>
        <v xml:space="preserve"> Validar funcionalidad Maestro Documentos Requeridos seleccionando la opcion  Exportar Excel sin seleccionar valores</v>
      </c>
      <c r="X5" s="267" t="s">
        <v>1008</v>
      </c>
    </row>
    <row r="6" spans="1:156" s="109" customFormat="1" ht="15" customHeight="1" x14ac:dyDescent="0.25">
      <c r="A6" s="23"/>
      <c r="B6" s="20"/>
      <c r="C6" s="13"/>
      <c r="D6" s="13">
        <v>1</v>
      </c>
      <c r="E6" s="103"/>
      <c r="F6" s="111"/>
      <c r="G6" s="111"/>
      <c r="H6" s="289">
        <v>1</v>
      </c>
      <c r="I6" s="289"/>
      <c r="J6" s="289">
        <v>1</v>
      </c>
      <c r="K6" s="289"/>
      <c r="L6" s="289">
        <v>1</v>
      </c>
      <c r="M6" s="289">
        <v>1</v>
      </c>
      <c r="N6" s="289">
        <v>1</v>
      </c>
      <c r="O6" s="289"/>
      <c r="P6" s="289">
        <v>1</v>
      </c>
      <c r="Q6" s="289"/>
      <c r="R6" s="289">
        <v>1</v>
      </c>
      <c r="S6" s="289">
        <v>1</v>
      </c>
      <c r="T6" s="453"/>
      <c r="U6" s="266" t="s">
        <v>1275</v>
      </c>
      <c r="V6" s="266" t="str">
        <f>CONCATENATE("Acceder al sistema Gemma con usuario y perfil activo para la funcionalidad modulo Maestro - Politicas de Prepago, hacer clic en el boton,"," ",IF(B6=1,"Modificar un registro","")," ",IF(C6=1,"Eliminar un registro","")," ",IF(D6=1,"Agregar un nuevo registro","")," ",IF(E6=1,"Exportar Documento Excel","")," ",IF(F6=1,$F$4,"")," ",IF(G6=1,$G$4,""),"seleccionando todos los campos y Confirmar.")</f>
        <v>Acceder al sistema Gemma con usuario y perfil activo para la funcionalidad modulo Maestro - Politicas de Prepago, hacer clic en el boton,   Agregar un nuevo registro   seleccionando todos los campos y Confirmar.</v>
      </c>
      <c r="W6" s="267" t="str">
        <f>CONCATENATE(" Validar funcionalidad Maestro Documentos Requeridos seleccionando la opcion "," ",IF(B6=1,$B$3,IF(C6=1,$C$3,IF(D6=1,$D$2,IF(E6=1,$E$2,""))))," ",)</f>
        <v xml:space="preserve"> Validar funcionalidad Maestro Documentos Requeridos seleccionando la opcion  Agregar </v>
      </c>
      <c r="X6" s="267" t="s">
        <v>982</v>
      </c>
    </row>
    <row r="7" spans="1:156" s="109" customFormat="1" ht="15" customHeight="1" x14ac:dyDescent="0.25">
      <c r="A7" s="23"/>
      <c r="B7" s="20">
        <v>1</v>
      </c>
      <c r="C7" s="13"/>
      <c r="D7" s="13"/>
      <c r="E7" s="103"/>
      <c r="F7" s="111">
        <v>1</v>
      </c>
      <c r="G7" s="111"/>
      <c r="H7" s="289"/>
      <c r="I7" s="289">
        <v>1</v>
      </c>
      <c r="J7" s="289">
        <v>1</v>
      </c>
      <c r="K7" s="289"/>
      <c r="L7" s="289"/>
      <c r="M7" s="289"/>
      <c r="N7" s="289">
        <v>1</v>
      </c>
      <c r="O7" s="289"/>
      <c r="P7" s="289"/>
      <c r="Q7" s="289"/>
      <c r="R7" s="289"/>
      <c r="S7" s="289">
        <v>1</v>
      </c>
      <c r="T7" s="453"/>
      <c r="U7" s="266" t="s">
        <v>1276</v>
      </c>
      <c r="V7" s="266" t="str">
        <f>CONCATENATE("Acceder al sistema Gemma con usuario y perfil activo para la funcionalidad modulo Maestro - Politicas de Prepago, hacer clic en el boton,"," ",IF(B7=1,"Modificar un registro","")," ",IF(C7=1,"Eliminar un registro","")," ",IF(D7=1,"Agregar un nuevo registro","")," una vez seleccionado un ",IF(E7=1,"Exportar Documento Excel","")," ",IF(F7=1,$F$4,"")," ",IF(G7=1,$G$4,""),"en el filtro, luego Confirmar ")</f>
        <v xml:space="preserve">Acceder al sistema Gemma con usuario y perfil activo para la funcionalidad modulo Maestro - Politicas de Prepago, hacer clic en el boton, Modificar un registro   una vez seleccionado un  Valor en el filtro, luego Confirmar </v>
      </c>
      <c r="W7" s="267" t="str">
        <f>CONCATENATE(" Validar funcionalidad Maestro Documentos Requeridos seleccionando la opcion "," ",IF(B7=1,$B$3,IF(C7=1,$C$3,IF(D7=1,$D$2,IF(E7=1,$E$2,""))))," seleccionando valores",)</f>
        <v xml:space="preserve"> Validar funcionalidad Maestro Documentos Requeridos seleccionando la opcion   Modificar seleccionando valores</v>
      </c>
      <c r="X7" s="267" t="s">
        <v>1009</v>
      </c>
    </row>
    <row r="8" spans="1:156" s="109" customFormat="1" ht="15" customHeight="1" x14ac:dyDescent="0.25">
      <c r="A8" s="23"/>
      <c r="B8" s="20">
        <v>1</v>
      </c>
      <c r="C8" s="13"/>
      <c r="D8" s="13"/>
      <c r="E8" s="103"/>
      <c r="F8" s="111"/>
      <c r="G8" s="111">
        <v>1</v>
      </c>
      <c r="H8" s="289"/>
      <c r="I8" s="289"/>
      <c r="J8" s="289"/>
      <c r="K8" s="289"/>
      <c r="L8" s="289"/>
      <c r="M8" s="289">
        <v>1</v>
      </c>
      <c r="N8" s="289"/>
      <c r="O8" s="289"/>
      <c r="P8" s="289"/>
      <c r="Q8" s="289"/>
      <c r="R8" s="289"/>
      <c r="S8" s="289">
        <v>1</v>
      </c>
      <c r="T8" s="453"/>
      <c r="U8" s="266" t="s">
        <v>1277</v>
      </c>
      <c r="V8" s="266" t="str">
        <f>CONCATENATE("Acceder al sistema Gemma con usuario y perfil activo para la funcionalidad modulo Maestro - Politicas de Prepago, hacer clic en el boton,"," ",IF(B8=1,"Modificar un registro","")," ",IF(C8=1,"Eliminar un registro","")," ",IF(D8=1,"Agregar un nuevo registro","")," ",IF(E8=1,"Exportar Documento Excel","")," ",IF(F8=1,$F$4,"")," ",IF(G8=1,$G$4,"")," seleccionados en el filtro. Confirmar")</f>
        <v>Acceder al sistema Gemma con usuario y perfil activo para la funcionalidad modulo Maestro - Politicas de Prepago, hacer clic en el boton, Modificar un registro     Sin valor seleccionados en el filtro. Confirmar</v>
      </c>
      <c r="W8" s="267" t="str">
        <f>CONCATENATE(" Validar funcionalidad Maestro Documentos Requeridos seleccionando la opcion "," ",IF(B8=1,$B$3,IF(C8=1,$C$3,IF(D8=1,$D$2,IF(E8=1,$E$2,""))))," sin seleccionar valores",)</f>
        <v xml:space="preserve"> Validar funcionalidad Maestro Documentos Requeridos seleccionando la opcion   Modificar sin seleccionar valores</v>
      </c>
      <c r="X8" s="267" t="s">
        <v>1010</v>
      </c>
    </row>
    <row r="9" spans="1:156" s="109" customFormat="1" ht="15" customHeight="1" x14ac:dyDescent="0.25">
      <c r="A9" s="23"/>
      <c r="B9" s="20"/>
      <c r="C9" s="13">
        <v>1</v>
      </c>
      <c r="D9" s="13"/>
      <c r="E9" s="103"/>
      <c r="F9" s="111">
        <v>1</v>
      </c>
      <c r="G9" s="111"/>
      <c r="H9" s="289"/>
      <c r="I9" s="289"/>
      <c r="J9" s="289"/>
      <c r="K9" s="289"/>
      <c r="L9" s="289"/>
      <c r="M9" s="289"/>
      <c r="N9" s="289"/>
      <c r="O9" s="289"/>
      <c r="P9" s="289"/>
      <c r="Q9" s="289"/>
      <c r="R9" s="289"/>
      <c r="S9" s="289">
        <v>1</v>
      </c>
      <c r="T9" s="453"/>
      <c r="U9" s="266" t="s">
        <v>1278</v>
      </c>
      <c r="V9" s="266" t="str">
        <f>CONCATENATE("Acceder al sistema Gemma con usuario y perfil activo para la funcionalidad modulo Maestro - Politicas de Prepago, hacer clic en el boton,"," ",IF(B9=1,"Modificar un registro","")," ",IF(C9=1,"Eliminar un registro","")," tomando ",IF(D9=1,"Agregar un nuevo registro","")," ",IF(E9=1,"Exportar Documento Excel","")," ",IF(F9=1,$F$4,"")," ",IF(G9=1,$G$4,"")," seleccionado en el filtro y Confirmar ")</f>
        <v xml:space="preserve">Acceder al sistema Gemma con usuario y perfil activo para la funcionalidad modulo Maestro - Politicas de Prepago, hacer clic en el boton,  Eliminar un registro tomando   Valor  seleccionado en el filtro y Confirmar </v>
      </c>
      <c r="W9" s="267" t="str">
        <f>CONCATENATE(" Validar funcionalidad Maestro Documentos Requeridos seleccionando la opcion "," ",IF(B9=1,$B$3,IF(C9=1,$C$3,IF(D9=1,$D$2,IF(E9=1,$E$2,""))))," seleccionando valores",)</f>
        <v xml:space="preserve"> Validar funcionalidad Maestro Documentos Requeridos seleccionando la opcion  Eliminar seleccionando valores</v>
      </c>
      <c r="X9" s="267" t="s">
        <v>1011</v>
      </c>
    </row>
    <row r="10" spans="1:156" s="109" customFormat="1" ht="15" customHeight="1" thickBot="1" x14ac:dyDescent="0.3">
      <c r="A10" s="23"/>
      <c r="B10" s="20"/>
      <c r="C10" s="13">
        <v>1</v>
      </c>
      <c r="D10" s="13"/>
      <c r="E10" s="103"/>
      <c r="F10" s="111"/>
      <c r="G10" s="111">
        <v>1</v>
      </c>
      <c r="H10" s="289"/>
      <c r="I10" s="289"/>
      <c r="J10" s="289"/>
      <c r="K10" s="289"/>
      <c r="L10" s="289"/>
      <c r="M10" s="289"/>
      <c r="N10" s="289"/>
      <c r="O10" s="289"/>
      <c r="P10" s="289"/>
      <c r="Q10" s="289"/>
      <c r="R10" s="289"/>
      <c r="S10" s="289">
        <v>1</v>
      </c>
      <c r="T10" s="453"/>
      <c r="U10" s="266" t="s">
        <v>1279</v>
      </c>
      <c r="V10" s="266" t="str">
        <f>CONCATENATE("Acceder al sistema Gemma con usuario y perfil activo para la funcionalidad modulo Maestro - Politicas de Prepago, hacer clic en el boton,"," ",IF(B10=1,"Modificar un registro","")," ",IF(C10=1,"Eliminar un registro","")," ",IF(D10=1,"Agregar un nuevo registro","")," ",IF(E10=1,"Exportar Documento Excel","")," ",IF(F10=1,$F$4,"")," ",IF(G10=1,$G$4,"")," seleccionados en el filtro, Confirmar ")</f>
        <v xml:space="preserve">Acceder al sistema Gemma con usuario y perfil activo para la funcionalidad modulo Maestro - Politicas de Prepago, hacer clic en el boton,  Eliminar un registro    Sin valor seleccionados en el filtro, Confirmar </v>
      </c>
      <c r="W10" s="267" t="str">
        <f>CONCATENATE(" Validar funcionalidad Maestro Documentos Requeridos seleccionando la opcion "," ",IF(B10=1,$B$3,IF(C10=1,$C$3,IF(D10=1,$D$2,IF(E10=1,$E$2,""))))," sin seleccionar valores",)</f>
        <v xml:space="preserve"> Validar funcionalidad Maestro Documentos Requeridos seleccionando la opcion  Eliminar sin seleccionar valores</v>
      </c>
      <c r="X10" s="267" t="s">
        <v>1012</v>
      </c>
    </row>
    <row r="11" spans="1:156" s="109" customFormat="1" ht="15" customHeight="1" thickTop="1" x14ac:dyDescent="0.25">
      <c r="A11" s="23"/>
      <c r="B11" s="292">
        <v>1</v>
      </c>
      <c r="C11" s="293">
        <v>1</v>
      </c>
      <c r="D11" s="293">
        <v>1</v>
      </c>
      <c r="E11" s="293"/>
      <c r="F11" s="106">
        <v>1</v>
      </c>
      <c r="G11" s="106">
        <v>1</v>
      </c>
      <c r="H11" s="398"/>
      <c r="I11" s="398"/>
      <c r="J11" s="398"/>
      <c r="K11" s="398"/>
      <c r="L11" s="398"/>
      <c r="M11" s="398"/>
      <c r="N11" s="398"/>
      <c r="O11" s="398"/>
      <c r="P11" s="398"/>
      <c r="Q11" s="398"/>
      <c r="R11" s="398"/>
      <c r="S11" s="398"/>
      <c r="T11" s="458">
        <v>1</v>
      </c>
      <c r="U11" s="266" t="s">
        <v>1280</v>
      </c>
      <c r="V11" s="266" t="str">
        <f>CONCATENATE("Acceder al sistema Gemma con usuario y perfil activo para la funcionalidad modulo Maestro - Politicas de Prepago, hacer clic en el boton,"," ",IF(B11=1,"Modificar o","")," ",IF(C11=1,"Eliminar o","")," ",IF(D11=1,"Agregar un registro","")," ",IF(E11=1,"Exportar Documento Excel","")," ",IF(F11=1,$F$4,"")," o ",IF(G11=1,$G$4,"")," en el filtro ")</f>
        <v xml:space="preserve">Acceder al sistema Gemma con usuario y perfil activo para la funcionalidad modulo Maestro - Politicas de Prepago, hacer clic en el boton, Modificar o Eliminar o Agregar un registro  Valor o Sin valor en el filtro </v>
      </c>
      <c r="W11" s="267" t="str">
        <f>CONCATENATE(" Validar funcionalidad Maestro Documentos Requeridos seleccionando la opcion "," ",IF(B11=1,$B$3,IF(C11=1,$C$3,IF(D11=1,$D$2,IF(E11=1,$E$2,""))))," cancelar transaccion",)</f>
        <v xml:space="preserve"> Validar funcionalidad Maestro Documentos Requeridos seleccionando la opcion   Modificar cancelar transaccion</v>
      </c>
      <c r="X11" s="404" t="s">
        <v>1476</v>
      </c>
    </row>
    <row r="12" spans="1:156" s="109" customFormat="1" x14ac:dyDescent="0.25">
      <c r="B12" s="14"/>
      <c r="C12" s="110"/>
      <c r="D12" s="110"/>
      <c r="E12" s="110"/>
      <c r="F12" s="13"/>
      <c r="G12" s="13"/>
      <c r="H12" s="13"/>
      <c r="I12" s="13"/>
      <c r="J12" s="13"/>
      <c r="K12" s="13"/>
      <c r="L12" s="13"/>
      <c r="M12" s="13"/>
      <c r="N12" s="13"/>
      <c r="O12" s="13"/>
      <c r="P12" s="13"/>
      <c r="Q12" s="13"/>
      <c r="R12" s="13"/>
      <c r="S12" s="13"/>
      <c r="T12" s="278"/>
      <c r="U12" s="266"/>
      <c r="V12" s="266"/>
      <c r="W12" s="267"/>
      <c r="X12" s="267"/>
    </row>
    <row r="13" spans="1:156" s="109" customFormat="1" x14ac:dyDescent="0.25">
      <c r="B13" s="14"/>
      <c r="C13" s="110"/>
      <c r="D13" s="110"/>
      <c r="E13" s="110"/>
      <c r="F13" s="13"/>
      <c r="G13" s="13"/>
      <c r="H13" s="13"/>
      <c r="I13" s="13"/>
      <c r="J13" s="13"/>
      <c r="K13" s="13"/>
      <c r="L13" s="13"/>
      <c r="M13" s="13"/>
      <c r="N13" s="13"/>
      <c r="O13" s="13"/>
      <c r="P13" s="13"/>
      <c r="Q13" s="13"/>
      <c r="R13" s="13"/>
      <c r="S13" s="13"/>
      <c r="T13" s="278"/>
      <c r="U13" s="266"/>
      <c r="V13" s="266"/>
      <c r="W13" s="267"/>
      <c r="X13" s="267"/>
    </row>
    <row r="14" spans="1:156" s="109" customFormat="1" x14ac:dyDescent="0.25">
      <c r="B14" s="14"/>
      <c r="C14" s="110"/>
      <c r="D14" s="110"/>
      <c r="E14" s="110"/>
      <c r="F14" s="13"/>
      <c r="G14" s="13"/>
      <c r="H14" s="13"/>
      <c r="I14" s="13"/>
      <c r="J14" s="13"/>
      <c r="K14" s="13"/>
      <c r="L14" s="13"/>
      <c r="M14" s="13"/>
      <c r="N14" s="13"/>
      <c r="O14" s="13"/>
      <c r="P14" s="13"/>
      <c r="Q14" s="13"/>
      <c r="R14" s="13"/>
      <c r="S14" s="13"/>
      <c r="T14" s="278"/>
      <c r="U14" s="266"/>
      <c r="V14" s="266"/>
      <c r="W14" s="267"/>
      <c r="X14" s="267"/>
    </row>
    <row r="15" spans="1:156" s="109" customFormat="1" x14ac:dyDescent="0.25">
      <c r="B15" s="14"/>
      <c r="C15" s="110"/>
      <c r="D15" s="110"/>
      <c r="E15" s="110"/>
      <c r="F15" s="13"/>
      <c r="G15" s="13"/>
      <c r="H15" s="13"/>
      <c r="I15" s="13"/>
      <c r="J15" s="13"/>
      <c r="K15" s="13"/>
      <c r="L15" s="13"/>
      <c r="M15" s="13"/>
      <c r="N15" s="13"/>
      <c r="O15" s="13"/>
      <c r="P15" s="13"/>
      <c r="Q15" s="13"/>
      <c r="R15" s="13"/>
      <c r="S15" s="13"/>
      <c r="T15" s="278"/>
      <c r="U15" s="266"/>
      <c r="V15" s="266"/>
      <c r="W15" s="267"/>
      <c r="X15" s="267"/>
    </row>
    <row r="16" spans="1:156" s="109" customFormat="1" x14ac:dyDescent="0.25">
      <c r="B16" s="14"/>
      <c r="C16" s="110"/>
      <c r="D16" s="110"/>
      <c r="E16" s="110"/>
      <c r="F16" s="13"/>
      <c r="G16" s="13"/>
      <c r="H16" s="13"/>
      <c r="I16" s="13"/>
      <c r="J16" s="13"/>
      <c r="K16" s="13"/>
      <c r="L16" s="13"/>
      <c r="M16" s="13"/>
      <c r="N16" s="13"/>
      <c r="O16" s="13"/>
      <c r="P16" s="13"/>
      <c r="Q16" s="13"/>
      <c r="R16" s="13"/>
      <c r="S16" s="13"/>
      <c r="T16" s="278"/>
      <c r="U16" s="266"/>
      <c r="V16" s="266"/>
      <c r="W16" s="267"/>
      <c r="X16" s="267"/>
    </row>
    <row r="17" spans="2:24" s="109" customFormat="1" x14ac:dyDescent="0.25">
      <c r="B17" s="14"/>
      <c r="C17" s="110"/>
      <c r="D17" s="110"/>
      <c r="E17" s="110"/>
      <c r="F17" s="13"/>
      <c r="G17" s="13"/>
      <c r="H17" s="13"/>
      <c r="I17" s="13"/>
      <c r="J17" s="13"/>
      <c r="K17" s="13"/>
      <c r="L17" s="13"/>
      <c r="M17" s="13"/>
      <c r="N17" s="13"/>
      <c r="O17" s="13"/>
      <c r="P17" s="13"/>
      <c r="Q17" s="13"/>
      <c r="R17" s="13"/>
      <c r="S17" s="13"/>
      <c r="T17" s="278"/>
      <c r="U17" s="266"/>
      <c r="V17" s="266"/>
      <c r="W17" s="267"/>
      <c r="X17" s="267"/>
    </row>
    <row r="18" spans="2:24" s="109" customFormat="1" x14ac:dyDescent="0.25">
      <c r="B18" s="14"/>
      <c r="C18" s="110"/>
      <c r="D18" s="110"/>
      <c r="E18" s="110"/>
      <c r="F18" s="13"/>
      <c r="G18" s="13"/>
      <c r="H18" s="13"/>
      <c r="I18" s="13"/>
      <c r="J18" s="13"/>
      <c r="K18" s="13"/>
      <c r="L18" s="13"/>
      <c r="M18" s="13"/>
      <c r="N18" s="13"/>
      <c r="O18" s="13"/>
      <c r="P18" s="13"/>
      <c r="Q18" s="13"/>
      <c r="R18" s="13"/>
      <c r="S18" s="13"/>
      <c r="T18" s="278"/>
      <c r="U18" s="266"/>
      <c r="V18" s="266"/>
      <c r="W18" s="267"/>
      <c r="X18" s="267"/>
    </row>
    <row r="19" spans="2:24" s="109" customFormat="1" x14ac:dyDescent="0.25">
      <c r="B19" s="14"/>
      <c r="C19" s="110"/>
      <c r="D19" s="110"/>
      <c r="E19" s="110"/>
      <c r="F19" s="13"/>
      <c r="G19" s="13"/>
      <c r="H19" s="13"/>
      <c r="I19" s="13"/>
      <c r="J19" s="13"/>
      <c r="K19" s="13"/>
      <c r="L19" s="13"/>
      <c r="M19" s="13"/>
      <c r="N19" s="13"/>
      <c r="O19" s="13"/>
      <c r="P19" s="13"/>
      <c r="Q19" s="13"/>
      <c r="R19" s="13"/>
      <c r="S19" s="13"/>
      <c r="T19" s="278"/>
      <c r="U19" s="266"/>
      <c r="V19" s="266"/>
      <c r="W19" s="267"/>
      <c r="X19" s="267"/>
    </row>
    <row r="20" spans="2:24" s="109" customFormat="1" x14ac:dyDescent="0.25">
      <c r="B20" s="14"/>
      <c r="C20" s="110"/>
      <c r="D20" s="110"/>
      <c r="E20" s="110"/>
      <c r="F20" s="13"/>
      <c r="G20" s="13"/>
      <c r="H20" s="13"/>
      <c r="I20" s="13"/>
      <c r="J20" s="13"/>
      <c r="K20" s="13"/>
      <c r="L20" s="13"/>
      <c r="M20" s="13"/>
      <c r="N20" s="13"/>
      <c r="O20" s="13"/>
      <c r="P20" s="13"/>
      <c r="Q20" s="13"/>
      <c r="R20" s="13"/>
      <c r="S20" s="13"/>
      <c r="T20" s="278"/>
      <c r="U20" s="266"/>
      <c r="V20" s="266"/>
      <c r="W20" s="267"/>
      <c r="X20" s="267"/>
    </row>
    <row r="21" spans="2:24" s="109" customFormat="1" x14ac:dyDescent="0.25">
      <c r="B21" s="18"/>
      <c r="C21" s="13"/>
      <c r="D21" s="13"/>
      <c r="E21" s="13"/>
      <c r="F21" s="13"/>
      <c r="G21" s="13"/>
      <c r="H21" s="13"/>
      <c r="I21" s="13"/>
      <c r="J21" s="13"/>
      <c r="K21" s="13"/>
      <c r="L21" s="13"/>
      <c r="M21" s="13"/>
      <c r="N21" s="13"/>
      <c r="O21" s="13"/>
      <c r="P21" s="13"/>
      <c r="Q21" s="13"/>
      <c r="R21" s="13"/>
      <c r="S21" s="13"/>
      <c r="T21" s="278"/>
      <c r="U21" s="266"/>
      <c r="V21" s="266"/>
      <c r="W21" s="267"/>
      <c r="X21" s="267"/>
    </row>
    <row r="22" spans="2:24" s="109" customFormat="1" x14ac:dyDescent="0.25">
      <c r="B22" s="18"/>
      <c r="C22" s="13"/>
      <c r="D22" s="13"/>
      <c r="E22" s="13"/>
      <c r="F22" s="110"/>
      <c r="G22" s="110"/>
      <c r="H22" s="110"/>
      <c r="I22" s="110"/>
      <c r="J22" s="110"/>
      <c r="K22" s="110"/>
      <c r="L22" s="110"/>
      <c r="M22" s="110"/>
      <c r="N22" s="110"/>
      <c r="O22" s="110"/>
      <c r="P22" s="110"/>
      <c r="Q22" s="110"/>
      <c r="R22" s="110"/>
      <c r="S22" s="110"/>
      <c r="T22" s="17"/>
      <c r="U22" s="270"/>
      <c r="V22" s="270"/>
      <c r="W22" s="267"/>
      <c r="X22" s="267"/>
    </row>
    <row r="23" spans="2:24" s="109" customFormat="1" x14ac:dyDescent="0.25">
      <c r="B23" s="18"/>
      <c r="C23" s="13"/>
      <c r="D23" s="13"/>
      <c r="E23" s="13"/>
      <c r="F23" s="110"/>
      <c r="G23" s="110"/>
      <c r="H23" s="110"/>
      <c r="I23" s="110"/>
      <c r="J23" s="110"/>
      <c r="K23" s="110"/>
      <c r="L23" s="110"/>
      <c r="M23" s="110"/>
      <c r="N23" s="110"/>
      <c r="O23" s="110"/>
      <c r="P23" s="110"/>
      <c r="Q23" s="110"/>
      <c r="R23" s="110"/>
      <c r="S23" s="110"/>
      <c r="T23" s="17"/>
      <c r="U23" s="270"/>
      <c r="V23" s="270"/>
      <c r="W23" s="267"/>
      <c r="X23" s="267"/>
    </row>
    <row r="24" spans="2:24" s="109" customFormat="1" x14ac:dyDescent="0.25">
      <c r="B24" s="18"/>
      <c r="C24" s="13"/>
      <c r="D24" s="13"/>
      <c r="E24" s="13"/>
      <c r="F24" s="110"/>
      <c r="G24" s="110"/>
      <c r="H24" s="110"/>
      <c r="I24" s="110"/>
      <c r="J24" s="110"/>
      <c r="K24" s="110"/>
      <c r="L24" s="110"/>
      <c r="M24" s="110"/>
      <c r="N24" s="110"/>
      <c r="O24" s="110"/>
      <c r="P24" s="110"/>
      <c r="Q24" s="110"/>
      <c r="R24" s="110"/>
      <c r="S24" s="110"/>
      <c r="T24" s="17"/>
      <c r="U24" s="270"/>
      <c r="V24" s="270"/>
      <c r="W24" s="267"/>
      <c r="X24" s="267"/>
    </row>
    <row r="25" spans="2:24" s="109" customFormat="1" x14ac:dyDescent="0.25">
      <c r="B25" s="18"/>
      <c r="C25" s="13"/>
      <c r="D25" s="13"/>
      <c r="E25" s="13"/>
      <c r="F25" s="110"/>
      <c r="G25" s="110"/>
      <c r="H25" s="110"/>
      <c r="I25" s="110"/>
      <c r="J25" s="110"/>
      <c r="K25" s="110"/>
      <c r="L25" s="110"/>
      <c r="M25" s="110"/>
      <c r="N25" s="110"/>
      <c r="O25" s="110"/>
      <c r="P25" s="110"/>
      <c r="Q25" s="110"/>
      <c r="R25" s="110"/>
      <c r="S25" s="110"/>
      <c r="T25" s="17"/>
      <c r="U25" s="270"/>
      <c r="V25" s="270"/>
      <c r="W25" s="267"/>
      <c r="X25" s="267"/>
    </row>
    <row r="26" spans="2:24" s="109" customFormat="1" x14ac:dyDescent="0.25">
      <c r="B26" s="18"/>
      <c r="C26" s="13"/>
      <c r="D26" s="13"/>
      <c r="E26" s="13"/>
      <c r="F26" s="110"/>
      <c r="G26" s="110"/>
      <c r="H26" s="110"/>
      <c r="I26" s="110"/>
      <c r="J26" s="110"/>
      <c r="K26" s="110"/>
      <c r="L26" s="110"/>
      <c r="M26" s="110"/>
      <c r="N26" s="110"/>
      <c r="O26" s="110"/>
      <c r="P26" s="110"/>
      <c r="Q26" s="110"/>
      <c r="R26" s="110"/>
      <c r="S26" s="110"/>
      <c r="T26" s="17"/>
      <c r="U26" s="270"/>
      <c r="V26" s="270"/>
      <c r="W26" s="267"/>
      <c r="X26" s="267"/>
    </row>
    <row r="27" spans="2:24" s="109" customFormat="1" x14ac:dyDescent="0.25">
      <c r="B27" s="18"/>
      <c r="C27" s="13"/>
      <c r="D27" s="13"/>
      <c r="E27" s="13"/>
      <c r="F27" s="110"/>
      <c r="G27" s="110"/>
      <c r="H27" s="110"/>
      <c r="I27" s="110"/>
      <c r="J27" s="110"/>
      <c r="K27" s="110"/>
      <c r="L27" s="110"/>
      <c r="M27" s="110"/>
      <c r="N27" s="110"/>
      <c r="O27" s="110"/>
      <c r="P27" s="110"/>
      <c r="Q27" s="110"/>
      <c r="R27" s="110"/>
      <c r="S27" s="110"/>
      <c r="T27" s="17"/>
      <c r="U27" s="270"/>
      <c r="V27" s="270"/>
      <c r="W27" s="267"/>
      <c r="X27" s="267"/>
    </row>
    <row r="28" spans="2:24" s="109" customFormat="1" x14ac:dyDescent="0.25">
      <c r="B28" s="18"/>
      <c r="C28" s="13"/>
      <c r="D28" s="13"/>
      <c r="E28" s="13"/>
      <c r="F28" s="110"/>
      <c r="G28" s="110"/>
      <c r="H28" s="110"/>
      <c r="I28" s="110"/>
      <c r="J28" s="110"/>
      <c r="K28" s="110"/>
      <c r="L28" s="110"/>
      <c r="M28" s="110"/>
      <c r="N28" s="110"/>
      <c r="O28" s="110"/>
      <c r="P28" s="110"/>
      <c r="Q28" s="110"/>
      <c r="R28" s="110"/>
      <c r="S28" s="110"/>
      <c r="T28" s="17"/>
      <c r="U28" s="270"/>
      <c r="V28" s="270"/>
      <c r="W28" s="267"/>
      <c r="X28" s="267"/>
    </row>
    <row r="29" spans="2:24" s="109" customFormat="1" x14ac:dyDescent="0.25">
      <c r="B29" s="18"/>
      <c r="C29" s="13"/>
      <c r="D29" s="13"/>
      <c r="E29" s="13"/>
      <c r="F29" s="110"/>
      <c r="G29" s="110"/>
      <c r="H29" s="110"/>
      <c r="I29" s="110"/>
      <c r="J29" s="110"/>
      <c r="K29" s="110"/>
      <c r="L29" s="110"/>
      <c r="M29" s="110"/>
      <c r="N29" s="110"/>
      <c r="O29" s="110"/>
      <c r="P29" s="110"/>
      <c r="Q29" s="110"/>
      <c r="R29" s="110"/>
      <c r="S29" s="110"/>
      <c r="T29" s="17"/>
      <c r="U29" s="270"/>
      <c r="V29" s="270"/>
      <c r="W29" s="267"/>
      <c r="X29" s="267"/>
    </row>
    <row r="30" spans="2:24" s="109" customFormat="1" x14ac:dyDescent="0.25">
      <c r="B30" s="18"/>
      <c r="C30" s="13"/>
      <c r="D30" s="13"/>
      <c r="E30" s="13"/>
      <c r="F30" s="110"/>
      <c r="G30" s="110"/>
      <c r="H30" s="110"/>
      <c r="I30" s="110"/>
      <c r="J30" s="110"/>
      <c r="K30" s="110"/>
      <c r="L30" s="110"/>
      <c r="M30" s="110"/>
      <c r="N30" s="110"/>
      <c r="O30" s="110"/>
      <c r="P30" s="110"/>
      <c r="Q30" s="110"/>
      <c r="R30" s="110"/>
      <c r="S30" s="110"/>
      <c r="T30" s="17"/>
      <c r="U30" s="270"/>
      <c r="V30" s="270"/>
      <c r="W30" s="267"/>
      <c r="X30" s="267"/>
    </row>
    <row r="31" spans="2:24" s="109" customFormat="1" x14ac:dyDescent="0.25">
      <c r="B31" s="18"/>
      <c r="C31" s="13"/>
      <c r="D31" s="13"/>
      <c r="E31" s="13"/>
      <c r="F31" s="110"/>
      <c r="G31" s="110"/>
      <c r="H31" s="110"/>
      <c r="I31" s="110"/>
      <c r="J31" s="110"/>
      <c r="K31" s="110"/>
      <c r="L31" s="110"/>
      <c r="M31" s="110"/>
      <c r="N31" s="110"/>
      <c r="O31" s="110"/>
      <c r="P31" s="110"/>
      <c r="Q31" s="110"/>
      <c r="R31" s="110"/>
      <c r="S31" s="110"/>
      <c r="T31" s="17"/>
      <c r="U31" s="270"/>
      <c r="V31" s="270"/>
      <c r="W31" s="267"/>
      <c r="X31" s="267"/>
    </row>
    <row r="32" spans="2:24" s="109" customFormat="1" x14ac:dyDescent="0.25">
      <c r="B32" s="18"/>
      <c r="C32" s="13"/>
      <c r="D32" s="13"/>
      <c r="E32" s="13"/>
      <c r="F32" s="110"/>
      <c r="G32" s="110"/>
      <c r="H32" s="110"/>
      <c r="I32" s="110"/>
      <c r="J32" s="110"/>
      <c r="K32" s="110"/>
      <c r="L32" s="110"/>
      <c r="M32" s="110"/>
      <c r="N32" s="110"/>
      <c r="O32" s="110"/>
      <c r="P32" s="110"/>
      <c r="Q32" s="110"/>
      <c r="R32" s="110"/>
      <c r="S32" s="110"/>
      <c r="T32" s="17"/>
      <c r="U32" s="270"/>
      <c r="V32" s="270"/>
      <c r="W32" s="267"/>
      <c r="X32" s="267"/>
    </row>
    <row r="33" spans="2:24" s="109" customFormat="1" x14ac:dyDescent="0.25">
      <c r="B33" s="18"/>
      <c r="C33" s="13"/>
      <c r="D33" s="13"/>
      <c r="E33" s="13"/>
      <c r="F33" s="110"/>
      <c r="G33" s="110"/>
      <c r="H33" s="110"/>
      <c r="I33" s="110"/>
      <c r="J33" s="110"/>
      <c r="K33" s="110"/>
      <c r="L33" s="110"/>
      <c r="M33" s="110"/>
      <c r="N33" s="110"/>
      <c r="O33" s="110"/>
      <c r="P33" s="110"/>
      <c r="Q33" s="110"/>
      <c r="R33" s="110"/>
      <c r="S33" s="110"/>
      <c r="T33" s="17"/>
      <c r="U33" s="270"/>
      <c r="V33" s="270"/>
      <c r="W33" s="267"/>
      <c r="X33" s="267"/>
    </row>
    <row r="34" spans="2:24" s="109" customFormat="1" x14ac:dyDescent="0.25">
      <c r="B34" s="18"/>
      <c r="C34" s="13"/>
      <c r="D34" s="13"/>
      <c r="E34" s="13"/>
      <c r="F34" s="110"/>
      <c r="G34" s="110"/>
      <c r="H34" s="110"/>
      <c r="I34" s="110"/>
      <c r="J34" s="110"/>
      <c r="K34" s="110"/>
      <c r="L34" s="110"/>
      <c r="M34" s="110"/>
      <c r="N34" s="110"/>
      <c r="O34" s="110"/>
      <c r="P34" s="110"/>
      <c r="Q34" s="110"/>
      <c r="R34" s="110"/>
      <c r="S34" s="110"/>
      <c r="T34" s="17"/>
      <c r="U34" s="270"/>
      <c r="V34" s="270"/>
      <c r="W34" s="267"/>
      <c r="X34" s="267"/>
    </row>
    <row r="35" spans="2:24" s="109" customFormat="1" x14ac:dyDescent="0.25">
      <c r="B35" s="18"/>
      <c r="C35" s="13"/>
      <c r="D35" s="13"/>
      <c r="E35" s="13"/>
      <c r="F35" s="110"/>
      <c r="G35" s="110"/>
      <c r="H35" s="110"/>
      <c r="I35" s="110"/>
      <c r="J35" s="110"/>
      <c r="K35" s="110"/>
      <c r="L35" s="110"/>
      <c r="M35" s="110"/>
      <c r="N35" s="110"/>
      <c r="O35" s="110"/>
      <c r="P35" s="110"/>
      <c r="Q35" s="110"/>
      <c r="R35" s="110"/>
      <c r="S35" s="110"/>
      <c r="T35" s="17"/>
      <c r="U35" s="270"/>
      <c r="V35" s="270"/>
      <c r="W35" s="267"/>
      <c r="X35" s="267"/>
    </row>
    <row r="36" spans="2:24" s="109" customFormat="1" x14ac:dyDescent="0.25">
      <c r="B36" s="18"/>
      <c r="C36" s="13"/>
      <c r="D36" s="13"/>
      <c r="E36" s="13"/>
      <c r="F36" s="110"/>
      <c r="G36" s="110"/>
      <c r="H36" s="110"/>
      <c r="I36" s="110"/>
      <c r="J36" s="110"/>
      <c r="K36" s="110"/>
      <c r="L36" s="110"/>
      <c r="M36" s="110"/>
      <c r="N36" s="110"/>
      <c r="O36" s="110"/>
      <c r="P36" s="110"/>
      <c r="Q36" s="110"/>
      <c r="R36" s="110"/>
      <c r="S36" s="110"/>
      <c r="T36" s="17"/>
      <c r="U36" s="270"/>
      <c r="V36" s="270"/>
      <c r="W36" s="267"/>
      <c r="X36" s="267"/>
    </row>
    <row r="37" spans="2:24" s="109" customFormat="1" x14ac:dyDescent="0.25">
      <c r="B37" s="18"/>
      <c r="C37" s="13"/>
      <c r="D37" s="13"/>
      <c r="E37" s="13"/>
      <c r="F37" s="110"/>
      <c r="G37" s="110"/>
      <c r="H37" s="110"/>
      <c r="I37" s="110"/>
      <c r="J37" s="110"/>
      <c r="K37" s="110"/>
      <c r="L37" s="110"/>
      <c r="M37" s="110"/>
      <c r="N37" s="110"/>
      <c r="O37" s="110"/>
      <c r="P37" s="110"/>
      <c r="Q37" s="110"/>
      <c r="R37" s="110"/>
      <c r="S37" s="110"/>
      <c r="T37" s="17"/>
      <c r="U37" s="270"/>
      <c r="V37" s="270"/>
      <c r="W37" s="267"/>
      <c r="X37" s="267"/>
    </row>
    <row r="38" spans="2:24" s="109" customFormat="1" x14ac:dyDescent="0.25">
      <c r="B38" s="18"/>
      <c r="C38" s="13"/>
      <c r="D38" s="13"/>
      <c r="E38" s="13"/>
      <c r="F38" s="110"/>
      <c r="G38" s="110"/>
      <c r="H38" s="110"/>
      <c r="I38" s="110"/>
      <c r="J38" s="110"/>
      <c r="K38" s="110"/>
      <c r="L38" s="110"/>
      <c r="M38" s="110"/>
      <c r="N38" s="110"/>
      <c r="O38" s="110"/>
      <c r="P38" s="110"/>
      <c r="Q38" s="110"/>
      <c r="R38" s="110"/>
      <c r="S38" s="110"/>
      <c r="T38" s="17"/>
      <c r="U38" s="270"/>
      <c r="V38" s="270"/>
      <c r="W38" s="267"/>
      <c r="X38" s="267"/>
    </row>
    <row r="39" spans="2:24" s="109" customFormat="1" x14ac:dyDescent="0.25">
      <c r="B39" s="18"/>
      <c r="C39" s="13"/>
      <c r="D39" s="13"/>
      <c r="E39" s="13"/>
      <c r="F39" s="110"/>
      <c r="G39" s="110"/>
      <c r="H39" s="110"/>
      <c r="I39" s="110"/>
      <c r="J39" s="110"/>
      <c r="K39" s="110"/>
      <c r="L39" s="110"/>
      <c r="M39" s="110"/>
      <c r="N39" s="110"/>
      <c r="O39" s="110"/>
      <c r="P39" s="110"/>
      <c r="Q39" s="110"/>
      <c r="R39" s="110"/>
      <c r="S39" s="110"/>
      <c r="T39" s="17"/>
      <c r="U39" s="270"/>
      <c r="V39" s="270"/>
      <c r="W39" s="267"/>
      <c r="X39" s="267"/>
    </row>
    <row r="40" spans="2:24" s="109" customFormat="1" x14ac:dyDescent="0.25">
      <c r="B40" s="18"/>
      <c r="C40" s="13"/>
      <c r="D40" s="13"/>
      <c r="E40" s="13"/>
      <c r="F40" s="110"/>
      <c r="G40" s="110"/>
      <c r="H40" s="110"/>
      <c r="I40" s="110"/>
      <c r="J40" s="110"/>
      <c r="K40" s="110"/>
      <c r="L40" s="110"/>
      <c r="M40" s="110"/>
      <c r="N40" s="110"/>
      <c r="O40" s="110"/>
      <c r="P40" s="110"/>
      <c r="Q40" s="110"/>
      <c r="R40" s="110"/>
      <c r="S40" s="110"/>
      <c r="T40" s="17"/>
      <c r="U40" s="270"/>
      <c r="V40" s="270"/>
      <c r="W40" s="267"/>
      <c r="X40" s="267"/>
    </row>
    <row r="41" spans="2:24" s="109" customFormat="1" x14ac:dyDescent="0.25">
      <c r="B41" s="18"/>
      <c r="C41" s="13"/>
      <c r="D41" s="13"/>
      <c r="E41" s="13"/>
      <c r="F41" s="110"/>
      <c r="G41" s="110"/>
      <c r="H41" s="110"/>
      <c r="I41" s="110"/>
      <c r="J41" s="110"/>
      <c r="K41" s="110"/>
      <c r="L41" s="110"/>
      <c r="M41" s="110"/>
      <c r="N41" s="110"/>
      <c r="O41" s="110"/>
      <c r="P41" s="110"/>
      <c r="Q41" s="110"/>
      <c r="R41" s="110"/>
      <c r="S41" s="110"/>
      <c r="T41" s="17"/>
      <c r="U41" s="270"/>
      <c r="V41" s="270"/>
      <c r="W41" s="267"/>
      <c r="X41" s="267"/>
    </row>
    <row r="42" spans="2:24" s="109" customFormat="1" x14ac:dyDescent="0.25">
      <c r="B42" s="18"/>
      <c r="C42" s="13"/>
      <c r="D42" s="13"/>
      <c r="E42" s="13"/>
      <c r="F42" s="110"/>
      <c r="G42" s="110"/>
      <c r="H42" s="110"/>
      <c r="I42" s="110"/>
      <c r="J42" s="110"/>
      <c r="K42" s="110"/>
      <c r="L42" s="110"/>
      <c r="M42" s="110"/>
      <c r="N42" s="110"/>
      <c r="O42" s="110"/>
      <c r="P42" s="110"/>
      <c r="Q42" s="110"/>
      <c r="R42" s="110"/>
      <c r="S42" s="110"/>
      <c r="T42" s="17"/>
      <c r="U42" s="270"/>
      <c r="V42" s="270"/>
      <c r="W42" s="267"/>
      <c r="X42" s="267"/>
    </row>
    <row r="43" spans="2:24" s="109" customFormat="1" x14ac:dyDescent="0.25">
      <c r="B43" s="18"/>
      <c r="C43" s="13"/>
      <c r="D43" s="13"/>
      <c r="E43" s="13"/>
      <c r="F43" s="110"/>
      <c r="G43" s="110"/>
      <c r="H43" s="110"/>
      <c r="I43" s="110"/>
      <c r="J43" s="110"/>
      <c r="K43" s="110"/>
      <c r="L43" s="110"/>
      <c r="M43" s="110"/>
      <c r="N43" s="110"/>
      <c r="O43" s="110"/>
      <c r="P43" s="110"/>
      <c r="Q43" s="110"/>
      <c r="R43" s="110"/>
      <c r="S43" s="110"/>
      <c r="T43" s="17"/>
      <c r="U43" s="270"/>
      <c r="V43" s="270"/>
      <c r="W43" s="267"/>
      <c r="X43" s="267"/>
    </row>
    <row r="44" spans="2:24" s="109" customFormat="1" x14ac:dyDescent="0.25">
      <c r="B44" s="18"/>
      <c r="C44" s="13"/>
      <c r="D44" s="13"/>
      <c r="E44" s="13"/>
      <c r="F44" s="110"/>
      <c r="G44" s="110"/>
      <c r="H44" s="110"/>
      <c r="I44" s="110"/>
      <c r="J44" s="110"/>
      <c r="K44" s="110"/>
      <c r="L44" s="110"/>
      <c r="M44" s="110"/>
      <c r="N44" s="110"/>
      <c r="O44" s="110"/>
      <c r="P44" s="110"/>
      <c r="Q44" s="110"/>
      <c r="R44" s="110"/>
      <c r="S44" s="110"/>
      <c r="T44" s="17"/>
      <c r="U44" s="270"/>
      <c r="V44" s="270"/>
      <c r="W44" s="267"/>
      <c r="X44" s="267"/>
    </row>
    <row r="45" spans="2:24" s="109" customFormat="1" x14ac:dyDescent="0.25">
      <c r="B45" s="18"/>
      <c r="C45" s="13"/>
      <c r="D45" s="13"/>
      <c r="E45" s="13"/>
      <c r="F45" s="110"/>
      <c r="G45" s="110"/>
      <c r="H45" s="110"/>
      <c r="I45" s="110"/>
      <c r="J45" s="110"/>
      <c r="K45" s="110"/>
      <c r="L45" s="110"/>
      <c r="M45" s="110"/>
      <c r="N45" s="110"/>
      <c r="O45" s="110"/>
      <c r="P45" s="110"/>
      <c r="Q45" s="110"/>
      <c r="R45" s="110"/>
      <c r="S45" s="110"/>
      <c r="T45" s="17"/>
      <c r="U45" s="270"/>
      <c r="V45" s="270"/>
      <c r="W45" s="267"/>
      <c r="X45" s="267"/>
    </row>
    <row r="46" spans="2:24" s="109" customFormat="1" ht="15.75" thickBot="1" x14ac:dyDescent="0.3">
      <c r="B46" s="323"/>
      <c r="C46" s="281"/>
      <c r="D46" s="281"/>
      <c r="E46" s="281"/>
      <c r="F46" s="304"/>
      <c r="G46" s="304"/>
      <c r="H46" s="304"/>
      <c r="I46" s="304"/>
      <c r="J46" s="304"/>
      <c r="K46" s="304"/>
      <c r="L46" s="304"/>
      <c r="M46" s="304"/>
      <c r="N46" s="304"/>
      <c r="O46" s="304"/>
      <c r="P46" s="304"/>
      <c r="Q46" s="304"/>
      <c r="R46" s="304"/>
      <c r="S46" s="304"/>
      <c r="T46" s="338"/>
      <c r="U46" s="270"/>
      <c r="V46" s="270"/>
      <c r="W46" s="267"/>
      <c r="X46" s="267"/>
    </row>
    <row r="47" spans="2:24" s="109" customFormat="1" ht="15.75" thickTop="1" x14ac:dyDescent="0.25">
      <c r="B47" s="108"/>
      <c r="C47" s="108"/>
      <c r="D47" s="108"/>
      <c r="E47" s="108"/>
      <c r="F47" s="108"/>
      <c r="G47" s="108"/>
      <c r="H47" s="108"/>
      <c r="I47" s="108"/>
      <c r="J47" s="108"/>
      <c r="K47" s="108"/>
      <c r="L47" s="108"/>
      <c r="M47" s="108"/>
      <c r="N47" s="108"/>
      <c r="O47" s="108"/>
      <c r="P47" s="108"/>
      <c r="Q47" s="108"/>
      <c r="R47" s="108"/>
      <c r="S47" s="108"/>
      <c r="T47" s="108"/>
      <c r="U47" s="270"/>
      <c r="V47" s="270"/>
      <c r="W47" s="267"/>
      <c r="X47" s="267"/>
    </row>
    <row r="48" spans="2:24" s="109" customFormat="1" x14ac:dyDescent="0.25">
      <c r="B48" s="108"/>
      <c r="C48" s="108"/>
      <c r="D48" s="108"/>
      <c r="E48" s="108"/>
      <c r="F48" s="108"/>
      <c r="G48" s="108"/>
      <c r="H48" s="108"/>
      <c r="I48" s="108"/>
      <c r="J48" s="108"/>
      <c r="K48" s="108"/>
      <c r="L48" s="108"/>
      <c r="M48" s="108"/>
      <c r="N48" s="108"/>
      <c r="O48" s="108"/>
      <c r="P48" s="108"/>
      <c r="Q48" s="108"/>
      <c r="R48" s="108"/>
      <c r="S48" s="108"/>
      <c r="T48" s="108"/>
      <c r="U48" s="270"/>
      <c r="V48" s="270"/>
      <c r="W48" s="267"/>
      <c r="X48" s="267"/>
    </row>
    <row r="49" spans="2:24" s="109" customFormat="1" x14ac:dyDescent="0.25">
      <c r="B49" s="108"/>
      <c r="C49" s="108"/>
      <c r="D49" s="108"/>
      <c r="E49" s="108"/>
      <c r="F49" s="108"/>
      <c r="G49" s="108"/>
      <c r="H49" s="108"/>
      <c r="I49" s="108"/>
      <c r="J49" s="108"/>
      <c r="K49" s="108"/>
      <c r="L49" s="108"/>
      <c r="M49" s="108"/>
      <c r="N49" s="108"/>
      <c r="O49" s="108"/>
      <c r="P49" s="108"/>
      <c r="Q49" s="108"/>
      <c r="R49" s="108"/>
      <c r="S49" s="108"/>
      <c r="T49" s="108"/>
      <c r="U49" s="270"/>
      <c r="V49" s="270"/>
      <c r="W49" s="267"/>
      <c r="X49" s="267"/>
    </row>
    <row r="50" spans="2:24" s="109" customFormat="1" x14ac:dyDescent="0.25">
      <c r="B50" s="108"/>
      <c r="C50" s="108"/>
      <c r="D50" s="108"/>
      <c r="E50" s="108"/>
      <c r="F50" s="108"/>
      <c r="G50" s="108"/>
      <c r="H50" s="108"/>
      <c r="I50" s="108"/>
      <c r="J50" s="108"/>
      <c r="K50" s="108"/>
      <c r="L50" s="108"/>
      <c r="M50" s="108"/>
      <c r="N50" s="108"/>
      <c r="O50" s="108"/>
      <c r="P50" s="108"/>
      <c r="Q50" s="108"/>
      <c r="R50" s="108"/>
      <c r="S50" s="108"/>
      <c r="T50" s="108"/>
      <c r="U50" s="270"/>
      <c r="V50" s="270"/>
      <c r="W50" s="267"/>
      <c r="X50" s="267"/>
    </row>
    <row r="51" spans="2:24" s="109" customFormat="1" x14ac:dyDescent="0.25">
      <c r="B51" s="108"/>
      <c r="C51" s="108"/>
      <c r="D51" s="108"/>
      <c r="E51" s="108"/>
      <c r="F51" s="108"/>
      <c r="G51" s="108"/>
      <c r="H51" s="108"/>
      <c r="I51" s="108"/>
      <c r="J51" s="108"/>
      <c r="K51" s="108"/>
      <c r="L51" s="108"/>
      <c r="M51" s="108"/>
      <c r="N51" s="108"/>
      <c r="O51" s="108"/>
      <c r="P51" s="108"/>
      <c r="Q51" s="108"/>
      <c r="R51" s="108"/>
      <c r="S51" s="108"/>
      <c r="T51" s="108"/>
      <c r="U51" s="270"/>
      <c r="V51" s="270"/>
      <c r="W51" s="267"/>
      <c r="X51" s="267"/>
    </row>
    <row r="52" spans="2:24" s="109" customFormat="1" x14ac:dyDescent="0.25">
      <c r="B52" s="108"/>
      <c r="C52" s="108"/>
      <c r="D52" s="108"/>
      <c r="E52" s="108"/>
      <c r="F52" s="108"/>
      <c r="G52" s="108"/>
      <c r="H52" s="108"/>
      <c r="I52" s="108"/>
      <c r="J52" s="108"/>
      <c r="K52" s="108"/>
      <c r="L52" s="108"/>
      <c r="M52" s="108"/>
      <c r="N52" s="108"/>
      <c r="O52" s="108"/>
      <c r="P52" s="108"/>
      <c r="Q52" s="108"/>
      <c r="R52" s="108"/>
      <c r="S52" s="108"/>
      <c r="T52" s="108"/>
      <c r="U52" s="270"/>
      <c r="V52" s="270"/>
      <c r="W52" s="267"/>
      <c r="X52" s="267"/>
    </row>
    <row r="53" spans="2:24" s="109" customFormat="1" x14ac:dyDescent="0.25">
      <c r="B53" s="108"/>
      <c r="C53" s="108"/>
      <c r="D53" s="108"/>
      <c r="E53" s="108"/>
      <c r="F53" s="108"/>
      <c r="G53" s="108"/>
      <c r="H53" s="108"/>
      <c r="I53" s="108"/>
      <c r="J53" s="108"/>
      <c r="K53" s="108"/>
      <c r="L53" s="108"/>
      <c r="M53" s="108"/>
      <c r="N53" s="108"/>
      <c r="O53" s="108"/>
      <c r="P53" s="108"/>
      <c r="Q53" s="108"/>
      <c r="R53" s="108"/>
      <c r="S53" s="108"/>
      <c r="T53" s="108"/>
      <c r="U53" s="270"/>
      <c r="V53" s="270"/>
      <c r="W53" s="267"/>
      <c r="X53" s="267"/>
    </row>
    <row r="54" spans="2:24" s="109" customFormat="1" x14ac:dyDescent="0.25">
      <c r="B54" s="108"/>
      <c r="C54" s="108"/>
      <c r="D54" s="108"/>
      <c r="E54" s="108"/>
      <c r="F54" s="108"/>
      <c r="G54" s="108"/>
      <c r="H54" s="108"/>
      <c r="I54" s="108"/>
      <c r="J54" s="108"/>
      <c r="K54" s="108"/>
      <c r="L54" s="108"/>
      <c r="M54" s="108"/>
      <c r="N54" s="108"/>
      <c r="O54" s="108"/>
      <c r="P54" s="108"/>
      <c r="Q54" s="108"/>
      <c r="R54" s="108"/>
      <c r="S54" s="108"/>
      <c r="T54" s="108"/>
      <c r="U54" s="270"/>
      <c r="V54" s="270"/>
      <c r="W54" s="267"/>
      <c r="X54" s="267"/>
    </row>
    <row r="55" spans="2:24" s="109" customFormat="1" x14ac:dyDescent="0.25">
      <c r="B55" s="108"/>
      <c r="C55" s="108"/>
      <c r="D55" s="108"/>
      <c r="E55" s="108"/>
      <c r="F55" s="108"/>
      <c r="G55" s="108"/>
      <c r="H55" s="108"/>
      <c r="I55" s="108"/>
      <c r="J55" s="108"/>
      <c r="K55" s="108"/>
      <c r="L55" s="108"/>
      <c r="M55" s="108"/>
      <c r="N55" s="108"/>
      <c r="O55" s="108"/>
      <c r="P55" s="108"/>
      <c r="Q55" s="108"/>
      <c r="R55" s="108"/>
      <c r="S55" s="108"/>
      <c r="T55" s="108"/>
      <c r="U55" s="270"/>
      <c r="V55" s="270"/>
      <c r="W55" s="267"/>
      <c r="X55" s="267"/>
    </row>
    <row r="56" spans="2:24" s="109" customFormat="1" x14ac:dyDescent="0.25">
      <c r="B56" s="108"/>
      <c r="C56" s="108"/>
      <c r="D56" s="108"/>
      <c r="E56" s="108"/>
      <c r="F56" s="108"/>
      <c r="G56" s="108"/>
      <c r="H56" s="108"/>
      <c r="I56" s="108"/>
      <c r="J56" s="108"/>
      <c r="K56" s="108"/>
      <c r="L56" s="108"/>
      <c r="M56" s="108"/>
      <c r="N56" s="108"/>
      <c r="O56" s="108"/>
      <c r="P56" s="108"/>
      <c r="Q56" s="108"/>
      <c r="R56" s="108"/>
      <c r="S56" s="108"/>
      <c r="T56" s="108"/>
      <c r="U56" s="270"/>
      <c r="V56" s="270"/>
      <c r="W56" s="267"/>
      <c r="X56" s="267"/>
    </row>
    <row r="57" spans="2:24" s="109" customFormat="1" x14ac:dyDescent="0.25">
      <c r="B57" s="108"/>
      <c r="C57" s="108"/>
      <c r="D57" s="108"/>
      <c r="E57" s="108"/>
      <c r="F57" s="108"/>
      <c r="G57" s="108"/>
      <c r="H57" s="108"/>
      <c r="I57" s="108"/>
      <c r="J57" s="108"/>
      <c r="K57" s="108"/>
      <c r="L57" s="108"/>
      <c r="M57" s="108"/>
      <c r="N57" s="108"/>
      <c r="O57" s="108"/>
      <c r="P57" s="108"/>
      <c r="Q57" s="108"/>
      <c r="R57" s="108"/>
      <c r="S57" s="108"/>
      <c r="T57" s="108"/>
      <c r="U57" s="270"/>
      <c r="V57" s="270"/>
      <c r="W57" s="267"/>
      <c r="X57" s="267"/>
    </row>
    <row r="58" spans="2:24" s="109" customFormat="1" x14ac:dyDescent="0.25">
      <c r="B58" s="108"/>
      <c r="C58" s="108"/>
      <c r="D58" s="108"/>
      <c r="E58" s="108"/>
      <c r="F58" s="108"/>
      <c r="G58" s="108"/>
      <c r="H58" s="108"/>
      <c r="I58" s="108"/>
      <c r="J58" s="108"/>
      <c r="K58" s="108"/>
      <c r="L58" s="108"/>
      <c r="M58" s="108"/>
      <c r="N58" s="108"/>
      <c r="O58" s="108"/>
      <c r="P58" s="108"/>
      <c r="Q58" s="108"/>
      <c r="R58" s="108"/>
      <c r="S58" s="108"/>
      <c r="T58" s="108"/>
      <c r="U58" s="270"/>
      <c r="V58" s="270"/>
      <c r="W58" s="267"/>
      <c r="X58" s="267"/>
    </row>
    <row r="59" spans="2:24" s="109" customFormat="1" x14ac:dyDescent="0.25">
      <c r="B59" s="108"/>
      <c r="C59" s="108"/>
      <c r="D59" s="108"/>
      <c r="E59" s="108"/>
      <c r="F59" s="108"/>
      <c r="G59" s="108"/>
      <c r="H59" s="108"/>
      <c r="I59" s="108"/>
      <c r="J59" s="108"/>
      <c r="K59" s="108"/>
      <c r="L59" s="108"/>
      <c r="M59" s="108"/>
      <c r="N59" s="108"/>
      <c r="O59" s="108"/>
      <c r="P59" s="108"/>
      <c r="Q59" s="108"/>
      <c r="R59" s="108"/>
      <c r="S59" s="108"/>
      <c r="T59" s="108"/>
      <c r="U59" s="270"/>
      <c r="V59" s="270"/>
      <c r="W59" s="267"/>
      <c r="X59" s="267"/>
    </row>
    <row r="60" spans="2:24" s="109" customFormat="1" x14ac:dyDescent="0.25">
      <c r="B60" s="108"/>
      <c r="C60" s="108"/>
      <c r="D60" s="108"/>
      <c r="E60" s="108"/>
      <c r="F60" s="108"/>
      <c r="G60" s="108"/>
      <c r="H60" s="108"/>
      <c r="I60" s="108"/>
      <c r="J60" s="108"/>
      <c r="K60" s="108"/>
      <c r="L60" s="108"/>
      <c r="M60" s="108"/>
      <c r="N60" s="108"/>
      <c r="O60" s="108"/>
      <c r="P60" s="108"/>
      <c r="Q60" s="108"/>
      <c r="R60" s="108"/>
      <c r="S60" s="108"/>
      <c r="T60" s="108"/>
      <c r="U60" s="270"/>
      <c r="V60" s="270"/>
      <c r="W60" s="267"/>
      <c r="X60" s="267"/>
    </row>
    <row r="61" spans="2:24" s="109" customFormat="1" x14ac:dyDescent="0.25">
      <c r="B61" s="108"/>
      <c r="C61" s="108"/>
      <c r="D61" s="108"/>
      <c r="E61" s="108"/>
      <c r="F61" s="108"/>
      <c r="G61" s="108"/>
      <c r="H61" s="108"/>
      <c r="I61" s="108"/>
      <c r="J61" s="108"/>
      <c r="K61" s="108"/>
      <c r="L61" s="108"/>
      <c r="M61" s="108"/>
      <c r="N61" s="108"/>
      <c r="O61" s="108"/>
      <c r="P61" s="108"/>
      <c r="Q61" s="108"/>
      <c r="R61" s="108"/>
      <c r="S61" s="108"/>
      <c r="T61" s="108"/>
      <c r="U61" s="270"/>
      <c r="V61" s="270"/>
      <c r="W61" s="267"/>
      <c r="X61" s="267"/>
    </row>
    <row r="62" spans="2:24" s="109" customFormat="1" x14ac:dyDescent="0.25">
      <c r="B62" s="108"/>
      <c r="C62" s="108"/>
      <c r="D62" s="108"/>
      <c r="E62" s="108"/>
      <c r="F62" s="108"/>
      <c r="G62" s="108"/>
      <c r="H62" s="108"/>
      <c r="I62" s="108"/>
      <c r="J62" s="108"/>
      <c r="K62" s="108"/>
      <c r="L62" s="108"/>
      <c r="M62" s="108"/>
      <c r="N62" s="108"/>
      <c r="O62" s="108"/>
      <c r="P62" s="108"/>
      <c r="Q62" s="108"/>
      <c r="R62" s="108"/>
      <c r="S62" s="108"/>
      <c r="T62" s="108"/>
      <c r="U62" s="270"/>
      <c r="V62" s="270"/>
      <c r="W62" s="267"/>
      <c r="X62" s="267"/>
    </row>
    <row r="63" spans="2:24" s="109" customFormat="1" x14ac:dyDescent="0.25">
      <c r="B63" s="108"/>
      <c r="C63" s="108"/>
      <c r="D63" s="108"/>
      <c r="E63" s="108"/>
      <c r="F63" s="108"/>
      <c r="G63" s="108"/>
      <c r="H63" s="108"/>
      <c r="I63" s="108"/>
      <c r="J63" s="108"/>
      <c r="K63" s="108"/>
      <c r="L63" s="108"/>
      <c r="M63" s="108"/>
      <c r="N63" s="108"/>
      <c r="O63" s="108"/>
      <c r="P63" s="108"/>
      <c r="Q63" s="108"/>
      <c r="R63" s="108"/>
      <c r="S63" s="108"/>
      <c r="T63" s="108"/>
      <c r="U63" s="270"/>
      <c r="V63" s="270"/>
      <c r="W63" s="267"/>
      <c r="X63" s="267"/>
    </row>
    <row r="64" spans="2:24" s="109" customFormat="1" x14ac:dyDescent="0.25">
      <c r="B64" s="108"/>
      <c r="C64" s="108"/>
      <c r="D64" s="108"/>
      <c r="E64" s="108"/>
      <c r="F64" s="108"/>
      <c r="G64" s="108"/>
      <c r="H64" s="108"/>
      <c r="I64" s="108"/>
      <c r="J64" s="108"/>
      <c r="K64" s="108"/>
      <c r="L64" s="108"/>
      <c r="M64" s="108"/>
      <c r="N64" s="108"/>
      <c r="O64" s="108"/>
      <c r="P64" s="108"/>
      <c r="Q64" s="108"/>
      <c r="R64" s="108"/>
      <c r="S64" s="108"/>
      <c r="T64" s="108"/>
      <c r="U64" s="270"/>
      <c r="V64" s="270"/>
      <c r="W64" s="267"/>
      <c r="X64" s="267"/>
    </row>
    <row r="65" spans="2:24" s="109" customFormat="1" x14ac:dyDescent="0.25">
      <c r="B65" s="108"/>
      <c r="C65" s="108"/>
      <c r="D65" s="108"/>
      <c r="E65" s="108"/>
      <c r="F65" s="108"/>
      <c r="G65" s="108"/>
      <c r="H65" s="108"/>
      <c r="I65" s="108"/>
      <c r="J65" s="108"/>
      <c r="K65" s="108"/>
      <c r="L65" s="108"/>
      <c r="M65" s="108"/>
      <c r="N65" s="108"/>
      <c r="O65" s="108"/>
      <c r="P65" s="108"/>
      <c r="Q65" s="108"/>
      <c r="R65" s="108"/>
      <c r="S65" s="108"/>
      <c r="T65" s="108"/>
      <c r="U65" s="270"/>
      <c r="V65" s="270"/>
      <c r="W65" s="267"/>
      <c r="X65" s="267"/>
    </row>
    <row r="66" spans="2:24" s="109" customFormat="1" x14ac:dyDescent="0.25">
      <c r="B66" s="108"/>
      <c r="C66" s="108"/>
      <c r="D66" s="108"/>
      <c r="E66" s="108"/>
      <c r="F66" s="108"/>
      <c r="G66" s="108"/>
      <c r="H66" s="108"/>
      <c r="I66" s="108"/>
      <c r="J66" s="108"/>
      <c r="K66" s="108"/>
      <c r="L66" s="108"/>
      <c r="M66" s="108"/>
      <c r="N66" s="108"/>
      <c r="O66" s="108"/>
      <c r="P66" s="108"/>
      <c r="Q66" s="108"/>
      <c r="R66" s="108"/>
      <c r="S66" s="108"/>
      <c r="T66" s="108"/>
      <c r="U66" s="270"/>
      <c r="V66" s="270"/>
      <c r="W66" s="267"/>
      <c r="X66" s="267"/>
    </row>
    <row r="67" spans="2:24" s="109" customFormat="1" x14ac:dyDescent="0.25">
      <c r="B67" s="108"/>
      <c r="C67" s="108"/>
      <c r="D67" s="108"/>
      <c r="E67" s="108"/>
      <c r="F67" s="108"/>
      <c r="G67" s="108"/>
      <c r="H67" s="108"/>
      <c r="I67" s="108"/>
      <c r="J67" s="108"/>
      <c r="K67" s="108"/>
      <c r="L67" s="108"/>
      <c r="M67" s="108"/>
      <c r="N67" s="108"/>
      <c r="O67" s="108"/>
      <c r="P67" s="108"/>
      <c r="Q67" s="108"/>
      <c r="R67" s="108"/>
      <c r="S67" s="108"/>
      <c r="T67" s="108"/>
      <c r="U67" s="270"/>
      <c r="V67" s="270"/>
      <c r="W67" s="267"/>
      <c r="X67" s="267"/>
    </row>
    <row r="68" spans="2:24" s="109" customFormat="1" x14ac:dyDescent="0.25">
      <c r="B68" s="108"/>
      <c r="C68" s="108"/>
      <c r="D68" s="108"/>
      <c r="E68" s="108"/>
      <c r="F68" s="108"/>
      <c r="G68" s="108"/>
      <c r="H68" s="108"/>
      <c r="I68" s="108"/>
      <c r="J68" s="108"/>
      <c r="K68" s="108"/>
      <c r="L68" s="108"/>
      <c r="M68" s="108"/>
      <c r="N68" s="108"/>
      <c r="O68" s="108"/>
      <c r="P68" s="108"/>
      <c r="Q68" s="108"/>
      <c r="R68" s="108"/>
      <c r="S68" s="108"/>
      <c r="T68" s="108"/>
      <c r="U68" s="270"/>
      <c r="V68" s="270"/>
      <c r="W68" s="267"/>
      <c r="X68" s="267"/>
    </row>
    <row r="69" spans="2:24" s="109" customFormat="1" x14ac:dyDescent="0.25">
      <c r="B69" s="108"/>
      <c r="C69" s="108"/>
      <c r="D69" s="108"/>
      <c r="E69" s="108"/>
      <c r="F69" s="108"/>
      <c r="G69" s="108"/>
      <c r="H69" s="108"/>
      <c r="I69" s="108"/>
      <c r="J69" s="108"/>
      <c r="K69" s="108"/>
      <c r="L69" s="108"/>
      <c r="M69" s="108"/>
      <c r="N69" s="108"/>
      <c r="O69" s="108"/>
      <c r="P69" s="108"/>
      <c r="Q69" s="108"/>
      <c r="R69" s="108"/>
      <c r="S69" s="108"/>
      <c r="T69" s="108"/>
      <c r="U69" s="270"/>
      <c r="V69" s="270"/>
      <c r="W69" s="267"/>
      <c r="X69" s="267"/>
    </row>
    <row r="70" spans="2:24" s="109" customFormat="1" x14ac:dyDescent="0.25">
      <c r="B70" s="108"/>
      <c r="C70" s="108"/>
      <c r="D70" s="108"/>
      <c r="E70" s="108"/>
      <c r="F70" s="108"/>
      <c r="G70" s="108"/>
      <c r="H70" s="108"/>
      <c r="I70" s="108"/>
      <c r="J70" s="108"/>
      <c r="K70" s="108"/>
      <c r="L70" s="108"/>
      <c r="M70" s="108"/>
      <c r="N70" s="108"/>
      <c r="O70" s="108"/>
      <c r="P70" s="108"/>
      <c r="Q70" s="108"/>
      <c r="R70" s="108"/>
      <c r="S70" s="108"/>
      <c r="T70" s="108"/>
      <c r="U70" s="270"/>
      <c r="V70" s="270"/>
      <c r="W70" s="267"/>
      <c r="X70" s="267"/>
    </row>
    <row r="71" spans="2:24" s="109" customFormat="1" x14ac:dyDescent="0.25">
      <c r="B71" s="108"/>
      <c r="C71" s="108"/>
      <c r="D71" s="108"/>
      <c r="E71" s="108"/>
      <c r="F71" s="108"/>
      <c r="G71" s="108"/>
      <c r="H71" s="108"/>
      <c r="I71" s="108"/>
      <c r="J71" s="108"/>
      <c r="K71" s="108"/>
      <c r="L71" s="108"/>
      <c r="M71" s="108"/>
      <c r="N71" s="108"/>
      <c r="O71" s="108"/>
      <c r="P71" s="108"/>
      <c r="Q71" s="108"/>
      <c r="R71" s="108"/>
      <c r="S71" s="108"/>
      <c r="T71" s="108"/>
      <c r="U71" s="270"/>
      <c r="V71" s="270"/>
      <c r="W71" s="267"/>
      <c r="X71" s="267"/>
    </row>
    <row r="72" spans="2:24" s="109" customFormat="1" x14ac:dyDescent="0.25">
      <c r="B72" s="108"/>
      <c r="C72" s="108"/>
      <c r="D72" s="108"/>
      <c r="E72" s="108"/>
      <c r="F72" s="108"/>
      <c r="G72" s="108"/>
      <c r="H72" s="108"/>
      <c r="I72" s="108"/>
      <c r="J72" s="108"/>
      <c r="K72" s="108"/>
      <c r="L72" s="108"/>
      <c r="M72" s="108"/>
      <c r="N72" s="108"/>
      <c r="O72" s="108"/>
      <c r="P72" s="108"/>
      <c r="Q72" s="108"/>
      <c r="R72" s="108"/>
      <c r="S72" s="108"/>
      <c r="T72" s="108"/>
      <c r="U72" s="270"/>
      <c r="V72" s="270"/>
      <c r="W72" s="267"/>
      <c r="X72" s="267"/>
    </row>
    <row r="73" spans="2:24" s="109" customFormat="1" x14ac:dyDescent="0.25">
      <c r="B73" s="108"/>
      <c r="C73" s="108"/>
      <c r="D73" s="108"/>
      <c r="E73" s="108"/>
      <c r="F73" s="108"/>
      <c r="G73" s="108"/>
      <c r="H73" s="108"/>
      <c r="I73" s="108"/>
      <c r="J73" s="108"/>
      <c r="K73" s="108"/>
      <c r="L73" s="108"/>
      <c r="M73" s="108"/>
      <c r="N73" s="108"/>
      <c r="O73" s="108"/>
      <c r="P73" s="108"/>
      <c r="Q73" s="108"/>
      <c r="R73" s="108"/>
      <c r="S73" s="108"/>
      <c r="T73" s="108"/>
      <c r="U73" s="270"/>
      <c r="V73" s="270"/>
      <c r="W73" s="267"/>
      <c r="X73" s="267"/>
    </row>
    <row r="74" spans="2:24" s="109" customFormat="1" x14ac:dyDescent="0.25">
      <c r="B74" s="108"/>
      <c r="C74" s="108"/>
      <c r="D74" s="108"/>
      <c r="E74" s="108"/>
      <c r="F74" s="108"/>
      <c r="G74" s="108"/>
      <c r="H74" s="108"/>
      <c r="I74" s="108"/>
      <c r="J74" s="108"/>
      <c r="K74" s="108"/>
      <c r="L74" s="108"/>
      <c r="M74" s="108"/>
      <c r="N74" s="108"/>
      <c r="O74" s="108"/>
      <c r="P74" s="108"/>
      <c r="Q74" s="108"/>
      <c r="R74" s="108"/>
      <c r="S74" s="108"/>
      <c r="T74" s="108"/>
      <c r="U74" s="270"/>
      <c r="V74" s="270"/>
      <c r="W74" s="267"/>
      <c r="X74" s="267"/>
    </row>
    <row r="75" spans="2:24" s="109" customFormat="1" x14ac:dyDescent="0.25">
      <c r="B75" s="108"/>
      <c r="C75" s="108"/>
      <c r="D75" s="108"/>
      <c r="E75" s="108"/>
      <c r="F75" s="108"/>
      <c r="G75" s="108"/>
      <c r="H75" s="108"/>
      <c r="I75" s="108"/>
      <c r="J75" s="108"/>
      <c r="K75" s="108"/>
      <c r="L75" s="108"/>
      <c r="M75" s="108"/>
      <c r="N75" s="108"/>
      <c r="O75" s="108"/>
      <c r="P75" s="108"/>
      <c r="Q75" s="108"/>
      <c r="R75" s="108"/>
      <c r="S75" s="108"/>
      <c r="T75" s="108"/>
      <c r="U75" s="270"/>
      <c r="V75" s="270"/>
      <c r="W75" s="267"/>
      <c r="X75" s="267"/>
    </row>
    <row r="76" spans="2:24" s="109" customFormat="1" x14ac:dyDescent="0.25">
      <c r="B76" s="108"/>
      <c r="C76" s="108"/>
      <c r="D76" s="108"/>
      <c r="E76" s="108"/>
      <c r="F76" s="108"/>
      <c r="G76" s="108"/>
      <c r="H76" s="108"/>
      <c r="I76" s="108"/>
      <c r="J76" s="108"/>
      <c r="K76" s="108"/>
      <c r="L76" s="108"/>
      <c r="M76" s="108"/>
      <c r="N76" s="108"/>
      <c r="O76" s="108"/>
      <c r="P76" s="108"/>
      <c r="Q76" s="108"/>
      <c r="R76" s="108"/>
      <c r="S76" s="108"/>
      <c r="T76" s="108"/>
      <c r="U76" s="270"/>
      <c r="V76" s="270"/>
      <c r="W76" s="267"/>
      <c r="X76" s="267"/>
    </row>
    <row r="77" spans="2:24" s="109" customFormat="1" x14ac:dyDescent="0.25">
      <c r="B77" s="108"/>
      <c r="C77" s="108"/>
      <c r="D77" s="108"/>
      <c r="E77" s="108"/>
      <c r="F77" s="108"/>
      <c r="G77" s="108"/>
      <c r="H77" s="108"/>
      <c r="I77" s="108"/>
      <c r="J77" s="108"/>
      <c r="K77" s="108"/>
      <c r="L77" s="108"/>
      <c r="M77" s="108"/>
      <c r="N77" s="108"/>
      <c r="O77" s="108"/>
      <c r="P77" s="108"/>
      <c r="Q77" s="108"/>
      <c r="R77" s="108"/>
      <c r="S77" s="108"/>
      <c r="T77" s="108"/>
      <c r="U77" s="270"/>
      <c r="V77" s="270"/>
      <c r="W77" s="267"/>
      <c r="X77" s="267"/>
    </row>
    <row r="78" spans="2:24" s="109" customFormat="1" x14ac:dyDescent="0.25">
      <c r="B78" s="108"/>
      <c r="C78" s="108"/>
      <c r="D78" s="108"/>
      <c r="E78" s="108"/>
      <c r="F78" s="108"/>
      <c r="G78" s="108"/>
      <c r="H78" s="108"/>
      <c r="I78" s="108"/>
      <c r="J78" s="108"/>
      <c r="K78" s="108"/>
      <c r="L78" s="108"/>
      <c r="M78" s="108"/>
      <c r="N78" s="108"/>
      <c r="O78" s="108"/>
      <c r="P78" s="108"/>
      <c r="Q78" s="108"/>
      <c r="R78" s="108"/>
      <c r="S78" s="108"/>
      <c r="T78" s="108"/>
      <c r="U78" s="270"/>
      <c r="V78" s="270"/>
      <c r="W78" s="267"/>
      <c r="X78" s="267"/>
    </row>
    <row r="79" spans="2:24" s="109" customFormat="1" x14ac:dyDescent="0.25">
      <c r="B79" s="108"/>
      <c r="C79" s="108"/>
      <c r="D79" s="108"/>
      <c r="E79" s="108"/>
      <c r="F79" s="108"/>
      <c r="G79" s="108"/>
      <c r="H79" s="108"/>
      <c r="I79" s="108"/>
      <c r="J79" s="108"/>
      <c r="K79" s="108"/>
      <c r="L79" s="108"/>
      <c r="M79" s="108"/>
      <c r="N79" s="108"/>
      <c r="O79" s="108"/>
      <c r="P79" s="108"/>
      <c r="Q79" s="108"/>
      <c r="R79" s="108"/>
      <c r="S79" s="108"/>
      <c r="T79" s="108"/>
      <c r="U79" s="270"/>
      <c r="V79" s="270"/>
      <c r="W79" s="267"/>
      <c r="X79" s="267"/>
    </row>
    <row r="80" spans="2:24" s="109" customFormat="1" x14ac:dyDescent="0.25">
      <c r="B80" s="108"/>
      <c r="C80" s="108"/>
      <c r="D80" s="108"/>
      <c r="E80" s="108"/>
      <c r="F80" s="108"/>
      <c r="G80" s="108"/>
      <c r="H80" s="108"/>
      <c r="I80" s="108"/>
      <c r="J80" s="108"/>
      <c r="K80" s="108"/>
      <c r="L80" s="108"/>
      <c r="M80" s="108"/>
      <c r="N80" s="108"/>
      <c r="O80" s="108"/>
      <c r="P80" s="108"/>
      <c r="Q80" s="108"/>
      <c r="R80" s="108"/>
      <c r="S80" s="108"/>
      <c r="T80" s="108"/>
      <c r="U80" s="270"/>
      <c r="V80" s="270"/>
      <c r="W80" s="267"/>
      <c r="X80" s="267"/>
    </row>
    <row r="81" spans="1:25" s="109" customFormat="1" x14ac:dyDescent="0.25">
      <c r="B81" s="108"/>
      <c r="C81" s="108"/>
      <c r="D81" s="108"/>
      <c r="E81" s="108"/>
      <c r="F81" s="108"/>
      <c r="G81" s="108"/>
      <c r="H81" s="108"/>
      <c r="I81" s="108"/>
      <c r="J81" s="108"/>
      <c r="K81" s="108"/>
      <c r="L81" s="108"/>
      <c r="M81" s="108"/>
      <c r="N81" s="108"/>
      <c r="O81" s="108"/>
      <c r="P81" s="108"/>
      <c r="Q81" s="108"/>
      <c r="R81" s="108"/>
      <c r="S81" s="108"/>
      <c r="T81" s="108"/>
      <c r="U81" s="270"/>
      <c r="V81" s="270"/>
      <c r="W81" s="267"/>
      <c r="X81" s="267"/>
    </row>
    <row r="82" spans="1:25" s="109" customFormat="1" x14ac:dyDescent="0.25">
      <c r="B82" s="108"/>
      <c r="C82" s="108"/>
      <c r="D82" s="108"/>
      <c r="E82" s="108"/>
      <c r="F82" s="108"/>
      <c r="G82" s="108"/>
      <c r="H82" s="108"/>
      <c r="I82" s="108"/>
      <c r="J82" s="108"/>
      <c r="K82" s="108"/>
      <c r="L82" s="108"/>
      <c r="M82" s="108"/>
      <c r="N82" s="108"/>
      <c r="O82" s="108"/>
      <c r="P82" s="108"/>
      <c r="Q82" s="108"/>
      <c r="R82" s="108"/>
      <c r="S82" s="108"/>
      <c r="T82" s="108"/>
      <c r="U82" s="270"/>
      <c r="V82" s="270"/>
      <c r="W82" s="267"/>
      <c r="X82" s="267"/>
    </row>
    <row r="83" spans="1:25" s="109" customFormat="1" x14ac:dyDescent="0.25">
      <c r="B83" s="108"/>
      <c r="C83" s="108"/>
      <c r="D83" s="108"/>
      <c r="E83" s="108"/>
      <c r="F83" s="108"/>
      <c r="G83" s="108"/>
      <c r="H83" s="108"/>
      <c r="I83" s="108"/>
      <c r="J83" s="108"/>
      <c r="K83" s="108"/>
      <c r="L83" s="108"/>
      <c r="M83" s="108"/>
      <c r="N83" s="108"/>
      <c r="O83" s="108"/>
      <c r="P83" s="108"/>
      <c r="Q83" s="108"/>
      <c r="R83" s="108"/>
      <c r="S83" s="108"/>
      <c r="T83" s="108"/>
      <c r="U83" s="270"/>
      <c r="V83" s="270"/>
      <c r="W83" s="267"/>
      <c r="X83" s="267"/>
    </row>
    <row r="84" spans="1:25" s="109" customFormat="1" x14ac:dyDescent="0.25">
      <c r="B84" s="108"/>
      <c r="C84" s="108"/>
      <c r="D84" s="108"/>
      <c r="E84" s="108"/>
      <c r="F84" s="108"/>
      <c r="G84" s="108"/>
      <c r="H84" s="108"/>
      <c r="I84" s="108"/>
      <c r="J84" s="108"/>
      <c r="K84" s="108"/>
      <c r="L84" s="108"/>
      <c r="M84" s="108"/>
      <c r="N84" s="108"/>
      <c r="O84" s="108"/>
      <c r="P84" s="108"/>
      <c r="Q84" s="108"/>
      <c r="R84" s="108"/>
      <c r="S84" s="108"/>
      <c r="T84" s="108"/>
      <c r="U84" s="270"/>
      <c r="V84" s="270"/>
      <c r="W84" s="267"/>
      <c r="X84" s="267"/>
    </row>
    <row r="85" spans="1:25" s="109" customFormat="1" x14ac:dyDescent="0.25">
      <c r="B85" s="108"/>
      <c r="C85" s="108"/>
      <c r="D85" s="108"/>
      <c r="E85" s="108"/>
      <c r="F85" s="108"/>
      <c r="G85" s="108"/>
      <c r="H85" s="108"/>
      <c r="I85" s="108"/>
      <c r="J85" s="108"/>
      <c r="K85" s="108"/>
      <c r="L85" s="108"/>
      <c r="M85" s="108"/>
      <c r="N85" s="108"/>
      <c r="O85" s="108"/>
      <c r="P85" s="108"/>
      <c r="Q85" s="108"/>
      <c r="R85" s="108"/>
      <c r="S85" s="108"/>
      <c r="T85" s="108"/>
      <c r="U85" s="270"/>
      <c r="V85" s="270"/>
      <c r="W85" s="267"/>
      <c r="X85" s="267"/>
    </row>
    <row r="86" spans="1:25" s="109" customFormat="1" x14ac:dyDescent="0.25">
      <c r="B86" s="108"/>
      <c r="C86" s="108"/>
      <c r="D86" s="108"/>
      <c r="E86" s="108"/>
      <c r="F86" s="108"/>
      <c r="G86" s="108"/>
      <c r="H86" s="108"/>
      <c r="I86" s="108"/>
      <c r="J86" s="108"/>
      <c r="K86" s="108"/>
      <c r="L86" s="108"/>
      <c r="M86" s="108"/>
      <c r="N86" s="108"/>
      <c r="O86" s="108"/>
      <c r="P86" s="108"/>
      <c r="Q86" s="108"/>
      <c r="R86" s="108"/>
      <c r="S86" s="108"/>
      <c r="T86" s="108"/>
      <c r="U86" s="270"/>
      <c r="V86" s="270"/>
      <c r="W86" s="267"/>
      <c r="X86" s="267"/>
    </row>
    <row r="87" spans="1:25" s="109" customFormat="1" x14ac:dyDescent="0.25">
      <c r="B87" s="108"/>
      <c r="C87" s="108"/>
      <c r="D87" s="108"/>
      <c r="E87" s="108"/>
      <c r="F87" s="108"/>
      <c r="G87" s="108"/>
      <c r="H87" s="108"/>
      <c r="I87" s="108"/>
      <c r="J87" s="108"/>
      <c r="K87" s="108"/>
      <c r="L87" s="108"/>
      <c r="M87" s="108"/>
      <c r="N87" s="108"/>
      <c r="O87" s="108"/>
      <c r="P87" s="108"/>
      <c r="Q87" s="108"/>
      <c r="R87" s="108"/>
      <c r="S87" s="108"/>
      <c r="T87" s="108"/>
      <c r="U87" s="270"/>
      <c r="V87" s="270"/>
      <c r="W87" s="267"/>
      <c r="X87" s="267"/>
    </row>
    <row r="88" spans="1:25" s="109" customFormat="1" x14ac:dyDescent="0.25">
      <c r="B88" s="108"/>
      <c r="C88" s="108"/>
      <c r="D88" s="108"/>
      <c r="E88" s="108"/>
      <c r="F88" s="108"/>
      <c r="G88" s="108"/>
      <c r="H88" s="108"/>
      <c r="I88" s="108"/>
      <c r="J88" s="108"/>
      <c r="K88" s="108"/>
      <c r="L88" s="108"/>
      <c r="M88" s="108"/>
      <c r="N88" s="108"/>
      <c r="O88" s="108"/>
      <c r="P88" s="108"/>
      <c r="Q88" s="108"/>
      <c r="R88" s="108"/>
      <c r="S88" s="108"/>
      <c r="T88" s="108"/>
      <c r="U88" s="270"/>
      <c r="V88" s="270"/>
      <c r="W88" s="268"/>
      <c r="X88" s="267"/>
    </row>
    <row r="89" spans="1:25" x14ac:dyDescent="0.25">
      <c r="B89" s="108"/>
      <c r="C89" s="108"/>
      <c r="D89" s="108"/>
      <c r="E89" s="108"/>
      <c r="F89" s="108"/>
      <c r="G89" s="108"/>
      <c r="H89" s="108"/>
      <c r="I89" s="108"/>
      <c r="J89" s="108"/>
      <c r="K89" s="108"/>
      <c r="L89" s="108"/>
      <c r="M89" s="108"/>
      <c r="N89" s="108"/>
      <c r="O89" s="108"/>
      <c r="P89" s="108"/>
      <c r="Q89" s="108"/>
      <c r="R89" s="108"/>
      <c r="S89" s="108"/>
      <c r="T89" s="108"/>
      <c r="U89" s="270"/>
      <c r="V89" s="270"/>
    </row>
    <row r="90" spans="1:25" x14ac:dyDescent="0.25">
      <c r="B90" s="108"/>
      <c r="C90" s="108"/>
      <c r="D90" s="108"/>
      <c r="E90" s="108"/>
      <c r="F90" s="108"/>
      <c r="G90" s="108"/>
      <c r="H90" s="108"/>
      <c r="I90" s="108"/>
      <c r="J90" s="108"/>
      <c r="K90" s="108"/>
      <c r="L90" s="108"/>
      <c r="M90" s="108"/>
      <c r="N90" s="108"/>
      <c r="O90" s="108"/>
      <c r="P90" s="108"/>
      <c r="Q90" s="108"/>
      <c r="R90" s="108"/>
      <c r="S90" s="108"/>
      <c r="T90" s="108"/>
      <c r="U90" s="270"/>
      <c r="V90" s="270"/>
    </row>
    <row r="91" spans="1:25" x14ac:dyDescent="0.25">
      <c r="B91" s="108"/>
      <c r="C91" s="108"/>
      <c r="D91" s="108"/>
      <c r="E91" s="108"/>
      <c r="F91" s="108"/>
      <c r="G91" s="108"/>
      <c r="H91" s="108"/>
      <c r="I91" s="108"/>
      <c r="J91" s="108"/>
      <c r="K91" s="108"/>
      <c r="L91" s="108"/>
      <c r="M91" s="108"/>
      <c r="N91" s="108"/>
      <c r="O91" s="108"/>
      <c r="P91" s="108"/>
      <c r="Q91" s="108"/>
      <c r="R91" s="108"/>
      <c r="S91" s="108"/>
      <c r="T91" s="108"/>
      <c r="U91" s="270"/>
      <c r="V91" s="270"/>
    </row>
    <row r="92" spans="1:25" s="268" customFormat="1" x14ac:dyDescent="0.25">
      <c r="A92" s="107"/>
      <c r="B92" s="108"/>
      <c r="C92" s="108"/>
      <c r="D92" s="108"/>
      <c r="E92" s="108"/>
      <c r="F92" s="108"/>
      <c r="G92" s="108"/>
      <c r="H92" s="108"/>
      <c r="I92" s="108"/>
      <c r="J92" s="108"/>
      <c r="K92" s="108"/>
      <c r="L92" s="108"/>
      <c r="M92" s="108"/>
      <c r="N92" s="108"/>
      <c r="O92" s="108"/>
      <c r="P92" s="108"/>
      <c r="Q92" s="108"/>
      <c r="R92" s="108"/>
      <c r="S92" s="108"/>
      <c r="T92" s="108"/>
      <c r="U92" s="270"/>
      <c r="V92" s="270"/>
      <c r="Y92" s="107"/>
    </row>
    <row r="93" spans="1:25" s="268" customFormat="1" x14ac:dyDescent="0.25">
      <c r="A93" s="107"/>
      <c r="B93" s="108"/>
      <c r="C93" s="108"/>
      <c r="D93" s="108"/>
      <c r="E93" s="108"/>
      <c r="F93" s="108"/>
      <c r="G93" s="108"/>
      <c r="H93" s="108"/>
      <c r="I93" s="108"/>
      <c r="J93" s="108"/>
      <c r="K93" s="108"/>
      <c r="L93" s="108"/>
      <c r="M93" s="108"/>
      <c r="N93" s="108"/>
      <c r="O93" s="108"/>
      <c r="P93" s="108"/>
      <c r="Q93" s="108"/>
      <c r="R93" s="108"/>
      <c r="S93" s="108"/>
      <c r="T93" s="108"/>
      <c r="U93" s="270"/>
      <c r="V93" s="270"/>
      <c r="Y93" s="107"/>
    </row>
    <row r="94" spans="1:25" s="268" customFormat="1" x14ac:dyDescent="0.25">
      <c r="A94" s="107"/>
      <c r="B94" s="108"/>
      <c r="C94" s="108"/>
      <c r="D94" s="108"/>
      <c r="E94" s="108"/>
      <c r="F94" s="108"/>
      <c r="G94" s="108"/>
      <c r="H94" s="108"/>
      <c r="I94" s="108"/>
      <c r="J94" s="108"/>
      <c r="K94" s="108"/>
      <c r="L94" s="108"/>
      <c r="M94" s="108"/>
      <c r="N94" s="108"/>
      <c r="O94" s="108"/>
      <c r="P94" s="108"/>
      <c r="Q94" s="108"/>
      <c r="R94" s="108"/>
      <c r="S94" s="108"/>
      <c r="T94" s="108"/>
      <c r="U94" s="270"/>
      <c r="V94" s="270"/>
      <c r="Y94" s="107"/>
    </row>
    <row r="95" spans="1:25" s="268" customFormat="1" x14ac:dyDescent="0.25">
      <c r="A95" s="107"/>
      <c r="B95" s="108"/>
      <c r="C95" s="108"/>
      <c r="D95" s="108"/>
      <c r="E95" s="108"/>
      <c r="F95" s="108"/>
      <c r="G95" s="108"/>
      <c r="H95" s="108"/>
      <c r="I95" s="108"/>
      <c r="J95" s="108"/>
      <c r="K95" s="108"/>
      <c r="L95" s="108"/>
      <c r="M95" s="108"/>
      <c r="N95" s="108"/>
      <c r="O95" s="108"/>
      <c r="P95" s="108"/>
      <c r="Q95" s="108"/>
      <c r="R95" s="108"/>
      <c r="S95" s="108"/>
      <c r="T95" s="108"/>
      <c r="U95" s="270"/>
      <c r="V95" s="270"/>
      <c r="Y95" s="107"/>
    </row>
    <row r="96" spans="1:25" s="268" customFormat="1" x14ac:dyDescent="0.25">
      <c r="A96" s="107"/>
      <c r="B96" s="108"/>
      <c r="C96" s="108"/>
      <c r="D96" s="108"/>
      <c r="E96" s="108"/>
      <c r="F96" s="108"/>
      <c r="G96" s="108"/>
      <c r="H96" s="108"/>
      <c r="I96" s="108"/>
      <c r="J96" s="108"/>
      <c r="K96" s="108"/>
      <c r="L96" s="108"/>
      <c r="M96" s="108"/>
      <c r="N96" s="108"/>
      <c r="O96" s="108"/>
      <c r="P96" s="108"/>
      <c r="Q96" s="108"/>
      <c r="R96" s="108"/>
      <c r="S96" s="108"/>
      <c r="T96" s="108"/>
      <c r="U96" s="270"/>
      <c r="V96" s="270"/>
      <c r="Y96" s="107"/>
    </row>
    <row r="97" spans="1:25" s="268" customFormat="1" x14ac:dyDescent="0.25">
      <c r="A97" s="107"/>
      <c r="B97" s="108"/>
      <c r="C97" s="108"/>
      <c r="D97" s="108"/>
      <c r="E97" s="108"/>
      <c r="F97" s="108"/>
      <c r="G97" s="108"/>
      <c r="H97" s="108"/>
      <c r="I97" s="108"/>
      <c r="J97" s="108"/>
      <c r="K97" s="108"/>
      <c r="L97" s="108"/>
      <c r="M97" s="108"/>
      <c r="N97" s="108"/>
      <c r="O97" s="108"/>
      <c r="P97" s="108"/>
      <c r="Q97" s="108"/>
      <c r="R97" s="108"/>
      <c r="S97" s="108"/>
      <c r="T97" s="108"/>
      <c r="U97" s="270"/>
      <c r="V97" s="270"/>
      <c r="Y97" s="107"/>
    </row>
    <row r="98" spans="1:25" s="268" customFormat="1" x14ac:dyDescent="0.25">
      <c r="A98" s="107"/>
      <c r="B98" s="108"/>
      <c r="C98" s="108"/>
      <c r="D98" s="108"/>
      <c r="E98" s="108"/>
      <c r="F98" s="108"/>
      <c r="G98" s="108"/>
      <c r="H98" s="108"/>
      <c r="I98" s="108"/>
      <c r="J98" s="108"/>
      <c r="K98" s="108"/>
      <c r="L98" s="108"/>
      <c r="M98" s="108"/>
      <c r="N98" s="108"/>
      <c r="O98" s="108"/>
      <c r="P98" s="108"/>
      <c r="Q98" s="108"/>
      <c r="R98" s="108"/>
      <c r="S98" s="108"/>
      <c r="T98" s="108"/>
      <c r="U98" s="270"/>
      <c r="V98" s="270"/>
      <c r="Y98" s="107"/>
    </row>
    <row r="99" spans="1:25"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270"/>
      <c r="V99" s="270"/>
      <c r="Y99" s="107"/>
    </row>
    <row r="100" spans="1:25"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270"/>
      <c r="V100" s="270"/>
    </row>
    <row r="101" spans="1:25"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270"/>
      <c r="V101" s="270"/>
    </row>
    <row r="102" spans="1:25"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270"/>
      <c r="V102" s="270"/>
    </row>
    <row r="103" spans="1:25"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270"/>
      <c r="V103" s="270"/>
    </row>
    <row r="104" spans="1:25"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270"/>
      <c r="V104" s="270"/>
    </row>
  </sheetData>
  <mergeCells count="21">
    <mergeCell ref="N3:N4"/>
    <mergeCell ref="P3:P4"/>
    <mergeCell ref="J2:R2"/>
    <mergeCell ref="K3:K4"/>
    <mergeCell ref="O3:O4"/>
    <mergeCell ref="C3:C4"/>
    <mergeCell ref="F3:G3"/>
    <mergeCell ref="L3:L4"/>
    <mergeCell ref="M3:M4"/>
    <mergeCell ref="B1:T1"/>
    <mergeCell ref="B2:C2"/>
    <mergeCell ref="D2:D4"/>
    <mergeCell ref="E2:E4"/>
    <mergeCell ref="F2:G2"/>
    <mergeCell ref="S2:T2"/>
    <mergeCell ref="B3:B4"/>
    <mergeCell ref="Q3:Q4"/>
    <mergeCell ref="R3:R4"/>
    <mergeCell ref="S3:T3"/>
    <mergeCell ref="H3:I3"/>
    <mergeCell ref="H2:I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C7E3B-D358-447D-9E4B-C6951DF1606E}">
  <dimension ref="A1:EW108"/>
  <sheetViews>
    <sheetView topLeftCell="P1" zoomScale="70" zoomScaleNormal="70" workbookViewId="0">
      <pane ySplit="4" topLeftCell="A5" activePane="bottomLeft" state="frozen"/>
      <selection activeCell="T1" sqref="T1"/>
      <selection pane="bottomLeft" activeCell="U15" sqref="U15"/>
    </sheetView>
  </sheetViews>
  <sheetFormatPr baseColWidth="10" defaultRowHeight="15" x14ac:dyDescent="0.25"/>
  <cols>
    <col min="1" max="1" width="4.140625" style="107" customWidth="1"/>
    <col min="2" max="5" width="5.28515625" style="107" customWidth="1"/>
    <col min="6" max="6" width="7.140625" style="107" customWidth="1"/>
    <col min="7" max="7" width="11.42578125" style="107" bestFit="1" customWidth="1"/>
    <col min="8" max="8" width="10.7109375" style="107" bestFit="1" customWidth="1"/>
    <col min="9" max="9" width="14" style="107" bestFit="1" customWidth="1"/>
    <col min="10" max="10" width="13.7109375" style="107" bestFit="1" customWidth="1"/>
    <col min="11" max="11" width="13.5703125" style="107" bestFit="1" customWidth="1"/>
    <col min="12" max="14" width="5.7109375" style="107" customWidth="1"/>
    <col min="15" max="15" width="7" style="107" customWidth="1"/>
    <col min="16" max="17" width="5.7109375" style="107" customWidth="1"/>
    <col min="18" max="18" width="52.5703125" style="268" bestFit="1" customWidth="1"/>
    <col min="19" max="19" width="202" style="268" bestFit="1" customWidth="1"/>
    <col min="20" max="20" width="127.42578125" style="268" bestFit="1" customWidth="1"/>
    <col min="21" max="21" width="102.140625" style="268" bestFit="1" customWidth="1"/>
    <col min="22" max="16384" width="11.42578125" style="107"/>
  </cols>
  <sheetData>
    <row r="1" spans="1:153" s="12" customFormat="1" ht="23.25" customHeight="1" thickTop="1" x14ac:dyDescent="0.25">
      <c r="B1" s="633" t="s">
        <v>1125</v>
      </c>
      <c r="C1" s="634"/>
      <c r="D1" s="634"/>
      <c r="E1" s="634"/>
      <c r="F1" s="634"/>
      <c r="G1" s="634"/>
      <c r="H1" s="634"/>
      <c r="I1" s="634"/>
      <c r="J1" s="634"/>
      <c r="K1" s="634"/>
      <c r="L1" s="634"/>
      <c r="M1" s="634"/>
      <c r="N1" s="634"/>
      <c r="O1" s="634"/>
      <c r="P1" s="634"/>
      <c r="Q1" s="635"/>
      <c r="R1" s="459"/>
      <c r="S1" s="459"/>
      <c r="T1" s="459"/>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60"/>
      <c r="CT1" s="359"/>
      <c r="CU1" s="362"/>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8"/>
      <c r="ET1" s="263"/>
      <c r="EU1" s="264"/>
      <c r="EV1" s="264"/>
      <c r="EW1" s="264"/>
    </row>
    <row r="2" spans="1:153" s="12" customFormat="1" ht="30" customHeight="1" x14ac:dyDescent="0.25">
      <c r="B2" s="531" t="s">
        <v>554</v>
      </c>
      <c r="C2" s="524"/>
      <c r="D2" s="598" t="s">
        <v>456</v>
      </c>
      <c r="E2" s="598" t="s">
        <v>933</v>
      </c>
      <c r="F2" s="637" t="s">
        <v>1133</v>
      </c>
      <c r="G2" s="542" t="s">
        <v>658</v>
      </c>
      <c r="H2" s="543"/>
      <c r="I2" s="515" t="s">
        <v>1125</v>
      </c>
      <c r="J2" s="524"/>
      <c r="K2" s="524"/>
      <c r="L2" s="524"/>
      <c r="M2" s="524"/>
      <c r="N2" s="524"/>
      <c r="O2" s="637" t="s">
        <v>1134</v>
      </c>
      <c r="P2" s="524"/>
      <c r="Q2" s="550"/>
      <c r="R2" s="263"/>
      <c r="S2" s="263"/>
      <c r="T2" s="264"/>
      <c r="U2" s="264"/>
    </row>
    <row r="3" spans="1:153" s="12" customFormat="1" ht="26.25" customHeight="1" x14ac:dyDescent="0.25">
      <c r="B3" s="614" t="s">
        <v>986</v>
      </c>
      <c r="C3" s="631" t="s">
        <v>335</v>
      </c>
      <c r="D3" s="636"/>
      <c r="E3" s="636"/>
      <c r="F3" s="638"/>
      <c r="G3" s="515" t="s">
        <v>1126</v>
      </c>
      <c r="H3" s="516"/>
      <c r="I3" s="513" t="s">
        <v>1127</v>
      </c>
      <c r="J3" s="513" t="s">
        <v>1128</v>
      </c>
      <c r="K3" s="513" t="s">
        <v>1129</v>
      </c>
      <c r="L3" s="515" t="s">
        <v>1130</v>
      </c>
      <c r="M3" s="524"/>
      <c r="N3" s="516"/>
      <c r="O3" s="638"/>
      <c r="P3" s="515" t="s">
        <v>554</v>
      </c>
      <c r="Q3" s="550"/>
      <c r="R3" s="263"/>
      <c r="S3" s="263"/>
      <c r="T3" s="264"/>
      <c r="U3" s="264"/>
    </row>
    <row r="4" spans="1:153" s="12" customFormat="1" ht="78.75" customHeight="1" x14ac:dyDescent="0.25">
      <c r="B4" s="615"/>
      <c r="C4" s="632"/>
      <c r="D4" s="599"/>
      <c r="E4" s="599"/>
      <c r="F4" s="639"/>
      <c r="G4" s="476" t="s">
        <v>1135</v>
      </c>
      <c r="H4" s="476" t="s">
        <v>1136</v>
      </c>
      <c r="I4" s="514"/>
      <c r="J4" s="514"/>
      <c r="K4" s="514"/>
      <c r="L4" s="366" t="s">
        <v>144</v>
      </c>
      <c r="M4" s="466" t="s">
        <v>1132</v>
      </c>
      <c r="N4" s="366" t="s">
        <v>1131</v>
      </c>
      <c r="O4" s="639"/>
      <c r="P4" s="455" t="s">
        <v>668</v>
      </c>
      <c r="Q4" s="477" t="s">
        <v>355</v>
      </c>
      <c r="R4" s="263" t="s">
        <v>549</v>
      </c>
      <c r="S4" s="264" t="s">
        <v>981</v>
      </c>
      <c r="T4" s="264" t="s">
        <v>7</v>
      </c>
      <c r="U4" s="265" t="s">
        <v>8</v>
      </c>
    </row>
    <row r="5" spans="1:153" s="109" customFormat="1" ht="15" customHeight="1" x14ac:dyDescent="0.25">
      <c r="A5" s="23"/>
      <c r="B5" s="20"/>
      <c r="C5" s="13"/>
      <c r="D5" s="13"/>
      <c r="E5" s="13">
        <v>1</v>
      </c>
      <c r="F5" s="111"/>
      <c r="G5" s="111"/>
      <c r="H5" s="111">
        <v>1</v>
      </c>
      <c r="I5" s="289"/>
      <c r="J5" s="289"/>
      <c r="K5" s="289"/>
      <c r="L5" s="289"/>
      <c r="M5" s="289"/>
      <c r="N5" s="289"/>
      <c r="O5" s="13"/>
      <c r="P5" s="289"/>
      <c r="Q5" s="453"/>
      <c r="R5" s="266" t="s">
        <v>1137</v>
      </c>
      <c r="S5" s="266" t="str">
        <f xml:space="preserve"> CONCATENATE("Acceder al sistema Gemma con usuario y perfil activo para la funcionalidad modulo Maestro - Tramos Puntaje, hacer clic en el boton,"," ",IF(B5=1,"Modificar un registro","")," ",IF(C5=1,"Eliminar un registro","")," ",IF(D5=1,"Agregar un nuevo registro",""), " ",IF(E5=1,"Exportar Documento Excel","")," ",IF(G5=1,$G$4,"")," ",IF(H5=1,$H$4,"")," de Puntaje Desde en el filtro ", IF(F5=1,$F$2,""),"",IF(O5=1,$O$2,""))</f>
        <v xml:space="preserve">Acceder al sistema Gemma con usuario y perfil activo para la funcionalidad modulo Maestro - Tramos Puntaje, hacer clic en el boton,    Exportar Documento Excel  Sin valores de Puntaje Desde en el filtro </v>
      </c>
      <c r="T5" s="267" t="str">
        <f>CONCATENATE(" Validar funcionalidad Maestro Documentos Requeridos seleccionando la opcion "," ",IF(B5=1,$B$3,IF(C5=1,$C$3,IF(D5=1,$D$2,IF(E5=1,$E$2,""))))," sin seleccionar valores",)</f>
        <v xml:space="preserve"> Validar funcionalidad Maestro Documentos Requeridos seleccionando la opcion  Exportar Excel sin seleccionar valores</v>
      </c>
      <c r="U5" s="267" t="s">
        <v>1482</v>
      </c>
    </row>
    <row r="6" spans="1:153" s="109" customFormat="1" ht="15" customHeight="1" x14ac:dyDescent="0.25">
      <c r="A6" s="23"/>
      <c r="B6" s="20"/>
      <c r="C6" s="13"/>
      <c r="D6" s="13">
        <v>1</v>
      </c>
      <c r="E6" s="103"/>
      <c r="F6" s="111"/>
      <c r="G6" s="111"/>
      <c r="H6" s="111"/>
      <c r="I6" s="289">
        <v>1</v>
      </c>
      <c r="J6" s="289">
        <v>1</v>
      </c>
      <c r="K6" s="289">
        <v>1</v>
      </c>
      <c r="L6" s="289">
        <v>1</v>
      </c>
      <c r="M6" s="289"/>
      <c r="N6" s="289"/>
      <c r="O6" s="13"/>
      <c r="P6" s="289">
        <v>1</v>
      </c>
      <c r="Q6" s="453"/>
      <c r="R6" s="266" t="s">
        <v>1138</v>
      </c>
      <c r="S6" s="266" t="str">
        <f xml:space="preserve"> CONCATENATE("Acceder al sistema Gemma con usuario y perfil activo para la funcionalidad modulo Maestro - Tramos Puntaje, hacer clic en el boton,"," ",IF(B6=1,"Modificar un registro","")," ",IF(C6=1,"Eliminar un registro","")," ",IF(D6=1,"Agregar un nuevo registro",""), " colocando todos los campos y Confirmar ",IF(E6=1,"Exportar Documento Excel","")," ",IF(G6=1,$G$4,"")," ",IF(H6=1,$H$4,"")," ", IF(F6=1,$F$2,""),"",IF(O6=1,$O$2,""))</f>
        <v xml:space="preserve">Acceder al sistema Gemma con usuario y perfil activo para la funcionalidad modulo Maestro - Tramos Puntaje, hacer clic en el boton,   Agregar un nuevo registro colocando todos los campos y Confirmar    </v>
      </c>
      <c r="T6" s="267" t="str">
        <f>CONCATENATE(" Validar funcionalidad Maestro Documentos Requeridos seleccionando la opcion "," ",IF(B6=1,$B$3,IF(C6=1,$C$3,IF(D6=1,$D$2,IF(E6=1,$E$2,""))))," ",)</f>
        <v xml:space="preserve"> Validar funcionalidad Maestro Documentos Requeridos seleccionando la opcion  Agregar </v>
      </c>
      <c r="U6" s="267" t="s">
        <v>982</v>
      </c>
    </row>
    <row r="7" spans="1:153" s="109" customFormat="1" ht="15" customHeight="1" x14ac:dyDescent="0.25">
      <c r="A7" s="23"/>
      <c r="B7" s="20">
        <v>1</v>
      </c>
      <c r="C7" s="13"/>
      <c r="D7" s="13"/>
      <c r="E7" s="103"/>
      <c r="F7" s="111"/>
      <c r="G7" s="111">
        <v>1</v>
      </c>
      <c r="H7" s="111"/>
      <c r="I7" s="289">
        <v>1</v>
      </c>
      <c r="J7" s="289"/>
      <c r="K7" s="289"/>
      <c r="L7" s="289"/>
      <c r="M7" s="289">
        <v>1</v>
      </c>
      <c r="N7" s="289"/>
      <c r="O7" s="13"/>
      <c r="P7" s="289">
        <v>1</v>
      </c>
      <c r="Q7" s="453"/>
      <c r="R7" s="266" t="s">
        <v>1139</v>
      </c>
      <c r="S7" s="266" t="str">
        <f xml:space="preserve"> CONCATENATE("Acceder al sistema Gemma con usuario y perfil activo para la funcionalidad modulo Maestro - Tramos Puntaje, hacer clic en el boton,"," ",IF(B7=1,"Modificar un registro","")," ",IF(C7=1,"Eliminar un registro","")," ",IF(D7=1,"Agregar un nuevo registro",""), " ",IF(E7=1,"Exportar Documento Excel","")," ",IF(G7=1,$G$4,"")," ",IF(H7=1,$H$4,"")," de Puntaje Desde en el filtro y presionar Confirmar", IF(F7=1,$F$2,""),"",IF(O7=1,$O$2,""))</f>
        <v>Acceder al sistema Gemma con usuario y perfil activo para la funcionalidad modulo Maestro - Tramos Puntaje, hacer clic en el boton, Modificar un registro    Con valores  de Puntaje Desde en el filtro y presionar Confirmar</v>
      </c>
      <c r="T7" s="267" t="str">
        <f>CONCATENATE(" Validar funcionalidad Maestro Documentos Requeridos seleccionando la opcion "," ",IF(B7=1,$B$3,IF(C7=1,$C$3,IF(D7=1,$D$2,IF(E7=1,$E$2,""))))," seleccionando valores",)</f>
        <v xml:space="preserve"> Validar funcionalidad Maestro Documentos Requeridos seleccionando la opcion   Modificar seleccionando valores</v>
      </c>
      <c r="U7" s="267" t="s">
        <v>1014</v>
      </c>
    </row>
    <row r="8" spans="1:153" s="109" customFormat="1" ht="15" customHeight="1" x14ac:dyDescent="0.25">
      <c r="A8" s="23"/>
      <c r="B8" s="20">
        <v>1</v>
      </c>
      <c r="C8" s="13"/>
      <c r="D8" s="13"/>
      <c r="E8" s="103"/>
      <c r="F8" s="111"/>
      <c r="G8" s="111"/>
      <c r="H8" s="111">
        <v>1</v>
      </c>
      <c r="I8" s="289"/>
      <c r="J8" s="289"/>
      <c r="K8" s="289">
        <v>1</v>
      </c>
      <c r="L8" s="289"/>
      <c r="M8" s="289"/>
      <c r="N8" s="289">
        <v>1</v>
      </c>
      <c r="O8" s="13"/>
      <c r="P8" s="289">
        <v>1</v>
      </c>
      <c r="Q8" s="453"/>
      <c r="R8" s="266" t="s">
        <v>1140</v>
      </c>
      <c r="S8" s="266" t="str">
        <f xml:space="preserve"> CONCATENATE("Acceder al sistema Gemma con usuario y perfil activo para la funcionalidad modulo Maestro - Tramos Puntaje, hacer clic en el boton,"," ",IF(B8=1,"Modificar ","")," ",IF(C8=1,"Eliminar un registro","")," ",IF(D8=1,"Agregar un nuevo registro",""), " ",IF(E8=1,"Exportar Documento Excel","")," ",IF(G8=1,$G$4,"")," ",IF(H8=1,$H$4,"")," de Puntaje Desde en el filtro, seleccionar un registro, y presionar Confirmar ", IF(F8=1,$F$2,""),"",IF(O8=1,$O$2,""))</f>
        <v xml:space="preserve">Acceder al sistema Gemma con usuario y perfil activo para la funcionalidad modulo Maestro - Tramos Puntaje, hacer clic en el boton, Modificar      Sin valores de Puntaje Desde en el filtro, seleccionar un registro, y presionar Confirmar </v>
      </c>
      <c r="T8" s="267" t="str">
        <f>CONCATENATE(" Validar funcionalidad Maestro Documentos Requeridos seleccionando la opcion "," ",IF(B8=1,$B$3,IF(C8=1,$C$3,IF(D8=1,$D$2,IF(E8=1,$E$2,""))))," sin seleccionar valores",)</f>
        <v xml:space="preserve"> Validar funcionalidad Maestro Documentos Requeridos seleccionando la opcion   Modificar sin seleccionar valores</v>
      </c>
      <c r="U8" s="267" t="s">
        <v>1014</v>
      </c>
    </row>
    <row r="9" spans="1:153" s="109" customFormat="1" ht="15" customHeight="1" x14ac:dyDescent="0.25">
      <c r="A9" s="23"/>
      <c r="B9" s="20"/>
      <c r="C9" s="13">
        <v>1</v>
      </c>
      <c r="D9" s="13"/>
      <c r="E9" s="103"/>
      <c r="F9" s="111"/>
      <c r="G9" s="111">
        <v>1</v>
      </c>
      <c r="H9" s="111"/>
      <c r="I9" s="289"/>
      <c r="J9" s="289"/>
      <c r="K9" s="289"/>
      <c r="L9" s="289"/>
      <c r="M9" s="289"/>
      <c r="N9" s="289"/>
      <c r="O9" s="13"/>
      <c r="P9" s="289">
        <v>1</v>
      </c>
      <c r="Q9" s="453"/>
      <c r="R9" s="266" t="s">
        <v>1141</v>
      </c>
      <c r="S9" s="266" t="str">
        <f xml:space="preserve"> CONCATENATE("Acceder al sistema Gemma con usuario y perfil activo para la funcionalidad modulo Maestro - Tramos Puntaje, hacer clic en el boton,"," ",IF(B9=1,"Modificar un registro","")," ",IF(C9=1,"Eliminar un registro","")," ",IF(D9=1,"Agregar un nuevo registro",""), " ",IF(E9=1,"Exportar Documento Excel","")," ",IF(G9=1,$G$4,"")," ",IF(H9=1,$H$4,"")," de Puntaje Desde en el filtro,  Confirmar", IF(F9=1,$F$2,""),"",IF(O9=1,$O$2,""))</f>
        <v>Acceder al sistema Gemma con usuario y perfil activo para la funcionalidad modulo Maestro - Tramos Puntaje, hacer clic en el boton,  Eliminar un registro   Con valores  de Puntaje Desde en el filtro,  Confirmar</v>
      </c>
      <c r="T9" s="267" t="str">
        <f>CONCATENATE(" Validar funcionalidad Maestro Documentos Requeridos seleccionando la opcion "," ",IF(B9=1,$B$3,IF(C9=1,$C$3,IF(D9=1,$D$2,IF(E9=1,$E$2,""))))," seleccionando valores",)</f>
        <v xml:space="preserve"> Validar funcionalidad Maestro Documentos Requeridos seleccionando la opcion  Eliminar seleccionando valores</v>
      </c>
      <c r="U9" s="267" t="s">
        <v>1013</v>
      </c>
    </row>
    <row r="10" spans="1:153" s="109" customFormat="1" ht="15" customHeight="1" x14ac:dyDescent="0.25">
      <c r="A10" s="23"/>
      <c r="B10" s="20"/>
      <c r="C10" s="13">
        <v>1</v>
      </c>
      <c r="D10" s="13"/>
      <c r="E10" s="103"/>
      <c r="F10" s="111"/>
      <c r="G10" s="111"/>
      <c r="H10" s="111">
        <v>1</v>
      </c>
      <c r="I10" s="289"/>
      <c r="J10" s="289"/>
      <c r="K10" s="289"/>
      <c r="L10" s="289"/>
      <c r="M10" s="289"/>
      <c r="N10" s="289"/>
      <c r="O10" s="13"/>
      <c r="P10" s="289">
        <v>1</v>
      </c>
      <c r="Q10" s="453"/>
      <c r="R10" s="266" t="s">
        <v>1142</v>
      </c>
      <c r="S10" s="266" t="str">
        <f xml:space="preserve"> CONCATENATE("Acceder al sistema Gemma con usuario y perfil activo para la funcionalidad modulo Maestro - Tramos Puntaje, hacer clic en el boton,"," ",IF(B10=1,"Modificar un registro","")," ",IF(C10=1,"Eliminar un registro","")," ",IF(D10=1,"Agregar un nuevo registro",""), " ",IF(E10=1,"Exportar Documento Excel","")," ",IF(G10=1,$G$4,"")," ",IF(H10=1,$H$4,"")," de Puntaje desde en el filtro, y presionar Confirmar ", IF(F10=1,$F$2,""),"",IF(O10=1,$O$2,""))</f>
        <v xml:space="preserve">Acceder al sistema Gemma con usuario y perfil activo para la funcionalidad modulo Maestro - Tramos Puntaje, hacer clic en el boton,  Eliminar un registro    Sin valores de Puntaje desde en el filtro, y presionar Confirmar </v>
      </c>
      <c r="T10" s="267" t="str">
        <f>CONCATENATE(" Validar funcionalidad Maestro Documentos Requeridos seleccionando la opcion "," ",IF(B10=1,$B$3,IF(C10=1,$C$3,IF(D10=1,$D$2,IF(E10=1,$E$2,""))))," sin seleccionar valores",)</f>
        <v xml:space="preserve"> Validar funcionalidad Maestro Documentos Requeridos seleccionando la opcion  Eliminar sin seleccionar valores</v>
      </c>
      <c r="U10" s="267" t="s">
        <v>1013</v>
      </c>
    </row>
    <row r="11" spans="1:153" s="109" customFormat="1" ht="15" customHeight="1" x14ac:dyDescent="0.25">
      <c r="A11" s="23"/>
      <c r="B11" s="20">
        <v>1</v>
      </c>
      <c r="C11" s="13"/>
      <c r="D11" s="13"/>
      <c r="E11" s="103"/>
      <c r="F11" s="450">
        <v>1</v>
      </c>
      <c r="G11" s="450"/>
      <c r="H11" s="450"/>
      <c r="I11" s="13">
        <v>1</v>
      </c>
      <c r="J11" s="13"/>
      <c r="K11" s="13">
        <v>1</v>
      </c>
      <c r="L11" s="13"/>
      <c r="M11" s="13"/>
      <c r="N11" s="13"/>
      <c r="O11" s="13"/>
      <c r="P11" s="13">
        <v>1</v>
      </c>
      <c r="Q11" s="278">
        <v>1</v>
      </c>
      <c r="R11" s="266" t="s">
        <v>1143</v>
      </c>
      <c r="S11" s="266" t="str">
        <f xml:space="preserve"> CONCATENATE("Acceder al sistema Gemma con usuario y perfil activo para la funcionalidad modulo Maestro - Tramos Puntaje, hacer clic en el enlace"," ", IF(F11=1,$F$2,""), ", hacer clic en el boton ",IF(B11=1,"Modificar","")," ",IF(C11=1,"Eliminar un registro","")," ",IF(D11=1,"Agregar un nuevo registro",""), " ",IF(E11=1,"Exportar Documento Excel",""),"",IF(G11=1,$G$4,""),"",IF(H11=1,$H$4,""),"y Confirmar. ", ,"",IF(O11=1,$O$2,""))</f>
        <v xml:space="preserve">Acceder al sistema Gemma con usuario y perfil activo para la funcionalidad modulo Maestro - Tramos Puntaje, hacer clic en el enlace Link Desde, hacer clic en el boton Modificar   y Confirmar. </v>
      </c>
      <c r="T11" s="267" t="str">
        <f>CONCATENATE(" Validar funcionalidad Maestro Documentos Requeridos seleccionando la opcion ","mediante el link, ",IF(B11=1,$B$3,IF(C11=1,$C$3,IF(D11=1,$D$2,IF(E11=1,$E$2,""))))," mediante el link Descripcion y seleccionando valores",)</f>
        <v xml:space="preserve"> Validar funcionalidad Maestro Documentos Requeridos seleccionando la opcion mediante el link,  Modificar mediante el link Descripcion y seleccionando valores</v>
      </c>
      <c r="U11" s="267" t="s">
        <v>1146</v>
      </c>
    </row>
    <row r="12" spans="1:153" s="109" customFormat="1" ht="15" customHeight="1" thickBot="1" x14ac:dyDescent="0.3">
      <c r="A12" s="23"/>
      <c r="B12" s="291"/>
      <c r="C12" s="272">
        <v>1</v>
      </c>
      <c r="D12" s="272"/>
      <c r="E12" s="318"/>
      <c r="F12" s="273">
        <v>1</v>
      </c>
      <c r="G12" s="273"/>
      <c r="H12" s="273"/>
      <c r="I12" s="396"/>
      <c r="J12" s="396"/>
      <c r="K12" s="396"/>
      <c r="L12" s="396"/>
      <c r="M12" s="396"/>
      <c r="N12" s="396"/>
      <c r="O12" s="272"/>
      <c r="P12" s="396">
        <v>1</v>
      </c>
      <c r="Q12" s="457">
        <v>1</v>
      </c>
      <c r="R12" s="266" t="s">
        <v>1144</v>
      </c>
      <c r="S12" s="266" t="str">
        <f xml:space="preserve"> CONCATENATE("Acceder al sistema Gemma con usuario y perfil activo para la funcionalidad modulo Maestro - Tramos Puntaje, hacer clic en el enlace"," ", IF(F12=1,$F$2,""), ", hacer clic en el boton ",IF(B12=1,"Modificar","")," ",IF(C12=1,"Eliminar un registro","")," ",IF(D12=1,"Agregar un nuevo registro",""), " ",IF(E12=1,"Exportar Documento Excel",""),"",IF(G12=1,$G$4,""),"",IF(H12=1,$H$4,""),"y Confirmar. ", ,"",IF(O12=1,$O$2,""))</f>
        <v xml:space="preserve">Acceder al sistema Gemma con usuario y perfil activo para la funcionalidad modulo Maestro - Tramos Puntaje, hacer clic en el enlace Link Desde, hacer clic en el boton  Eliminar un registro  y Confirmar. </v>
      </c>
      <c r="T12" s="267" t="str">
        <f>CONCATENATE(" Validar funcionalidad Maestro Documentos Requeridos seleccionando la opcion ","mediante el  ",IF(B12=1,$B$3,IF(C12=1,$C$3,IF(D12=1,$D$2,IF(E12=1,$E$2,""))))," mediante el link Descripcion y sin seleccionar valores",)</f>
        <v xml:space="preserve"> Validar funcionalidad Maestro Documentos Requeridos seleccionando la opcion mediante el  Eliminar mediante el link Descripcion y sin seleccionar valores</v>
      </c>
      <c r="U12" s="267" t="s">
        <v>1145</v>
      </c>
    </row>
    <row r="13" spans="1:153" s="109" customFormat="1" ht="15" customHeight="1" thickTop="1" x14ac:dyDescent="0.25">
      <c r="A13" s="23"/>
      <c r="B13" s="292"/>
      <c r="C13" s="293"/>
      <c r="D13" s="293">
        <v>1</v>
      </c>
      <c r="E13" s="293"/>
      <c r="F13" s="106"/>
      <c r="G13" s="106"/>
      <c r="H13" s="106"/>
      <c r="I13" s="644" t="s">
        <v>1147</v>
      </c>
      <c r="J13" s="644" t="s">
        <v>1147</v>
      </c>
      <c r="K13" s="398"/>
      <c r="L13" s="398"/>
      <c r="M13" s="398"/>
      <c r="N13" s="398"/>
      <c r="O13" s="293"/>
      <c r="P13" s="398">
        <v>1</v>
      </c>
      <c r="Q13" s="458"/>
      <c r="R13" s="266" t="s">
        <v>1479</v>
      </c>
      <c r="S13" s="266" t="str">
        <f xml:space="preserve"> CONCATENATE("Acceder al sistema Gemma con usuario y perfil activo para la funcionalidad modulo Maestro - Tramos Puntaje, hacer clic en el boton,"," ",IF(B13=1,"Modificar o","")," ",IF(C13=1,"Eliminar o","")," ",IF(D13=1,"Agregar un valor en los campos, Puntaje Desde, Puntaje Hasta, Tasa Estandar",""), " ",IF(E13=1,"Exportar Documento Excel","")," ",IF(G13=1,$G$4,"")," ",IF(H13=1,$H$4,""),"y Confirmar", IF(F13=1,$F$2,""),"",IF(O13=1,$O$2,""))</f>
        <v>Acceder al sistema Gemma con usuario y perfil activo para la funcionalidad modulo Maestro - Tramos Puntaje, hacer clic en el boton,   Agregar un valor en los campos, Puntaje Desde, Puntaje Hasta, Tasa Estandar   y Confirmar</v>
      </c>
      <c r="T13" s="267" t="str">
        <f>CONCATENATE(" Validar funcionalidad Maestro Documentos Requeridos seleccionando la opcion "," ",IF(B13=1,$B$3,IF(C13=1,$C$3,IF(D13=1,$D$2,IF(E13=1,$E$2,""))))," valores no numericos en los campos",)</f>
        <v xml:space="preserve"> Validar funcionalidad Maestro Documentos Requeridos seleccionando la opcion  Agregar valores no numericos en los campos</v>
      </c>
      <c r="U13" s="404" t="s">
        <v>1483</v>
      </c>
    </row>
    <row r="14" spans="1:153" s="109" customFormat="1" ht="16.5" customHeight="1" x14ac:dyDescent="0.25">
      <c r="B14" s="14">
        <v>1</v>
      </c>
      <c r="C14" s="110"/>
      <c r="D14" s="110"/>
      <c r="E14" s="110"/>
      <c r="F14" s="13"/>
      <c r="G14" s="13"/>
      <c r="H14" s="13"/>
      <c r="I14" s="111" t="s">
        <v>1147</v>
      </c>
      <c r="J14" s="111" t="s">
        <v>1147</v>
      </c>
      <c r="K14" s="111" t="s">
        <v>1147</v>
      </c>
      <c r="L14" s="13"/>
      <c r="M14" s="13"/>
      <c r="N14" s="13"/>
      <c r="O14" s="13"/>
      <c r="P14" s="13">
        <v>1</v>
      </c>
      <c r="Q14" s="278"/>
      <c r="R14" s="266" t="s">
        <v>1480</v>
      </c>
      <c r="S14" s="266" t="str">
        <f xml:space="preserve"> CONCATENATE("Acceder al sistema Gemma con usuario y perfil activo para la funcionalidad modulo Maestro - Tramos Puntaje, hacer clic en el boton,"," ",IF(B14=1,"Modificar  un valor en los campos, Puntaje Desde, Puntaje Hasta, Tasa Estandar","")," ",IF(C14=1,"Eliminar o","")," ",IF(D14=1,"Agregar un valor en los campos, Puntaje Desde, Puntaje Hasta, Tasa Estandar",""), "y Confirmar ",IF(E14=1,"Exportar Documento Excel","")," ",IF(G14=1,$G$4,""),"  ",IF(H14=1,$H$4,""),"", IF(F14=1,$F$2,""),"",IF(O14=1,$O$2,""))</f>
        <v xml:space="preserve">Acceder al sistema Gemma con usuario y perfil activo para la funcionalidad modulo Maestro - Tramos Puntaje, hacer clic en el boton, Modificar  un valor en los campos, Puntaje Desde, Puntaje Hasta, Tasa Estandar  y Confirmar    </v>
      </c>
      <c r="T14" s="267" t="str">
        <f>CONCATENATE(" Validar funcionalidad Maestro Documentos Requeridos seleccionando la opcion "," ",IF(B14=1,$B$3,IF(C14=1,$C$3,IF(D14=1,$D$2,IF(E14=1,$E$2,""))))," cambiando valores numericos por no numericos",)</f>
        <v xml:space="preserve"> Validar funcionalidad Maestro Documentos Requeridos seleccionando la opcion   Modificar cambiando valores numericos por no numericos</v>
      </c>
      <c r="U14" s="404" t="s">
        <v>1483</v>
      </c>
    </row>
    <row r="15" spans="1:153" s="109" customFormat="1" x14ac:dyDescent="0.25">
      <c r="B15" s="14"/>
      <c r="C15" s="110">
        <v>1</v>
      </c>
      <c r="D15" s="110"/>
      <c r="E15" s="110"/>
      <c r="F15" s="13"/>
      <c r="G15" s="13"/>
      <c r="H15" s="13"/>
      <c r="I15" s="111"/>
      <c r="J15" s="111"/>
      <c r="K15" s="111"/>
      <c r="L15" s="13"/>
      <c r="M15" s="13"/>
      <c r="N15" s="13"/>
      <c r="O15" s="13"/>
      <c r="P15" s="13">
        <v>1</v>
      </c>
      <c r="Q15" s="278"/>
      <c r="R15" s="266" t="s">
        <v>1481</v>
      </c>
      <c r="S15" s="266" t="str">
        <f xml:space="preserve"> CONCATENATE("Acceder al sistema Gemma con usuario y perfil activo para la funcionalidad modulo Maestro - Tramos Puntaje, hacer clic en el boton,"," ",IF(B15=1,"Modificar un registro","")," ",IF(C15=1,"Eliminar un registro","")," que se encuentra en uso ",IF(D15=1,"Agregar un nuevo registro",""), " ",IF(E15=1,"Exportar Documento Excel","")," ",)</f>
        <v xml:space="preserve">Acceder al sistema Gemma con usuario y perfil activo para la funcionalidad modulo Maestro - Tramos Puntaje, hacer clic en el boton,  Eliminar un registro que se encuentra en uso   </v>
      </c>
      <c r="T15" s="267" t="str">
        <f>CONCATENATE(" Validar funcionalidad Maestro Documentos Requeridos seleccionando la opcion "," ",IF(B15=1,$B$3,IF(C15=1,$C$3,IF(D15=1,$D$2,IF(E15=1,$E$2,""))))," un registro en uso",)</f>
        <v xml:space="preserve"> Validar funcionalidad Maestro Documentos Requeridos seleccionando la opcion  Eliminar un registro en uso</v>
      </c>
      <c r="U15" s="404" t="s">
        <v>1484</v>
      </c>
    </row>
    <row r="16" spans="1:153" s="109" customFormat="1" x14ac:dyDescent="0.25">
      <c r="B16" s="14"/>
      <c r="C16" s="110"/>
      <c r="D16" s="110"/>
      <c r="E16" s="110"/>
      <c r="F16" s="13"/>
      <c r="G16" s="13"/>
      <c r="H16" s="13"/>
      <c r="I16" s="13"/>
      <c r="J16" s="13"/>
      <c r="K16" s="13"/>
      <c r="L16" s="13"/>
      <c r="M16" s="13"/>
      <c r="N16" s="13"/>
      <c r="O16" s="13"/>
      <c r="P16" s="13"/>
      <c r="Q16" s="278"/>
      <c r="R16" s="266"/>
      <c r="S16" s="266"/>
      <c r="T16" s="267"/>
      <c r="U16" s="267"/>
    </row>
    <row r="17" spans="2:21" s="109" customFormat="1" x14ac:dyDescent="0.25">
      <c r="B17" s="14"/>
      <c r="C17" s="110"/>
      <c r="D17" s="110"/>
      <c r="E17" s="110"/>
      <c r="F17" s="13"/>
      <c r="G17" s="13"/>
      <c r="H17" s="13"/>
      <c r="I17" s="13"/>
      <c r="J17" s="13"/>
      <c r="K17" s="13"/>
      <c r="L17" s="13"/>
      <c r="M17" s="13"/>
      <c r="N17" s="13"/>
      <c r="O17" s="13"/>
      <c r="P17" s="13"/>
      <c r="Q17" s="278"/>
      <c r="R17" s="266"/>
      <c r="S17" s="266"/>
      <c r="T17" s="267"/>
      <c r="U17" s="267"/>
    </row>
    <row r="18" spans="2:21" s="109" customFormat="1" x14ac:dyDescent="0.25">
      <c r="B18" s="14"/>
      <c r="C18" s="110"/>
      <c r="D18" s="110"/>
      <c r="E18" s="110"/>
      <c r="F18" s="13"/>
      <c r="G18" s="13"/>
      <c r="H18" s="13"/>
      <c r="I18" s="13"/>
      <c r="J18" s="13"/>
      <c r="K18" s="13"/>
      <c r="L18" s="13"/>
      <c r="M18" s="13"/>
      <c r="N18" s="13"/>
      <c r="O18" s="13"/>
      <c r="P18" s="13"/>
      <c r="Q18" s="278"/>
      <c r="R18" s="266"/>
      <c r="S18" s="266"/>
      <c r="T18" s="267"/>
      <c r="U18" s="267"/>
    </row>
    <row r="19" spans="2:21" s="109" customFormat="1" x14ac:dyDescent="0.25">
      <c r="B19" s="14"/>
      <c r="C19" s="110"/>
      <c r="D19" s="110"/>
      <c r="E19" s="110"/>
      <c r="F19" s="13"/>
      <c r="G19" s="13"/>
      <c r="H19" s="13"/>
      <c r="I19" s="13"/>
      <c r="J19" s="13"/>
      <c r="K19" s="13"/>
      <c r="L19" s="13"/>
      <c r="M19" s="13"/>
      <c r="N19" s="13"/>
      <c r="O19" s="13"/>
      <c r="P19" s="13"/>
      <c r="Q19" s="278"/>
      <c r="R19" s="266"/>
      <c r="S19" s="266"/>
      <c r="T19" s="267"/>
      <c r="U19" s="267"/>
    </row>
    <row r="20" spans="2:21" s="109" customFormat="1" x14ac:dyDescent="0.25">
      <c r="B20" s="14"/>
      <c r="C20" s="110"/>
      <c r="D20" s="110"/>
      <c r="E20" s="110"/>
      <c r="F20" s="13"/>
      <c r="G20" s="13"/>
      <c r="H20" s="13"/>
      <c r="I20" s="13"/>
      <c r="J20" s="13"/>
      <c r="K20" s="13"/>
      <c r="L20" s="13"/>
      <c r="M20" s="13"/>
      <c r="N20" s="13"/>
      <c r="O20" s="13"/>
      <c r="P20" s="13"/>
      <c r="Q20" s="278"/>
      <c r="R20" s="266"/>
      <c r="S20" s="266"/>
      <c r="T20" s="267"/>
      <c r="U20" s="267"/>
    </row>
    <row r="21" spans="2:21" s="109" customFormat="1" x14ac:dyDescent="0.25">
      <c r="B21" s="14"/>
      <c r="C21" s="110"/>
      <c r="D21" s="110"/>
      <c r="E21" s="110"/>
      <c r="F21" s="13"/>
      <c r="G21" s="13"/>
      <c r="H21" s="13"/>
      <c r="I21" s="13"/>
      <c r="J21" s="13"/>
      <c r="K21" s="13"/>
      <c r="L21" s="13"/>
      <c r="M21" s="13"/>
      <c r="N21" s="13"/>
      <c r="O21" s="13"/>
      <c r="P21" s="13"/>
      <c r="Q21" s="278"/>
      <c r="R21" s="266"/>
      <c r="S21" s="266"/>
      <c r="T21" s="267"/>
      <c r="U21" s="267"/>
    </row>
    <row r="22" spans="2:21" s="109" customFormat="1" x14ac:dyDescent="0.25">
      <c r="B22" s="14"/>
      <c r="C22" s="110"/>
      <c r="D22" s="110"/>
      <c r="E22" s="110"/>
      <c r="F22" s="13"/>
      <c r="G22" s="13"/>
      <c r="H22" s="13"/>
      <c r="I22" s="13"/>
      <c r="J22" s="13"/>
      <c r="K22" s="13"/>
      <c r="L22" s="13"/>
      <c r="M22" s="13"/>
      <c r="N22" s="13"/>
      <c r="O22" s="13"/>
      <c r="P22" s="13"/>
      <c r="Q22" s="278"/>
      <c r="R22" s="266"/>
      <c r="S22" s="266"/>
      <c r="T22" s="267"/>
      <c r="U22" s="267"/>
    </row>
    <row r="23" spans="2:21" s="109" customFormat="1" x14ac:dyDescent="0.25">
      <c r="B23" s="14"/>
      <c r="C23" s="110"/>
      <c r="D23" s="110"/>
      <c r="E23" s="110"/>
      <c r="F23" s="13"/>
      <c r="G23" s="13"/>
      <c r="H23" s="13"/>
      <c r="I23" s="13"/>
      <c r="J23" s="13"/>
      <c r="K23" s="13"/>
      <c r="L23" s="13"/>
      <c r="M23" s="13"/>
      <c r="N23" s="13"/>
      <c r="O23" s="13"/>
      <c r="P23" s="13"/>
      <c r="Q23" s="278"/>
      <c r="R23" s="266"/>
      <c r="S23" s="266"/>
      <c r="T23" s="267"/>
      <c r="U23" s="267"/>
    </row>
    <row r="24" spans="2:21" s="109" customFormat="1" x14ac:dyDescent="0.25">
      <c r="B24" s="14"/>
      <c r="C24" s="110"/>
      <c r="D24" s="110"/>
      <c r="E24" s="110"/>
      <c r="F24" s="13"/>
      <c r="G24" s="13"/>
      <c r="H24" s="13"/>
      <c r="I24" s="13"/>
      <c r="J24" s="13"/>
      <c r="K24" s="13"/>
      <c r="L24" s="13"/>
      <c r="M24" s="13"/>
      <c r="N24" s="13"/>
      <c r="O24" s="13"/>
      <c r="P24" s="13"/>
      <c r="Q24" s="278"/>
      <c r="R24" s="266"/>
      <c r="S24" s="266"/>
      <c r="T24" s="267"/>
      <c r="U24" s="267"/>
    </row>
    <row r="25" spans="2:21" s="109" customFormat="1" x14ac:dyDescent="0.25">
      <c r="B25" s="18"/>
      <c r="C25" s="13"/>
      <c r="D25" s="13"/>
      <c r="E25" s="13"/>
      <c r="F25" s="13"/>
      <c r="G25" s="13"/>
      <c r="H25" s="13"/>
      <c r="I25" s="13"/>
      <c r="J25" s="13"/>
      <c r="K25" s="13"/>
      <c r="L25" s="13"/>
      <c r="M25" s="13"/>
      <c r="N25" s="13"/>
      <c r="O25" s="13"/>
      <c r="P25" s="13"/>
      <c r="Q25" s="278"/>
      <c r="R25" s="266"/>
      <c r="S25" s="266"/>
      <c r="T25" s="267"/>
      <c r="U25" s="267"/>
    </row>
    <row r="26" spans="2:21" s="109" customFormat="1" x14ac:dyDescent="0.25">
      <c r="B26" s="18"/>
      <c r="C26" s="13"/>
      <c r="D26" s="13"/>
      <c r="E26" s="13"/>
      <c r="F26" s="110"/>
      <c r="G26" s="110"/>
      <c r="H26" s="110"/>
      <c r="I26" s="110"/>
      <c r="J26" s="110"/>
      <c r="K26" s="110"/>
      <c r="L26" s="110"/>
      <c r="M26" s="110"/>
      <c r="N26" s="110"/>
      <c r="O26" s="110"/>
      <c r="P26" s="110"/>
      <c r="Q26" s="17"/>
      <c r="R26" s="270"/>
      <c r="S26" s="270"/>
      <c r="T26" s="267"/>
      <c r="U26" s="267"/>
    </row>
    <row r="27" spans="2:21" s="109" customFormat="1" x14ac:dyDescent="0.25">
      <c r="B27" s="18"/>
      <c r="C27" s="13"/>
      <c r="D27" s="13"/>
      <c r="E27" s="13"/>
      <c r="F27" s="110"/>
      <c r="G27" s="110"/>
      <c r="H27" s="110"/>
      <c r="I27" s="110"/>
      <c r="J27" s="110"/>
      <c r="K27" s="110"/>
      <c r="L27" s="110"/>
      <c r="M27" s="110"/>
      <c r="N27" s="110"/>
      <c r="O27" s="110"/>
      <c r="P27" s="110"/>
      <c r="Q27" s="17"/>
      <c r="R27" s="270"/>
      <c r="S27" s="270"/>
      <c r="T27" s="267"/>
      <c r="U27" s="267"/>
    </row>
    <row r="28" spans="2:21" s="109" customFormat="1" x14ac:dyDescent="0.25">
      <c r="B28" s="18"/>
      <c r="C28" s="13"/>
      <c r="D28" s="13"/>
      <c r="E28" s="13"/>
      <c r="F28" s="110"/>
      <c r="G28" s="110"/>
      <c r="H28" s="110"/>
      <c r="I28" s="110"/>
      <c r="J28" s="110"/>
      <c r="K28" s="110"/>
      <c r="L28" s="110"/>
      <c r="M28" s="110"/>
      <c r="N28" s="110"/>
      <c r="O28" s="110"/>
      <c r="P28" s="110"/>
      <c r="Q28" s="17"/>
      <c r="R28" s="270"/>
      <c r="S28" s="270"/>
      <c r="T28" s="267"/>
      <c r="U28" s="267"/>
    </row>
    <row r="29" spans="2:21" s="109" customFormat="1" x14ac:dyDescent="0.25">
      <c r="B29" s="18"/>
      <c r="C29" s="13"/>
      <c r="D29" s="13"/>
      <c r="E29" s="13"/>
      <c r="F29" s="110"/>
      <c r="G29" s="110"/>
      <c r="H29" s="110"/>
      <c r="I29" s="110"/>
      <c r="J29" s="110"/>
      <c r="K29" s="110"/>
      <c r="L29" s="110"/>
      <c r="M29" s="110"/>
      <c r="N29" s="110"/>
      <c r="O29" s="110"/>
      <c r="P29" s="110"/>
      <c r="Q29" s="17"/>
      <c r="R29" s="270"/>
      <c r="S29" s="270"/>
      <c r="T29" s="267"/>
      <c r="U29" s="267"/>
    </row>
    <row r="30" spans="2:21" s="109" customFormat="1" x14ac:dyDescent="0.25">
      <c r="B30" s="18"/>
      <c r="C30" s="13"/>
      <c r="D30" s="13"/>
      <c r="E30" s="13"/>
      <c r="F30" s="110"/>
      <c r="G30" s="110"/>
      <c r="H30" s="110"/>
      <c r="I30" s="110"/>
      <c r="J30" s="110"/>
      <c r="K30" s="110"/>
      <c r="L30" s="110"/>
      <c r="M30" s="110"/>
      <c r="N30" s="110"/>
      <c r="O30" s="110"/>
      <c r="P30" s="110"/>
      <c r="Q30" s="17"/>
      <c r="R30" s="270"/>
      <c r="S30" s="270"/>
      <c r="T30" s="267"/>
      <c r="U30" s="267"/>
    </row>
    <row r="31" spans="2:21" s="109" customFormat="1" x14ac:dyDescent="0.25">
      <c r="B31" s="18"/>
      <c r="C31" s="13"/>
      <c r="D31" s="13"/>
      <c r="E31" s="13"/>
      <c r="F31" s="110"/>
      <c r="G31" s="110"/>
      <c r="H31" s="110"/>
      <c r="I31" s="110"/>
      <c r="J31" s="110"/>
      <c r="K31" s="110"/>
      <c r="L31" s="110"/>
      <c r="M31" s="110"/>
      <c r="N31" s="110"/>
      <c r="O31" s="110"/>
      <c r="P31" s="110"/>
      <c r="Q31" s="17"/>
      <c r="R31" s="270"/>
      <c r="S31" s="270"/>
      <c r="T31" s="267"/>
      <c r="U31" s="267"/>
    </row>
    <row r="32" spans="2:21" s="109" customFormat="1" x14ac:dyDescent="0.25">
      <c r="B32" s="18"/>
      <c r="C32" s="13"/>
      <c r="D32" s="13"/>
      <c r="E32" s="13"/>
      <c r="F32" s="110"/>
      <c r="G32" s="110"/>
      <c r="H32" s="110"/>
      <c r="I32" s="110"/>
      <c r="J32" s="110"/>
      <c r="K32" s="110"/>
      <c r="L32" s="110"/>
      <c r="M32" s="110"/>
      <c r="N32" s="110"/>
      <c r="O32" s="110"/>
      <c r="P32" s="110"/>
      <c r="Q32" s="17"/>
      <c r="R32" s="270"/>
      <c r="S32" s="270"/>
      <c r="T32" s="267"/>
      <c r="U32" s="267"/>
    </row>
    <row r="33" spans="2:21" s="109" customFormat="1" x14ac:dyDescent="0.25">
      <c r="B33" s="18"/>
      <c r="C33" s="13"/>
      <c r="D33" s="13"/>
      <c r="E33" s="13"/>
      <c r="F33" s="110"/>
      <c r="G33" s="110"/>
      <c r="H33" s="110"/>
      <c r="I33" s="110"/>
      <c r="J33" s="110"/>
      <c r="K33" s="110"/>
      <c r="L33" s="110"/>
      <c r="M33" s="110"/>
      <c r="N33" s="110"/>
      <c r="O33" s="110"/>
      <c r="P33" s="110"/>
      <c r="Q33" s="17"/>
      <c r="R33" s="270"/>
      <c r="S33" s="270"/>
      <c r="T33" s="267"/>
      <c r="U33" s="267"/>
    </row>
    <row r="34" spans="2:21" s="109" customFormat="1" x14ac:dyDescent="0.25">
      <c r="B34" s="18"/>
      <c r="C34" s="13"/>
      <c r="D34" s="13"/>
      <c r="E34" s="13"/>
      <c r="F34" s="110"/>
      <c r="G34" s="110"/>
      <c r="H34" s="110"/>
      <c r="I34" s="110"/>
      <c r="J34" s="110"/>
      <c r="K34" s="110"/>
      <c r="L34" s="110"/>
      <c r="M34" s="110"/>
      <c r="N34" s="110"/>
      <c r="O34" s="110"/>
      <c r="P34" s="110"/>
      <c r="Q34" s="17"/>
      <c r="R34" s="270"/>
      <c r="S34" s="270"/>
      <c r="T34" s="267"/>
      <c r="U34" s="267"/>
    </row>
    <row r="35" spans="2:21" s="109" customFormat="1" x14ac:dyDescent="0.25">
      <c r="B35" s="18"/>
      <c r="C35" s="13"/>
      <c r="D35" s="13"/>
      <c r="E35" s="13"/>
      <c r="F35" s="110"/>
      <c r="G35" s="110"/>
      <c r="H35" s="110"/>
      <c r="I35" s="110"/>
      <c r="J35" s="110"/>
      <c r="K35" s="110"/>
      <c r="L35" s="110"/>
      <c r="M35" s="110"/>
      <c r="N35" s="110"/>
      <c r="O35" s="110"/>
      <c r="P35" s="110"/>
      <c r="Q35" s="17"/>
      <c r="R35" s="270"/>
      <c r="S35" s="270"/>
      <c r="T35" s="267"/>
      <c r="U35" s="267"/>
    </row>
    <row r="36" spans="2:21" s="109" customFormat="1" x14ac:dyDescent="0.25">
      <c r="B36" s="18"/>
      <c r="C36" s="13"/>
      <c r="D36" s="13"/>
      <c r="E36" s="13"/>
      <c r="F36" s="110"/>
      <c r="G36" s="110"/>
      <c r="H36" s="110"/>
      <c r="I36" s="110"/>
      <c r="J36" s="110"/>
      <c r="K36" s="110"/>
      <c r="L36" s="110"/>
      <c r="M36" s="110"/>
      <c r="N36" s="110"/>
      <c r="O36" s="110"/>
      <c r="P36" s="110"/>
      <c r="Q36" s="17"/>
      <c r="R36" s="270"/>
      <c r="S36" s="270"/>
      <c r="T36" s="267"/>
      <c r="U36" s="267"/>
    </row>
    <row r="37" spans="2:21" s="109" customFormat="1" x14ac:dyDescent="0.25">
      <c r="B37" s="18"/>
      <c r="C37" s="13"/>
      <c r="D37" s="13"/>
      <c r="E37" s="13"/>
      <c r="F37" s="110"/>
      <c r="G37" s="110"/>
      <c r="H37" s="110"/>
      <c r="I37" s="110"/>
      <c r="J37" s="110"/>
      <c r="K37" s="110"/>
      <c r="L37" s="110"/>
      <c r="M37" s="110"/>
      <c r="N37" s="110"/>
      <c r="O37" s="110"/>
      <c r="P37" s="110"/>
      <c r="Q37" s="17"/>
      <c r="R37" s="270"/>
      <c r="S37" s="270"/>
      <c r="T37" s="267"/>
      <c r="U37" s="267"/>
    </row>
    <row r="38" spans="2:21" s="109" customFormat="1" x14ac:dyDescent="0.25">
      <c r="B38" s="18"/>
      <c r="C38" s="13"/>
      <c r="D38" s="13"/>
      <c r="E38" s="13"/>
      <c r="F38" s="110"/>
      <c r="G38" s="110"/>
      <c r="H38" s="110"/>
      <c r="I38" s="110"/>
      <c r="J38" s="110"/>
      <c r="K38" s="110"/>
      <c r="L38" s="110"/>
      <c r="M38" s="110"/>
      <c r="N38" s="110"/>
      <c r="O38" s="110"/>
      <c r="P38" s="110"/>
      <c r="Q38" s="17"/>
      <c r="R38" s="270"/>
      <c r="S38" s="270"/>
      <c r="T38" s="267"/>
      <c r="U38" s="267"/>
    </row>
    <row r="39" spans="2:21" s="109" customFormat="1" x14ac:dyDescent="0.25">
      <c r="B39" s="18"/>
      <c r="C39" s="13"/>
      <c r="D39" s="13"/>
      <c r="E39" s="13"/>
      <c r="F39" s="110"/>
      <c r="G39" s="110"/>
      <c r="H39" s="110"/>
      <c r="I39" s="110"/>
      <c r="J39" s="110"/>
      <c r="K39" s="110"/>
      <c r="L39" s="110"/>
      <c r="M39" s="110"/>
      <c r="N39" s="110"/>
      <c r="O39" s="110"/>
      <c r="P39" s="110"/>
      <c r="Q39" s="17"/>
      <c r="R39" s="270"/>
      <c r="S39" s="270"/>
      <c r="T39" s="267"/>
      <c r="U39" s="267"/>
    </row>
    <row r="40" spans="2:21" s="109" customFormat="1" x14ac:dyDescent="0.25">
      <c r="B40" s="18"/>
      <c r="C40" s="13"/>
      <c r="D40" s="13"/>
      <c r="E40" s="13"/>
      <c r="F40" s="110"/>
      <c r="G40" s="110"/>
      <c r="H40" s="110"/>
      <c r="I40" s="110"/>
      <c r="J40" s="110"/>
      <c r="K40" s="110"/>
      <c r="L40" s="110"/>
      <c r="M40" s="110"/>
      <c r="N40" s="110"/>
      <c r="O40" s="110"/>
      <c r="P40" s="110"/>
      <c r="Q40" s="17"/>
      <c r="R40" s="270"/>
      <c r="S40" s="270"/>
      <c r="T40" s="267"/>
      <c r="U40" s="267"/>
    </row>
    <row r="41" spans="2:21" s="109" customFormat="1" x14ac:dyDescent="0.25">
      <c r="B41" s="18"/>
      <c r="C41" s="13"/>
      <c r="D41" s="13"/>
      <c r="E41" s="13"/>
      <c r="F41" s="110"/>
      <c r="G41" s="110"/>
      <c r="H41" s="110"/>
      <c r="I41" s="110"/>
      <c r="J41" s="110"/>
      <c r="K41" s="110"/>
      <c r="L41" s="110"/>
      <c r="M41" s="110"/>
      <c r="N41" s="110"/>
      <c r="O41" s="110"/>
      <c r="P41" s="110"/>
      <c r="Q41" s="17"/>
      <c r="R41" s="270"/>
      <c r="S41" s="270"/>
      <c r="T41" s="267"/>
      <c r="U41" s="267"/>
    </row>
    <row r="42" spans="2:21" s="109" customFormat="1" x14ac:dyDescent="0.25">
      <c r="B42" s="18"/>
      <c r="C42" s="13"/>
      <c r="D42" s="13"/>
      <c r="E42" s="13"/>
      <c r="F42" s="110"/>
      <c r="G42" s="110"/>
      <c r="H42" s="110"/>
      <c r="I42" s="110"/>
      <c r="J42" s="110"/>
      <c r="K42" s="110"/>
      <c r="L42" s="110"/>
      <c r="M42" s="110"/>
      <c r="N42" s="110"/>
      <c r="O42" s="110"/>
      <c r="P42" s="110"/>
      <c r="Q42" s="17"/>
      <c r="R42" s="270"/>
      <c r="S42" s="270"/>
      <c r="T42" s="267"/>
      <c r="U42" s="267"/>
    </row>
    <row r="43" spans="2:21" s="109" customFormat="1" x14ac:dyDescent="0.25">
      <c r="B43" s="18"/>
      <c r="C43" s="13"/>
      <c r="D43" s="13"/>
      <c r="E43" s="13"/>
      <c r="F43" s="110"/>
      <c r="G43" s="110"/>
      <c r="H43" s="110"/>
      <c r="I43" s="110"/>
      <c r="J43" s="110"/>
      <c r="K43" s="110"/>
      <c r="L43" s="110"/>
      <c r="M43" s="110"/>
      <c r="N43" s="110"/>
      <c r="O43" s="110"/>
      <c r="P43" s="110"/>
      <c r="Q43" s="17"/>
      <c r="R43" s="270"/>
      <c r="S43" s="270"/>
      <c r="T43" s="267"/>
      <c r="U43" s="267"/>
    </row>
    <row r="44" spans="2:21" s="109" customFormat="1" x14ac:dyDescent="0.25">
      <c r="B44" s="18"/>
      <c r="C44" s="13"/>
      <c r="D44" s="13"/>
      <c r="E44" s="13"/>
      <c r="F44" s="110"/>
      <c r="G44" s="110"/>
      <c r="H44" s="110"/>
      <c r="I44" s="110"/>
      <c r="J44" s="110"/>
      <c r="K44" s="110"/>
      <c r="L44" s="110"/>
      <c r="M44" s="110"/>
      <c r="N44" s="110"/>
      <c r="O44" s="110"/>
      <c r="P44" s="110"/>
      <c r="Q44" s="17"/>
      <c r="R44" s="270"/>
      <c r="S44" s="270"/>
      <c r="T44" s="267"/>
      <c r="U44" s="267"/>
    </row>
    <row r="45" spans="2:21" s="109" customFormat="1" x14ac:dyDescent="0.25">
      <c r="B45" s="18"/>
      <c r="C45" s="13"/>
      <c r="D45" s="13"/>
      <c r="E45" s="13"/>
      <c r="F45" s="110"/>
      <c r="G45" s="110"/>
      <c r="H45" s="110"/>
      <c r="I45" s="110"/>
      <c r="J45" s="110"/>
      <c r="K45" s="110"/>
      <c r="L45" s="110"/>
      <c r="M45" s="110"/>
      <c r="N45" s="110"/>
      <c r="O45" s="110"/>
      <c r="P45" s="110"/>
      <c r="Q45" s="17"/>
      <c r="R45" s="270"/>
      <c r="S45" s="270"/>
      <c r="T45" s="267"/>
      <c r="U45" s="267"/>
    </row>
    <row r="46" spans="2:21" s="109" customFormat="1" x14ac:dyDescent="0.25">
      <c r="B46" s="18"/>
      <c r="C46" s="13"/>
      <c r="D46" s="13"/>
      <c r="E46" s="13"/>
      <c r="F46" s="110"/>
      <c r="G46" s="110"/>
      <c r="H46" s="110"/>
      <c r="I46" s="110"/>
      <c r="J46" s="110"/>
      <c r="K46" s="110"/>
      <c r="L46" s="110"/>
      <c r="M46" s="110"/>
      <c r="N46" s="110"/>
      <c r="O46" s="110"/>
      <c r="P46" s="110"/>
      <c r="Q46" s="17"/>
      <c r="R46" s="270"/>
      <c r="S46" s="270"/>
      <c r="T46" s="267"/>
      <c r="U46" s="267"/>
    </row>
    <row r="47" spans="2:21" s="109" customFormat="1" x14ac:dyDescent="0.25">
      <c r="B47" s="18"/>
      <c r="C47" s="13"/>
      <c r="D47" s="13"/>
      <c r="E47" s="13"/>
      <c r="F47" s="110"/>
      <c r="G47" s="110"/>
      <c r="H47" s="110"/>
      <c r="I47" s="110"/>
      <c r="J47" s="110"/>
      <c r="K47" s="110"/>
      <c r="L47" s="110"/>
      <c r="M47" s="110"/>
      <c r="N47" s="110"/>
      <c r="O47" s="110"/>
      <c r="P47" s="110"/>
      <c r="Q47" s="17"/>
      <c r="R47" s="270"/>
      <c r="S47" s="270"/>
      <c r="T47" s="267"/>
      <c r="U47" s="267"/>
    </row>
    <row r="48" spans="2:21" s="109" customFormat="1" x14ac:dyDescent="0.25">
      <c r="B48" s="18"/>
      <c r="C48" s="13"/>
      <c r="D48" s="13"/>
      <c r="E48" s="13"/>
      <c r="F48" s="110"/>
      <c r="G48" s="110"/>
      <c r="H48" s="110"/>
      <c r="I48" s="110"/>
      <c r="J48" s="110"/>
      <c r="K48" s="110"/>
      <c r="L48" s="110"/>
      <c r="M48" s="110"/>
      <c r="N48" s="110"/>
      <c r="O48" s="110"/>
      <c r="P48" s="110"/>
      <c r="Q48" s="17"/>
      <c r="R48" s="270"/>
      <c r="S48" s="270"/>
      <c r="T48" s="267"/>
      <c r="U48" s="267"/>
    </row>
    <row r="49" spans="2:21" s="109" customFormat="1" x14ac:dyDescent="0.25">
      <c r="B49" s="18"/>
      <c r="C49" s="13"/>
      <c r="D49" s="13"/>
      <c r="E49" s="13"/>
      <c r="F49" s="110"/>
      <c r="G49" s="110"/>
      <c r="H49" s="110"/>
      <c r="I49" s="110"/>
      <c r="J49" s="110"/>
      <c r="K49" s="110"/>
      <c r="L49" s="110"/>
      <c r="M49" s="110"/>
      <c r="N49" s="110"/>
      <c r="O49" s="110"/>
      <c r="P49" s="110"/>
      <c r="Q49" s="17"/>
      <c r="R49" s="270"/>
      <c r="S49" s="270"/>
      <c r="T49" s="267"/>
      <c r="U49" s="267"/>
    </row>
    <row r="50" spans="2:21" s="109" customFormat="1" ht="15.75" thickBot="1" x14ac:dyDescent="0.3">
      <c r="B50" s="323"/>
      <c r="C50" s="281"/>
      <c r="D50" s="281"/>
      <c r="E50" s="281"/>
      <c r="F50" s="304"/>
      <c r="G50" s="304"/>
      <c r="H50" s="304"/>
      <c r="I50" s="304"/>
      <c r="J50" s="304"/>
      <c r="K50" s="304"/>
      <c r="L50" s="304"/>
      <c r="M50" s="304"/>
      <c r="N50" s="304"/>
      <c r="O50" s="304"/>
      <c r="P50" s="304"/>
      <c r="Q50" s="338"/>
      <c r="R50" s="270"/>
      <c r="S50" s="270"/>
      <c r="T50" s="267"/>
      <c r="U50" s="267"/>
    </row>
    <row r="51" spans="2:21" s="109" customFormat="1" ht="15.75" thickTop="1" x14ac:dyDescent="0.25">
      <c r="B51" s="108"/>
      <c r="C51" s="108"/>
      <c r="D51" s="108"/>
      <c r="E51" s="108"/>
      <c r="F51" s="108"/>
      <c r="G51" s="108"/>
      <c r="H51" s="108"/>
      <c r="I51" s="108"/>
      <c r="J51" s="108"/>
      <c r="K51" s="108"/>
      <c r="L51" s="108"/>
      <c r="M51" s="108"/>
      <c r="N51" s="108"/>
      <c r="O51" s="108"/>
      <c r="P51" s="108"/>
      <c r="Q51" s="108"/>
      <c r="R51" s="270"/>
      <c r="S51" s="270"/>
      <c r="T51" s="267"/>
      <c r="U51" s="267"/>
    </row>
    <row r="52" spans="2:21" s="109" customFormat="1" x14ac:dyDescent="0.25">
      <c r="B52" s="108"/>
      <c r="C52" s="108"/>
      <c r="D52" s="108"/>
      <c r="E52" s="108"/>
      <c r="F52" s="108"/>
      <c r="G52" s="108"/>
      <c r="H52" s="108"/>
      <c r="I52" s="108"/>
      <c r="J52" s="108"/>
      <c r="K52" s="108"/>
      <c r="L52" s="108"/>
      <c r="M52" s="108"/>
      <c r="N52" s="108"/>
      <c r="O52" s="108"/>
      <c r="P52" s="108"/>
      <c r="Q52" s="108"/>
      <c r="R52" s="270"/>
      <c r="S52" s="270"/>
      <c r="T52" s="267"/>
      <c r="U52" s="267"/>
    </row>
    <row r="53" spans="2:21" s="109" customFormat="1" x14ac:dyDescent="0.25">
      <c r="B53" s="108"/>
      <c r="C53" s="108"/>
      <c r="D53" s="108"/>
      <c r="E53" s="108"/>
      <c r="F53" s="108"/>
      <c r="G53" s="108"/>
      <c r="H53" s="108"/>
      <c r="I53" s="108"/>
      <c r="J53" s="108"/>
      <c r="K53" s="108"/>
      <c r="L53" s="108"/>
      <c r="M53" s="108"/>
      <c r="N53" s="108"/>
      <c r="O53" s="108"/>
      <c r="P53" s="108"/>
      <c r="Q53" s="108"/>
      <c r="R53" s="270"/>
      <c r="S53" s="270"/>
      <c r="T53" s="267"/>
      <c r="U53" s="267"/>
    </row>
    <row r="54" spans="2:21" s="109" customFormat="1" x14ac:dyDescent="0.25">
      <c r="B54" s="108"/>
      <c r="C54" s="108"/>
      <c r="D54" s="108"/>
      <c r="E54" s="108"/>
      <c r="F54" s="108"/>
      <c r="G54" s="108"/>
      <c r="H54" s="108"/>
      <c r="I54" s="108"/>
      <c r="J54" s="108"/>
      <c r="K54" s="108"/>
      <c r="L54" s="108"/>
      <c r="M54" s="108"/>
      <c r="N54" s="108"/>
      <c r="O54" s="108"/>
      <c r="P54" s="108"/>
      <c r="Q54" s="108"/>
      <c r="R54" s="270"/>
      <c r="S54" s="270"/>
      <c r="T54" s="267"/>
      <c r="U54" s="267"/>
    </row>
    <row r="55" spans="2:21" s="109" customFormat="1" x14ac:dyDescent="0.25">
      <c r="B55" s="108"/>
      <c r="C55" s="108"/>
      <c r="D55" s="108"/>
      <c r="E55" s="108"/>
      <c r="F55" s="108"/>
      <c r="G55" s="108"/>
      <c r="H55" s="108"/>
      <c r="I55" s="108"/>
      <c r="J55" s="108"/>
      <c r="K55" s="108"/>
      <c r="L55" s="108"/>
      <c r="M55" s="108"/>
      <c r="N55" s="108"/>
      <c r="O55" s="108"/>
      <c r="P55" s="108"/>
      <c r="Q55" s="108"/>
      <c r="R55" s="270"/>
      <c r="S55" s="270"/>
      <c r="T55" s="267"/>
      <c r="U55" s="267"/>
    </row>
    <row r="56" spans="2:21" s="109" customFormat="1" x14ac:dyDescent="0.25">
      <c r="B56" s="108"/>
      <c r="C56" s="108"/>
      <c r="D56" s="108"/>
      <c r="E56" s="108"/>
      <c r="F56" s="108"/>
      <c r="G56" s="108"/>
      <c r="H56" s="108"/>
      <c r="I56" s="108"/>
      <c r="J56" s="108"/>
      <c r="K56" s="108"/>
      <c r="L56" s="108"/>
      <c r="M56" s="108"/>
      <c r="N56" s="108"/>
      <c r="O56" s="108"/>
      <c r="P56" s="108"/>
      <c r="Q56" s="108"/>
      <c r="R56" s="270"/>
      <c r="S56" s="270"/>
      <c r="T56" s="267"/>
      <c r="U56" s="267"/>
    </row>
    <row r="57" spans="2:21" s="109" customFormat="1" x14ac:dyDescent="0.25">
      <c r="B57" s="108"/>
      <c r="C57" s="108"/>
      <c r="D57" s="108"/>
      <c r="E57" s="108"/>
      <c r="F57" s="108"/>
      <c r="G57" s="108"/>
      <c r="H57" s="108"/>
      <c r="I57" s="108"/>
      <c r="J57" s="108"/>
      <c r="K57" s="108"/>
      <c r="L57" s="108"/>
      <c r="M57" s="108"/>
      <c r="N57" s="108"/>
      <c r="O57" s="108"/>
      <c r="P57" s="108"/>
      <c r="Q57" s="108"/>
      <c r="R57" s="270"/>
      <c r="S57" s="270"/>
      <c r="T57" s="267"/>
      <c r="U57" s="267"/>
    </row>
    <row r="58" spans="2:21" s="109" customFormat="1" x14ac:dyDescent="0.25">
      <c r="B58" s="108"/>
      <c r="C58" s="108"/>
      <c r="D58" s="108"/>
      <c r="E58" s="108"/>
      <c r="F58" s="108"/>
      <c r="G58" s="108"/>
      <c r="H58" s="108"/>
      <c r="I58" s="108"/>
      <c r="J58" s="108"/>
      <c r="K58" s="108"/>
      <c r="L58" s="108"/>
      <c r="M58" s="108"/>
      <c r="N58" s="108"/>
      <c r="O58" s="108"/>
      <c r="P58" s="108"/>
      <c r="Q58" s="108"/>
      <c r="R58" s="270"/>
      <c r="S58" s="270"/>
      <c r="T58" s="267"/>
      <c r="U58" s="267"/>
    </row>
    <row r="59" spans="2:21" s="109" customFormat="1" x14ac:dyDescent="0.25">
      <c r="B59" s="108"/>
      <c r="C59" s="108"/>
      <c r="D59" s="108"/>
      <c r="E59" s="108"/>
      <c r="F59" s="108"/>
      <c r="G59" s="108"/>
      <c r="H59" s="108"/>
      <c r="I59" s="108"/>
      <c r="J59" s="108"/>
      <c r="K59" s="108"/>
      <c r="L59" s="108"/>
      <c r="M59" s="108"/>
      <c r="N59" s="108"/>
      <c r="O59" s="108"/>
      <c r="P59" s="108"/>
      <c r="Q59" s="108"/>
      <c r="R59" s="270"/>
      <c r="S59" s="270"/>
      <c r="T59" s="267"/>
      <c r="U59" s="267"/>
    </row>
    <row r="60" spans="2:21" s="109" customFormat="1" x14ac:dyDescent="0.25">
      <c r="B60" s="108"/>
      <c r="C60" s="108"/>
      <c r="D60" s="108"/>
      <c r="E60" s="108"/>
      <c r="F60" s="108"/>
      <c r="G60" s="108"/>
      <c r="H60" s="108"/>
      <c r="I60" s="108"/>
      <c r="J60" s="108"/>
      <c r="K60" s="108"/>
      <c r="L60" s="108"/>
      <c r="M60" s="108"/>
      <c r="N60" s="108"/>
      <c r="O60" s="108"/>
      <c r="P60" s="108"/>
      <c r="Q60" s="108"/>
      <c r="R60" s="270"/>
      <c r="S60" s="270"/>
      <c r="T60" s="267"/>
      <c r="U60" s="267"/>
    </row>
    <row r="61" spans="2:21" s="109" customFormat="1" x14ac:dyDescent="0.25">
      <c r="B61" s="108"/>
      <c r="C61" s="108"/>
      <c r="D61" s="108"/>
      <c r="E61" s="108"/>
      <c r="F61" s="108"/>
      <c r="G61" s="108"/>
      <c r="H61" s="108"/>
      <c r="I61" s="108"/>
      <c r="J61" s="108"/>
      <c r="K61" s="108"/>
      <c r="L61" s="108"/>
      <c r="M61" s="108"/>
      <c r="N61" s="108"/>
      <c r="O61" s="108"/>
      <c r="P61" s="108"/>
      <c r="Q61" s="108"/>
      <c r="R61" s="270"/>
      <c r="S61" s="270"/>
      <c r="T61" s="267"/>
      <c r="U61" s="267"/>
    </row>
    <row r="62" spans="2:21" s="109" customFormat="1" x14ac:dyDescent="0.25">
      <c r="B62" s="108"/>
      <c r="C62" s="108"/>
      <c r="D62" s="108"/>
      <c r="E62" s="108"/>
      <c r="F62" s="108"/>
      <c r="G62" s="108"/>
      <c r="H62" s="108"/>
      <c r="I62" s="108"/>
      <c r="J62" s="108"/>
      <c r="K62" s="108"/>
      <c r="L62" s="108"/>
      <c r="M62" s="108"/>
      <c r="N62" s="108"/>
      <c r="O62" s="108"/>
      <c r="P62" s="108"/>
      <c r="Q62" s="108"/>
      <c r="R62" s="270"/>
      <c r="S62" s="270"/>
      <c r="T62" s="267"/>
      <c r="U62" s="267"/>
    </row>
    <row r="63" spans="2:21" s="109" customFormat="1" x14ac:dyDescent="0.25">
      <c r="B63" s="108"/>
      <c r="C63" s="108"/>
      <c r="D63" s="108"/>
      <c r="E63" s="108"/>
      <c r="F63" s="108"/>
      <c r="G63" s="108"/>
      <c r="H63" s="108"/>
      <c r="I63" s="108"/>
      <c r="J63" s="108"/>
      <c r="K63" s="108"/>
      <c r="L63" s="108"/>
      <c r="M63" s="108"/>
      <c r="N63" s="108"/>
      <c r="O63" s="108"/>
      <c r="P63" s="108"/>
      <c r="Q63" s="108"/>
      <c r="R63" s="270"/>
      <c r="S63" s="270"/>
      <c r="T63" s="267"/>
      <c r="U63" s="267"/>
    </row>
    <row r="64" spans="2:21" s="109" customFormat="1" x14ac:dyDescent="0.25">
      <c r="B64" s="108"/>
      <c r="C64" s="108"/>
      <c r="D64" s="108"/>
      <c r="E64" s="108"/>
      <c r="F64" s="108"/>
      <c r="G64" s="108"/>
      <c r="H64" s="108"/>
      <c r="I64" s="108"/>
      <c r="J64" s="108"/>
      <c r="K64" s="108"/>
      <c r="L64" s="108"/>
      <c r="M64" s="108"/>
      <c r="N64" s="108"/>
      <c r="O64" s="108"/>
      <c r="P64" s="108"/>
      <c r="Q64" s="108"/>
      <c r="R64" s="270"/>
      <c r="S64" s="270"/>
      <c r="T64" s="267"/>
      <c r="U64" s="267"/>
    </row>
    <row r="65" spans="2:21" s="109" customFormat="1" x14ac:dyDescent="0.25">
      <c r="B65" s="108"/>
      <c r="C65" s="108"/>
      <c r="D65" s="108"/>
      <c r="E65" s="108"/>
      <c r="F65" s="108"/>
      <c r="G65" s="108"/>
      <c r="H65" s="108"/>
      <c r="I65" s="108"/>
      <c r="J65" s="108"/>
      <c r="K65" s="108"/>
      <c r="L65" s="108"/>
      <c r="M65" s="108"/>
      <c r="N65" s="108"/>
      <c r="O65" s="108"/>
      <c r="P65" s="108"/>
      <c r="Q65" s="108"/>
      <c r="R65" s="270"/>
      <c r="S65" s="270"/>
      <c r="T65" s="267"/>
      <c r="U65" s="267"/>
    </row>
    <row r="66" spans="2:21" s="109" customFormat="1" x14ac:dyDescent="0.25">
      <c r="B66" s="108"/>
      <c r="C66" s="108"/>
      <c r="D66" s="108"/>
      <c r="E66" s="108"/>
      <c r="F66" s="108"/>
      <c r="G66" s="108"/>
      <c r="H66" s="108"/>
      <c r="I66" s="108"/>
      <c r="J66" s="108"/>
      <c r="K66" s="108"/>
      <c r="L66" s="108"/>
      <c r="M66" s="108"/>
      <c r="N66" s="108"/>
      <c r="O66" s="108"/>
      <c r="P66" s="108"/>
      <c r="Q66" s="108"/>
      <c r="R66" s="270"/>
      <c r="S66" s="270"/>
      <c r="T66" s="267"/>
      <c r="U66" s="267"/>
    </row>
    <row r="67" spans="2:21" s="109" customFormat="1" x14ac:dyDescent="0.25">
      <c r="B67" s="108"/>
      <c r="C67" s="108"/>
      <c r="D67" s="108"/>
      <c r="E67" s="108"/>
      <c r="F67" s="108"/>
      <c r="G67" s="108"/>
      <c r="H67" s="108"/>
      <c r="I67" s="108"/>
      <c r="J67" s="108"/>
      <c r="K67" s="108"/>
      <c r="L67" s="108"/>
      <c r="M67" s="108"/>
      <c r="N67" s="108"/>
      <c r="O67" s="108"/>
      <c r="P67" s="108"/>
      <c r="Q67" s="108"/>
      <c r="R67" s="270"/>
      <c r="S67" s="270"/>
      <c r="T67" s="267"/>
      <c r="U67" s="267"/>
    </row>
    <row r="68" spans="2:21" s="109" customFormat="1" x14ac:dyDescent="0.25">
      <c r="B68" s="108"/>
      <c r="C68" s="108"/>
      <c r="D68" s="108"/>
      <c r="E68" s="108"/>
      <c r="F68" s="108"/>
      <c r="G68" s="108"/>
      <c r="H68" s="108"/>
      <c r="I68" s="108"/>
      <c r="J68" s="108"/>
      <c r="K68" s="108"/>
      <c r="L68" s="108"/>
      <c r="M68" s="108"/>
      <c r="N68" s="108"/>
      <c r="O68" s="108"/>
      <c r="P68" s="108"/>
      <c r="Q68" s="108"/>
      <c r="R68" s="270"/>
      <c r="S68" s="270"/>
      <c r="T68" s="267"/>
      <c r="U68" s="267"/>
    </row>
    <row r="69" spans="2:21" s="109" customFormat="1" x14ac:dyDescent="0.25">
      <c r="B69" s="108"/>
      <c r="C69" s="108"/>
      <c r="D69" s="108"/>
      <c r="E69" s="108"/>
      <c r="F69" s="108"/>
      <c r="G69" s="108"/>
      <c r="H69" s="108"/>
      <c r="I69" s="108"/>
      <c r="J69" s="108"/>
      <c r="K69" s="108"/>
      <c r="L69" s="108"/>
      <c r="M69" s="108"/>
      <c r="N69" s="108"/>
      <c r="O69" s="108"/>
      <c r="P69" s="108"/>
      <c r="Q69" s="108"/>
      <c r="R69" s="270"/>
      <c r="S69" s="270"/>
      <c r="T69" s="267"/>
      <c r="U69" s="267"/>
    </row>
    <row r="70" spans="2:21" s="109" customFormat="1" x14ac:dyDescent="0.25">
      <c r="B70" s="108"/>
      <c r="C70" s="108"/>
      <c r="D70" s="108"/>
      <c r="E70" s="108"/>
      <c r="F70" s="108"/>
      <c r="G70" s="108"/>
      <c r="H70" s="108"/>
      <c r="I70" s="108"/>
      <c r="J70" s="108"/>
      <c r="K70" s="108"/>
      <c r="L70" s="108"/>
      <c r="M70" s="108"/>
      <c r="N70" s="108"/>
      <c r="O70" s="108"/>
      <c r="P70" s="108"/>
      <c r="Q70" s="108"/>
      <c r="R70" s="270"/>
      <c r="S70" s="270"/>
      <c r="T70" s="267"/>
      <c r="U70" s="267"/>
    </row>
    <row r="71" spans="2:21" s="109" customFormat="1" x14ac:dyDescent="0.25">
      <c r="B71" s="108"/>
      <c r="C71" s="108"/>
      <c r="D71" s="108"/>
      <c r="E71" s="108"/>
      <c r="F71" s="108"/>
      <c r="G71" s="108"/>
      <c r="H71" s="108"/>
      <c r="I71" s="108"/>
      <c r="J71" s="108"/>
      <c r="K71" s="108"/>
      <c r="L71" s="108"/>
      <c r="M71" s="108"/>
      <c r="N71" s="108"/>
      <c r="O71" s="108"/>
      <c r="P71" s="108"/>
      <c r="Q71" s="108"/>
      <c r="R71" s="270"/>
      <c r="S71" s="270"/>
      <c r="T71" s="267"/>
      <c r="U71" s="267"/>
    </row>
    <row r="72" spans="2:21" s="109" customFormat="1" x14ac:dyDescent="0.25">
      <c r="B72" s="108"/>
      <c r="C72" s="108"/>
      <c r="D72" s="108"/>
      <c r="E72" s="108"/>
      <c r="F72" s="108"/>
      <c r="G72" s="108"/>
      <c r="H72" s="108"/>
      <c r="I72" s="108"/>
      <c r="J72" s="108"/>
      <c r="K72" s="108"/>
      <c r="L72" s="108"/>
      <c r="M72" s="108"/>
      <c r="N72" s="108"/>
      <c r="O72" s="108"/>
      <c r="P72" s="108"/>
      <c r="Q72" s="108"/>
      <c r="R72" s="270"/>
      <c r="S72" s="270"/>
      <c r="T72" s="267"/>
      <c r="U72" s="267"/>
    </row>
    <row r="73" spans="2:21" s="109" customFormat="1" x14ac:dyDescent="0.25">
      <c r="B73" s="108"/>
      <c r="C73" s="108"/>
      <c r="D73" s="108"/>
      <c r="E73" s="108"/>
      <c r="F73" s="108"/>
      <c r="G73" s="108"/>
      <c r="H73" s="108"/>
      <c r="I73" s="108"/>
      <c r="J73" s="108"/>
      <c r="K73" s="108"/>
      <c r="L73" s="108"/>
      <c r="M73" s="108"/>
      <c r="N73" s="108"/>
      <c r="O73" s="108"/>
      <c r="P73" s="108"/>
      <c r="Q73" s="108"/>
      <c r="R73" s="270"/>
      <c r="S73" s="270"/>
      <c r="T73" s="267"/>
      <c r="U73" s="267"/>
    </row>
    <row r="74" spans="2:21" s="109" customFormat="1" x14ac:dyDescent="0.25">
      <c r="B74" s="108"/>
      <c r="C74" s="108"/>
      <c r="D74" s="108"/>
      <c r="E74" s="108"/>
      <c r="F74" s="108"/>
      <c r="G74" s="108"/>
      <c r="H74" s="108"/>
      <c r="I74" s="108"/>
      <c r="J74" s="108"/>
      <c r="K74" s="108"/>
      <c r="L74" s="108"/>
      <c r="M74" s="108"/>
      <c r="N74" s="108"/>
      <c r="O74" s="108"/>
      <c r="P74" s="108"/>
      <c r="Q74" s="108"/>
      <c r="R74" s="270"/>
      <c r="S74" s="270"/>
      <c r="T74" s="267"/>
      <c r="U74" s="267"/>
    </row>
    <row r="75" spans="2:21" s="109" customFormat="1" x14ac:dyDescent="0.25">
      <c r="B75" s="108"/>
      <c r="C75" s="108"/>
      <c r="D75" s="108"/>
      <c r="E75" s="108"/>
      <c r="F75" s="108"/>
      <c r="G75" s="108"/>
      <c r="H75" s="108"/>
      <c r="I75" s="108"/>
      <c r="J75" s="108"/>
      <c r="K75" s="108"/>
      <c r="L75" s="108"/>
      <c r="M75" s="108"/>
      <c r="N75" s="108"/>
      <c r="O75" s="108"/>
      <c r="P75" s="108"/>
      <c r="Q75" s="108"/>
      <c r="R75" s="270"/>
      <c r="S75" s="270"/>
      <c r="T75" s="267"/>
      <c r="U75" s="267"/>
    </row>
    <row r="76" spans="2:21" s="109" customFormat="1" x14ac:dyDescent="0.25">
      <c r="B76" s="108"/>
      <c r="C76" s="108"/>
      <c r="D76" s="108"/>
      <c r="E76" s="108"/>
      <c r="F76" s="108"/>
      <c r="G76" s="108"/>
      <c r="H76" s="108"/>
      <c r="I76" s="108"/>
      <c r="J76" s="108"/>
      <c r="K76" s="108"/>
      <c r="L76" s="108"/>
      <c r="M76" s="108"/>
      <c r="N76" s="108"/>
      <c r="O76" s="108"/>
      <c r="P76" s="108"/>
      <c r="Q76" s="108"/>
      <c r="R76" s="270"/>
      <c r="S76" s="270"/>
      <c r="T76" s="267"/>
      <c r="U76" s="267"/>
    </row>
    <row r="77" spans="2:21" s="109" customFormat="1" x14ac:dyDescent="0.25">
      <c r="B77" s="108"/>
      <c r="C77" s="108"/>
      <c r="D77" s="108"/>
      <c r="E77" s="108"/>
      <c r="F77" s="108"/>
      <c r="G77" s="108"/>
      <c r="H77" s="108"/>
      <c r="I77" s="108"/>
      <c r="J77" s="108"/>
      <c r="K77" s="108"/>
      <c r="L77" s="108"/>
      <c r="M77" s="108"/>
      <c r="N77" s="108"/>
      <c r="O77" s="108"/>
      <c r="P77" s="108"/>
      <c r="Q77" s="108"/>
      <c r="R77" s="270"/>
      <c r="S77" s="270"/>
      <c r="T77" s="267"/>
      <c r="U77" s="267"/>
    </row>
    <row r="78" spans="2:21" s="109" customFormat="1" x14ac:dyDescent="0.25">
      <c r="B78" s="108"/>
      <c r="C78" s="108"/>
      <c r="D78" s="108"/>
      <c r="E78" s="108"/>
      <c r="F78" s="108"/>
      <c r="G78" s="108"/>
      <c r="H78" s="108"/>
      <c r="I78" s="108"/>
      <c r="J78" s="108"/>
      <c r="K78" s="108"/>
      <c r="L78" s="108"/>
      <c r="M78" s="108"/>
      <c r="N78" s="108"/>
      <c r="O78" s="108"/>
      <c r="P78" s="108"/>
      <c r="Q78" s="108"/>
      <c r="R78" s="270"/>
      <c r="S78" s="270"/>
      <c r="T78" s="267"/>
      <c r="U78" s="267"/>
    </row>
    <row r="79" spans="2:21" s="109" customFormat="1" x14ac:dyDescent="0.25">
      <c r="B79" s="108"/>
      <c r="C79" s="108"/>
      <c r="D79" s="108"/>
      <c r="E79" s="108"/>
      <c r="F79" s="108"/>
      <c r="G79" s="108"/>
      <c r="H79" s="108"/>
      <c r="I79" s="108"/>
      <c r="J79" s="108"/>
      <c r="K79" s="108"/>
      <c r="L79" s="108"/>
      <c r="M79" s="108"/>
      <c r="N79" s="108"/>
      <c r="O79" s="108"/>
      <c r="P79" s="108"/>
      <c r="Q79" s="108"/>
      <c r="R79" s="270"/>
      <c r="S79" s="270"/>
      <c r="T79" s="267"/>
      <c r="U79" s="267"/>
    </row>
    <row r="80" spans="2:21" s="109" customFormat="1" x14ac:dyDescent="0.25">
      <c r="B80" s="108"/>
      <c r="C80" s="108"/>
      <c r="D80" s="108"/>
      <c r="E80" s="108"/>
      <c r="F80" s="108"/>
      <c r="G80" s="108"/>
      <c r="H80" s="108"/>
      <c r="I80" s="108"/>
      <c r="J80" s="108"/>
      <c r="K80" s="108"/>
      <c r="L80" s="108"/>
      <c r="M80" s="108"/>
      <c r="N80" s="108"/>
      <c r="O80" s="108"/>
      <c r="P80" s="108"/>
      <c r="Q80" s="108"/>
      <c r="R80" s="270"/>
      <c r="S80" s="270"/>
      <c r="T80" s="267"/>
      <c r="U80" s="267"/>
    </row>
    <row r="81" spans="1:22" s="109" customFormat="1" x14ac:dyDescent="0.25">
      <c r="B81" s="108"/>
      <c r="C81" s="108"/>
      <c r="D81" s="108"/>
      <c r="E81" s="108"/>
      <c r="F81" s="108"/>
      <c r="G81" s="108"/>
      <c r="H81" s="108"/>
      <c r="I81" s="108"/>
      <c r="J81" s="108"/>
      <c r="K81" s="108"/>
      <c r="L81" s="108"/>
      <c r="M81" s="108"/>
      <c r="N81" s="108"/>
      <c r="O81" s="108"/>
      <c r="P81" s="108"/>
      <c r="Q81" s="108"/>
      <c r="R81" s="270"/>
      <c r="S81" s="270"/>
      <c r="T81" s="267"/>
      <c r="U81" s="267"/>
    </row>
    <row r="82" spans="1:22" s="109" customFormat="1" x14ac:dyDescent="0.25">
      <c r="B82" s="108"/>
      <c r="C82" s="108"/>
      <c r="D82" s="108"/>
      <c r="E82" s="108"/>
      <c r="F82" s="108"/>
      <c r="G82" s="108"/>
      <c r="H82" s="108"/>
      <c r="I82" s="108"/>
      <c r="J82" s="108"/>
      <c r="K82" s="108"/>
      <c r="L82" s="108"/>
      <c r="M82" s="108"/>
      <c r="N82" s="108"/>
      <c r="O82" s="108"/>
      <c r="P82" s="108"/>
      <c r="Q82" s="108"/>
      <c r="R82" s="270"/>
      <c r="S82" s="270"/>
      <c r="T82" s="267"/>
      <c r="U82" s="267"/>
    </row>
    <row r="83" spans="1:22" s="109" customFormat="1" x14ac:dyDescent="0.25">
      <c r="B83" s="108"/>
      <c r="C83" s="108"/>
      <c r="D83" s="108"/>
      <c r="E83" s="108"/>
      <c r="F83" s="108"/>
      <c r="G83" s="108"/>
      <c r="H83" s="108"/>
      <c r="I83" s="108"/>
      <c r="J83" s="108"/>
      <c r="K83" s="108"/>
      <c r="L83" s="108"/>
      <c r="M83" s="108"/>
      <c r="N83" s="108"/>
      <c r="O83" s="108"/>
      <c r="P83" s="108"/>
      <c r="Q83" s="108"/>
      <c r="R83" s="270"/>
      <c r="S83" s="270"/>
      <c r="T83" s="267"/>
      <c r="U83" s="267"/>
    </row>
    <row r="84" spans="1:22" s="109" customFormat="1" x14ac:dyDescent="0.25">
      <c r="B84" s="108"/>
      <c r="C84" s="108"/>
      <c r="D84" s="108"/>
      <c r="E84" s="108"/>
      <c r="F84" s="108"/>
      <c r="G84" s="108"/>
      <c r="H84" s="108"/>
      <c r="I84" s="108"/>
      <c r="J84" s="108"/>
      <c r="K84" s="108"/>
      <c r="L84" s="108"/>
      <c r="M84" s="108"/>
      <c r="N84" s="108"/>
      <c r="O84" s="108"/>
      <c r="P84" s="108"/>
      <c r="Q84" s="108"/>
      <c r="R84" s="270"/>
      <c r="S84" s="270"/>
      <c r="T84" s="267"/>
      <c r="U84" s="267"/>
    </row>
    <row r="85" spans="1:22" s="109" customFormat="1" x14ac:dyDescent="0.25">
      <c r="B85" s="108"/>
      <c r="C85" s="108"/>
      <c r="D85" s="108"/>
      <c r="E85" s="108"/>
      <c r="F85" s="108"/>
      <c r="G85" s="108"/>
      <c r="H85" s="108"/>
      <c r="I85" s="108"/>
      <c r="J85" s="108"/>
      <c r="K85" s="108"/>
      <c r="L85" s="108"/>
      <c r="M85" s="108"/>
      <c r="N85" s="108"/>
      <c r="O85" s="108"/>
      <c r="P85" s="108"/>
      <c r="Q85" s="108"/>
      <c r="R85" s="270"/>
      <c r="S85" s="270"/>
      <c r="T85" s="267"/>
      <c r="U85" s="267"/>
    </row>
    <row r="86" spans="1:22" s="109" customFormat="1" x14ac:dyDescent="0.25">
      <c r="B86" s="108"/>
      <c r="C86" s="108"/>
      <c r="D86" s="108"/>
      <c r="E86" s="108"/>
      <c r="F86" s="108"/>
      <c r="G86" s="108"/>
      <c r="H86" s="108"/>
      <c r="I86" s="108"/>
      <c r="J86" s="108"/>
      <c r="K86" s="108"/>
      <c r="L86" s="108"/>
      <c r="M86" s="108"/>
      <c r="N86" s="108"/>
      <c r="O86" s="108"/>
      <c r="P86" s="108"/>
      <c r="Q86" s="108"/>
      <c r="R86" s="270"/>
      <c r="S86" s="270"/>
      <c r="T86" s="267"/>
      <c r="U86" s="267"/>
    </row>
    <row r="87" spans="1:22" s="109" customFormat="1" x14ac:dyDescent="0.25">
      <c r="B87" s="108"/>
      <c r="C87" s="108"/>
      <c r="D87" s="108"/>
      <c r="E87" s="108"/>
      <c r="F87" s="108"/>
      <c r="G87" s="108"/>
      <c r="H87" s="108"/>
      <c r="I87" s="108"/>
      <c r="J87" s="108"/>
      <c r="K87" s="108"/>
      <c r="L87" s="108"/>
      <c r="M87" s="108"/>
      <c r="N87" s="108"/>
      <c r="O87" s="108"/>
      <c r="P87" s="108"/>
      <c r="Q87" s="108"/>
      <c r="R87" s="270"/>
      <c r="S87" s="270"/>
      <c r="T87" s="267"/>
      <c r="U87" s="267"/>
    </row>
    <row r="88" spans="1:22" s="109" customFormat="1" x14ac:dyDescent="0.25">
      <c r="B88" s="108"/>
      <c r="C88" s="108"/>
      <c r="D88" s="108"/>
      <c r="E88" s="108"/>
      <c r="F88" s="108"/>
      <c r="G88" s="108"/>
      <c r="H88" s="108"/>
      <c r="I88" s="108"/>
      <c r="J88" s="108"/>
      <c r="K88" s="108"/>
      <c r="L88" s="108"/>
      <c r="M88" s="108"/>
      <c r="N88" s="108"/>
      <c r="O88" s="108"/>
      <c r="P88" s="108"/>
      <c r="Q88" s="108"/>
      <c r="R88" s="270"/>
      <c r="S88" s="270"/>
      <c r="T88" s="267"/>
      <c r="U88" s="267"/>
    </row>
    <row r="89" spans="1:22" s="109" customFormat="1" x14ac:dyDescent="0.25">
      <c r="B89" s="108"/>
      <c r="C89" s="108"/>
      <c r="D89" s="108"/>
      <c r="E89" s="108"/>
      <c r="F89" s="108"/>
      <c r="G89" s="108"/>
      <c r="H89" s="108"/>
      <c r="I89" s="108"/>
      <c r="J89" s="108"/>
      <c r="K89" s="108"/>
      <c r="L89" s="108"/>
      <c r="M89" s="108"/>
      <c r="N89" s="108"/>
      <c r="O89" s="108"/>
      <c r="P89" s="108"/>
      <c r="Q89" s="108"/>
      <c r="R89" s="270"/>
      <c r="S89" s="270"/>
      <c r="T89" s="267"/>
      <c r="U89" s="267"/>
    </row>
    <row r="90" spans="1:22" s="109" customFormat="1" x14ac:dyDescent="0.25">
      <c r="B90" s="108"/>
      <c r="C90" s="108"/>
      <c r="D90" s="108"/>
      <c r="E90" s="108"/>
      <c r="F90" s="108"/>
      <c r="G90" s="108"/>
      <c r="H90" s="108"/>
      <c r="I90" s="108"/>
      <c r="J90" s="108"/>
      <c r="K90" s="108"/>
      <c r="L90" s="108"/>
      <c r="M90" s="108"/>
      <c r="N90" s="108"/>
      <c r="O90" s="108"/>
      <c r="P90" s="108"/>
      <c r="Q90" s="108"/>
      <c r="R90" s="270"/>
      <c r="S90" s="270"/>
      <c r="T90" s="267"/>
      <c r="U90" s="267"/>
    </row>
    <row r="91" spans="1:22" s="109" customFormat="1" x14ac:dyDescent="0.25">
      <c r="B91" s="108"/>
      <c r="C91" s="108"/>
      <c r="D91" s="108"/>
      <c r="E91" s="108"/>
      <c r="F91" s="108"/>
      <c r="G91" s="108"/>
      <c r="H91" s="108"/>
      <c r="I91" s="108"/>
      <c r="J91" s="108"/>
      <c r="K91" s="108"/>
      <c r="L91" s="108"/>
      <c r="M91" s="108"/>
      <c r="N91" s="108"/>
      <c r="O91" s="108"/>
      <c r="P91" s="108"/>
      <c r="Q91" s="108"/>
      <c r="R91" s="270"/>
      <c r="S91" s="270"/>
      <c r="T91" s="267"/>
      <c r="U91" s="267"/>
    </row>
    <row r="92" spans="1:22" s="109" customFormat="1" x14ac:dyDescent="0.25">
      <c r="B92" s="108"/>
      <c r="C92" s="108"/>
      <c r="D92" s="108"/>
      <c r="E92" s="108"/>
      <c r="F92" s="108"/>
      <c r="G92" s="108"/>
      <c r="H92" s="108"/>
      <c r="I92" s="108"/>
      <c r="J92" s="108"/>
      <c r="K92" s="108"/>
      <c r="L92" s="108"/>
      <c r="M92" s="108"/>
      <c r="N92" s="108"/>
      <c r="O92" s="108"/>
      <c r="P92" s="108"/>
      <c r="Q92" s="108"/>
      <c r="R92" s="270"/>
      <c r="S92" s="270"/>
      <c r="T92" s="268"/>
      <c r="U92" s="267"/>
    </row>
    <row r="93" spans="1:22" x14ac:dyDescent="0.25">
      <c r="B93" s="108"/>
      <c r="C93" s="108"/>
      <c r="D93" s="108"/>
      <c r="E93" s="108"/>
      <c r="F93" s="108"/>
      <c r="G93" s="108"/>
      <c r="H93" s="108"/>
      <c r="I93" s="108"/>
      <c r="J93" s="108"/>
      <c r="K93" s="108"/>
      <c r="L93" s="108"/>
      <c r="M93" s="108"/>
      <c r="N93" s="108"/>
      <c r="O93" s="108"/>
      <c r="P93" s="108"/>
      <c r="Q93" s="108"/>
      <c r="R93" s="270"/>
      <c r="S93" s="270"/>
    </row>
    <row r="94" spans="1:22" x14ac:dyDescent="0.25">
      <c r="B94" s="108"/>
      <c r="C94" s="108"/>
      <c r="D94" s="108"/>
      <c r="E94" s="108"/>
      <c r="F94" s="108"/>
      <c r="G94" s="108"/>
      <c r="H94" s="108"/>
      <c r="I94" s="108"/>
      <c r="J94" s="108"/>
      <c r="K94" s="108"/>
      <c r="L94" s="108"/>
      <c r="M94" s="108"/>
      <c r="N94" s="108"/>
      <c r="O94" s="108"/>
      <c r="P94" s="108"/>
      <c r="Q94" s="108"/>
      <c r="R94" s="270"/>
      <c r="S94" s="270"/>
    </row>
    <row r="95" spans="1:22" x14ac:dyDescent="0.25">
      <c r="B95" s="108"/>
      <c r="C95" s="108"/>
      <c r="D95" s="108"/>
      <c r="E95" s="108"/>
      <c r="F95" s="108"/>
      <c r="G95" s="108"/>
      <c r="H95" s="108"/>
      <c r="I95" s="108"/>
      <c r="J95" s="108"/>
      <c r="K95" s="108"/>
      <c r="L95" s="108"/>
      <c r="M95" s="108"/>
      <c r="N95" s="108"/>
      <c r="O95" s="108"/>
      <c r="P95" s="108"/>
      <c r="Q95" s="108"/>
      <c r="R95" s="270"/>
      <c r="S95" s="270"/>
    </row>
    <row r="96" spans="1:22" s="268" customFormat="1" x14ac:dyDescent="0.25">
      <c r="A96" s="107"/>
      <c r="B96" s="108"/>
      <c r="C96" s="108"/>
      <c r="D96" s="108"/>
      <c r="E96" s="108"/>
      <c r="F96" s="108"/>
      <c r="G96" s="108"/>
      <c r="H96" s="108"/>
      <c r="I96" s="108"/>
      <c r="J96" s="108"/>
      <c r="K96" s="108"/>
      <c r="L96" s="108"/>
      <c r="M96" s="108"/>
      <c r="N96" s="108"/>
      <c r="O96" s="108"/>
      <c r="P96" s="108"/>
      <c r="Q96" s="108"/>
      <c r="R96" s="270"/>
      <c r="S96" s="270"/>
      <c r="V96" s="107"/>
    </row>
    <row r="97" spans="1:22" s="268" customFormat="1" x14ac:dyDescent="0.25">
      <c r="A97" s="107"/>
      <c r="B97" s="108"/>
      <c r="C97" s="108"/>
      <c r="D97" s="108"/>
      <c r="E97" s="108"/>
      <c r="F97" s="108"/>
      <c r="G97" s="108"/>
      <c r="H97" s="108"/>
      <c r="I97" s="108"/>
      <c r="J97" s="108"/>
      <c r="K97" s="108"/>
      <c r="L97" s="108"/>
      <c r="M97" s="108"/>
      <c r="N97" s="108"/>
      <c r="O97" s="108"/>
      <c r="P97" s="108"/>
      <c r="Q97" s="108"/>
      <c r="R97" s="270"/>
      <c r="S97" s="270"/>
      <c r="V97" s="107"/>
    </row>
    <row r="98" spans="1:22" s="268" customFormat="1" x14ac:dyDescent="0.25">
      <c r="A98" s="107"/>
      <c r="B98" s="108"/>
      <c r="C98" s="108"/>
      <c r="D98" s="108"/>
      <c r="E98" s="108"/>
      <c r="F98" s="108"/>
      <c r="G98" s="108"/>
      <c r="H98" s="108"/>
      <c r="I98" s="108"/>
      <c r="J98" s="108"/>
      <c r="K98" s="108"/>
      <c r="L98" s="108"/>
      <c r="M98" s="108"/>
      <c r="N98" s="108"/>
      <c r="O98" s="108"/>
      <c r="P98" s="108"/>
      <c r="Q98" s="108"/>
      <c r="R98" s="270"/>
      <c r="S98" s="270"/>
      <c r="V98" s="107"/>
    </row>
    <row r="99" spans="1:22" s="268" customFormat="1" x14ac:dyDescent="0.25">
      <c r="A99" s="107"/>
      <c r="B99" s="108"/>
      <c r="C99" s="108"/>
      <c r="D99" s="108"/>
      <c r="E99" s="108"/>
      <c r="F99" s="108"/>
      <c r="G99" s="108"/>
      <c r="H99" s="108"/>
      <c r="I99" s="108"/>
      <c r="J99" s="108"/>
      <c r="K99" s="108"/>
      <c r="L99" s="108"/>
      <c r="M99" s="108"/>
      <c r="N99" s="108"/>
      <c r="O99" s="108"/>
      <c r="P99" s="108"/>
      <c r="Q99" s="108"/>
      <c r="R99" s="270"/>
      <c r="S99" s="270"/>
      <c r="V99" s="107"/>
    </row>
    <row r="100" spans="1:22" s="268" customFormat="1" x14ac:dyDescent="0.25">
      <c r="A100" s="107"/>
      <c r="B100" s="108"/>
      <c r="C100" s="108"/>
      <c r="D100" s="108"/>
      <c r="E100" s="108"/>
      <c r="F100" s="108"/>
      <c r="G100" s="108"/>
      <c r="H100" s="108"/>
      <c r="I100" s="108"/>
      <c r="J100" s="108"/>
      <c r="K100" s="108"/>
      <c r="L100" s="108"/>
      <c r="M100" s="108"/>
      <c r="N100" s="108"/>
      <c r="O100" s="108"/>
      <c r="P100" s="108"/>
      <c r="Q100" s="108"/>
      <c r="R100" s="270"/>
      <c r="S100" s="270"/>
      <c r="V100" s="107"/>
    </row>
    <row r="101" spans="1:22" s="268" customFormat="1" x14ac:dyDescent="0.25">
      <c r="A101" s="107"/>
      <c r="B101" s="108"/>
      <c r="C101" s="108"/>
      <c r="D101" s="108"/>
      <c r="E101" s="108"/>
      <c r="F101" s="108"/>
      <c r="G101" s="108"/>
      <c r="H101" s="108"/>
      <c r="I101" s="108"/>
      <c r="J101" s="108"/>
      <c r="K101" s="108"/>
      <c r="L101" s="108"/>
      <c r="M101" s="108"/>
      <c r="N101" s="108"/>
      <c r="O101" s="108"/>
      <c r="P101" s="108"/>
      <c r="Q101" s="108"/>
      <c r="R101" s="270"/>
      <c r="S101" s="270"/>
      <c r="V101" s="107"/>
    </row>
    <row r="102" spans="1:22" s="268" customFormat="1" x14ac:dyDescent="0.25">
      <c r="A102" s="107"/>
      <c r="B102" s="108"/>
      <c r="C102" s="108"/>
      <c r="D102" s="108"/>
      <c r="E102" s="108"/>
      <c r="F102" s="108"/>
      <c r="G102" s="108"/>
      <c r="H102" s="108"/>
      <c r="I102" s="108"/>
      <c r="J102" s="108"/>
      <c r="K102" s="108"/>
      <c r="L102" s="108"/>
      <c r="M102" s="108"/>
      <c r="N102" s="108"/>
      <c r="O102" s="108"/>
      <c r="P102" s="108"/>
      <c r="Q102" s="108"/>
      <c r="R102" s="270"/>
      <c r="S102" s="270"/>
      <c r="V102" s="107"/>
    </row>
    <row r="103" spans="1:22" s="268" customFormat="1" x14ac:dyDescent="0.25">
      <c r="A103" s="107"/>
      <c r="B103" s="108"/>
      <c r="C103" s="108"/>
      <c r="D103" s="108"/>
      <c r="E103" s="108"/>
      <c r="F103" s="108"/>
      <c r="G103" s="108"/>
      <c r="H103" s="108"/>
      <c r="I103" s="108"/>
      <c r="J103" s="108"/>
      <c r="K103" s="108"/>
      <c r="L103" s="108"/>
      <c r="M103" s="108"/>
      <c r="N103" s="108"/>
      <c r="O103" s="108"/>
      <c r="P103" s="108"/>
      <c r="Q103" s="108"/>
      <c r="R103" s="270"/>
      <c r="S103" s="270"/>
      <c r="V103" s="107"/>
    </row>
    <row r="104" spans="1:22" s="268" customFormat="1" x14ac:dyDescent="0.25">
      <c r="A104" s="107"/>
      <c r="B104" s="108"/>
      <c r="C104" s="108"/>
      <c r="D104" s="108"/>
      <c r="E104" s="108"/>
      <c r="F104" s="108"/>
      <c r="G104" s="108"/>
      <c r="H104" s="108"/>
      <c r="I104" s="108"/>
      <c r="J104" s="108"/>
      <c r="K104" s="108"/>
      <c r="L104" s="108"/>
      <c r="M104" s="108"/>
      <c r="N104" s="108"/>
      <c r="O104" s="108"/>
      <c r="P104" s="108"/>
      <c r="Q104" s="108"/>
      <c r="R104" s="270"/>
      <c r="S104" s="270"/>
    </row>
    <row r="105" spans="1:22" s="268" customFormat="1" x14ac:dyDescent="0.25">
      <c r="A105" s="107"/>
      <c r="B105" s="108"/>
      <c r="C105" s="108"/>
      <c r="D105" s="108"/>
      <c r="E105" s="108"/>
      <c r="F105" s="108"/>
      <c r="G105" s="108"/>
      <c r="H105" s="108"/>
      <c r="I105" s="108"/>
      <c r="J105" s="108"/>
      <c r="K105" s="108"/>
      <c r="L105" s="108"/>
      <c r="M105" s="108"/>
      <c r="N105" s="108"/>
      <c r="O105" s="108"/>
      <c r="P105" s="108"/>
      <c r="Q105" s="108"/>
      <c r="R105" s="270"/>
      <c r="S105" s="270"/>
    </row>
    <row r="106" spans="1:22" s="268" customFormat="1" x14ac:dyDescent="0.25">
      <c r="A106" s="107"/>
      <c r="B106" s="108"/>
      <c r="C106" s="108"/>
      <c r="D106" s="108"/>
      <c r="E106" s="108"/>
      <c r="F106" s="108"/>
      <c r="G106" s="108"/>
      <c r="H106" s="108"/>
      <c r="I106" s="108"/>
      <c r="J106" s="108"/>
      <c r="K106" s="108"/>
      <c r="L106" s="108"/>
      <c r="M106" s="108"/>
      <c r="N106" s="108"/>
      <c r="O106" s="108"/>
      <c r="P106" s="108"/>
      <c r="Q106" s="108"/>
      <c r="R106" s="270"/>
      <c r="S106" s="270"/>
    </row>
    <row r="107" spans="1:22" s="268" customFormat="1" x14ac:dyDescent="0.25">
      <c r="A107" s="107"/>
      <c r="B107" s="108"/>
      <c r="C107" s="108"/>
      <c r="D107" s="108"/>
      <c r="E107" s="108"/>
      <c r="F107" s="108"/>
      <c r="G107" s="108"/>
      <c r="H107" s="108"/>
      <c r="I107" s="108"/>
      <c r="J107" s="108"/>
      <c r="K107" s="108"/>
      <c r="L107" s="108"/>
      <c r="M107" s="108"/>
      <c r="N107" s="108"/>
      <c r="O107" s="108"/>
      <c r="P107" s="108"/>
      <c r="Q107" s="108"/>
      <c r="R107" s="270"/>
      <c r="S107" s="270"/>
    </row>
    <row r="108" spans="1:22" s="268" customFormat="1" x14ac:dyDescent="0.25">
      <c r="A108" s="107"/>
      <c r="B108" s="108"/>
      <c r="C108" s="108"/>
      <c r="D108" s="108"/>
      <c r="E108" s="108"/>
      <c r="F108" s="108"/>
      <c r="G108" s="108"/>
      <c r="H108" s="108"/>
      <c r="I108" s="108"/>
      <c r="J108" s="108"/>
      <c r="K108" s="108"/>
      <c r="L108" s="108"/>
      <c r="M108" s="108"/>
      <c r="N108" s="108"/>
      <c r="O108" s="108"/>
      <c r="P108" s="108"/>
      <c r="Q108" s="108"/>
      <c r="R108" s="270"/>
      <c r="S108" s="270"/>
    </row>
  </sheetData>
  <mergeCells count="17">
    <mergeCell ref="G3:H3"/>
    <mergeCell ref="L3:N3"/>
    <mergeCell ref="B1:Q1"/>
    <mergeCell ref="B2:C2"/>
    <mergeCell ref="D2:D4"/>
    <mergeCell ref="E2:E4"/>
    <mergeCell ref="O2:O4"/>
    <mergeCell ref="P2:Q2"/>
    <mergeCell ref="B3:B4"/>
    <mergeCell ref="C3:C4"/>
    <mergeCell ref="P3:Q3"/>
    <mergeCell ref="F2:F4"/>
    <mergeCell ref="K3:K4"/>
    <mergeCell ref="I3:I4"/>
    <mergeCell ref="J3:J4"/>
    <mergeCell ref="I2:N2"/>
    <mergeCell ref="G2:H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7B459-5682-4745-A493-3ED33CDBC0D2}">
  <dimension ref="A1:FU368"/>
  <sheetViews>
    <sheetView topLeftCell="AR1" zoomScale="70" zoomScaleNormal="70" workbookViewId="0">
      <pane ySplit="5" topLeftCell="A6" activePane="bottomLeft" state="frozen"/>
      <selection activeCell="T1" sqref="T1"/>
      <selection pane="bottomLeft" activeCell="AS16" sqref="AS16"/>
    </sheetView>
  </sheetViews>
  <sheetFormatPr baseColWidth="10" defaultRowHeight="15" x14ac:dyDescent="0.25"/>
  <cols>
    <col min="1" max="1" width="6.140625" style="107" customWidth="1"/>
    <col min="2" max="5" width="5.28515625" style="107" customWidth="1"/>
    <col min="6" max="6" width="9.5703125" style="107" customWidth="1"/>
    <col min="7" max="12" width="5.7109375" style="107" customWidth="1"/>
    <col min="13" max="13" width="5.85546875" style="107" customWidth="1"/>
    <col min="14" max="14" width="7" style="107" customWidth="1"/>
    <col min="15" max="16" width="5.7109375" style="107" customWidth="1"/>
    <col min="17" max="17" width="8.28515625" style="107" customWidth="1"/>
    <col min="18" max="18" width="5.85546875" style="107" customWidth="1"/>
    <col min="19" max="19" width="10.140625" style="107" customWidth="1"/>
    <col min="20" max="20" width="5.85546875" style="107" customWidth="1"/>
    <col min="21" max="21" width="11.5703125" style="107" customWidth="1"/>
    <col min="22" max="22" width="5.85546875" style="107" customWidth="1"/>
    <col min="23" max="23" width="12" style="107" customWidth="1"/>
    <col min="24" max="24" width="5.85546875" style="107" customWidth="1"/>
    <col min="25" max="28" width="5.7109375" style="107" customWidth="1"/>
    <col min="29" max="29" width="7.42578125" style="107" bestFit="1" customWidth="1"/>
    <col min="30" max="30" width="9" style="107" customWidth="1"/>
    <col min="31" max="31" width="8.7109375" style="107" customWidth="1"/>
    <col min="32" max="32" width="6.5703125" style="107" customWidth="1"/>
    <col min="33" max="33" width="7.28515625" style="107" customWidth="1"/>
    <col min="34" max="36" width="10" style="107" customWidth="1"/>
    <col min="37" max="37" width="6.5703125" style="107" customWidth="1"/>
    <col min="38" max="38" width="7.28515625" style="107" customWidth="1"/>
    <col min="39" max="41" width="5.7109375" style="107" customWidth="1"/>
    <col min="42" max="42" width="46.7109375" style="268" bestFit="1" customWidth="1"/>
    <col min="43" max="43" width="218.5703125" style="268" bestFit="1" customWidth="1"/>
    <col min="44" max="44" width="146" style="268" bestFit="1" customWidth="1"/>
    <col min="45" max="45" width="103.7109375" style="268" bestFit="1" customWidth="1"/>
    <col min="46" max="16384" width="11.42578125" style="107"/>
  </cols>
  <sheetData>
    <row r="1" spans="1:177" s="12" customFormat="1" ht="23.25" customHeight="1" thickTop="1" x14ac:dyDescent="0.25">
      <c r="B1" s="634" t="s">
        <v>1250</v>
      </c>
      <c r="C1" s="634"/>
      <c r="D1" s="634"/>
      <c r="E1" s="634"/>
      <c r="F1" s="634"/>
      <c r="G1" s="634"/>
      <c r="H1" s="634"/>
      <c r="I1" s="634"/>
      <c r="J1" s="634"/>
      <c r="K1" s="634"/>
      <c r="L1" s="634"/>
      <c r="M1" s="634"/>
      <c r="N1" s="634"/>
      <c r="O1" s="634"/>
      <c r="P1" s="634"/>
      <c r="Q1" s="634"/>
      <c r="R1" s="634"/>
      <c r="S1" s="634"/>
      <c r="T1" s="634"/>
      <c r="U1" s="634"/>
      <c r="V1" s="634"/>
      <c r="W1" s="634"/>
      <c r="X1" s="634"/>
      <c r="Y1" s="634"/>
      <c r="Z1" s="634"/>
      <c r="AA1" s="634"/>
      <c r="AB1" s="634"/>
      <c r="AC1" s="634"/>
      <c r="AD1" s="634"/>
      <c r="AE1" s="634"/>
      <c r="AF1" s="634"/>
      <c r="AG1" s="634"/>
      <c r="AH1" s="634"/>
      <c r="AI1" s="634"/>
      <c r="AJ1" s="634"/>
      <c r="AK1" s="634"/>
      <c r="AL1" s="634"/>
      <c r="AM1" s="634"/>
      <c r="AN1" s="634"/>
      <c r="AO1" s="635"/>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59"/>
      <c r="CT1" s="459"/>
      <c r="CU1" s="459"/>
      <c r="CV1" s="459"/>
      <c r="CW1" s="459"/>
      <c r="CX1" s="459"/>
      <c r="CY1" s="459"/>
      <c r="CZ1" s="459"/>
      <c r="DA1" s="459"/>
      <c r="DB1" s="459"/>
      <c r="DC1" s="459"/>
      <c r="DD1" s="459"/>
      <c r="DE1" s="459"/>
      <c r="DF1" s="459"/>
      <c r="DG1" s="459"/>
      <c r="DH1" s="459"/>
      <c r="DI1" s="459"/>
      <c r="DJ1" s="459"/>
      <c r="DK1" s="459"/>
      <c r="DL1" s="459"/>
      <c r="DM1" s="459"/>
      <c r="DN1" s="459"/>
      <c r="DO1" s="459"/>
      <c r="DP1" s="459"/>
      <c r="DQ1" s="460"/>
      <c r="DR1" s="359"/>
      <c r="DS1" s="362"/>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8"/>
      <c r="FR1" s="263"/>
      <c r="FS1" s="264"/>
      <c r="FT1" s="264"/>
      <c r="FU1" s="264"/>
    </row>
    <row r="2" spans="1:177" s="12" customFormat="1" ht="30" customHeight="1" x14ac:dyDescent="0.25">
      <c r="B2" s="640" t="s">
        <v>554</v>
      </c>
      <c r="C2" s="543"/>
      <c r="D2" s="598" t="s">
        <v>456</v>
      </c>
      <c r="E2" s="598" t="s">
        <v>933</v>
      </c>
      <c r="F2" s="542" t="s">
        <v>658</v>
      </c>
      <c r="G2" s="560"/>
      <c r="H2" s="560"/>
      <c r="I2" s="560"/>
      <c r="J2" s="560"/>
      <c r="K2" s="560"/>
      <c r="L2" s="543"/>
      <c r="M2" s="637" t="s">
        <v>1017</v>
      </c>
      <c r="N2" s="637" t="s">
        <v>1207</v>
      </c>
      <c r="O2" s="515" t="s">
        <v>1159</v>
      </c>
      <c r="P2" s="524"/>
      <c r="Q2" s="524"/>
      <c r="R2" s="524"/>
      <c r="S2" s="524"/>
      <c r="T2" s="524"/>
      <c r="U2" s="524"/>
      <c r="V2" s="524"/>
      <c r="W2" s="524"/>
      <c r="X2" s="524"/>
      <c r="Y2" s="524"/>
      <c r="Z2" s="524"/>
      <c r="AA2" s="524"/>
      <c r="AB2" s="524"/>
      <c r="AC2" s="524"/>
      <c r="AD2" s="524"/>
      <c r="AE2" s="524"/>
      <c r="AF2" s="524"/>
      <c r="AG2" s="524"/>
      <c r="AH2" s="524"/>
      <c r="AI2" s="524"/>
      <c r="AJ2" s="524"/>
      <c r="AK2" s="524"/>
      <c r="AL2" s="524"/>
      <c r="AM2" s="524"/>
      <c r="AN2" s="524"/>
      <c r="AO2" s="550"/>
      <c r="AP2" s="263"/>
      <c r="AQ2" s="263"/>
      <c r="AR2" s="264"/>
      <c r="AS2" s="264"/>
    </row>
    <row r="3" spans="1:177" s="12" customFormat="1" ht="30" customHeight="1" x14ac:dyDescent="0.25">
      <c r="B3" s="641"/>
      <c r="C3" s="535"/>
      <c r="D3" s="636"/>
      <c r="E3" s="636"/>
      <c r="F3" s="533"/>
      <c r="G3" s="534"/>
      <c r="H3" s="534"/>
      <c r="I3" s="534"/>
      <c r="J3" s="534"/>
      <c r="K3" s="534"/>
      <c r="L3" s="535"/>
      <c r="M3" s="638"/>
      <c r="N3" s="638"/>
      <c r="O3" s="515" t="s">
        <v>206</v>
      </c>
      <c r="P3" s="524"/>
      <c r="Q3" s="524"/>
      <c r="R3" s="524"/>
      <c r="S3" s="524"/>
      <c r="T3" s="524"/>
      <c r="U3" s="524"/>
      <c r="V3" s="524"/>
      <c r="W3" s="524"/>
      <c r="X3" s="524"/>
      <c r="Y3" s="524"/>
      <c r="Z3" s="524"/>
      <c r="AA3" s="524"/>
      <c r="AB3" s="524"/>
      <c r="AC3" s="524"/>
      <c r="AD3" s="524"/>
      <c r="AE3" s="524"/>
      <c r="AF3" s="524"/>
      <c r="AG3" s="524"/>
      <c r="AH3" s="524"/>
      <c r="AI3" s="524"/>
      <c r="AJ3" s="524"/>
      <c r="AK3" s="468"/>
      <c r="AL3" s="468"/>
      <c r="AM3" s="542" t="s">
        <v>554</v>
      </c>
      <c r="AN3" s="560"/>
      <c r="AO3" s="642"/>
      <c r="AP3" s="263"/>
      <c r="AQ3" s="263"/>
      <c r="AR3" s="264"/>
      <c r="AS3" s="264"/>
    </row>
    <row r="4" spans="1:177" s="12" customFormat="1" ht="26.25" customHeight="1" x14ac:dyDescent="0.25">
      <c r="B4" s="614" t="s">
        <v>986</v>
      </c>
      <c r="C4" s="631" t="s">
        <v>335</v>
      </c>
      <c r="D4" s="636"/>
      <c r="E4" s="636"/>
      <c r="F4" s="513" t="s">
        <v>180</v>
      </c>
      <c r="G4" s="515" t="s">
        <v>86</v>
      </c>
      <c r="H4" s="524"/>
      <c r="I4" s="516"/>
      <c r="J4" s="515" t="s">
        <v>198</v>
      </c>
      <c r="K4" s="524"/>
      <c r="L4" s="524"/>
      <c r="M4" s="638"/>
      <c r="N4" s="638"/>
      <c r="O4" s="515" t="s">
        <v>86</v>
      </c>
      <c r="P4" s="524"/>
      <c r="Q4" s="513" t="s">
        <v>1211</v>
      </c>
      <c r="R4" s="520" t="s">
        <v>1113</v>
      </c>
      <c r="S4" s="513" t="s">
        <v>1212</v>
      </c>
      <c r="T4" s="520" t="s">
        <v>1113</v>
      </c>
      <c r="U4" s="513" t="s">
        <v>1213</v>
      </c>
      <c r="V4" s="520" t="s">
        <v>1113</v>
      </c>
      <c r="W4" s="513" t="s">
        <v>1214</v>
      </c>
      <c r="X4" s="520" t="s">
        <v>1113</v>
      </c>
      <c r="Y4" s="515" t="s">
        <v>1240</v>
      </c>
      <c r="Z4" s="524"/>
      <c r="AA4" s="524"/>
      <c r="AB4" s="524"/>
      <c r="AC4" s="513" t="s">
        <v>435</v>
      </c>
      <c r="AD4" s="513" t="s">
        <v>1251</v>
      </c>
      <c r="AE4" s="513" t="s">
        <v>1252</v>
      </c>
      <c r="AF4" s="515" t="s">
        <v>91</v>
      </c>
      <c r="AG4" s="524"/>
      <c r="AH4" s="513" t="s">
        <v>1245</v>
      </c>
      <c r="AI4" s="513" t="s">
        <v>1246</v>
      </c>
      <c r="AJ4" s="525" t="s">
        <v>1247</v>
      </c>
      <c r="AK4" s="515" t="s">
        <v>198</v>
      </c>
      <c r="AL4" s="524"/>
      <c r="AM4" s="533"/>
      <c r="AN4" s="534"/>
      <c r="AO4" s="643"/>
      <c r="AP4" s="263"/>
      <c r="AQ4" s="263"/>
      <c r="AR4" s="264"/>
      <c r="AS4" s="264"/>
    </row>
    <row r="5" spans="1:177" s="12" customFormat="1" ht="78.75" customHeight="1" x14ac:dyDescent="0.25">
      <c r="B5" s="615"/>
      <c r="C5" s="632"/>
      <c r="D5" s="599"/>
      <c r="E5" s="599"/>
      <c r="F5" s="514"/>
      <c r="G5" s="366" t="s">
        <v>507</v>
      </c>
      <c r="H5" s="366" t="s">
        <v>1151</v>
      </c>
      <c r="I5" s="469" t="s">
        <v>1239</v>
      </c>
      <c r="J5" s="366" t="s">
        <v>507</v>
      </c>
      <c r="K5" s="366" t="s">
        <v>1248</v>
      </c>
      <c r="L5" s="469" t="s">
        <v>1249</v>
      </c>
      <c r="M5" s="639"/>
      <c r="N5" s="639"/>
      <c r="O5" s="366" t="s">
        <v>1151</v>
      </c>
      <c r="P5" s="388" t="s">
        <v>1239</v>
      </c>
      <c r="Q5" s="514"/>
      <c r="R5" s="521"/>
      <c r="S5" s="514"/>
      <c r="T5" s="521"/>
      <c r="U5" s="514"/>
      <c r="V5" s="521"/>
      <c r="W5" s="514"/>
      <c r="X5" s="521"/>
      <c r="Y5" s="366" t="s">
        <v>1241</v>
      </c>
      <c r="Z5" s="366" t="s">
        <v>1242</v>
      </c>
      <c r="AA5" s="487" t="s">
        <v>1243</v>
      </c>
      <c r="AB5" s="388" t="s">
        <v>1244</v>
      </c>
      <c r="AC5" s="514"/>
      <c r="AD5" s="514"/>
      <c r="AE5" s="514"/>
      <c r="AF5" s="366" t="s">
        <v>6</v>
      </c>
      <c r="AG5" s="469" t="s">
        <v>568</v>
      </c>
      <c r="AH5" s="514"/>
      <c r="AI5" s="514"/>
      <c r="AJ5" s="514"/>
      <c r="AK5" s="366" t="s">
        <v>1253</v>
      </c>
      <c r="AL5" s="469" t="s">
        <v>507</v>
      </c>
      <c r="AM5" s="455" t="s">
        <v>668</v>
      </c>
      <c r="AN5" s="488" t="s">
        <v>355</v>
      </c>
      <c r="AO5" s="477" t="s">
        <v>335</v>
      </c>
      <c r="AP5" s="263" t="s">
        <v>549</v>
      </c>
      <c r="AQ5" s="264" t="s">
        <v>548</v>
      </c>
      <c r="AR5" s="264" t="s">
        <v>7</v>
      </c>
      <c r="AS5" s="265" t="s">
        <v>8</v>
      </c>
    </row>
    <row r="6" spans="1:177" s="109" customFormat="1" ht="15" customHeight="1" x14ac:dyDescent="0.25">
      <c r="A6" s="23"/>
      <c r="B6" s="20"/>
      <c r="C6" s="13"/>
      <c r="D6" s="13"/>
      <c r="E6" s="13">
        <v>1</v>
      </c>
      <c r="F6" s="289"/>
      <c r="G6" s="289">
        <v>1</v>
      </c>
      <c r="H6" s="289"/>
      <c r="I6" s="289"/>
      <c r="J6" s="289">
        <v>1</v>
      </c>
      <c r="K6" s="289"/>
      <c r="L6" s="289"/>
      <c r="M6" s="111"/>
      <c r="N6" s="13"/>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478"/>
      <c r="AO6" s="453"/>
      <c r="AP6" s="266" t="s">
        <v>1254</v>
      </c>
      <c r="AQ6" s="266" t="str">
        <f xml:space="preserve"> CONCATENATE("Acceder al sistema Gemma con usuario y perfil activo para la funcionalidad modulo Maestro - Incentivo, hacer clic en el boton,"," ",IF(B6=1,"Modificar un registro","")," ",IF(C6=1,"Eliminar un registro","")," ",IF(D6=1,"Agregar un nuevo registro",""), " ",IF(E6=1,"Exportar Documento Excel","")," sin seleccionar datos en el filtro",)</f>
        <v>Acceder al sistema Gemma con usuario y perfil activo para la funcionalidad modulo Maestro - Incentivo, hacer clic en el boton,    Exportar Documento Excel sin seleccionar datos en el filtro</v>
      </c>
      <c r="AR6" s="267" t="str">
        <f>CONCATENATE(" Validar funcionalidad Maestro Incentivo seleccionando la opcion "," ",IF(B6=1,"Modificar registro","")," ",IF(C6=1,"Eliminar registro","")," ",IF(D6=1,"Agregar un nuevo registro","")," ",IF(E6=1,"Exportar excel","")," sin seleccionar valores",)</f>
        <v xml:space="preserve"> Validar funcionalidad Maestro Incentivo seleccionando la opcion     Exportar excel sin seleccionar valores</v>
      </c>
      <c r="AS6" s="267" t="s">
        <v>1008</v>
      </c>
    </row>
    <row r="7" spans="1:177" s="109" customFormat="1" ht="15" customHeight="1" x14ac:dyDescent="0.25">
      <c r="A7" s="23"/>
      <c r="B7" s="20"/>
      <c r="C7" s="13"/>
      <c r="D7" s="13">
        <v>1</v>
      </c>
      <c r="E7" s="103"/>
      <c r="F7" s="289"/>
      <c r="G7" s="289"/>
      <c r="H7" s="289"/>
      <c r="I7" s="289"/>
      <c r="J7" s="289"/>
      <c r="K7" s="289"/>
      <c r="L7" s="289"/>
      <c r="M7" s="111"/>
      <c r="N7" s="13"/>
      <c r="O7" s="289">
        <v>1</v>
      </c>
      <c r="P7" s="289"/>
      <c r="Q7" s="289">
        <v>1</v>
      </c>
      <c r="R7" s="289">
        <v>1</v>
      </c>
      <c r="S7" s="289">
        <v>1</v>
      </c>
      <c r="T7" s="289">
        <v>1</v>
      </c>
      <c r="U7" s="289">
        <v>1</v>
      </c>
      <c r="V7" s="289">
        <v>1</v>
      </c>
      <c r="W7" s="289">
        <v>1</v>
      </c>
      <c r="X7" s="289">
        <v>1</v>
      </c>
      <c r="Y7" s="289">
        <v>1</v>
      </c>
      <c r="Z7" s="289"/>
      <c r="AA7" s="289"/>
      <c r="AB7" s="289"/>
      <c r="AC7" s="289">
        <v>1</v>
      </c>
      <c r="AD7" s="289">
        <v>1</v>
      </c>
      <c r="AE7" s="289">
        <v>1</v>
      </c>
      <c r="AF7" s="289">
        <v>1</v>
      </c>
      <c r="AG7" s="289"/>
      <c r="AH7" s="289">
        <v>1</v>
      </c>
      <c r="AI7" s="289">
        <v>1</v>
      </c>
      <c r="AJ7" s="289">
        <v>1</v>
      </c>
      <c r="AK7" s="289">
        <v>1</v>
      </c>
      <c r="AL7" s="289"/>
      <c r="AM7" s="289">
        <v>1</v>
      </c>
      <c r="AN7" s="478"/>
      <c r="AO7" s="453"/>
      <c r="AP7" s="266" t="s">
        <v>1255</v>
      </c>
      <c r="AQ7" s="266" t="str">
        <f xml:space="preserve"> CONCATENATE("Acceder al sistema Gemma con usuario y perfil activo para la funcionalidad modulo Maestro - Incentivo, hacer clic en el boton,"," ",IF(B7=1,"Modificar un registro","")," ",IF(C7=1,"Eliminar un registro","")," ",IF(D7=1,"Agregar un nuevo registro",""), " ",IF(E7=1,"Exportar Documento Excel",""),"y presionar Confirmar ",)</f>
        <v xml:space="preserve">Acceder al sistema Gemma con usuario y perfil activo para la funcionalidad modulo Maestro - Incentivo, hacer clic en el boton,   Agregar un nuevo registro y presionar Confirmar </v>
      </c>
      <c r="AR7" s="267" t="str">
        <f>CONCATENATE(" Validar funcionalidad Maestro Incentivo seleccionando la opcion "," ",IF(B7=1,"Modificar registro","")," ",IF(C7=1,"Eliminar registro","")," ",IF(D7=1,"Agregar un nuevo registro","")," ",IF(E7=1,"Exportar excel","")," seleccionado campos requeridos",)</f>
        <v xml:space="preserve"> Validar funcionalidad Maestro Incentivo seleccionando la opcion    Agregar un nuevo registro  seleccionado campos requeridos</v>
      </c>
      <c r="AS7" s="267" t="s">
        <v>982</v>
      </c>
    </row>
    <row r="8" spans="1:177" s="109" customFormat="1" ht="15" customHeight="1" x14ac:dyDescent="0.25">
      <c r="A8" s="23"/>
      <c r="B8" s="20">
        <v>1</v>
      </c>
      <c r="C8" s="13"/>
      <c r="D8" s="13"/>
      <c r="E8" s="103"/>
      <c r="F8" s="289">
        <v>1</v>
      </c>
      <c r="G8" s="289"/>
      <c r="H8" s="289">
        <v>1</v>
      </c>
      <c r="I8" s="289"/>
      <c r="J8" s="289"/>
      <c r="K8" s="289"/>
      <c r="L8" s="289">
        <v>1</v>
      </c>
      <c r="M8" s="111"/>
      <c r="N8" s="13"/>
      <c r="O8" s="289"/>
      <c r="P8" s="289">
        <v>1</v>
      </c>
      <c r="Q8" s="289">
        <v>1</v>
      </c>
      <c r="R8" s="289">
        <v>1</v>
      </c>
      <c r="S8" s="289"/>
      <c r="T8" s="289"/>
      <c r="U8" s="289">
        <v>1</v>
      </c>
      <c r="V8" s="289">
        <v>1</v>
      </c>
      <c r="W8" s="289"/>
      <c r="X8" s="289"/>
      <c r="Y8" s="289"/>
      <c r="Z8" s="289"/>
      <c r="AA8" s="289"/>
      <c r="AB8" s="289">
        <v>1</v>
      </c>
      <c r="AC8" s="289"/>
      <c r="AD8" s="289"/>
      <c r="AE8" s="289"/>
      <c r="AF8" s="289">
        <v>1</v>
      </c>
      <c r="AG8" s="289"/>
      <c r="AH8" s="289">
        <v>1</v>
      </c>
      <c r="AI8" s="289"/>
      <c r="AJ8" s="289"/>
      <c r="AK8" s="289">
        <v>1</v>
      </c>
      <c r="AL8" s="289"/>
      <c r="AM8" s="289">
        <v>1</v>
      </c>
      <c r="AN8" s="478"/>
      <c r="AO8" s="453"/>
      <c r="AP8" s="266" t="s">
        <v>1256</v>
      </c>
      <c r="AQ8" s="266" t="str">
        <f xml:space="preserve"> CONCATENATE("Acceder al sistema Gemma con usuario y perfil activo para la funcionalidad modulo Maestro - Incentivo,  una vez seleccionado datos del filtro, hacer clic en el boton,"," ",IF(B8=1,"Modificar,","")," ",IF(C8=1,"Eliminar un registro",""),"",IF(D8=1,"Agregar un nuevo registro",""), "",IF(E8=1,"Exportar Documento Excel","")," presionar Confirmar ",)</f>
        <v xml:space="preserve">Acceder al sistema Gemma con usuario y perfil activo para la funcionalidad modulo Maestro - Incentivo,  una vez seleccionado datos del filtro, hacer clic en el boton, Modificar,  presionar Confirmar </v>
      </c>
      <c r="AR8" s="267" t="str">
        <f>CONCATENATE(" Validar funcionalidad Maestro Incentivo seleccionando la opcion "," ",IF(B8=1,"Modificar registro","")," ",IF(C8=1,"Eliminar registro","")," ",IF(D8=1,"Agregar un nuevo registro","")," ",IF(E8=1,"Exportar excel","")," seleccionando los valores en el filtro",)</f>
        <v xml:space="preserve"> Validar funcionalidad Maestro Incentivo seleccionando la opcion  Modificar registro    seleccionando los valores en el filtro</v>
      </c>
      <c r="AS8" s="267" t="s">
        <v>1009</v>
      </c>
    </row>
    <row r="9" spans="1:177" s="109" customFormat="1" ht="15" customHeight="1" x14ac:dyDescent="0.25">
      <c r="A9" s="23"/>
      <c r="B9" s="20">
        <v>1</v>
      </c>
      <c r="C9" s="13"/>
      <c r="D9" s="13"/>
      <c r="E9" s="103"/>
      <c r="F9" s="289"/>
      <c r="G9" s="289"/>
      <c r="H9" s="289"/>
      <c r="I9" s="289"/>
      <c r="J9" s="289"/>
      <c r="K9" s="289"/>
      <c r="L9" s="289"/>
      <c r="M9" s="111"/>
      <c r="N9" s="13"/>
      <c r="O9" s="289"/>
      <c r="P9" s="289">
        <v>1</v>
      </c>
      <c r="Q9" s="289"/>
      <c r="R9" s="289"/>
      <c r="S9" s="289"/>
      <c r="T9" s="289"/>
      <c r="U9" s="289"/>
      <c r="V9" s="289"/>
      <c r="W9" s="289"/>
      <c r="X9" s="289"/>
      <c r="Y9" s="289"/>
      <c r="Z9" s="289"/>
      <c r="AA9" s="289"/>
      <c r="AB9" s="289">
        <v>1</v>
      </c>
      <c r="AC9" s="289"/>
      <c r="AD9" s="289"/>
      <c r="AE9" s="289"/>
      <c r="AF9" s="289"/>
      <c r="AG9" s="289">
        <v>1</v>
      </c>
      <c r="AH9" s="289"/>
      <c r="AI9" s="289"/>
      <c r="AJ9" s="289"/>
      <c r="AK9" s="289"/>
      <c r="AL9" s="289">
        <v>1</v>
      </c>
      <c r="AM9" s="289">
        <v>1</v>
      </c>
      <c r="AN9" s="478"/>
      <c r="AO9" s="453"/>
      <c r="AP9" s="266" t="s">
        <v>1257</v>
      </c>
      <c r="AQ9" s="266" t="str">
        <f xml:space="preserve"> CONCATENATE("Acceder al sistema Gemma con usuario y perfil activo para la funcionalidad modulo Maestro - Incentivo, tomando un valor de la tabla consulta, hacer clic en el boton,"," ",IF(B9=1,"Modificar, ","")," presionar Confirmar. ",IF(C9=1,"Eliminar un registro","")," ",IF(D9=1,"Agregar un nuevo registro",""), " ",IF(E9=1,"Exportar Documento Excel","")," ",)</f>
        <v xml:space="preserve">Acceder al sistema Gemma con usuario y perfil activo para la funcionalidad modulo Maestro - Incentivo, tomando un valor de la tabla consulta, hacer clic en el boton, Modificar,  presionar Confirmar.    </v>
      </c>
      <c r="AR9" s="267" t="str">
        <f>CONCATENATE(" Validar funcionalidad Maestro Incentivo seleccionando la opcion "," ",IF(B9=1,"Modificar registro","")," ",IF(C9=1,"Eliminar registro","")," ",IF(D9=1,"Agregar un nuevo registro","")," ",IF(E9=1,"Exportar excel","")," sin seleccionar valores en el filtro",)</f>
        <v xml:space="preserve"> Validar funcionalidad Maestro Incentivo seleccionando la opcion  Modificar registro    sin seleccionar valores en el filtro</v>
      </c>
      <c r="AS9" s="267" t="s">
        <v>1010</v>
      </c>
    </row>
    <row r="10" spans="1:177" s="109" customFormat="1" ht="15" customHeight="1" x14ac:dyDescent="0.25">
      <c r="A10" s="23"/>
      <c r="B10" s="20"/>
      <c r="C10" s="13">
        <v>1</v>
      </c>
      <c r="D10" s="13"/>
      <c r="E10" s="103"/>
      <c r="F10" s="289">
        <v>1</v>
      </c>
      <c r="G10" s="289"/>
      <c r="H10" s="289"/>
      <c r="I10" s="289">
        <v>1</v>
      </c>
      <c r="J10" s="289"/>
      <c r="K10" s="289"/>
      <c r="L10" s="289">
        <v>1</v>
      </c>
      <c r="M10" s="111"/>
      <c r="N10" s="13"/>
      <c r="O10" s="289"/>
      <c r="P10" s="289"/>
      <c r="Q10" s="289"/>
      <c r="R10" s="289"/>
      <c r="S10" s="289"/>
      <c r="T10" s="289"/>
      <c r="U10" s="289"/>
      <c r="V10" s="289"/>
      <c r="W10" s="289"/>
      <c r="X10" s="289"/>
      <c r="Y10" s="289"/>
      <c r="Z10" s="289"/>
      <c r="AA10" s="289"/>
      <c r="AB10" s="289"/>
      <c r="AC10" s="289"/>
      <c r="AD10" s="289"/>
      <c r="AE10" s="289"/>
      <c r="AF10" s="289"/>
      <c r="AG10" s="289"/>
      <c r="AH10" s="289"/>
      <c r="AI10" s="289"/>
      <c r="AJ10" s="289"/>
      <c r="AK10" s="289"/>
      <c r="AL10" s="289"/>
      <c r="AM10" s="289">
        <v>1</v>
      </c>
      <c r="AN10" s="478"/>
      <c r="AO10" s="453"/>
      <c r="AP10" s="266" t="s">
        <v>1258</v>
      </c>
      <c r="AQ10" s="266" t="str">
        <f xml:space="preserve"> CONCATENATE("Acceder al sistema Gemma con usuario y perfil activo para la funcionalidad modulo Maestro - Incentivo,  una vez seleccionado datos del filtro, hacer clic en el boton,"," ",IF(B10=1,"Modificar,","")," ",IF(C10=1,"Eliminar un registro",""),"",IF(D10=1,"Agregar un nuevo registro",""), "",IF(E10=1,"Exportar Documento Excel","")," presionar Confirmar ",)</f>
        <v xml:space="preserve">Acceder al sistema Gemma con usuario y perfil activo para la funcionalidad modulo Maestro - Incentivo,  una vez seleccionado datos del filtro, hacer clic en el boton,  Eliminar un registro presionar Confirmar </v>
      </c>
      <c r="AR10" s="267" t="str">
        <f>CONCATENATE(" Validar funcionalidad Maestro Incentivo seleccionando la opcion "," ",IF(B10=1,"Modificar registro","")," ",IF(C10=1,"Eliminar registro","")," ",IF(D10=1,"Agregar un nuevo registro","")," ",IF(E10=1,"Exportar excel","")," seleccionando valores en el filtro",)</f>
        <v xml:space="preserve"> Validar funcionalidad Maestro Incentivo seleccionando la opcion   Eliminar registro   seleccionando valores en el filtro</v>
      </c>
      <c r="AS10" s="267" t="s">
        <v>1011</v>
      </c>
    </row>
    <row r="11" spans="1:177" s="109" customFormat="1" ht="15" customHeight="1" x14ac:dyDescent="0.25">
      <c r="A11" s="23"/>
      <c r="B11" s="20"/>
      <c r="C11" s="13">
        <v>1</v>
      </c>
      <c r="D11" s="13"/>
      <c r="E11" s="103"/>
      <c r="F11" s="289"/>
      <c r="G11" s="289"/>
      <c r="H11" s="289"/>
      <c r="I11" s="289"/>
      <c r="J11" s="289"/>
      <c r="K11" s="289"/>
      <c r="L11" s="289"/>
      <c r="M11" s="111"/>
      <c r="N11" s="13"/>
      <c r="O11" s="289"/>
      <c r="P11" s="289"/>
      <c r="Q11" s="289">
        <v>1</v>
      </c>
      <c r="R11" s="289">
        <v>1</v>
      </c>
      <c r="S11" s="289"/>
      <c r="T11" s="289"/>
      <c r="U11" s="289"/>
      <c r="V11" s="289"/>
      <c r="W11" s="289"/>
      <c r="X11" s="289"/>
      <c r="Y11" s="289"/>
      <c r="Z11" s="289"/>
      <c r="AA11" s="289"/>
      <c r="AB11" s="289"/>
      <c r="AC11" s="289"/>
      <c r="AD11" s="289"/>
      <c r="AE11" s="289"/>
      <c r="AF11" s="289"/>
      <c r="AG11" s="289"/>
      <c r="AH11" s="289"/>
      <c r="AI11" s="289"/>
      <c r="AJ11" s="289"/>
      <c r="AK11" s="289"/>
      <c r="AL11" s="289"/>
      <c r="AM11" s="289">
        <v>1</v>
      </c>
      <c r="AN11" s="478"/>
      <c r="AO11" s="453"/>
      <c r="AP11" s="266" t="s">
        <v>1259</v>
      </c>
      <c r="AQ11" s="266" t="str">
        <f xml:space="preserve"> CONCATENATE("Acceder al sistema Gemma con usuario y perfil activo para la funcionalidad modulo Maestro - Incentivo, tomando un valor de la tabla consulta, hacer clic en el boton,"," ",IF(B11=1,"Modificar, ","")," ",IF(C11=1,"Eliminar un registro",""),"  presionar Confirmar ",IF(D11=1,"Agregar un nuevo registro",""), " ",IF(E11=1,"Exportar Documento Excel","")," ",)</f>
        <v xml:space="preserve">Acceder al sistema Gemma con usuario y perfil activo para la funcionalidad modulo Maestro - Incentivo, tomando un valor de la tabla consulta, hacer clic en el boton,  Eliminar un registro  presionar Confirmar   </v>
      </c>
      <c r="AR11" s="267" t="str">
        <f>CONCATENATE(" Validar funcionalidad Maestro Incentivo seleccionando la opcion "," ",IF(B11=1,"Modificar registro","")," ",IF(C11=1,"Eliminar registro","")," ",IF(D11=1,"Agregar un nuevo registro","")," ",IF(E11=1,"Exportar excel","")," sin seleccionar valores en el filtro",)</f>
        <v xml:space="preserve"> Validar funcionalidad Maestro Incentivo seleccionando la opcion   Eliminar registro   sin seleccionar valores en el filtro</v>
      </c>
      <c r="AS11" s="267" t="s">
        <v>1012</v>
      </c>
    </row>
    <row r="12" spans="1:177" s="109" customFormat="1" ht="15" customHeight="1" x14ac:dyDescent="0.25">
      <c r="A12" s="23"/>
      <c r="B12" s="20">
        <v>1</v>
      </c>
      <c r="C12" s="13"/>
      <c r="D12" s="13"/>
      <c r="E12" s="103"/>
      <c r="F12" s="289">
        <v>1</v>
      </c>
      <c r="G12" s="289"/>
      <c r="H12" s="289">
        <v>1</v>
      </c>
      <c r="I12" s="289"/>
      <c r="J12" s="289"/>
      <c r="K12" s="289"/>
      <c r="L12" s="289"/>
      <c r="M12" s="450">
        <v>1</v>
      </c>
      <c r="N12" s="13"/>
      <c r="O12" s="289"/>
      <c r="P12" s="289"/>
      <c r="Q12" s="272"/>
      <c r="R12" s="272"/>
      <c r="S12" s="272"/>
      <c r="T12" s="272"/>
      <c r="U12" s="272"/>
      <c r="V12" s="272"/>
      <c r="W12" s="272"/>
      <c r="X12" s="272"/>
      <c r="Y12" s="289"/>
      <c r="Z12" s="289">
        <v>1</v>
      </c>
      <c r="AA12" s="289"/>
      <c r="AB12" s="289"/>
      <c r="AC12" s="272"/>
      <c r="AD12" s="272"/>
      <c r="AE12" s="272"/>
      <c r="AF12" s="289"/>
      <c r="AG12" s="289">
        <v>1</v>
      </c>
      <c r="AH12" s="289"/>
      <c r="AI12" s="289">
        <v>1</v>
      </c>
      <c r="AJ12" s="289">
        <v>1</v>
      </c>
      <c r="AK12" s="289"/>
      <c r="AL12" s="289">
        <v>1</v>
      </c>
      <c r="AM12" s="289">
        <v>1</v>
      </c>
      <c r="AN12" s="478"/>
      <c r="AO12" s="453"/>
      <c r="AP12" s="266" t="s">
        <v>1260</v>
      </c>
      <c r="AQ12" s="266" t="str">
        <f xml:space="preserve"> CONCATENATE("Acceder al sistema Gemma con usuario y perfil activo para la funcionalidad modulo Maestro - Incentivo,  una vez seleccionado datos del filtro, presionar el Link Nombre, luego hacer clic en el boton,"," ",IF(B12=1,"Modificar,","")," ",IF(C12=1,"Eliminar un registro",""),"",IF(D12=1,"Agregar un nuevo registro",""), "",IF(E12=1,"Exportar Documento Excel","")," presionar Confirmar ",)</f>
        <v xml:space="preserve">Acceder al sistema Gemma con usuario y perfil activo para la funcionalidad modulo Maestro - Incentivo,  una vez seleccionado datos del filtro, presionar el Link Nombre, luego hacer clic en el boton, Modificar,  presionar Confirmar </v>
      </c>
      <c r="AR12" s="267" t="str">
        <f>CONCATENATE(" Validar funcionalidad Maestro Incentivo seleccionando la opcion ","presionando ",IF(M12=1,$M$2,"")," ",IF(B12=1,"Modificar registro","")," ",IF(C12=1,"Eliminar registro","")," ",IF(D12=1,"Agregar un nuevo registro","")," ",IF(E12=1,"Exportar excel",""),"seleccionando valores en el filtro",)</f>
        <v xml:space="preserve"> Validar funcionalidad Maestro Incentivo seleccionando la opcion presionando Link Nombre Modificar registro   seleccionando valores en el filtro</v>
      </c>
      <c r="AS12" s="267" t="s">
        <v>1203</v>
      </c>
    </row>
    <row r="13" spans="1:177" s="109" customFormat="1" ht="15" customHeight="1" thickBot="1" x14ac:dyDescent="0.3">
      <c r="A13" s="23"/>
      <c r="B13" s="20"/>
      <c r="C13" s="13">
        <v>1</v>
      </c>
      <c r="D13" s="13"/>
      <c r="E13" s="103"/>
      <c r="F13" s="13"/>
      <c r="G13" s="289">
        <v>1</v>
      </c>
      <c r="H13" s="289"/>
      <c r="I13" s="289"/>
      <c r="J13" s="289">
        <v>1</v>
      </c>
      <c r="K13" s="289"/>
      <c r="L13" s="289"/>
      <c r="M13" s="273">
        <v>1</v>
      </c>
      <c r="N13" s="272"/>
      <c r="O13" s="289"/>
      <c r="P13" s="289"/>
      <c r="Q13" s="486"/>
      <c r="R13" s="486"/>
      <c r="S13" s="486"/>
      <c r="T13" s="486"/>
      <c r="U13" s="486"/>
      <c r="V13" s="486"/>
      <c r="W13" s="486"/>
      <c r="X13" s="486"/>
      <c r="Y13" s="289"/>
      <c r="Z13" s="289"/>
      <c r="AA13" s="289"/>
      <c r="AB13" s="289"/>
      <c r="AC13" s="486"/>
      <c r="AD13" s="486"/>
      <c r="AE13" s="486"/>
      <c r="AF13" s="13"/>
      <c r="AG13" s="103"/>
      <c r="AH13" s="13"/>
      <c r="AI13" s="13"/>
      <c r="AJ13" s="13"/>
      <c r="AK13" s="13"/>
      <c r="AL13" s="103"/>
      <c r="AM13" s="13">
        <v>1</v>
      </c>
      <c r="AN13" s="98"/>
      <c r="AO13" s="278"/>
      <c r="AP13" s="266" t="s">
        <v>1261</v>
      </c>
      <c r="AQ13" s="266" t="str">
        <f xml:space="preserve"> CONCATENATE("Acceder al sistema Gemma con usuario y perfil activo para la funcionalidad modulo Maestro - Incentivo, tomando un valor de la tabla consulta,  presionar el Link Nombre, luego hacer clic en el boton,"," ",IF(B13=1,"Modificar, ","")," ",IF(C13=1,"Eliminar un registro",""),"  presionar Confirmar ",IF(D13=1,"Agregar un nuevo registro",""), " ",IF(E13=1,"Exportar Documento Excel","")," ",)</f>
        <v xml:space="preserve">Acceder al sistema Gemma con usuario y perfil activo para la funcionalidad modulo Maestro - Incentivo, tomando un valor de la tabla consulta,  presionar el Link Nombre, luego hacer clic en el boton,  Eliminar un registro  presionar Confirmar   </v>
      </c>
      <c r="AR13" s="267" t="str">
        <f>CONCATENATE(" Validar funcionalidad Maestro Incentivo seleccionando la opcion ","presionando ",IF(M13=1,$M$2,"")," ",IF(B13=1,"Modificar registro","")," ",IF(C13=1,"Eliminar registro","")," ",IF(D13=1,"Agregar un nuevo registro","")," ",IF(E13=1,"Exportar excel",""),"seleccionando valores en el filtro",)</f>
        <v xml:space="preserve"> Validar funcionalidad Maestro Incentivo seleccionando la opcion presionando Link Nombre  Eliminar registro  seleccionando valores en el filtro</v>
      </c>
      <c r="AS13" s="267" t="s">
        <v>1204</v>
      </c>
    </row>
    <row r="14" spans="1:177" s="109" customFormat="1" ht="15" customHeight="1" thickTop="1" x14ac:dyDescent="0.25">
      <c r="A14" s="23"/>
      <c r="B14" s="292"/>
      <c r="C14" s="293"/>
      <c r="D14" s="293">
        <v>1</v>
      </c>
      <c r="E14" s="293"/>
      <c r="F14" s="398"/>
      <c r="G14" s="398"/>
      <c r="H14" s="398"/>
      <c r="I14" s="398"/>
      <c r="J14" s="398"/>
      <c r="K14" s="398"/>
      <c r="L14" s="398"/>
      <c r="M14" s="106"/>
      <c r="N14" s="293"/>
      <c r="O14" s="398"/>
      <c r="P14" s="398"/>
      <c r="Q14" s="471"/>
      <c r="R14" s="471"/>
      <c r="S14" s="471"/>
      <c r="T14" s="471"/>
      <c r="U14" s="471"/>
      <c r="V14" s="471"/>
      <c r="W14" s="471"/>
      <c r="X14" s="471"/>
      <c r="Y14" s="398"/>
      <c r="Z14" s="398"/>
      <c r="AA14" s="398"/>
      <c r="AB14" s="398"/>
      <c r="AC14" s="471"/>
      <c r="AD14" s="471"/>
      <c r="AE14" s="471"/>
      <c r="AF14" s="398"/>
      <c r="AG14" s="398"/>
      <c r="AH14" s="398"/>
      <c r="AI14" s="398"/>
      <c r="AJ14" s="398"/>
      <c r="AK14" s="398"/>
      <c r="AL14" s="398"/>
      <c r="AM14" s="398"/>
      <c r="AN14" s="479"/>
      <c r="AO14" s="458"/>
      <c r="AP14" s="266" t="s">
        <v>1556</v>
      </c>
      <c r="AQ14" s="266" t="str">
        <f xml:space="preserve"> CONCATENATE("Acceder al sistema Gemma con usuario y perfil activo para la funcionalidad modulo Maestro - Incentivo, hacer clic en el boton,"," ",IF(B14=1,"Modificar un registro o","")," ",IF(C14=1,"Eliminar un registro o","")," ",IF(D14=1,"Agregar un nuevo registro",""), "con valor no numerico en el campo Fecha ",IF(H14=1,"Exportar Documento Excel",""),"",)</f>
        <v xml:space="preserve">Acceder al sistema Gemma con usuario y perfil activo para la funcionalidad modulo Maestro - Incentivo, hacer clic en el boton,   Agregar un nuevo registrocon valor no numerico en el campo Fecha </v>
      </c>
      <c r="AR14" s="267" t="str">
        <f>CONCATENATE(" Validar funcionalidad Maestro Incentivo seleccionando la opcion "," ",IF(B14=1,"Modificar o","")," ",IF(C14=1,"Eliminar o","")," ",IF(D14=1,"Agregar un registro","")," ",IF(E14=1,"Exportar excel","")," sin seleccionar valores del filtro y cancelar transaccion",)</f>
        <v xml:space="preserve"> Validar funcionalidad Maestro Incentivo seleccionando la opcion    Agregar un registro  sin seleccionar valores del filtro y cancelar transaccion</v>
      </c>
      <c r="AS14" s="267" t="s">
        <v>1561</v>
      </c>
    </row>
    <row r="15" spans="1:177" s="109" customFormat="1" ht="15" customHeight="1" x14ac:dyDescent="0.25">
      <c r="A15" s="23"/>
      <c r="B15" s="20"/>
      <c r="C15" s="13"/>
      <c r="D15" s="13">
        <v>1</v>
      </c>
      <c r="E15" s="13"/>
      <c r="F15" s="451"/>
      <c r="G15" s="451">
        <v>1</v>
      </c>
      <c r="H15" s="289"/>
      <c r="I15" s="289"/>
      <c r="J15" s="451">
        <v>1</v>
      </c>
      <c r="K15" s="451"/>
      <c r="L15" s="451"/>
      <c r="M15" s="450">
        <v>1</v>
      </c>
      <c r="N15" s="111">
        <v>1</v>
      </c>
      <c r="O15" s="451"/>
      <c r="P15" s="451"/>
      <c r="Q15" s="13"/>
      <c r="R15" s="13"/>
      <c r="S15" s="13"/>
      <c r="T15" s="13"/>
      <c r="U15" s="13"/>
      <c r="V15" s="13"/>
      <c r="W15" s="13"/>
      <c r="X15" s="13"/>
      <c r="Y15" s="451"/>
      <c r="Z15" s="289"/>
      <c r="AA15" s="289"/>
      <c r="AB15" s="451"/>
      <c r="AC15" s="13"/>
      <c r="AD15" s="13"/>
      <c r="AE15" s="13"/>
      <c r="AF15" s="451"/>
      <c r="AG15" s="451"/>
      <c r="AH15" s="451"/>
      <c r="AI15" s="451"/>
      <c r="AJ15" s="451"/>
      <c r="AK15" s="451"/>
      <c r="AL15" s="451"/>
      <c r="AM15" s="289"/>
      <c r="AN15" s="478"/>
      <c r="AO15" s="453"/>
      <c r="AP15" s="266" t="s">
        <v>1557</v>
      </c>
      <c r="AQ15" s="266" t="str">
        <f xml:space="preserve"> CONCATENATE("Acceder al sistema Gemma con usuario y perfil activo para la funcionalidad modulo Maestro - Incentivo, hacer clic en el boton,"," ",IF(B15=1,"Modificar un registro o","")," ",IF(C15=1,"Eliminar un registro o","")," ",IF(D15=1,"Agregar registro ",""), "colocando valores no numericos en los campos, Pie Maximo, Saldo Precio Minimo, Saldo Precio Maximo ",IF(H15=1,"Exportar Documento Excel",""),"",)</f>
        <v xml:space="preserve">Acceder al sistema Gemma con usuario y perfil activo para la funcionalidad modulo Maestro - Incentivo, hacer clic en el boton,   Agregar registro colocando valores no numericos en los campos, Pie Maximo, Saldo Precio Minimo, Saldo Precio Maximo </v>
      </c>
      <c r="AR15" s="267" t="str">
        <f>CONCATENATE(" Validar funcionalidad Maestro Incentivo seleccionando la opcion "," ",IF(B15=1,"Modificar o","")," ",IF(C15=1,"Eliminar o","")," ",IF(D15=1,"Agregar un registro","")," ",IF(E15=1,"Exportar excel",""),"seleccionando", IF(M15=1,$M$2,"")," regresar al presionar ",IF(N15=1,$N$2,""), "",)</f>
        <v xml:space="preserve"> Validar funcionalidad Maestro Incentivo seleccionando la opcion    Agregar un registro seleccionandoLink Nombre regresar al presionar Trabajar con Campaña</v>
      </c>
      <c r="AS15" s="267" t="s">
        <v>1487</v>
      </c>
    </row>
    <row r="16" spans="1:177" s="109" customFormat="1" x14ac:dyDescent="0.25">
      <c r="B16" s="14"/>
      <c r="C16" s="110"/>
      <c r="D16" s="110"/>
      <c r="E16" s="110"/>
      <c r="F16" s="111" t="s">
        <v>1201</v>
      </c>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98"/>
      <c r="AO16" s="278"/>
      <c r="AP16" s="266" t="s">
        <v>1558</v>
      </c>
      <c r="AQ16" s="266" t="str">
        <f xml:space="preserve"> CONCATENATE("Acceder al sistema Gemma con usuario y perfil activo para la funcionalidad modulo Maestro - Incentivo, hacer clic en el boton,"," ",IF(D16=1,"Modificar un registro o","")," ",IF(E16=1,"Eliminar un registro o","")," ",IF(G16=1,"Agregar un nuevo registro",""), " ",IF(H16=1,"Exportar Documento Excel",""),"buscar con el campo Nombre Invalido en el filtro",)</f>
        <v>Acceder al sistema Gemma con usuario y perfil activo para la funcionalidad modulo Maestro - Incentivo, hacer clic en el boton,    buscar con el campo Nombre Invalido en el filtro</v>
      </c>
      <c r="AR16" s="267" t="s">
        <v>1559</v>
      </c>
      <c r="AS16" s="267" t="s">
        <v>1205</v>
      </c>
    </row>
    <row r="17" spans="2:45" s="109" customFormat="1" x14ac:dyDescent="0.25">
      <c r="B17" s="14"/>
      <c r="C17" s="110"/>
      <c r="D17" s="110"/>
      <c r="E17" s="110"/>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98"/>
      <c r="AO17" s="278"/>
      <c r="AP17" s="266"/>
      <c r="AQ17" s="266"/>
      <c r="AR17" s="267" t="s">
        <v>1560</v>
      </c>
      <c r="AS17" s="267"/>
    </row>
    <row r="18" spans="2:45" s="109" customFormat="1" x14ac:dyDescent="0.25">
      <c r="B18" s="14"/>
      <c r="C18" s="110"/>
      <c r="D18" s="110"/>
      <c r="E18" s="110"/>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98"/>
      <c r="AO18" s="278"/>
      <c r="AP18" s="266"/>
      <c r="AQ18" s="266"/>
      <c r="AR18" s="267"/>
      <c r="AS18" s="267"/>
    </row>
    <row r="19" spans="2:45" s="109" customFormat="1" x14ac:dyDescent="0.25">
      <c r="B19" s="14"/>
      <c r="C19" s="110"/>
      <c r="D19" s="110"/>
      <c r="E19" s="110"/>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98"/>
      <c r="AO19" s="278"/>
      <c r="AP19" s="266"/>
      <c r="AQ19" s="266"/>
      <c r="AR19" s="267"/>
      <c r="AS19" s="267"/>
    </row>
    <row r="20" spans="2:45" s="109" customFormat="1" x14ac:dyDescent="0.25">
      <c r="B20" s="14"/>
      <c r="C20" s="110"/>
      <c r="D20" s="110"/>
      <c r="E20" s="110"/>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98"/>
      <c r="AO20" s="278"/>
      <c r="AP20" s="266"/>
      <c r="AQ20" s="266"/>
      <c r="AR20" s="267"/>
      <c r="AS20" s="267"/>
    </row>
    <row r="21" spans="2:45" s="109" customFormat="1" x14ac:dyDescent="0.25">
      <c r="B21" s="14"/>
      <c r="C21" s="110"/>
      <c r="D21" s="110"/>
      <c r="E21" s="110"/>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98"/>
      <c r="AO21" s="278"/>
      <c r="AP21" s="266"/>
      <c r="AQ21" s="266"/>
      <c r="AR21" s="267"/>
      <c r="AS21" s="267"/>
    </row>
    <row r="22" spans="2:45" s="109" customFormat="1" x14ac:dyDescent="0.25">
      <c r="B22" s="14"/>
      <c r="C22" s="110"/>
      <c r="D22" s="110"/>
      <c r="E22" s="110"/>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98"/>
      <c r="AO22" s="278"/>
      <c r="AP22" s="266"/>
      <c r="AQ22" s="266"/>
      <c r="AR22" s="267"/>
      <c r="AS22" s="267"/>
    </row>
    <row r="23" spans="2:45" s="109" customFormat="1" x14ac:dyDescent="0.25">
      <c r="B23" s="14"/>
      <c r="C23" s="110"/>
      <c r="D23" s="110"/>
      <c r="E23" s="110"/>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98"/>
      <c r="AO23" s="278"/>
      <c r="AP23" s="266"/>
      <c r="AQ23" s="266"/>
      <c r="AR23" s="267"/>
      <c r="AS23" s="267"/>
    </row>
    <row r="24" spans="2:45" s="109" customFormat="1" x14ac:dyDescent="0.25">
      <c r="B24" s="14"/>
      <c r="C24" s="110"/>
      <c r="D24" s="110"/>
      <c r="E24" s="110"/>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98"/>
      <c r="AO24" s="278"/>
      <c r="AP24" s="266"/>
      <c r="AQ24" s="266"/>
      <c r="AR24" s="267"/>
      <c r="AS24" s="267"/>
    </row>
    <row r="25" spans="2:45" s="109" customFormat="1" x14ac:dyDescent="0.25">
      <c r="B25" s="14"/>
      <c r="C25" s="110"/>
      <c r="D25" s="110"/>
      <c r="E25" s="110"/>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98"/>
      <c r="AO25" s="278"/>
      <c r="AP25" s="266"/>
      <c r="AQ25" s="266"/>
      <c r="AR25" s="267"/>
      <c r="AS25" s="267"/>
    </row>
    <row r="26" spans="2:45" s="109" customFormat="1" x14ac:dyDescent="0.25">
      <c r="B26" s="14"/>
      <c r="C26" s="110"/>
      <c r="D26" s="110"/>
      <c r="E26" s="110"/>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98"/>
      <c r="AO26" s="278"/>
      <c r="AP26" s="266"/>
      <c r="AQ26" s="266"/>
      <c r="AR26" s="267"/>
      <c r="AS26" s="267"/>
    </row>
    <row r="27" spans="2:45" s="109" customFormat="1" x14ac:dyDescent="0.25">
      <c r="B27" s="18"/>
      <c r="C27" s="13"/>
      <c r="D27" s="13"/>
      <c r="E27" s="13"/>
      <c r="F27" s="13"/>
      <c r="G27" s="13"/>
      <c r="H27" s="13"/>
      <c r="I27" s="13"/>
      <c r="J27" s="13"/>
      <c r="K27" s="13"/>
      <c r="L27" s="13"/>
      <c r="M27" s="13"/>
      <c r="N27" s="13"/>
      <c r="O27" s="13"/>
      <c r="P27" s="13"/>
      <c r="Q27" s="110"/>
      <c r="R27" s="110"/>
      <c r="S27" s="110"/>
      <c r="T27" s="110"/>
      <c r="U27" s="110"/>
      <c r="V27" s="110"/>
      <c r="W27" s="110"/>
      <c r="X27" s="110"/>
      <c r="Y27" s="13"/>
      <c r="Z27" s="13"/>
      <c r="AA27" s="13"/>
      <c r="AB27" s="13"/>
      <c r="AC27" s="110"/>
      <c r="AD27" s="110"/>
      <c r="AE27" s="110"/>
      <c r="AF27" s="13"/>
      <c r="AG27" s="13"/>
      <c r="AH27" s="13"/>
      <c r="AI27" s="13"/>
      <c r="AJ27" s="13"/>
      <c r="AK27" s="13"/>
      <c r="AL27" s="13"/>
      <c r="AM27" s="13"/>
      <c r="AN27" s="98"/>
      <c r="AO27" s="278"/>
      <c r="AP27" s="266"/>
      <c r="AQ27" s="266"/>
      <c r="AR27" s="267"/>
      <c r="AS27" s="267"/>
    </row>
    <row r="28" spans="2:45" s="109" customFormat="1" x14ac:dyDescent="0.25">
      <c r="B28" s="18"/>
      <c r="C28" s="13"/>
      <c r="D28" s="13"/>
      <c r="E28" s="13"/>
      <c r="F28" s="110"/>
      <c r="G28" s="110"/>
      <c r="H28" s="110"/>
      <c r="I28" s="110"/>
      <c r="J28" s="110"/>
      <c r="K28" s="110"/>
      <c r="L28" s="110"/>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c r="AM28" s="110"/>
      <c r="AN28" s="99"/>
      <c r="AO28" s="17"/>
      <c r="AP28" s="270"/>
      <c r="AQ28" s="270"/>
      <c r="AR28" s="267"/>
      <c r="AS28" s="267"/>
    </row>
    <row r="29" spans="2:45" s="109" customFormat="1" x14ac:dyDescent="0.25">
      <c r="B29" s="18"/>
      <c r="C29" s="13"/>
      <c r="D29" s="13"/>
      <c r="E29" s="13"/>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c r="AM29" s="110"/>
      <c r="AN29" s="99"/>
      <c r="AO29" s="17"/>
      <c r="AP29" s="270"/>
      <c r="AQ29" s="270"/>
      <c r="AR29" s="267"/>
      <c r="AS29" s="267"/>
    </row>
    <row r="30" spans="2:45" s="109" customFormat="1" x14ac:dyDescent="0.25">
      <c r="B30" s="18"/>
      <c r="C30" s="13"/>
      <c r="D30" s="13"/>
      <c r="E30" s="13"/>
      <c r="F30" s="110"/>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99"/>
      <c r="AO30" s="17"/>
      <c r="AP30" s="270"/>
      <c r="AQ30" s="270"/>
      <c r="AR30" s="267"/>
      <c r="AS30" s="267"/>
    </row>
    <row r="31" spans="2:45" s="109" customFormat="1" x14ac:dyDescent="0.25">
      <c r="B31" s="18"/>
      <c r="C31" s="13"/>
      <c r="D31" s="13"/>
      <c r="E31" s="13"/>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99"/>
      <c r="AO31" s="17"/>
      <c r="AP31" s="270"/>
      <c r="AQ31" s="270"/>
      <c r="AR31" s="267"/>
      <c r="AS31" s="267"/>
    </row>
    <row r="32" spans="2:45" s="109" customFormat="1" x14ac:dyDescent="0.25">
      <c r="B32" s="18"/>
      <c r="C32" s="13"/>
      <c r="D32" s="13"/>
      <c r="E32" s="13"/>
      <c r="F32" s="110"/>
      <c r="G32" s="110"/>
      <c r="H32" s="110"/>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99"/>
      <c r="AO32" s="17"/>
      <c r="AP32" s="270"/>
      <c r="AQ32" s="270"/>
      <c r="AR32" s="267"/>
      <c r="AS32" s="267"/>
    </row>
    <row r="33" spans="2:45" s="109" customFormat="1" x14ac:dyDescent="0.25">
      <c r="B33" s="18"/>
      <c r="C33" s="13"/>
      <c r="D33" s="13"/>
      <c r="E33" s="13"/>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99"/>
      <c r="AO33" s="17"/>
      <c r="AP33" s="270"/>
      <c r="AQ33" s="270"/>
      <c r="AR33" s="267"/>
      <c r="AS33" s="267"/>
    </row>
    <row r="34" spans="2:45" s="109" customFormat="1" x14ac:dyDescent="0.25">
      <c r="B34" s="18"/>
      <c r="C34" s="13"/>
      <c r="D34" s="13"/>
      <c r="E34" s="13"/>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99"/>
      <c r="AO34" s="17"/>
      <c r="AP34" s="270"/>
      <c r="AQ34" s="270"/>
      <c r="AR34" s="267"/>
      <c r="AS34" s="267"/>
    </row>
    <row r="35" spans="2:45" s="109" customFormat="1" x14ac:dyDescent="0.25">
      <c r="B35" s="18"/>
      <c r="C35" s="13"/>
      <c r="D35" s="13"/>
      <c r="E35" s="13"/>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99"/>
      <c r="AO35" s="17"/>
      <c r="AP35" s="270"/>
      <c r="AQ35" s="270"/>
      <c r="AR35" s="267"/>
      <c r="AS35" s="267"/>
    </row>
    <row r="36" spans="2:45" s="109" customFormat="1" x14ac:dyDescent="0.25">
      <c r="B36" s="18"/>
      <c r="C36" s="13"/>
      <c r="D36" s="13"/>
      <c r="E36" s="13"/>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99"/>
      <c r="AO36" s="17"/>
      <c r="AP36" s="270"/>
      <c r="AQ36" s="270"/>
      <c r="AR36" s="267"/>
      <c r="AS36" s="267"/>
    </row>
    <row r="37" spans="2:45" s="109" customFormat="1" x14ac:dyDescent="0.25">
      <c r="B37" s="18"/>
      <c r="C37" s="13"/>
      <c r="D37" s="13"/>
      <c r="E37" s="13"/>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99"/>
      <c r="AO37" s="17"/>
      <c r="AP37" s="270"/>
      <c r="AQ37" s="270"/>
      <c r="AR37" s="267"/>
      <c r="AS37" s="267"/>
    </row>
    <row r="38" spans="2:45" s="109" customFormat="1" x14ac:dyDescent="0.25">
      <c r="B38" s="18"/>
      <c r="C38" s="13"/>
      <c r="D38" s="13"/>
      <c r="E38" s="13"/>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99"/>
      <c r="AO38" s="17"/>
      <c r="AP38" s="270"/>
      <c r="AQ38" s="270"/>
      <c r="AR38" s="267"/>
      <c r="AS38" s="267"/>
    </row>
    <row r="39" spans="2:45" s="109" customFormat="1" x14ac:dyDescent="0.25">
      <c r="B39" s="18"/>
      <c r="C39" s="13"/>
      <c r="D39" s="13"/>
      <c r="E39" s="13"/>
      <c r="F39" s="110"/>
      <c r="G39" s="110"/>
      <c r="H39" s="110"/>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c r="AM39" s="110"/>
      <c r="AN39" s="99"/>
      <c r="AO39" s="17"/>
      <c r="AP39" s="270"/>
      <c r="AQ39" s="270"/>
      <c r="AR39" s="267"/>
      <c r="AS39" s="267"/>
    </row>
    <row r="40" spans="2:45" s="109" customFormat="1" x14ac:dyDescent="0.25">
      <c r="B40" s="18"/>
      <c r="C40" s="13"/>
      <c r="D40" s="13"/>
      <c r="E40" s="13"/>
      <c r="F40" s="110"/>
      <c r="G40" s="110"/>
      <c r="H40" s="110"/>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c r="AM40" s="110"/>
      <c r="AN40" s="99"/>
      <c r="AO40" s="17"/>
      <c r="AP40" s="270"/>
      <c r="AQ40" s="270"/>
      <c r="AR40" s="267"/>
      <c r="AS40" s="267"/>
    </row>
    <row r="41" spans="2:45" s="109" customFormat="1" x14ac:dyDescent="0.25">
      <c r="B41" s="18"/>
      <c r="C41" s="13"/>
      <c r="D41" s="13"/>
      <c r="E41" s="13"/>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99"/>
      <c r="AO41" s="17"/>
      <c r="AP41" s="270"/>
      <c r="AQ41" s="270"/>
      <c r="AR41" s="267"/>
      <c r="AS41" s="267"/>
    </row>
    <row r="42" spans="2:45" s="109" customFormat="1" x14ac:dyDescent="0.25">
      <c r="B42" s="18"/>
      <c r="C42" s="13"/>
      <c r="D42" s="13"/>
      <c r="E42" s="13"/>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99"/>
      <c r="AO42" s="17"/>
      <c r="AP42" s="270"/>
      <c r="AQ42" s="270"/>
      <c r="AR42" s="267"/>
      <c r="AS42" s="267"/>
    </row>
    <row r="43" spans="2:45" s="109" customFormat="1" x14ac:dyDescent="0.25">
      <c r="B43" s="18"/>
      <c r="C43" s="13"/>
      <c r="D43" s="13"/>
      <c r="E43" s="13"/>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99"/>
      <c r="AO43" s="17"/>
      <c r="AP43" s="270"/>
      <c r="AQ43" s="270"/>
      <c r="AR43" s="267"/>
      <c r="AS43" s="267"/>
    </row>
    <row r="44" spans="2:45" s="109" customFormat="1" x14ac:dyDescent="0.25">
      <c r="B44" s="18"/>
      <c r="C44" s="13"/>
      <c r="D44" s="13"/>
      <c r="E44" s="13"/>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99"/>
      <c r="AO44" s="17"/>
      <c r="AP44" s="270"/>
      <c r="AQ44" s="270"/>
      <c r="AR44" s="267"/>
      <c r="AS44" s="267"/>
    </row>
    <row r="45" spans="2:45" s="109" customFormat="1" x14ac:dyDescent="0.25">
      <c r="B45" s="18"/>
      <c r="C45" s="13"/>
      <c r="D45" s="13"/>
      <c r="E45" s="13"/>
      <c r="F45" s="110"/>
      <c r="G45" s="110"/>
      <c r="H45" s="110"/>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99"/>
      <c r="AO45" s="17"/>
      <c r="AP45" s="270"/>
      <c r="AQ45" s="270"/>
      <c r="AR45" s="267"/>
      <c r="AS45" s="267"/>
    </row>
    <row r="46" spans="2:45" s="109" customFormat="1" x14ac:dyDescent="0.25">
      <c r="B46" s="18"/>
      <c r="C46" s="13"/>
      <c r="D46" s="13"/>
      <c r="E46" s="13"/>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99"/>
      <c r="AO46" s="17"/>
      <c r="AP46" s="270"/>
      <c r="AQ46" s="270"/>
      <c r="AR46" s="267"/>
      <c r="AS46" s="267"/>
    </row>
    <row r="47" spans="2:45" s="109" customFormat="1" x14ac:dyDescent="0.25">
      <c r="B47" s="18"/>
      <c r="C47" s="13"/>
      <c r="D47" s="13"/>
      <c r="E47" s="1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99"/>
      <c r="AO47" s="17"/>
      <c r="AP47" s="270"/>
      <c r="AQ47" s="270"/>
      <c r="AR47" s="267"/>
      <c r="AS47" s="267"/>
    </row>
    <row r="48" spans="2:45" s="109" customFormat="1" x14ac:dyDescent="0.25">
      <c r="B48" s="18"/>
      <c r="C48" s="13"/>
      <c r="D48" s="13"/>
      <c r="E48" s="13"/>
      <c r="F48" s="110"/>
      <c r="G48" s="110"/>
      <c r="H48" s="110"/>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c r="AM48" s="110"/>
      <c r="AN48" s="99"/>
      <c r="AO48" s="17"/>
      <c r="AP48" s="270"/>
      <c r="AQ48" s="270"/>
      <c r="AR48" s="267"/>
      <c r="AS48" s="267"/>
    </row>
    <row r="49" spans="2:45" s="109" customFormat="1" x14ac:dyDescent="0.25">
      <c r="B49" s="18"/>
      <c r="C49" s="13"/>
      <c r="D49" s="13"/>
      <c r="E49" s="1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99"/>
      <c r="AO49" s="17"/>
      <c r="AP49" s="270"/>
      <c r="AQ49" s="270"/>
      <c r="AR49" s="267"/>
      <c r="AS49" s="267"/>
    </row>
    <row r="50" spans="2:45" s="109" customFormat="1" x14ac:dyDescent="0.25">
      <c r="B50" s="18"/>
      <c r="C50" s="13"/>
      <c r="D50" s="13"/>
      <c r="E50" s="13"/>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99"/>
      <c r="AO50" s="17"/>
      <c r="AP50" s="270"/>
      <c r="AQ50" s="270"/>
      <c r="AR50" s="267"/>
      <c r="AS50" s="267"/>
    </row>
    <row r="51" spans="2:45" s="109" customFormat="1" ht="15.75" thickBot="1" x14ac:dyDescent="0.3">
      <c r="B51" s="18"/>
      <c r="C51" s="13"/>
      <c r="D51" s="13"/>
      <c r="E51" s="13"/>
      <c r="F51" s="110"/>
      <c r="G51" s="110"/>
      <c r="H51" s="110"/>
      <c r="I51" s="110"/>
      <c r="J51" s="110"/>
      <c r="K51" s="110"/>
      <c r="L51" s="110"/>
      <c r="M51" s="110"/>
      <c r="N51" s="110"/>
      <c r="O51" s="110"/>
      <c r="P51" s="110"/>
      <c r="Q51" s="304"/>
      <c r="R51" s="304"/>
      <c r="S51" s="304"/>
      <c r="T51" s="304"/>
      <c r="U51" s="304"/>
      <c r="V51" s="304"/>
      <c r="W51" s="304"/>
      <c r="X51" s="304"/>
      <c r="Y51" s="110"/>
      <c r="Z51" s="110"/>
      <c r="AA51" s="110"/>
      <c r="AB51" s="110"/>
      <c r="AC51" s="304"/>
      <c r="AD51" s="304"/>
      <c r="AE51" s="304"/>
      <c r="AF51" s="110"/>
      <c r="AG51" s="110"/>
      <c r="AH51" s="110"/>
      <c r="AI51" s="110"/>
      <c r="AJ51" s="110"/>
      <c r="AK51" s="110"/>
      <c r="AL51" s="110"/>
      <c r="AM51" s="110"/>
      <c r="AN51" s="99"/>
      <c r="AO51" s="17"/>
      <c r="AP51" s="270"/>
      <c r="AQ51" s="270"/>
      <c r="AR51" s="267"/>
      <c r="AS51" s="267"/>
    </row>
    <row r="52" spans="2:45" s="109" customFormat="1" ht="16.5" thickTop="1" thickBot="1" x14ac:dyDescent="0.3">
      <c r="B52" s="323"/>
      <c r="C52" s="281"/>
      <c r="D52" s="281"/>
      <c r="E52" s="281"/>
      <c r="F52" s="304"/>
      <c r="G52" s="304"/>
      <c r="H52" s="304"/>
      <c r="I52" s="304"/>
      <c r="J52" s="304"/>
      <c r="K52" s="304"/>
      <c r="L52" s="304"/>
      <c r="M52" s="304"/>
      <c r="N52" s="304"/>
      <c r="O52" s="304"/>
      <c r="P52" s="304"/>
      <c r="Q52" s="108"/>
      <c r="R52" s="108"/>
      <c r="S52" s="108"/>
      <c r="T52" s="108"/>
      <c r="U52" s="108"/>
      <c r="V52" s="108"/>
      <c r="W52" s="108"/>
      <c r="X52" s="108"/>
      <c r="Y52" s="304"/>
      <c r="Z52" s="304"/>
      <c r="AA52" s="304"/>
      <c r="AB52" s="304"/>
      <c r="AC52" s="108"/>
      <c r="AD52" s="108"/>
      <c r="AE52" s="108"/>
      <c r="AF52" s="304"/>
      <c r="AG52" s="304"/>
      <c r="AH52" s="304"/>
      <c r="AI52" s="304"/>
      <c r="AJ52" s="304"/>
      <c r="AK52" s="304"/>
      <c r="AL52" s="304"/>
      <c r="AM52" s="304"/>
      <c r="AN52" s="313"/>
      <c r="AO52" s="338"/>
      <c r="AP52" s="270"/>
      <c r="AQ52" s="270"/>
      <c r="AR52" s="267"/>
      <c r="AS52" s="267"/>
    </row>
    <row r="53" spans="2:45" s="109" customFormat="1" ht="15.75" thickTop="1" x14ac:dyDescent="0.25">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270"/>
      <c r="AQ53" s="270"/>
      <c r="AR53" s="267"/>
      <c r="AS53" s="267"/>
    </row>
    <row r="54" spans="2:45" s="109" customFormat="1" x14ac:dyDescent="0.2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108"/>
      <c r="AP54" s="270"/>
      <c r="AQ54" s="270"/>
      <c r="AR54" s="267"/>
      <c r="AS54" s="267"/>
    </row>
    <row r="55" spans="2:45" s="109" customFormat="1" x14ac:dyDescent="0.2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270"/>
      <c r="AQ55" s="270"/>
      <c r="AR55" s="267"/>
      <c r="AS55" s="267"/>
    </row>
    <row r="56" spans="2:45" s="109" customFormat="1" x14ac:dyDescent="0.2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108"/>
      <c r="AP56" s="270"/>
      <c r="AQ56" s="270"/>
      <c r="AR56" s="267"/>
      <c r="AS56" s="267"/>
    </row>
    <row r="57" spans="2:45" s="109" customFormat="1" x14ac:dyDescent="0.2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270"/>
      <c r="AQ57" s="270"/>
      <c r="AR57" s="267"/>
      <c r="AS57" s="267"/>
    </row>
    <row r="58" spans="2:45" s="109" customFormat="1" x14ac:dyDescent="0.2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270"/>
      <c r="AQ58" s="270"/>
      <c r="AR58" s="267"/>
      <c r="AS58" s="267"/>
    </row>
    <row r="59" spans="2:45" s="109" customFormat="1" x14ac:dyDescent="0.2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108"/>
      <c r="AP59" s="270"/>
      <c r="AQ59" s="270"/>
      <c r="AR59" s="267"/>
      <c r="AS59" s="267"/>
    </row>
    <row r="60" spans="2:45" s="109" customFormat="1" x14ac:dyDescent="0.2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270"/>
      <c r="AQ60" s="270"/>
      <c r="AR60" s="267"/>
      <c r="AS60" s="267"/>
    </row>
    <row r="61" spans="2:45" s="109" customFormat="1" x14ac:dyDescent="0.2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270"/>
      <c r="AQ61" s="270"/>
      <c r="AR61" s="267"/>
      <c r="AS61" s="267"/>
    </row>
    <row r="62" spans="2:45" s="109" customFormat="1" x14ac:dyDescent="0.2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108"/>
      <c r="AP62" s="270"/>
      <c r="AQ62" s="270"/>
      <c r="AR62" s="267"/>
      <c r="AS62" s="267"/>
    </row>
    <row r="63" spans="2:45" s="109" customFormat="1" x14ac:dyDescent="0.2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108"/>
      <c r="AP63" s="270"/>
      <c r="AQ63" s="270"/>
      <c r="AR63" s="267"/>
      <c r="AS63" s="267"/>
    </row>
    <row r="64" spans="2:45" s="109" customFormat="1" x14ac:dyDescent="0.2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108"/>
      <c r="AM64" s="108"/>
      <c r="AN64" s="108"/>
      <c r="AO64" s="108"/>
      <c r="AP64" s="270"/>
      <c r="AQ64" s="270"/>
      <c r="AR64" s="267"/>
      <c r="AS64" s="267"/>
    </row>
    <row r="65" spans="2:45" s="109" customFormat="1" x14ac:dyDescent="0.2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8"/>
      <c r="AO65" s="108"/>
      <c r="AP65" s="270"/>
      <c r="AQ65" s="270"/>
      <c r="AR65" s="267"/>
      <c r="AS65" s="267"/>
    </row>
    <row r="66" spans="2:45" s="109" customFormat="1" x14ac:dyDescent="0.2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270"/>
      <c r="AQ66" s="270"/>
      <c r="AR66" s="267"/>
      <c r="AS66" s="267"/>
    </row>
    <row r="67" spans="2:45" s="109" customFormat="1" x14ac:dyDescent="0.2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108"/>
      <c r="AM67" s="108"/>
      <c r="AN67" s="108"/>
      <c r="AO67" s="108"/>
      <c r="AP67" s="270"/>
      <c r="AQ67" s="270"/>
      <c r="AR67" s="267"/>
      <c r="AS67" s="267"/>
    </row>
    <row r="68" spans="2:45" s="109" customFormat="1" x14ac:dyDescent="0.2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270"/>
      <c r="AQ68" s="270"/>
      <c r="AR68" s="267"/>
      <c r="AS68" s="267"/>
    </row>
    <row r="69" spans="2:45" s="109" customFormat="1" x14ac:dyDescent="0.2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108"/>
      <c r="AM69" s="108"/>
      <c r="AN69" s="108"/>
      <c r="AO69" s="108"/>
      <c r="AP69" s="270"/>
      <c r="AQ69" s="270"/>
      <c r="AR69" s="267"/>
      <c r="AS69" s="267"/>
    </row>
    <row r="70" spans="2:45" s="109" customFormat="1" x14ac:dyDescent="0.2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108"/>
      <c r="AM70" s="108"/>
      <c r="AN70" s="108"/>
      <c r="AO70" s="108"/>
      <c r="AP70" s="270"/>
      <c r="AQ70" s="270"/>
      <c r="AR70" s="267"/>
      <c r="AS70" s="267"/>
    </row>
    <row r="71" spans="2:45" s="109" customFormat="1" x14ac:dyDescent="0.2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c r="AM71" s="108"/>
      <c r="AN71" s="108"/>
      <c r="AO71" s="108"/>
      <c r="AP71" s="270"/>
      <c r="AQ71" s="270"/>
      <c r="AR71" s="267"/>
      <c r="AS71" s="267"/>
    </row>
    <row r="72" spans="2:45" s="109" customFormat="1" x14ac:dyDescent="0.2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270"/>
      <c r="AQ72" s="270"/>
      <c r="AR72" s="267"/>
      <c r="AS72" s="267"/>
    </row>
    <row r="73" spans="2:45" s="109" customFormat="1" x14ac:dyDescent="0.2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270"/>
      <c r="AQ73" s="270"/>
      <c r="AR73" s="267"/>
      <c r="AS73" s="267"/>
    </row>
    <row r="74" spans="2:45" s="109" customFormat="1" x14ac:dyDescent="0.2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270"/>
      <c r="AQ74" s="270"/>
      <c r="AR74" s="267"/>
      <c r="AS74" s="267"/>
    </row>
    <row r="75" spans="2:45" s="109" customFormat="1" x14ac:dyDescent="0.2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270"/>
      <c r="AQ75" s="270"/>
      <c r="AR75" s="267"/>
      <c r="AS75" s="267"/>
    </row>
    <row r="76" spans="2:45" s="109" customFormat="1" x14ac:dyDescent="0.2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270"/>
      <c r="AQ76" s="270"/>
      <c r="AR76" s="267"/>
      <c r="AS76" s="267"/>
    </row>
    <row r="77" spans="2:45" s="109" customFormat="1" x14ac:dyDescent="0.2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108"/>
      <c r="AP77" s="270"/>
      <c r="AQ77" s="270"/>
      <c r="AR77" s="267"/>
      <c r="AS77" s="267"/>
    </row>
    <row r="78" spans="2:45" s="109" customFormat="1" x14ac:dyDescent="0.2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108"/>
      <c r="AP78" s="270"/>
      <c r="AQ78" s="270"/>
      <c r="AR78" s="267"/>
      <c r="AS78" s="267"/>
    </row>
    <row r="79" spans="2:45" s="109" customFormat="1" x14ac:dyDescent="0.2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270"/>
      <c r="AQ79" s="270"/>
      <c r="AR79" s="267"/>
      <c r="AS79" s="267"/>
    </row>
    <row r="80" spans="2:45" s="109" customFormat="1" x14ac:dyDescent="0.2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270"/>
      <c r="AQ80" s="270"/>
      <c r="AR80" s="267"/>
      <c r="AS80" s="267"/>
    </row>
    <row r="81" spans="2:45" s="109" customFormat="1" x14ac:dyDescent="0.2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108"/>
      <c r="AP81" s="270"/>
      <c r="AQ81" s="270"/>
      <c r="AR81" s="267"/>
      <c r="AS81" s="267"/>
    </row>
    <row r="82" spans="2:45" s="109" customFormat="1" x14ac:dyDescent="0.25">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108"/>
      <c r="AM82" s="108"/>
      <c r="AN82" s="108"/>
      <c r="AO82" s="108"/>
      <c r="AP82" s="270"/>
      <c r="AQ82" s="270"/>
      <c r="AR82" s="267"/>
      <c r="AS82" s="267"/>
    </row>
    <row r="83" spans="2:45" s="109" customFormat="1" x14ac:dyDescent="0.25">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108"/>
      <c r="AM83" s="108"/>
      <c r="AN83" s="108"/>
      <c r="AO83" s="108"/>
      <c r="AP83" s="270"/>
      <c r="AQ83" s="270"/>
      <c r="AR83" s="267"/>
      <c r="AS83" s="267"/>
    </row>
    <row r="84" spans="2:45" s="109" customFormat="1" x14ac:dyDescent="0.2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270"/>
      <c r="AQ84" s="270"/>
      <c r="AR84" s="267"/>
      <c r="AS84" s="267"/>
    </row>
    <row r="85" spans="2:45" s="109" customFormat="1" x14ac:dyDescent="0.2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270"/>
      <c r="AQ85" s="270"/>
      <c r="AR85" s="267"/>
      <c r="AS85" s="267"/>
    </row>
    <row r="86" spans="2:45" s="109" customFormat="1" x14ac:dyDescent="0.2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270"/>
      <c r="AQ86" s="270"/>
      <c r="AR86" s="267"/>
      <c r="AS86" s="267"/>
    </row>
    <row r="87" spans="2:45" s="109" customFormat="1" x14ac:dyDescent="0.2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270"/>
      <c r="AQ87" s="270"/>
      <c r="AR87" s="267"/>
      <c r="AS87" s="267"/>
    </row>
    <row r="88" spans="2:45" s="109" customFormat="1" x14ac:dyDescent="0.2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270"/>
      <c r="AQ88" s="270"/>
      <c r="AR88" s="267"/>
      <c r="AS88" s="267"/>
    </row>
    <row r="89" spans="2:45" s="109" customFormat="1" x14ac:dyDescent="0.2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270"/>
      <c r="AQ89" s="270"/>
      <c r="AR89" s="267"/>
      <c r="AS89" s="267"/>
    </row>
    <row r="90" spans="2:45" s="109" customFormat="1" x14ac:dyDescent="0.2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270"/>
      <c r="AQ90" s="270"/>
      <c r="AR90" s="267"/>
      <c r="AS90" s="267"/>
    </row>
    <row r="91" spans="2:45" s="109" customFormat="1" x14ac:dyDescent="0.2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270"/>
      <c r="AQ91" s="270"/>
      <c r="AR91" s="267"/>
      <c r="AS91" s="267"/>
    </row>
    <row r="92" spans="2:45" s="109" customFormat="1" x14ac:dyDescent="0.2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270"/>
      <c r="AQ92" s="270"/>
      <c r="AR92" s="267"/>
      <c r="AS92" s="267"/>
    </row>
    <row r="93" spans="2:45" s="109" customFormat="1" x14ac:dyDescent="0.2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108"/>
      <c r="AP93" s="270"/>
      <c r="AQ93" s="270"/>
      <c r="AR93" s="267"/>
      <c r="AS93" s="267"/>
    </row>
    <row r="94" spans="2:45" s="109" customFormat="1" x14ac:dyDescent="0.2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108"/>
      <c r="AP94" s="270"/>
      <c r="AQ94" s="270"/>
      <c r="AR94" s="268"/>
      <c r="AS94" s="267"/>
    </row>
    <row r="95" spans="2:45" x14ac:dyDescent="0.2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270"/>
      <c r="AQ95" s="270"/>
    </row>
    <row r="96" spans="2:45" x14ac:dyDescent="0.2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108"/>
      <c r="AP96" s="270"/>
      <c r="AQ96" s="270"/>
    </row>
    <row r="97" spans="1:46" x14ac:dyDescent="0.25">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108"/>
      <c r="AP97" s="270"/>
      <c r="AQ97" s="270"/>
    </row>
    <row r="98" spans="1:46" s="268" customFormat="1" x14ac:dyDescent="0.25">
      <c r="A98" s="107"/>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270"/>
      <c r="AQ98" s="270"/>
      <c r="AT98" s="107"/>
    </row>
    <row r="99" spans="1:46"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108"/>
      <c r="AP99" s="270"/>
      <c r="AQ99" s="270"/>
      <c r="AT99" s="107"/>
    </row>
    <row r="100" spans="1:46"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270"/>
      <c r="AQ100" s="270"/>
      <c r="AT100" s="107"/>
    </row>
    <row r="101" spans="1:46"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270"/>
      <c r="AQ101" s="270"/>
      <c r="AT101" s="107"/>
    </row>
    <row r="102" spans="1:46"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270"/>
      <c r="AQ102" s="270"/>
      <c r="AT102" s="107"/>
    </row>
    <row r="103" spans="1:46"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108"/>
      <c r="AP103" s="270"/>
      <c r="AQ103" s="270"/>
      <c r="AT103" s="107"/>
    </row>
    <row r="104" spans="1:46"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270"/>
      <c r="AQ104" s="270"/>
      <c r="AT104" s="107"/>
    </row>
    <row r="105" spans="1:46" s="268" customFormat="1" x14ac:dyDescent="0.2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270"/>
      <c r="AQ105" s="270"/>
      <c r="AT105" s="107"/>
    </row>
    <row r="106" spans="1:46" s="268" customFormat="1" x14ac:dyDescent="0.25">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270"/>
      <c r="AQ106" s="270"/>
    </row>
    <row r="107" spans="1:46" s="268" customFormat="1" x14ac:dyDescent="0.25">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108"/>
      <c r="AP107" s="270"/>
      <c r="AQ107" s="270"/>
    </row>
    <row r="108" spans="1:46" s="268" customFormat="1" x14ac:dyDescent="0.25">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270"/>
      <c r="AQ108" s="270"/>
    </row>
    <row r="109" spans="1:46" s="268" customFormat="1" x14ac:dyDescent="0.25">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270"/>
      <c r="AQ109" s="270"/>
    </row>
    <row r="110" spans="1:46" s="268" customFormat="1" x14ac:dyDescent="0.25">
      <c r="A110" s="107"/>
      <c r="B110" s="108"/>
      <c r="C110" s="108"/>
      <c r="D110" s="108"/>
      <c r="E110" s="108"/>
      <c r="F110" s="108"/>
      <c r="G110" s="108"/>
      <c r="H110" s="108"/>
      <c r="I110" s="108"/>
      <c r="J110" s="108"/>
      <c r="K110" s="108"/>
      <c r="L110" s="108"/>
      <c r="M110" s="108"/>
      <c r="N110" s="108"/>
      <c r="O110" s="108"/>
      <c r="P110" s="108"/>
      <c r="Q110" s="9"/>
      <c r="R110" s="9"/>
      <c r="S110" s="9"/>
      <c r="T110" s="9"/>
      <c r="U110" s="9"/>
      <c r="V110" s="9"/>
      <c r="W110" s="9"/>
      <c r="X110" s="9"/>
      <c r="Y110" s="108"/>
      <c r="Z110" s="108"/>
      <c r="AA110" s="108"/>
      <c r="AB110" s="108"/>
      <c r="AC110" s="9"/>
      <c r="AD110" s="9"/>
      <c r="AE110" s="9"/>
      <c r="AF110" s="108"/>
      <c r="AG110" s="108"/>
      <c r="AH110" s="108"/>
      <c r="AI110" s="108"/>
      <c r="AJ110" s="108"/>
      <c r="AK110" s="108"/>
      <c r="AL110" s="108"/>
      <c r="AM110" s="108"/>
      <c r="AN110" s="108"/>
      <c r="AO110" s="108"/>
      <c r="AP110" s="270"/>
      <c r="AQ110" s="270"/>
    </row>
    <row r="111" spans="1:46" s="268" customFormat="1" x14ac:dyDescent="0.25">
      <c r="A111" s="107"/>
      <c r="B111" s="108"/>
      <c r="C111" s="108"/>
      <c r="D111" s="108"/>
      <c r="E111" s="108"/>
      <c r="F111" s="9"/>
      <c r="G111" s="9"/>
      <c r="H111" s="9"/>
      <c r="I111" s="9"/>
      <c r="J111" s="9"/>
      <c r="K111" s="9"/>
      <c r="L111" s="107"/>
      <c r="M111" s="107"/>
      <c r="N111" s="9"/>
      <c r="O111" s="9"/>
      <c r="P111" s="107"/>
      <c r="Q111" s="9"/>
      <c r="R111" s="9"/>
      <c r="S111" s="9"/>
      <c r="T111" s="9"/>
      <c r="U111" s="9"/>
      <c r="V111" s="9"/>
      <c r="W111" s="9"/>
      <c r="X111" s="9"/>
      <c r="Y111" s="9"/>
      <c r="Z111" s="9"/>
      <c r="AA111" s="9"/>
      <c r="AB111" s="107"/>
      <c r="AC111" s="9"/>
      <c r="AD111" s="9"/>
      <c r="AE111" s="9"/>
      <c r="AF111" s="9"/>
      <c r="AG111" s="107"/>
      <c r="AH111" s="9"/>
      <c r="AI111" s="9"/>
      <c r="AJ111" s="9"/>
      <c r="AK111" s="9"/>
      <c r="AL111" s="107"/>
      <c r="AM111" s="9"/>
      <c r="AN111" s="9"/>
      <c r="AO111" s="9"/>
    </row>
    <row r="112" spans="1:46" s="268" customFormat="1" x14ac:dyDescent="0.25">
      <c r="A112" s="107"/>
      <c r="B112" s="108"/>
      <c r="C112" s="108"/>
      <c r="D112" s="108"/>
      <c r="E112" s="108"/>
      <c r="F112" s="9"/>
      <c r="G112" s="9"/>
      <c r="H112" s="9"/>
      <c r="I112" s="9"/>
      <c r="J112" s="9"/>
      <c r="K112" s="9"/>
      <c r="L112" s="107"/>
      <c r="M112" s="107"/>
      <c r="N112" s="9"/>
      <c r="O112" s="9"/>
      <c r="P112" s="107"/>
      <c r="Q112" s="9"/>
      <c r="R112" s="9"/>
      <c r="S112" s="9"/>
      <c r="T112" s="9"/>
      <c r="U112" s="9"/>
      <c r="V112" s="9"/>
      <c r="W112" s="9"/>
      <c r="X112" s="9"/>
      <c r="Y112" s="9"/>
      <c r="Z112" s="9"/>
      <c r="AA112" s="9"/>
      <c r="AB112" s="107"/>
      <c r="AC112" s="9"/>
      <c r="AD112" s="9"/>
      <c r="AE112" s="9"/>
      <c r="AF112" s="9"/>
      <c r="AG112" s="107"/>
      <c r="AH112" s="9"/>
      <c r="AI112" s="9"/>
      <c r="AJ112" s="9"/>
      <c r="AK112" s="9"/>
      <c r="AL112" s="107"/>
      <c r="AM112" s="9"/>
      <c r="AN112" s="9"/>
      <c r="AO112" s="9"/>
    </row>
    <row r="113" spans="1:41" s="268" customFormat="1" x14ac:dyDescent="0.25">
      <c r="A113" s="107"/>
      <c r="B113" s="108"/>
      <c r="C113" s="108"/>
      <c r="D113" s="108"/>
      <c r="E113" s="108"/>
      <c r="F113" s="9"/>
      <c r="G113" s="9"/>
      <c r="H113" s="9"/>
      <c r="I113" s="9"/>
      <c r="J113" s="9"/>
      <c r="K113" s="9"/>
      <c r="L113" s="107"/>
      <c r="M113" s="107"/>
      <c r="N113" s="9"/>
      <c r="O113" s="9"/>
      <c r="P113" s="107"/>
      <c r="Q113" s="9"/>
      <c r="R113" s="9"/>
      <c r="S113" s="9"/>
      <c r="T113" s="9"/>
      <c r="U113" s="9"/>
      <c r="V113" s="9"/>
      <c r="W113" s="9"/>
      <c r="X113" s="9"/>
      <c r="Y113" s="9"/>
      <c r="Z113" s="9"/>
      <c r="AA113" s="9"/>
      <c r="AB113" s="107"/>
      <c r="AC113" s="9"/>
      <c r="AD113" s="9"/>
      <c r="AE113" s="9"/>
      <c r="AF113" s="9"/>
      <c r="AG113" s="107"/>
      <c r="AH113" s="9"/>
      <c r="AI113" s="9"/>
      <c r="AJ113" s="9"/>
      <c r="AK113" s="9"/>
      <c r="AL113" s="107"/>
      <c r="AM113" s="9"/>
      <c r="AN113" s="9"/>
      <c r="AO113" s="9"/>
    </row>
    <row r="114" spans="1:41" s="268" customFormat="1" x14ac:dyDescent="0.25">
      <c r="A114" s="107"/>
      <c r="B114" s="108"/>
      <c r="C114" s="108"/>
      <c r="D114" s="108"/>
      <c r="E114" s="108"/>
      <c r="F114" s="9"/>
      <c r="G114" s="9"/>
      <c r="H114" s="9"/>
      <c r="I114" s="9"/>
      <c r="J114" s="9"/>
      <c r="K114" s="9"/>
      <c r="L114" s="107"/>
      <c r="M114" s="107"/>
      <c r="N114" s="9"/>
      <c r="O114" s="9"/>
      <c r="P114" s="107"/>
      <c r="Q114" s="9"/>
      <c r="R114" s="9"/>
      <c r="S114" s="9"/>
      <c r="T114" s="9"/>
      <c r="U114" s="9"/>
      <c r="V114" s="9"/>
      <c r="W114" s="9"/>
      <c r="X114" s="9"/>
      <c r="Y114" s="9"/>
      <c r="Z114" s="9"/>
      <c r="AA114" s="9"/>
      <c r="AB114" s="107"/>
      <c r="AC114" s="9"/>
      <c r="AD114" s="9"/>
      <c r="AE114" s="9"/>
      <c r="AF114" s="9"/>
      <c r="AG114" s="107"/>
      <c r="AH114" s="9"/>
      <c r="AI114" s="9"/>
      <c r="AJ114" s="9"/>
      <c r="AK114" s="9"/>
      <c r="AL114" s="107"/>
      <c r="AM114" s="9"/>
      <c r="AN114" s="9"/>
      <c r="AO114" s="9"/>
    </row>
    <row r="115" spans="1:41" s="268" customFormat="1" x14ac:dyDescent="0.25">
      <c r="A115" s="107"/>
      <c r="B115" s="108"/>
      <c r="C115" s="108"/>
      <c r="D115" s="108"/>
      <c r="E115" s="108"/>
      <c r="F115" s="9"/>
      <c r="G115" s="9"/>
      <c r="H115" s="9"/>
      <c r="I115" s="9"/>
      <c r="J115" s="9"/>
      <c r="K115" s="9"/>
      <c r="L115" s="107"/>
      <c r="M115" s="107"/>
      <c r="N115" s="9"/>
      <c r="O115" s="9"/>
      <c r="P115" s="107"/>
      <c r="Q115" s="9"/>
      <c r="R115" s="9"/>
      <c r="S115" s="9"/>
      <c r="T115" s="9"/>
      <c r="U115" s="9"/>
      <c r="V115" s="9"/>
      <c r="W115" s="9"/>
      <c r="X115" s="9"/>
      <c r="Y115" s="9"/>
      <c r="Z115" s="9"/>
      <c r="AA115" s="9"/>
      <c r="AB115" s="107"/>
      <c r="AC115" s="9"/>
      <c r="AD115" s="9"/>
      <c r="AE115" s="9"/>
      <c r="AF115" s="9"/>
      <c r="AG115" s="107"/>
      <c r="AH115" s="9"/>
      <c r="AI115" s="9"/>
      <c r="AJ115" s="9"/>
      <c r="AK115" s="9"/>
      <c r="AL115" s="107"/>
      <c r="AM115" s="9"/>
      <c r="AN115" s="9"/>
      <c r="AO115" s="9"/>
    </row>
    <row r="116" spans="1:41" s="268" customFormat="1" x14ac:dyDescent="0.25">
      <c r="A116" s="107"/>
      <c r="B116" s="108"/>
      <c r="C116" s="108"/>
      <c r="D116" s="108"/>
      <c r="E116" s="108"/>
      <c r="F116" s="9"/>
      <c r="G116" s="9"/>
      <c r="H116" s="9"/>
      <c r="I116" s="9"/>
      <c r="J116" s="9"/>
      <c r="K116" s="9"/>
      <c r="L116" s="107"/>
      <c r="M116" s="107"/>
      <c r="N116" s="9"/>
      <c r="O116" s="9"/>
      <c r="P116" s="107"/>
      <c r="Q116" s="9"/>
      <c r="R116" s="9"/>
      <c r="S116" s="9"/>
      <c r="T116" s="9"/>
      <c r="U116" s="9"/>
      <c r="V116" s="9"/>
      <c r="W116" s="9"/>
      <c r="X116" s="9"/>
      <c r="Y116" s="9"/>
      <c r="Z116" s="9"/>
      <c r="AA116" s="9"/>
      <c r="AB116" s="107"/>
      <c r="AC116" s="9"/>
      <c r="AD116" s="9"/>
      <c r="AE116" s="9"/>
      <c r="AF116" s="9"/>
      <c r="AG116" s="107"/>
      <c r="AH116" s="9"/>
      <c r="AI116" s="9"/>
      <c r="AJ116" s="9"/>
      <c r="AK116" s="9"/>
      <c r="AL116" s="107"/>
      <c r="AM116" s="9"/>
      <c r="AN116" s="9"/>
      <c r="AO116" s="9"/>
    </row>
    <row r="117" spans="1:41" s="268" customFormat="1" x14ac:dyDescent="0.25">
      <c r="A117" s="107"/>
      <c r="B117" s="108"/>
      <c r="C117" s="108"/>
      <c r="D117" s="108"/>
      <c r="E117" s="108"/>
      <c r="F117" s="9"/>
      <c r="G117" s="9"/>
      <c r="H117" s="9"/>
      <c r="I117" s="9"/>
      <c r="J117" s="9"/>
      <c r="K117" s="9"/>
      <c r="L117" s="107"/>
      <c r="M117" s="107"/>
      <c r="N117" s="9"/>
      <c r="O117" s="9"/>
      <c r="P117" s="107"/>
      <c r="Q117" s="9"/>
      <c r="R117" s="9"/>
      <c r="S117" s="9"/>
      <c r="T117" s="9"/>
      <c r="U117" s="9"/>
      <c r="V117" s="9"/>
      <c r="W117" s="9"/>
      <c r="X117" s="9"/>
      <c r="Y117" s="9"/>
      <c r="Z117" s="9"/>
      <c r="AA117" s="9"/>
      <c r="AB117" s="107"/>
      <c r="AC117" s="9"/>
      <c r="AD117" s="9"/>
      <c r="AE117" s="9"/>
      <c r="AF117" s="9"/>
      <c r="AG117" s="107"/>
      <c r="AH117" s="9"/>
      <c r="AI117" s="9"/>
      <c r="AJ117" s="9"/>
      <c r="AK117" s="9"/>
      <c r="AL117" s="107"/>
      <c r="AM117" s="9"/>
      <c r="AN117" s="9"/>
      <c r="AO117" s="9"/>
    </row>
    <row r="118" spans="1:41" s="268" customFormat="1" x14ac:dyDescent="0.25">
      <c r="A118" s="107"/>
      <c r="B118" s="108"/>
      <c r="C118" s="108"/>
      <c r="D118" s="108"/>
      <c r="E118" s="108"/>
      <c r="F118" s="9"/>
      <c r="G118" s="9"/>
      <c r="H118" s="9"/>
      <c r="I118" s="9"/>
      <c r="J118" s="9"/>
      <c r="K118" s="9"/>
      <c r="L118" s="107"/>
      <c r="M118" s="107"/>
      <c r="N118" s="9"/>
      <c r="O118" s="9"/>
      <c r="P118" s="107"/>
      <c r="Q118" s="9"/>
      <c r="R118" s="9"/>
      <c r="S118" s="9"/>
      <c r="T118" s="9"/>
      <c r="U118" s="9"/>
      <c r="V118" s="9"/>
      <c r="W118" s="9"/>
      <c r="X118" s="9"/>
      <c r="Y118" s="9"/>
      <c r="Z118" s="9"/>
      <c r="AA118" s="9"/>
      <c r="AB118" s="107"/>
      <c r="AC118" s="9"/>
      <c r="AD118" s="9"/>
      <c r="AE118" s="9"/>
      <c r="AF118" s="9"/>
      <c r="AG118" s="107"/>
      <c r="AH118" s="9"/>
      <c r="AI118" s="9"/>
      <c r="AJ118" s="9"/>
      <c r="AK118" s="9"/>
      <c r="AL118" s="107"/>
      <c r="AM118" s="9"/>
      <c r="AN118" s="9"/>
      <c r="AO118" s="9"/>
    </row>
    <row r="119" spans="1:41" s="268" customFormat="1" x14ac:dyDescent="0.25">
      <c r="A119" s="107"/>
      <c r="B119" s="108"/>
      <c r="C119" s="108"/>
      <c r="D119" s="108"/>
      <c r="E119" s="108"/>
      <c r="F119" s="9"/>
      <c r="G119" s="9"/>
      <c r="H119" s="9"/>
      <c r="I119" s="9"/>
      <c r="J119" s="9"/>
      <c r="K119" s="9"/>
      <c r="L119" s="107"/>
      <c r="M119" s="107"/>
      <c r="N119" s="9"/>
      <c r="O119" s="9"/>
      <c r="P119" s="107"/>
      <c r="Q119" s="9"/>
      <c r="R119" s="9"/>
      <c r="S119" s="9"/>
      <c r="T119" s="9"/>
      <c r="U119" s="9"/>
      <c r="V119" s="9"/>
      <c r="W119" s="9"/>
      <c r="X119" s="9"/>
      <c r="Y119" s="9"/>
      <c r="Z119" s="9"/>
      <c r="AA119" s="9"/>
      <c r="AB119" s="107"/>
      <c r="AC119" s="9"/>
      <c r="AD119" s="9"/>
      <c r="AE119" s="9"/>
      <c r="AF119" s="9"/>
      <c r="AG119" s="107"/>
      <c r="AH119" s="9"/>
      <c r="AI119" s="9"/>
      <c r="AJ119" s="9"/>
      <c r="AK119" s="9"/>
      <c r="AL119" s="107"/>
      <c r="AM119" s="9"/>
      <c r="AN119" s="9"/>
      <c r="AO119" s="9"/>
    </row>
    <row r="120" spans="1:41" s="268" customFormat="1" x14ac:dyDescent="0.25">
      <c r="A120" s="107"/>
      <c r="B120" s="108"/>
      <c r="C120" s="108"/>
      <c r="D120" s="108"/>
      <c r="E120" s="108"/>
      <c r="F120" s="9"/>
      <c r="G120" s="9"/>
      <c r="H120" s="9"/>
      <c r="I120" s="9"/>
      <c r="J120" s="9"/>
      <c r="K120" s="9"/>
      <c r="L120" s="107"/>
      <c r="M120" s="107"/>
      <c r="N120" s="9"/>
      <c r="O120" s="9"/>
      <c r="P120" s="107"/>
      <c r="Q120" s="9"/>
      <c r="R120" s="9"/>
      <c r="S120" s="9"/>
      <c r="T120" s="9"/>
      <c r="U120" s="9"/>
      <c r="V120" s="9"/>
      <c r="W120" s="9"/>
      <c r="X120" s="9"/>
      <c r="Y120" s="9"/>
      <c r="Z120" s="9"/>
      <c r="AA120" s="9"/>
      <c r="AB120" s="107"/>
      <c r="AC120" s="9"/>
      <c r="AD120" s="9"/>
      <c r="AE120" s="9"/>
      <c r="AF120" s="9"/>
      <c r="AG120" s="107"/>
      <c r="AH120" s="9"/>
      <c r="AI120" s="9"/>
      <c r="AJ120" s="9"/>
      <c r="AK120" s="9"/>
      <c r="AL120" s="107"/>
      <c r="AM120" s="9"/>
      <c r="AN120" s="9"/>
      <c r="AO120" s="9"/>
    </row>
    <row r="121" spans="1:41" s="268" customFormat="1" x14ac:dyDescent="0.25">
      <c r="A121" s="107"/>
      <c r="B121" s="108"/>
      <c r="C121" s="108"/>
      <c r="D121" s="108"/>
      <c r="E121" s="108"/>
      <c r="F121" s="9"/>
      <c r="G121" s="9"/>
      <c r="H121" s="9"/>
      <c r="I121" s="9"/>
      <c r="J121" s="9"/>
      <c r="K121" s="9"/>
      <c r="L121" s="107"/>
      <c r="M121" s="107"/>
      <c r="N121" s="9"/>
      <c r="O121" s="9"/>
      <c r="P121" s="107"/>
      <c r="Q121" s="9"/>
      <c r="R121" s="9"/>
      <c r="S121" s="9"/>
      <c r="T121" s="9"/>
      <c r="U121" s="9"/>
      <c r="V121" s="9"/>
      <c r="W121" s="9"/>
      <c r="X121" s="9"/>
      <c r="Y121" s="9"/>
      <c r="Z121" s="9"/>
      <c r="AA121" s="9"/>
      <c r="AB121" s="107"/>
      <c r="AC121" s="9"/>
      <c r="AD121" s="9"/>
      <c r="AE121" s="9"/>
      <c r="AF121" s="9"/>
      <c r="AG121" s="107"/>
      <c r="AH121" s="9"/>
      <c r="AI121" s="9"/>
      <c r="AJ121" s="9"/>
      <c r="AK121" s="9"/>
      <c r="AL121" s="107"/>
      <c r="AM121" s="9"/>
      <c r="AN121" s="9"/>
      <c r="AO121" s="9"/>
    </row>
    <row r="122" spans="1:41" s="268" customFormat="1" x14ac:dyDescent="0.25">
      <c r="A122" s="107"/>
      <c r="B122" s="108"/>
      <c r="C122" s="108"/>
      <c r="D122" s="108"/>
      <c r="E122" s="108"/>
      <c r="F122" s="9"/>
      <c r="G122" s="9"/>
      <c r="H122" s="9"/>
      <c r="I122" s="9"/>
      <c r="J122" s="9"/>
      <c r="K122" s="9"/>
      <c r="L122" s="107"/>
      <c r="M122" s="107"/>
      <c r="N122" s="9"/>
      <c r="O122" s="9"/>
      <c r="P122" s="107"/>
      <c r="Q122" s="9"/>
      <c r="R122" s="9"/>
      <c r="S122" s="9"/>
      <c r="T122" s="9"/>
      <c r="U122" s="9"/>
      <c r="V122" s="9"/>
      <c r="W122" s="9"/>
      <c r="X122" s="9"/>
      <c r="Y122" s="9"/>
      <c r="Z122" s="9"/>
      <c r="AA122" s="9"/>
      <c r="AB122" s="107"/>
      <c r="AC122" s="9"/>
      <c r="AD122" s="9"/>
      <c r="AE122" s="9"/>
      <c r="AF122" s="9"/>
      <c r="AG122" s="107"/>
      <c r="AH122" s="9"/>
      <c r="AI122" s="9"/>
      <c r="AJ122" s="9"/>
      <c r="AK122" s="9"/>
      <c r="AL122" s="107"/>
      <c r="AM122" s="9"/>
      <c r="AN122" s="9"/>
      <c r="AO122" s="9"/>
    </row>
    <row r="123" spans="1:41" s="268" customFormat="1" x14ac:dyDescent="0.25">
      <c r="A123" s="107"/>
      <c r="B123" s="108"/>
      <c r="C123" s="108"/>
      <c r="D123" s="108"/>
      <c r="E123" s="108"/>
      <c r="F123" s="9"/>
      <c r="G123" s="9"/>
      <c r="H123" s="9"/>
      <c r="I123" s="9"/>
      <c r="J123" s="9"/>
      <c r="K123" s="9"/>
      <c r="L123" s="107"/>
      <c r="M123" s="107"/>
      <c r="N123" s="9"/>
      <c r="O123" s="9"/>
      <c r="P123" s="107"/>
      <c r="Q123" s="9"/>
      <c r="R123" s="9"/>
      <c r="S123" s="9"/>
      <c r="T123" s="9"/>
      <c r="U123" s="9"/>
      <c r="V123" s="9"/>
      <c r="W123" s="9"/>
      <c r="X123" s="9"/>
      <c r="Y123" s="9"/>
      <c r="Z123" s="9"/>
      <c r="AA123" s="9"/>
      <c r="AB123" s="107"/>
      <c r="AC123" s="9"/>
      <c r="AD123" s="9"/>
      <c r="AE123" s="9"/>
      <c r="AF123" s="9"/>
      <c r="AG123" s="107"/>
      <c r="AH123" s="9"/>
      <c r="AI123" s="9"/>
      <c r="AJ123" s="9"/>
      <c r="AK123" s="9"/>
      <c r="AL123" s="107"/>
      <c r="AM123" s="9"/>
      <c r="AN123" s="9"/>
      <c r="AO123" s="9"/>
    </row>
    <row r="124" spans="1:41" s="268" customFormat="1" x14ac:dyDescent="0.25">
      <c r="A124" s="107"/>
      <c r="B124" s="108"/>
      <c r="C124" s="108"/>
      <c r="D124" s="108"/>
      <c r="E124" s="108"/>
      <c r="F124" s="9"/>
      <c r="G124" s="9"/>
      <c r="H124" s="9"/>
      <c r="I124" s="9"/>
      <c r="J124" s="9"/>
      <c r="K124" s="9"/>
      <c r="L124" s="107"/>
      <c r="M124" s="107"/>
      <c r="N124" s="9"/>
      <c r="O124" s="9"/>
      <c r="P124" s="107"/>
      <c r="Q124" s="9"/>
      <c r="R124" s="9"/>
      <c r="S124" s="9"/>
      <c r="T124" s="9"/>
      <c r="U124" s="9"/>
      <c r="V124" s="9"/>
      <c r="W124" s="9"/>
      <c r="X124" s="9"/>
      <c r="Y124" s="9"/>
      <c r="Z124" s="9"/>
      <c r="AA124" s="9"/>
      <c r="AB124" s="107"/>
      <c r="AC124" s="9"/>
      <c r="AD124" s="9"/>
      <c r="AE124" s="9"/>
      <c r="AF124" s="9"/>
      <c r="AG124" s="107"/>
      <c r="AH124" s="9"/>
      <c r="AI124" s="9"/>
      <c r="AJ124" s="9"/>
      <c r="AK124" s="9"/>
      <c r="AL124" s="107"/>
      <c r="AM124" s="9"/>
      <c r="AN124" s="9"/>
      <c r="AO124" s="9"/>
    </row>
    <row r="125" spans="1:41" s="268" customFormat="1" x14ac:dyDescent="0.25">
      <c r="A125" s="107"/>
      <c r="B125" s="108"/>
      <c r="C125" s="108"/>
      <c r="D125" s="108"/>
      <c r="E125" s="108"/>
      <c r="F125" s="9"/>
      <c r="G125" s="9"/>
      <c r="H125" s="9"/>
      <c r="I125" s="9"/>
      <c r="J125" s="9"/>
      <c r="K125" s="9"/>
      <c r="L125" s="107"/>
      <c r="M125" s="107"/>
      <c r="N125" s="9"/>
      <c r="O125" s="9"/>
      <c r="P125" s="107"/>
      <c r="Q125" s="9"/>
      <c r="R125" s="9"/>
      <c r="S125" s="9"/>
      <c r="T125" s="9"/>
      <c r="U125" s="9"/>
      <c r="V125" s="9"/>
      <c r="W125" s="9"/>
      <c r="X125" s="9"/>
      <c r="Y125" s="9"/>
      <c r="Z125" s="9"/>
      <c r="AA125" s="9"/>
      <c r="AB125" s="107"/>
      <c r="AC125" s="9"/>
      <c r="AD125" s="9"/>
      <c r="AE125" s="9"/>
      <c r="AF125" s="9"/>
      <c r="AG125" s="107"/>
      <c r="AH125" s="9"/>
      <c r="AI125" s="9"/>
      <c r="AJ125" s="9"/>
      <c r="AK125" s="9"/>
      <c r="AL125" s="107"/>
      <c r="AM125" s="9"/>
      <c r="AN125" s="9"/>
      <c r="AO125" s="9"/>
    </row>
    <row r="126" spans="1:41" s="268" customFormat="1" x14ac:dyDescent="0.25">
      <c r="A126" s="107"/>
      <c r="B126" s="108"/>
      <c r="C126" s="108"/>
      <c r="D126" s="108"/>
      <c r="E126" s="108"/>
      <c r="F126" s="9"/>
      <c r="G126" s="9"/>
      <c r="H126" s="9"/>
      <c r="I126" s="9"/>
      <c r="J126" s="9"/>
      <c r="K126" s="9"/>
      <c r="L126" s="107"/>
      <c r="M126" s="107"/>
      <c r="N126" s="9"/>
      <c r="O126" s="9"/>
      <c r="P126" s="107"/>
      <c r="Q126" s="9"/>
      <c r="R126" s="9"/>
      <c r="S126" s="9"/>
      <c r="T126" s="9"/>
      <c r="U126" s="9"/>
      <c r="V126" s="9"/>
      <c r="W126" s="9"/>
      <c r="X126" s="9"/>
      <c r="Y126" s="9"/>
      <c r="Z126" s="9"/>
      <c r="AA126" s="9"/>
      <c r="AB126" s="107"/>
      <c r="AC126" s="9"/>
      <c r="AD126" s="9"/>
      <c r="AE126" s="9"/>
      <c r="AF126" s="9"/>
      <c r="AG126" s="107"/>
      <c r="AH126" s="9"/>
      <c r="AI126" s="9"/>
      <c r="AJ126" s="9"/>
      <c r="AK126" s="9"/>
      <c r="AL126" s="107"/>
      <c r="AM126" s="9"/>
      <c r="AN126" s="9"/>
      <c r="AO126" s="9"/>
    </row>
    <row r="127" spans="1:41" s="268" customFormat="1" x14ac:dyDescent="0.25">
      <c r="A127" s="107"/>
      <c r="B127" s="108"/>
      <c r="C127" s="108"/>
      <c r="D127" s="108"/>
      <c r="E127" s="108"/>
      <c r="F127" s="9"/>
      <c r="G127" s="9"/>
      <c r="H127" s="9"/>
      <c r="I127" s="9"/>
      <c r="J127" s="9"/>
      <c r="K127" s="9"/>
      <c r="L127" s="107"/>
      <c r="M127" s="107"/>
      <c r="N127" s="9"/>
      <c r="O127" s="9"/>
      <c r="P127" s="107"/>
      <c r="Q127" s="9"/>
      <c r="R127" s="9"/>
      <c r="S127" s="9"/>
      <c r="T127" s="9"/>
      <c r="U127" s="9"/>
      <c r="V127" s="9"/>
      <c r="W127" s="9"/>
      <c r="X127" s="9"/>
      <c r="Y127" s="9"/>
      <c r="Z127" s="9"/>
      <c r="AA127" s="9"/>
      <c r="AB127" s="107"/>
      <c r="AC127" s="9"/>
      <c r="AD127" s="9"/>
      <c r="AE127" s="9"/>
      <c r="AF127" s="9"/>
      <c r="AG127" s="107"/>
      <c r="AH127" s="9"/>
      <c r="AI127" s="9"/>
      <c r="AJ127" s="9"/>
      <c r="AK127" s="9"/>
      <c r="AL127" s="107"/>
      <c r="AM127" s="9"/>
      <c r="AN127" s="9"/>
      <c r="AO127" s="9"/>
    </row>
    <row r="128" spans="1:41" s="268" customFormat="1" x14ac:dyDescent="0.25">
      <c r="A128" s="107"/>
      <c r="B128" s="108"/>
      <c r="C128" s="108"/>
      <c r="D128" s="108"/>
      <c r="E128" s="108"/>
      <c r="F128" s="9"/>
      <c r="G128" s="9"/>
      <c r="H128" s="9"/>
      <c r="I128" s="9"/>
      <c r="J128" s="9"/>
      <c r="K128" s="9"/>
      <c r="L128" s="107"/>
      <c r="M128" s="107"/>
      <c r="N128" s="9"/>
      <c r="O128" s="9"/>
      <c r="P128" s="107"/>
      <c r="Q128" s="9"/>
      <c r="R128" s="9"/>
      <c r="S128" s="9"/>
      <c r="T128" s="9"/>
      <c r="U128" s="9"/>
      <c r="V128" s="9"/>
      <c r="W128" s="9"/>
      <c r="X128" s="9"/>
      <c r="Y128" s="9"/>
      <c r="Z128" s="9"/>
      <c r="AA128" s="9"/>
      <c r="AB128" s="107"/>
      <c r="AC128" s="9"/>
      <c r="AD128" s="9"/>
      <c r="AE128" s="9"/>
      <c r="AF128" s="9"/>
      <c r="AG128" s="107"/>
      <c r="AH128" s="9"/>
      <c r="AI128" s="9"/>
      <c r="AJ128" s="9"/>
      <c r="AK128" s="9"/>
      <c r="AL128" s="107"/>
      <c r="AM128" s="9"/>
      <c r="AN128" s="9"/>
      <c r="AO128" s="9"/>
    </row>
    <row r="129" spans="1:45" s="268" customFormat="1" x14ac:dyDescent="0.25">
      <c r="A129" s="107"/>
      <c r="B129" s="108"/>
      <c r="C129" s="108"/>
      <c r="D129" s="108"/>
      <c r="E129" s="108"/>
      <c r="F129" s="9"/>
      <c r="G129" s="9"/>
      <c r="H129" s="9"/>
      <c r="I129" s="9"/>
      <c r="J129" s="9"/>
      <c r="K129" s="9"/>
      <c r="L129" s="107"/>
      <c r="M129" s="107"/>
      <c r="N129" s="9"/>
      <c r="O129" s="9"/>
      <c r="P129" s="107"/>
      <c r="Q129" s="9"/>
      <c r="R129" s="9"/>
      <c r="S129" s="9"/>
      <c r="T129" s="9"/>
      <c r="U129" s="9"/>
      <c r="V129" s="9"/>
      <c r="W129" s="9"/>
      <c r="X129" s="9"/>
      <c r="Y129" s="9"/>
      <c r="Z129" s="9"/>
      <c r="AA129" s="9"/>
      <c r="AB129" s="107"/>
      <c r="AC129" s="9"/>
      <c r="AD129" s="9"/>
      <c r="AE129" s="9"/>
      <c r="AF129" s="9"/>
      <c r="AG129" s="107"/>
      <c r="AH129" s="9"/>
      <c r="AI129" s="9"/>
      <c r="AJ129" s="9"/>
      <c r="AK129" s="9"/>
      <c r="AL129" s="107"/>
      <c r="AM129" s="9"/>
      <c r="AN129" s="9"/>
      <c r="AO129" s="9"/>
    </row>
    <row r="130" spans="1:45" s="268" customFormat="1" x14ac:dyDescent="0.25">
      <c r="A130" s="107"/>
      <c r="B130" s="108"/>
      <c r="C130" s="108"/>
      <c r="D130" s="108"/>
      <c r="E130" s="108"/>
      <c r="F130" s="9"/>
      <c r="G130" s="9"/>
      <c r="H130" s="9"/>
      <c r="I130" s="9"/>
      <c r="J130" s="9"/>
      <c r="K130" s="9"/>
      <c r="L130" s="107"/>
      <c r="M130" s="107"/>
      <c r="N130" s="9"/>
      <c r="O130" s="9"/>
      <c r="P130" s="107"/>
      <c r="Q130" s="9"/>
      <c r="R130" s="9"/>
      <c r="S130" s="9"/>
      <c r="T130" s="9"/>
      <c r="U130" s="9"/>
      <c r="V130" s="9"/>
      <c r="W130" s="9"/>
      <c r="X130" s="9"/>
      <c r="Y130" s="9"/>
      <c r="Z130" s="9"/>
      <c r="AA130" s="9"/>
      <c r="AB130" s="107"/>
      <c r="AC130" s="9"/>
      <c r="AD130" s="9"/>
      <c r="AE130" s="9"/>
      <c r="AF130" s="9"/>
      <c r="AG130" s="107"/>
      <c r="AH130" s="9"/>
      <c r="AI130" s="9"/>
      <c r="AJ130" s="9"/>
      <c r="AK130" s="9"/>
      <c r="AL130" s="107"/>
      <c r="AM130" s="9"/>
      <c r="AN130" s="9"/>
      <c r="AO130" s="9"/>
    </row>
    <row r="131" spans="1:45" s="268" customFormat="1" x14ac:dyDescent="0.25">
      <c r="A131" s="107"/>
      <c r="B131" s="108"/>
      <c r="C131" s="108"/>
      <c r="D131" s="108"/>
      <c r="E131" s="108"/>
      <c r="F131" s="9"/>
      <c r="G131" s="9"/>
      <c r="H131" s="9"/>
      <c r="I131" s="9"/>
      <c r="J131" s="9"/>
      <c r="K131" s="9"/>
      <c r="L131" s="107"/>
      <c r="M131" s="107"/>
      <c r="N131" s="9"/>
      <c r="O131" s="9"/>
      <c r="P131" s="107"/>
      <c r="Q131" s="9"/>
      <c r="R131" s="9"/>
      <c r="S131" s="9"/>
      <c r="T131" s="9"/>
      <c r="U131" s="9"/>
      <c r="V131" s="9"/>
      <c r="W131" s="9"/>
      <c r="X131" s="9"/>
      <c r="Y131" s="9"/>
      <c r="Z131" s="9"/>
      <c r="AA131" s="9"/>
      <c r="AB131" s="107"/>
      <c r="AC131" s="9"/>
      <c r="AD131" s="9"/>
      <c r="AE131" s="9"/>
      <c r="AF131" s="9"/>
      <c r="AG131" s="107"/>
      <c r="AH131" s="9"/>
      <c r="AI131" s="9"/>
      <c r="AJ131" s="9"/>
      <c r="AK131" s="9"/>
      <c r="AL131" s="107"/>
      <c r="AM131" s="9"/>
      <c r="AN131" s="9"/>
      <c r="AO131" s="9"/>
    </row>
    <row r="132" spans="1:45" s="268" customFormat="1" x14ac:dyDescent="0.25">
      <c r="A132" s="107"/>
      <c r="B132" s="108"/>
      <c r="C132" s="108"/>
      <c r="D132" s="108"/>
      <c r="E132" s="108"/>
      <c r="F132" s="9"/>
      <c r="G132" s="9"/>
      <c r="H132" s="9"/>
      <c r="I132" s="9"/>
      <c r="J132" s="9"/>
      <c r="K132" s="9"/>
      <c r="L132" s="107"/>
      <c r="M132" s="107"/>
      <c r="N132" s="9"/>
      <c r="O132" s="9"/>
      <c r="P132" s="107"/>
      <c r="Q132" s="9"/>
      <c r="R132" s="9"/>
      <c r="S132" s="9"/>
      <c r="T132" s="9"/>
      <c r="U132" s="9"/>
      <c r="V132" s="9"/>
      <c r="W132" s="9"/>
      <c r="X132" s="9"/>
      <c r="Y132" s="9"/>
      <c r="Z132" s="9"/>
      <c r="AA132" s="9"/>
      <c r="AB132" s="107"/>
      <c r="AC132" s="9"/>
      <c r="AD132" s="9"/>
      <c r="AE132" s="9"/>
      <c r="AF132" s="9"/>
      <c r="AG132" s="107"/>
      <c r="AH132" s="9"/>
      <c r="AI132" s="9"/>
      <c r="AJ132" s="9"/>
      <c r="AK132" s="9"/>
      <c r="AL132" s="107"/>
      <c r="AM132" s="9"/>
      <c r="AN132" s="9"/>
      <c r="AO132" s="9"/>
    </row>
    <row r="133" spans="1:45" s="268" customFormat="1" x14ac:dyDescent="0.25">
      <c r="A133" s="107"/>
      <c r="B133" s="108"/>
      <c r="C133" s="108"/>
      <c r="D133" s="108"/>
      <c r="E133" s="108"/>
      <c r="F133" s="9"/>
      <c r="G133" s="9"/>
      <c r="H133" s="9"/>
      <c r="I133" s="9"/>
      <c r="J133" s="9"/>
      <c r="K133" s="9"/>
      <c r="L133" s="107"/>
      <c r="M133" s="107"/>
      <c r="N133" s="9"/>
      <c r="O133" s="9"/>
      <c r="P133" s="107"/>
      <c r="Q133" s="9"/>
      <c r="R133" s="9"/>
      <c r="S133" s="9"/>
      <c r="T133" s="9"/>
      <c r="U133" s="9"/>
      <c r="V133" s="9"/>
      <c r="W133" s="9"/>
      <c r="X133" s="9"/>
      <c r="Y133" s="9"/>
      <c r="Z133" s="9"/>
      <c r="AA133" s="9"/>
      <c r="AB133" s="107"/>
      <c r="AC133" s="9"/>
      <c r="AD133" s="9"/>
      <c r="AE133" s="9"/>
      <c r="AF133" s="9"/>
      <c r="AG133" s="107"/>
      <c r="AH133" s="9"/>
      <c r="AI133" s="9"/>
      <c r="AJ133" s="9"/>
      <c r="AK133" s="9"/>
      <c r="AL133" s="107"/>
      <c r="AM133" s="9"/>
      <c r="AN133" s="9"/>
      <c r="AO133" s="9"/>
    </row>
    <row r="134" spans="1:45" s="268" customFormat="1" x14ac:dyDescent="0.25">
      <c r="A134" s="107"/>
      <c r="B134" s="108"/>
      <c r="C134" s="108"/>
      <c r="D134" s="108"/>
      <c r="E134" s="108"/>
      <c r="F134" s="9"/>
      <c r="G134" s="9"/>
      <c r="H134" s="9"/>
      <c r="I134" s="9"/>
      <c r="J134" s="9"/>
      <c r="K134" s="9"/>
      <c r="L134" s="107"/>
      <c r="M134" s="107"/>
      <c r="N134" s="9"/>
      <c r="O134" s="9"/>
      <c r="P134" s="107"/>
      <c r="Q134" s="9"/>
      <c r="R134" s="9"/>
      <c r="S134" s="9"/>
      <c r="T134" s="9"/>
      <c r="U134" s="9"/>
      <c r="V134" s="9"/>
      <c r="W134" s="9"/>
      <c r="X134" s="9"/>
      <c r="Y134" s="9"/>
      <c r="Z134" s="9"/>
      <c r="AA134" s="9"/>
      <c r="AB134" s="107"/>
      <c r="AC134" s="9"/>
      <c r="AD134" s="9"/>
      <c r="AE134" s="9"/>
      <c r="AF134" s="9"/>
      <c r="AG134" s="107"/>
      <c r="AH134" s="9"/>
      <c r="AI134" s="9"/>
      <c r="AJ134" s="9"/>
      <c r="AK134" s="9"/>
      <c r="AL134" s="107"/>
      <c r="AM134" s="9"/>
      <c r="AN134" s="9"/>
      <c r="AO134" s="9"/>
    </row>
    <row r="135" spans="1:45" s="268" customFormat="1" x14ac:dyDescent="0.25">
      <c r="A135" s="107"/>
      <c r="B135" s="108"/>
      <c r="C135" s="108"/>
      <c r="D135" s="108"/>
      <c r="E135" s="108"/>
      <c r="F135" s="9"/>
      <c r="G135" s="9"/>
      <c r="H135" s="9"/>
      <c r="I135" s="9"/>
      <c r="J135" s="9"/>
      <c r="K135" s="9"/>
      <c r="L135" s="107"/>
      <c r="M135" s="107"/>
      <c r="N135" s="9"/>
      <c r="O135" s="9"/>
      <c r="P135" s="107"/>
      <c r="Q135" s="9"/>
      <c r="R135" s="9"/>
      <c r="S135" s="9"/>
      <c r="T135" s="9"/>
      <c r="U135" s="9"/>
      <c r="V135" s="9"/>
      <c r="W135" s="9"/>
      <c r="X135" s="9"/>
      <c r="Y135" s="9"/>
      <c r="Z135" s="9"/>
      <c r="AA135" s="9"/>
      <c r="AB135" s="107"/>
      <c r="AC135" s="9"/>
      <c r="AD135" s="9"/>
      <c r="AE135" s="9"/>
      <c r="AF135" s="9"/>
      <c r="AG135" s="107"/>
      <c r="AH135" s="9"/>
      <c r="AI135" s="9"/>
      <c r="AJ135" s="9"/>
      <c r="AK135" s="9"/>
      <c r="AL135" s="107"/>
      <c r="AM135" s="9"/>
      <c r="AN135" s="9"/>
      <c r="AO135" s="9"/>
    </row>
    <row r="136" spans="1:45" s="268" customFormat="1" x14ac:dyDescent="0.25">
      <c r="A136" s="107"/>
      <c r="B136" s="107"/>
      <c r="C136" s="9"/>
      <c r="D136" s="9"/>
      <c r="E136" s="107"/>
      <c r="F136" s="9"/>
      <c r="G136" s="9"/>
      <c r="H136" s="9"/>
      <c r="I136" s="9"/>
      <c r="J136" s="9"/>
      <c r="K136" s="9"/>
      <c r="L136" s="107"/>
      <c r="M136" s="107"/>
      <c r="N136" s="9"/>
      <c r="O136" s="9"/>
      <c r="P136" s="107"/>
      <c r="Q136" s="9"/>
      <c r="R136" s="9"/>
      <c r="S136" s="9"/>
      <c r="T136" s="9"/>
      <c r="U136" s="9"/>
      <c r="V136" s="9"/>
      <c r="W136" s="9"/>
      <c r="X136" s="9"/>
      <c r="Y136" s="9"/>
      <c r="Z136" s="9"/>
      <c r="AA136" s="9"/>
      <c r="AB136" s="107"/>
      <c r="AC136" s="9"/>
      <c r="AD136" s="9"/>
      <c r="AE136" s="9"/>
      <c r="AF136" s="9"/>
      <c r="AG136" s="107"/>
      <c r="AH136" s="9"/>
      <c r="AI136" s="9"/>
      <c r="AJ136" s="9"/>
      <c r="AK136" s="9"/>
      <c r="AL136" s="107"/>
      <c r="AM136" s="9"/>
      <c r="AN136" s="9"/>
      <c r="AO136" s="9"/>
    </row>
    <row r="137" spans="1:45" s="268" customFormat="1" x14ac:dyDescent="0.25">
      <c r="A137" s="107"/>
      <c r="B137" s="107"/>
      <c r="C137" s="9"/>
      <c r="D137" s="9"/>
      <c r="E137" s="107"/>
      <c r="F137" s="9"/>
      <c r="G137" s="9"/>
      <c r="H137" s="9"/>
      <c r="I137" s="9"/>
      <c r="J137" s="9"/>
      <c r="K137" s="9"/>
      <c r="L137" s="107"/>
      <c r="M137" s="107"/>
      <c r="N137" s="9"/>
      <c r="O137" s="9"/>
      <c r="P137" s="107"/>
      <c r="Q137" s="9"/>
      <c r="R137" s="9"/>
      <c r="S137" s="9"/>
      <c r="T137" s="9"/>
      <c r="U137" s="9"/>
      <c r="V137" s="9"/>
      <c r="W137" s="9"/>
      <c r="X137" s="9"/>
      <c r="Y137" s="9"/>
      <c r="Z137" s="9"/>
      <c r="AA137" s="9"/>
      <c r="AB137" s="107"/>
      <c r="AC137" s="9"/>
      <c r="AD137" s="9"/>
      <c r="AE137" s="9"/>
      <c r="AF137" s="9"/>
      <c r="AG137" s="107"/>
      <c r="AH137" s="9"/>
      <c r="AI137" s="9"/>
      <c r="AJ137" s="9"/>
      <c r="AK137" s="9"/>
      <c r="AL137" s="107"/>
      <c r="AM137" s="9"/>
      <c r="AN137" s="9"/>
      <c r="AO137" s="9"/>
    </row>
    <row r="138" spans="1:45" x14ac:dyDescent="0.25">
      <c r="C138" s="9"/>
      <c r="D138" s="9"/>
      <c r="F138" s="9"/>
      <c r="G138" s="9"/>
      <c r="H138" s="9"/>
      <c r="I138" s="9"/>
      <c r="J138" s="9"/>
      <c r="K138" s="9"/>
      <c r="N138" s="9"/>
      <c r="O138" s="9"/>
      <c r="Q138" s="9"/>
      <c r="R138" s="9"/>
      <c r="S138" s="9"/>
      <c r="T138" s="9"/>
      <c r="U138" s="9"/>
      <c r="V138" s="9"/>
      <c r="W138" s="9"/>
      <c r="X138" s="9"/>
      <c r="Y138" s="9"/>
      <c r="Z138" s="9"/>
      <c r="AA138" s="9"/>
      <c r="AC138" s="9"/>
      <c r="AD138" s="9"/>
      <c r="AE138" s="9"/>
      <c r="AF138" s="9"/>
      <c r="AH138" s="9"/>
      <c r="AI138" s="9"/>
      <c r="AJ138" s="9"/>
      <c r="AK138" s="9"/>
      <c r="AM138" s="9"/>
      <c r="AN138" s="9"/>
      <c r="AO138" s="9"/>
      <c r="AP138" s="107"/>
      <c r="AQ138" s="107"/>
      <c r="AR138" s="107"/>
      <c r="AS138" s="107"/>
    </row>
    <row r="139" spans="1:45" x14ac:dyDescent="0.25">
      <c r="C139" s="9"/>
      <c r="D139" s="9"/>
      <c r="F139" s="9"/>
      <c r="G139" s="9"/>
      <c r="H139" s="9"/>
      <c r="I139" s="9"/>
      <c r="J139" s="9"/>
      <c r="K139" s="9"/>
      <c r="N139" s="9"/>
      <c r="O139" s="9"/>
      <c r="Q139" s="9"/>
      <c r="R139" s="9"/>
      <c r="S139" s="9"/>
      <c r="T139" s="9"/>
      <c r="U139" s="9"/>
      <c r="V139" s="9"/>
      <c r="W139" s="9"/>
      <c r="X139" s="9"/>
      <c r="Y139" s="9"/>
      <c r="Z139" s="9"/>
      <c r="AA139" s="9"/>
      <c r="AC139" s="9"/>
      <c r="AD139" s="9"/>
      <c r="AE139" s="9"/>
      <c r="AF139" s="9"/>
      <c r="AH139" s="9"/>
      <c r="AI139" s="9"/>
      <c r="AJ139" s="9"/>
      <c r="AK139" s="9"/>
      <c r="AM139" s="9"/>
      <c r="AN139" s="9"/>
      <c r="AO139" s="9"/>
      <c r="AP139" s="107"/>
      <c r="AQ139" s="107"/>
      <c r="AR139" s="107"/>
      <c r="AS139" s="107"/>
    </row>
    <row r="140" spans="1:45" x14ac:dyDescent="0.25">
      <c r="C140" s="9"/>
      <c r="D140" s="9"/>
      <c r="F140" s="9"/>
      <c r="G140" s="9"/>
      <c r="H140" s="9"/>
      <c r="I140" s="9"/>
      <c r="J140" s="9"/>
      <c r="K140" s="9"/>
      <c r="N140" s="9"/>
      <c r="O140" s="9"/>
      <c r="Q140" s="9"/>
      <c r="R140" s="9"/>
      <c r="S140" s="9"/>
      <c r="T140" s="9"/>
      <c r="U140" s="9"/>
      <c r="V140" s="9"/>
      <c r="W140" s="9"/>
      <c r="X140" s="9"/>
      <c r="Y140" s="9"/>
      <c r="Z140" s="9"/>
      <c r="AA140" s="9"/>
      <c r="AC140" s="9"/>
      <c r="AD140" s="9"/>
      <c r="AE140" s="9"/>
      <c r="AF140" s="9"/>
      <c r="AH140" s="9"/>
      <c r="AI140" s="9"/>
      <c r="AJ140" s="9"/>
      <c r="AK140" s="9"/>
      <c r="AM140" s="9"/>
      <c r="AN140" s="9"/>
      <c r="AO140" s="9"/>
      <c r="AP140" s="107"/>
      <c r="AQ140" s="107"/>
      <c r="AR140" s="107"/>
      <c r="AS140" s="107"/>
    </row>
    <row r="141" spans="1:45" x14ac:dyDescent="0.25">
      <c r="C141" s="9"/>
      <c r="D141" s="9"/>
      <c r="F141" s="9"/>
      <c r="G141" s="9"/>
      <c r="H141" s="9"/>
      <c r="I141" s="9"/>
      <c r="J141" s="9"/>
      <c r="K141" s="9"/>
      <c r="N141" s="9"/>
      <c r="O141" s="9"/>
      <c r="Q141" s="9"/>
      <c r="R141" s="9"/>
      <c r="S141" s="9"/>
      <c r="T141" s="9"/>
      <c r="U141" s="9"/>
      <c r="V141" s="9"/>
      <c r="W141" s="9"/>
      <c r="X141" s="9"/>
      <c r="Y141" s="9"/>
      <c r="Z141" s="9"/>
      <c r="AA141" s="9"/>
      <c r="AC141" s="9"/>
      <c r="AD141" s="9"/>
      <c r="AE141" s="9"/>
      <c r="AF141" s="9"/>
      <c r="AH141" s="9"/>
      <c r="AI141" s="9"/>
      <c r="AJ141" s="9"/>
      <c r="AK141" s="9"/>
      <c r="AM141" s="9"/>
      <c r="AN141" s="9"/>
      <c r="AO141" s="9"/>
      <c r="AP141" s="107"/>
      <c r="AQ141" s="107"/>
      <c r="AR141" s="107"/>
      <c r="AS141" s="107"/>
    </row>
    <row r="142" spans="1:45" x14ac:dyDescent="0.25">
      <c r="C142" s="9"/>
      <c r="D142" s="9"/>
      <c r="F142" s="9"/>
      <c r="G142" s="9"/>
      <c r="H142" s="9"/>
      <c r="I142" s="9"/>
      <c r="J142" s="9"/>
      <c r="K142" s="9"/>
      <c r="N142" s="9"/>
      <c r="O142" s="9"/>
      <c r="Q142" s="9"/>
      <c r="R142" s="9"/>
      <c r="S142" s="9"/>
      <c r="T142" s="9"/>
      <c r="U142" s="9"/>
      <c r="V142" s="9"/>
      <c r="W142" s="9"/>
      <c r="X142" s="9"/>
      <c r="Y142" s="9"/>
      <c r="Z142" s="9"/>
      <c r="AA142" s="9"/>
      <c r="AC142" s="9"/>
      <c r="AD142" s="9"/>
      <c r="AE142" s="9"/>
      <c r="AF142" s="9"/>
      <c r="AH142" s="9"/>
      <c r="AI142" s="9"/>
      <c r="AJ142" s="9"/>
      <c r="AK142" s="9"/>
      <c r="AM142" s="9"/>
      <c r="AN142" s="9"/>
      <c r="AO142" s="9"/>
      <c r="AP142" s="107"/>
      <c r="AQ142" s="107"/>
      <c r="AR142" s="107"/>
      <c r="AS142" s="107"/>
    </row>
    <row r="143" spans="1:45" x14ac:dyDescent="0.25">
      <c r="C143" s="9"/>
      <c r="D143" s="9"/>
      <c r="F143" s="9"/>
      <c r="G143" s="9"/>
      <c r="H143" s="9"/>
      <c r="I143" s="9"/>
      <c r="J143" s="9"/>
      <c r="K143" s="9"/>
      <c r="N143" s="9"/>
      <c r="O143" s="9"/>
      <c r="Q143" s="9"/>
      <c r="R143" s="9"/>
      <c r="S143" s="9"/>
      <c r="T143" s="9"/>
      <c r="U143" s="9"/>
      <c r="V143" s="9"/>
      <c r="W143" s="9"/>
      <c r="X143" s="9"/>
      <c r="Y143" s="9"/>
      <c r="Z143" s="9"/>
      <c r="AA143" s="9"/>
      <c r="AC143" s="9"/>
      <c r="AD143" s="9"/>
      <c r="AE143" s="9"/>
      <c r="AF143" s="9"/>
      <c r="AH143" s="9"/>
      <c r="AI143" s="9"/>
      <c r="AJ143" s="9"/>
      <c r="AK143" s="9"/>
      <c r="AM143" s="9"/>
      <c r="AN143" s="9"/>
      <c r="AO143" s="9"/>
      <c r="AP143" s="107"/>
      <c r="AQ143" s="107"/>
      <c r="AR143" s="107"/>
      <c r="AS143" s="107"/>
    </row>
    <row r="144" spans="1:45" x14ac:dyDescent="0.25">
      <c r="C144" s="9"/>
      <c r="D144" s="9"/>
      <c r="F144" s="9"/>
      <c r="G144" s="9"/>
      <c r="H144" s="9"/>
      <c r="I144" s="9"/>
      <c r="J144" s="9"/>
      <c r="K144" s="9"/>
      <c r="N144" s="9"/>
      <c r="O144" s="9"/>
      <c r="Q144" s="9"/>
      <c r="R144" s="9"/>
      <c r="S144" s="9"/>
      <c r="T144" s="9"/>
      <c r="U144" s="9"/>
      <c r="V144" s="9"/>
      <c r="W144" s="9"/>
      <c r="X144" s="9"/>
      <c r="Y144" s="9"/>
      <c r="Z144" s="9"/>
      <c r="AA144" s="9"/>
      <c r="AC144" s="9"/>
      <c r="AD144" s="9"/>
      <c r="AE144" s="9"/>
      <c r="AF144" s="9"/>
      <c r="AH144" s="9"/>
      <c r="AI144" s="9"/>
      <c r="AJ144" s="9"/>
      <c r="AK144" s="9"/>
      <c r="AM144" s="9"/>
      <c r="AN144" s="9"/>
      <c r="AO144" s="9"/>
      <c r="AP144" s="107"/>
      <c r="AQ144" s="107"/>
      <c r="AR144" s="107"/>
      <c r="AS144" s="107"/>
    </row>
    <row r="145" spans="3:45" x14ac:dyDescent="0.25">
      <c r="C145" s="9"/>
      <c r="D145" s="9"/>
      <c r="F145" s="9"/>
      <c r="G145" s="9"/>
      <c r="H145" s="9"/>
      <c r="I145" s="9"/>
      <c r="J145" s="9"/>
      <c r="K145" s="9"/>
      <c r="N145" s="9"/>
      <c r="O145" s="9"/>
      <c r="Q145" s="9"/>
      <c r="R145" s="9"/>
      <c r="S145" s="9"/>
      <c r="T145" s="9"/>
      <c r="U145" s="9"/>
      <c r="V145" s="9"/>
      <c r="W145" s="9"/>
      <c r="X145" s="9"/>
      <c r="Y145" s="9"/>
      <c r="Z145" s="9"/>
      <c r="AA145" s="9"/>
      <c r="AC145" s="9"/>
      <c r="AD145" s="9"/>
      <c r="AE145" s="9"/>
      <c r="AF145" s="9"/>
      <c r="AH145" s="9"/>
      <c r="AI145" s="9"/>
      <c r="AJ145" s="9"/>
      <c r="AK145" s="9"/>
      <c r="AM145" s="9"/>
      <c r="AN145" s="9"/>
      <c r="AO145" s="9"/>
      <c r="AP145" s="107"/>
      <c r="AQ145" s="107"/>
      <c r="AR145" s="107"/>
      <c r="AS145" s="107"/>
    </row>
    <row r="146" spans="3:45" x14ac:dyDescent="0.25">
      <c r="C146" s="9"/>
      <c r="D146" s="9"/>
      <c r="F146" s="9"/>
      <c r="G146" s="9"/>
      <c r="H146" s="9"/>
      <c r="I146" s="9"/>
      <c r="J146" s="9"/>
      <c r="K146" s="9"/>
      <c r="N146" s="9"/>
      <c r="O146" s="9"/>
      <c r="Q146" s="9"/>
      <c r="R146" s="9"/>
      <c r="S146" s="9"/>
      <c r="T146" s="9"/>
      <c r="U146" s="9"/>
      <c r="V146" s="9"/>
      <c r="W146" s="9"/>
      <c r="X146" s="9"/>
      <c r="Y146" s="9"/>
      <c r="Z146" s="9"/>
      <c r="AA146" s="9"/>
      <c r="AC146" s="9"/>
      <c r="AD146" s="9"/>
      <c r="AE146" s="9"/>
      <c r="AF146" s="9"/>
      <c r="AH146" s="9"/>
      <c r="AI146" s="9"/>
      <c r="AJ146" s="9"/>
      <c r="AK146" s="9"/>
      <c r="AM146" s="9"/>
      <c r="AN146" s="9"/>
      <c r="AO146" s="9"/>
      <c r="AP146" s="107"/>
      <c r="AQ146" s="107"/>
      <c r="AR146" s="107"/>
      <c r="AS146" s="107"/>
    </row>
    <row r="147" spans="3:45" x14ac:dyDescent="0.25">
      <c r="C147" s="9"/>
      <c r="D147" s="9"/>
      <c r="F147" s="9"/>
      <c r="G147" s="9"/>
      <c r="H147" s="9"/>
      <c r="I147" s="9"/>
      <c r="J147" s="9"/>
      <c r="K147" s="9"/>
      <c r="N147" s="9"/>
      <c r="O147" s="9"/>
      <c r="Q147" s="9"/>
      <c r="R147" s="9"/>
      <c r="S147" s="9"/>
      <c r="T147" s="9"/>
      <c r="U147" s="9"/>
      <c r="V147" s="9"/>
      <c r="W147" s="9"/>
      <c r="X147" s="9"/>
      <c r="Y147" s="9"/>
      <c r="Z147" s="9"/>
      <c r="AA147" s="9"/>
      <c r="AC147" s="9"/>
      <c r="AD147" s="9"/>
      <c r="AE147" s="9"/>
      <c r="AF147" s="9"/>
      <c r="AH147" s="9"/>
      <c r="AI147" s="9"/>
      <c r="AJ147" s="9"/>
      <c r="AK147" s="9"/>
      <c r="AM147" s="9"/>
      <c r="AN147" s="9"/>
      <c r="AO147" s="9"/>
      <c r="AP147" s="107"/>
      <c r="AQ147" s="107"/>
      <c r="AR147" s="107"/>
      <c r="AS147" s="107"/>
    </row>
    <row r="148" spans="3:45" x14ac:dyDescent="0.25">
      <c r="C148" s="9"/>
      <c r="D148" s="9"/>
      <c r="F148" s="9"/>
      <c r="G148" s="9"/>
      <c r="H148" s="9"/>
      <c r="I148" s="9"/>
      <c r="J148" s="9"/>
      <c r="K148" s="9"/>
      <c r="N148" s="9"/>
      <c r="O148" s="9"/>
      <c r="Q148" s="9"/>
      <c r="R148" s="9"/>
      <c r="S148" s="9"/>
      <c r="T148" s="9"/>
      <c r="U148" s="9"/>
      <c r="V148" s="9"/>
      <c r="W148" s="9"/>
      <c r="X148" s="9"/>
      <c r="Y148" s="9"/>
      <c r="Z148" s="9"/>
      <c r="AA148" s="9"/>
      <c r="AC148" s="9"/>
      <c r="AD148" s="9"/>
      <c r="AE148" s="9"/>
      <c r="AF148" s="9"/>
      <c r="AH148" s="9"/>
      <c r="AI148" s="9"/>
      <c r="AJ148" s="9"/>
      <c r="AK148" s="9"/>
      <c r="AM148" s="9"/>
      <c r="AN148" s="9"/>
      <c r="AO148" s="9"/>
      <c r="AP148" s="107"/>
      <c r="AQ148" s="107"/>
      <c r="AR148" s="107"/>
      <c r="AS148" s="107"/>
    </row>
    <row r="149" spans="3:45" x14ac:dyDescent="0.25">
      <c r="C149" s="9"/>
      <c r="D149" s="9"/>
      <c r="F149" s="9"/>
      <c r="G149" s="9"/>
      <c r="H149" s="9"/>
      <c r="I149" s="9"/>
      <c r="J149" s="9"/>
      <c r="K149" s="9"/>
      <c r="N149" s="9"/>
      <c r="O149" s="9"/>
      <c r="Q149" s="9"/>
      <c r="R149" s="9"/>
      <c r="S149" s="9"/>
      <c r="T149" s="9"/>
      <c r="U149" s="9"/>
      <c r="V149" s="9"/>
      <c r="W149" s="9"/>
      <c r="X149" s="9"/>
      <c r="Y149" s="9"/>
      <c r="Z149" s="9"/>
      <c r="AA149" s="9"/>
      <c r="AC149" s="9"/>
      <c r="AD149" s="9"/>
      <c r="AE149" s="9"/>
      <c r="AF149" s="9"/>
      <c r="AH149" s="9"/>
      <c r="AI149" s="9"/>
      <c r="AJ149" s="9"/>
      <c r="AK149" s="9"/>
      <c r="AM149" s="9"/>
      <c r="AN149" s="9"/>
      <c r="AO149" s="9"/>
      <c r="AP149" s="107"/>
      <c r="AQ149" s="107"/>
      <c r="AR149" s="107"/>
      <c r="AS149" s="107"/>
    </row>
    <row r="150" spans="3:45" x14ac:dyDescent="0.25">
      <c r="C150" s="9"/>
      <c r="D150" s="9"/>
      <c r="F150" s="9"/>
      <c r="G150" s="9"/>
      <c r="H150" s="9"/>
      <c r="I150" s="9"/>
      <c r="J150" s="9"/>
      <c r="K150" s="9"/>
      <c r="N150" s="9"/>
      <c r="O150" s="9"/>
      <c r="Q150" s="9"/>
      <c r="R150" s="9"/>
      <c r="S150" s="9"/>
      <c r="T150" s="9"/>
      <c r="U150" s="9"/>
      <c r="V150" s="9"/>
      <c r="W150" s="9"/>
      <c r="X150" s="9"/>
      <c r="Y150" s="9"/>
      <c r="Z150" s="9"/>
      <c r="AA150" s="9"/>
      <c r="AC150" s="9"/>
      <c r="AD150" s="9"/>
      <c r="AE150" s="9"/>
      <c r="AF150" s="9"/>
      <c r="AH150" s="9"/>
      <c r="AI150" s="9"/>
      <c r="AJ150" s="9"/>
      <c r="AK150" s="9"/>
      <c r="AM150" s="9"/>
      <c r="AN150" s="9"/>
      <c r="AO150" s="9"/>
      <c r="AP150" s="107"/>
      <c r="AQ150" s="107"/>
      <c r="AR150" s="107"/>
      <c r="AS150" s="107"/>
    </row>
    <row r="151" spans="3:45" x14ac:dyDescent="0.25">
      <c r="C151" s="9"/>
      <c r="D151" s="9"/>
      <c r="F151" s="9"/>
      <c r="G151" s="9"/>
      <c r="H151" s="9"/>
      <c r="I151" s="9"/>
      <c r="J151" s="9"/>
      <c r="K151" s="9"/>
      <c r="N151" s="9"/>
      <c r="O151" s="9"/>
      <c r="Q151" s="9"/>
      <c r="R151" s="9"/>
      <c r="S151" s="9"/>
      <c r="T151" s="9"/>
      <c r="U151" s="9"/>
      <c r="V151" s="9"/>
      <c r="W151" s="9"/>
      <c r="X151" s="9"/>
      <c r="Y151" s="9"/>
      <c r="Z151" s="9"/>
      <c r="AA151" s="9"/>
      <c r="AC151" s="9"/>
      <c r="AD151" s="9"/>
      <c r="AE151" s="9"/>
      <c r="AF151" s="9"/>
      <c r="AH151" s="9"/>
      <c r="AI151" s="9"/>
      <c r="AJ151" s="9"/>
      <c r="AK151" s="9"/>
      <c r="AM151" s="9"/>
      <c r="AN151" s="9"/>
      <c r="AO151" s="9"/>
      <c r="AP151" s="107"/>
      <c r="AQ151" s="107"/>
      <c r="AR151" s="107"/>
      <c r="AS151" s="107"/>
    </row>
    <row r="152" spans="3:45" x14ac:dyDescent="0.25">
      <c r="C152" s="9"/>
      <c r="D152" s="9"/>
      <c r="F152" s="9"/>
      <c r="G152" s="9"/>
      <c r="H152" s="9"/>
      <c r="I152" s="9"/>
      <c r="J152" s="9"/>
      <c r="K152" s="9"/>
      <c r="N152" s="9"/>
      <c r="O152" s="9"/>
      <c r="Q152" s="9"/>
      <c r="R152" s="9"/>
      <c r="S152" s="9"/>
      <c r="T152" s="9"/>
      <c r="U152" s="9"/>
      <c r="V152" s="9"/>
      <c r="W152" s="9"/>
      <c r="X152" s="9"/>
      <c r="Y152" s="9"/>
      <c r="Z152" s="9"/>
      <c r="AA152" s="9"/>
      <c r="AC152" s="9"/>
      <c r="AD152" s="9"/>
      <c r="AE152" s="9"/>
      <c r="AF152" s="9"/>
      <c r="AH152" s="9"/>
      <c r="AI152" s="9"/>
      <c r="AJ152" s="9"/>
      <c r="AK152" s="9"/>
      <c r="AM152" s="9"/>
      <c r="AN152" s="9"/>
      <c r="AO152" s="9"/>
      <c r="AP152" s="107"/>
      <c r="AQ152" s="107"/>
      <c r="AR152" s="107"/>
      <c r="AS152" s="107"/>
    </row>
    <row r="153" spans="3:45" x14ac:dyDescent="0.25">
      <c r="C153" s="9"/>
      <c r="D153" s="9"/>
      <c r="F153" s="9"/>
      <c r="G153" s="9"/>
      <c r="H153" s="9"/>
      <c r="I153" s="9"/>
      <c r="J153" s="9"/>
      <c r="K153" s="9"/>
      <c r="N153" s="9"/>
      <c r="O153" s="9"/>
      <c r="Q153" s="9"/>
      <c r="R153" s="9"/>
      <c r="S153" s="9"/>
      <c r="T153" s="9"/>
      <c r="U153" s="9"/>
      <c r="V153" s="9"/>
      <c r="W153" s="9"/>
      <c r="X153" s="9"/>
      <c r="Y153" s="9"/>
      <c r="Z153" s="9"/>
      <c r="AA153" s="9"/>
      <c r="AC153" s="9"/>
      <c r="AD153" s="9"/>
      <c r="AE153" s="9"/>
      <c r="AF153" s="9"/>
      <c r="AH153" s="9"/>
      <c r="AI153" s="9"/>
      <c r="AJ153" s="9"/>
      <c r="AK153" s="9"/>
      <c r="AM153" s="9"/>
      <c r="AN153" s="9"/>
      <c r="AO153" s="9"/>
      <c r="AP153" s="107"/>
      <c r="AQ153" s="107"/>
      <c r="AR153" s="107"/>
      <c r="AS153" s="107"/>
    </row>
    <row r="154" spans="3:45" x14ac:dyDescent="0.25">
      <c r="C154" s="9"/>
      <c r="D154" s="9"/>
      <c r="F154" s="9"/>
      <c r="G154" s="9"/>
      <c r="H154" s="9"/>
      <c r="I154" s="9"/>
      <c r="J154" s="9"/>
      <c r="K154" s="9"/>
      <c r="N154" s="9"/>
      <c r="O154" s="9"/>
      <c r="Q154" s="9"/>
      <c r="R154" s="9"/>
      <c r="S154" s="9"/>
      <c r="T154" s="9"/>
      <c r="U154" s="9"/>
      <c r="V154" s="9"/>
      <c r="W154" s="9"/>
      <c r="X154" s="9"/>
      <c r="Y154" s="9"/>
      <c r="Z154" s="9"/>
      <c r="AA154" s="9"/>
      <c r="AC154" s="9"/>
      <c r="AD154" s="9"/>
      <c r="AE154" s="9"/>
      <c r="AF154" s="9"/>
      <c r="AH154" s="9"/>
      <c r="AI154" s="9"/>
      <c r="AJ154" s="9"/>
      <c r="AK154" s="9"/>
      <c r="AM154" s="9"/>
      <c r="AN154" s="9"/>
      <c r="AO154" s="9"/>
      <c r="AP154" s="107"/>
      <c r="AQ154" s="107"/>
      <c r="AR154" s="107"/>
      <c r="AS154" s="107"/>
    </row>
    <row r="155" spans="3:45" x14ac:dyDescent="0.25">
      <c r="C155" s="9"/>
      <c r="D155" s="9"/>
      <c r="F155" s="9"/>
      <c r="G155" s="9"/>
      <c r="H155" s="9"/>
      <c r="I155" s="9"/>
      <c r="J155" s="9"/>
      <c r="K155" s="9"/>
      <c r="N155" s="9"/>
      <c r="O155" s="9"/>
      <c r="Q155" s="9"/>
      <c r="R155" s="9"/>
      <c r="S155" s="9"/>
      <c r="T155" s="9"/>
      <c r="U155" s="9"/>
      <c r="V155" s="9"/>
      <c r="W155" s="9"/>
      <c r="X155" s="9"/>
      <c r="Y155" s="9"/>
      <c r="Z155" s="9"/>
      <c r="AA155" s="9"/>
      <c r="AC155" s="9"/>
      <c r="AD155" s="9"/>
      <c r="AE155" s="9"/>
      <c r="AF155" s="9"/>
      <c r="AH155" s="9"/>
      <c r="AI155" s="9"/>
      <c r="AJ155" s="9"/>
      <c r="AK155" s="9"/>
      <c r="AM155" s="9"/>
      <c r="AN155" s="9"/>
      <c r="AO155" s="9"/>
      <c r="AP155" s="107"/>
      <c r="AQ155" s="107"/>
      <c r="AR155" s="107"/>
      <c r="AS155" s="107"/>
    </row>
    <row r="156" spans="3:45" x14ac:dyDescent="0.25">
      <c r="C156" s="9"/>
      <c r="D156" s="9"/>
      <c r="F156" s="9"/>
      <c r="G156" s="9"/>
      <c r="H156" s="9"/>
      <c r="I156" s="9"/>
      <c r="J156" s="9"/>
      <c r="K156" s="9"/>
      <c r="N156" s="9"/>
      <c r="O156" s="9"/>
      <c r="Q156" s="9"/>
      <c r="R156" s="9"/>
      <c r="S156" s="9"/>
      <c r="T156" s="9"/>
      <c r="U156" s="9"/>
      <c r="V156" s="9"/>
      <c r="W156" s="9"/>
      <c r="X156" s="9"/>
      <c r="Y156" s="9"/>
      <c r="Z156" s="9"/>
      <c r="AA156" s="9"/>
      <c r="AC156" s="9"/>
      <c r="AD156" s="9"/>
      <c r="AE156" s="9"/>
      <c r="AF156" s="9"/>
      <c r="AH156" s="9"/>
      <c r="AI156" s="9"/>
      <c r="AJ156" s="9"/>
      <c r="AK156" s="9"/>
      <c r="AM156" s="9"/>
      <c r="AN156" s="9"/>
      <c r="AO156" s="9"/>
      <c r="AP156" s="107"/>
      <c r="AQ156" s="107"/>
      <c r="AR156" s="107"/>
      <c r="AS156" s="107"/>
    </row>
    <row r="157" spans="3:45" x14ac:dyDescent="0.25">
      <c r="C157" s="9"/>
      <c r="D157" s="9"/>
      <c r="F157" s="9"/>
      <c r="G157" s="9"/>
      <c r="H157" s="9"/>
      <c r="I157" s="9"/>
      <c r="J157" s="9"/>
      <c r="K157" s="9"/>
      <c r="N157" s="9"/>
      <c r="O157" s="9"/>
      <c r="Q157" s="9"/>
      <c r="R157" s="9"/>
      <c r="S157" s="9"/>
      <c r="T157" s="9"/>
      <c r="U157" s="9"/>
      <c r="V157" s="9"/>
      <c r="W157" s="9"/>
      <c r="X157" s="9"/>
      <c r="Y157" s="9"/>
      <c r="Z157" s="9"/>
      <c r="AA157" s="9"/>
      <c r="AC157" s="9"/>
      <c r="AD157" s="9"/>
      <c r="AE157" s="9"/>
      <c r="AF157" s="9"/>
      <c r="AH157" s="9"/>
      <c r="AI157" s="9"/>
      <c r="AJ157" s="9"/>
      <c r="AK157" s="9"/>
      <c r="AM157" s="9"/>
      <c r="AN157" s="9"/>
      <c r="AO157" s="9"/>
      <c r="AP157" s="107"/>
      <c r="AQ157" s="107"/>
      <c r="AR157" s="107"/>
      <c r="AS157" s="107"/>
    </row>
    <row r="158" spans="3:45" x14ac:dyDescent="0.25">
      <c r="C158" s="9"/>
      <c r="D158" s="9"/>
      <c r="F158" s="9"/>
      <c r="G158" s="9"/>
      <c r="H158" s="9"/>
      <c r="I158" s="9"/>
      <c r="J158" s="9"/>
      <c r="K158" s="9"/>
      <c r="N158" s="9"/>
      <c r="O158" s="9"/>
      <c r="Q158" s="9"/>
      <c r="R158" s="9"/>
      <c r="S158" s="9"/>
      <c r="T158" s="9"/>
      <c r="U158" s="9"/>
      <c r="V158" s="9"/>
      <c r="W158" s="9"/>
      <c r="X158" s="9"/>
      <c r="Y158" s="9"/>
      <c r="Z158" s="9"/>
      <c r="AA158" s="9"/>
      <c r="AC158" s="9"/>
      <c r="AD158" s="9"/>
      <c r="AE158" s="9"/>
      <c r="AF158" s="9"/>
      <c r="AH158" s="9"/>
      <c r="AI158" s="9"/>
      <c r="AJ158" s="9"/>
      <c r="AK158" s="9"/>
      <c r="AM158" s="9"/>
      <c r="AN158" s="9"/>
      <c r="AO158" s="9"/>
      <c r="AP158" s="107"/>
      <c r="AQ158" s="107"/>
      <c r="AR158" s="107"/>
      <c r="AS158" s="107"/>
    </row>
    <row r="159" spans="3:45" x14ac:dyDescent="0.25">
      <c r="C159" s="9"/>
      <c r="D159" s="9"/>
      <c r="F159" s="9"/>
      <c r="G159" s="9"/>
      <c r="H159" s="9"/>
      <c r="I159" s="9"/>
      <c r="J159" s="9"/>
      <c r="K159" s="9"/>
      <c r="N159" s="9"/>
      <c r="O159" s="9"/>
      <c r="Q159" s="9"/>
      <c r="R159" s="9"/>
      <c r="S159" s="9"/>
      <c r="T159" s="9"/>
      <c r="U159" s="9"/>
      <c r="V159" s="9"/>
      <c r="W159" s="9"/>
      <c r="X159" s="9"/>
      <c r="Y159" s="9"/>
      <c r="Z159" s="9"/>
      <c r="AA159" s="9"/>
      <c r="AC159" s="9"/>
      <c r="AD159" s="9"/>
      <c r="AE159" s="9"/>
      <c r="AF159" s="9"/>
      <c r="AH159" s="9"/>
      <c r="AI159" s="9"/>
      <c r="AJ159" s="9"/>
      <c r="AK159" s="9"/>
      <c r="AM159" s="9"/>
      <c r="AN159" s="9"/>
      <c r="AO159" s="9"/>
      <c r="AP159" s="107"/>
      <c r="AQ159" s="107"/>
      <c r="AR159" s="107"/>
      <c r="AS159" s="107"/>
    </row>
    <row r="160" spans="3:45" x14ac:dyDescent="0.25">
      <c r="C160" s="9"/>
      <c r="D160" s="9"/>
      <c r="F160" s="9"/>
      <c r="G160" s="9"/>
      <c r="H160" s="9"/>
      <c r="I160" s="9"/>
      <c r="J160" s="9"/>
      <c r="K160" s="9"/>
      <c r="N160" s="9"/>
      <c r="O160" s="9"/>
      <c r="Q160" s="9"/>
      <c r="R160" s="9"/>
      <c r="S160" s="9"/>
      <c r="T160" s="9"/>
      <c r="U160" s="9"/>
      <c r="V160" s="9"/>
      <c r="W160" s="9"/>
      <c r="X160" s="9"/>
      <c r="Y160" s="9"/>
      <c r="Z160" s="9"/>
      <c r="AA160" s="9"/>
      <c r="AC160" s="9"/>
      <c r="AD160" s="9"/>
      <c r="AE160" s="9"/>
      <c r="AF160" s="9"/>
      <c r="AH160" s="9"/>
      <c r="AI160" s="9"/>
      <c r="AJ160" s="9"/>
      <c r="AK160" s="9"/>
      <c r="AM160" s="9"/>
      <c r="AN160" s="9"/>
      <c r="AO160" s="9"/>
      <c r="AP160" s="107"/>
      <c r="AQ160" s="107"/>
      <c r="AR160" s="107"/>
      <c r="AS160" s="107"/>
    </row>
    <row r="161" spans="1:45" x14ac:dyDescent="0.25">
      <c r="C161" s="9"/>
      <c r="D161" s="9"/>
      <c r="F161" s="9"/>
      <c r="G161" s="9"/>
      <c r="H161" s="9"/>
      <c r="I161" s="9"/>
      <c r="J161" s="9"/>
      <c r="K161" s="9"/>
      <c r="N161" s="9"/>
      <c r="O161" s="9"/>
      <c r="Q161" s="9"/>
      <c r="R161" s="9"/>
      <c r="S161" s="9"/>
      <c r="T161" s="9"/>
      <c r="U161" s="9"/>
      <c r="V161" s="9"/>
      <c r="W161" s="9"/>
      <c r="X161" s="9"/>
      <c r="Y161" s="9"/>
      <c r="Z161" s="9"/>
      <c r="AA161" s="9"/>
      <c r="AC161" s="9"/>
      <c r="AD161" s="9"/>
      <c r="AE161" s="9"/>
      <c r="AF161" s="9"/>
      <c r="AH161" s="9"/>
      <c r="AI161" s="9"/>
      <c r="AJ161" s="9"/>
      <c r="AK161" s="9"/>
      <c r="AM161" s="9"/>
      <c r="AN161" s="9"/>
      <c r="AO161" s="9"/>
      <c r="AP161" s="107"/>
      <c r="AQ161" s="107"/>
      <c r="AR161" s="107"/>
      <c r="AS161" s="107"/>
    </row>
    <row r="162" spans="1:45" x14ac:dyDescent="0.25">
      <c r="C162" s="9"/>
      <c r="D162" s="9"/>
      <c r="F162" s="9"/>
      <c r="G162" s="9"/>
      <c r="H162" s="9"/>
      <c r="I162" s="9"/>
      <c r="J162" s="9"/>
      <c r="K162" s="9"/>
      <c r="N162" s="9"/>
      <c r="O162" s="9"/>
      <c r="Q162" s="9"/>
      <c r="R162" s="9"/>
      <c r="S162" s="9"/>
      <c r="T162" s="9"/>
      <c r="U162" s="9"/>
      <c r="V162" s="9"/>
      <c r="W162" s="9"/>
      <c r="X162" s="9"/>
      <c r="Y162" s="9"/>
      <c r="Z162" s="9"/>
      <c r="AA162" s="9"/>
      <c r="AC162" s="9"/>
      <c r="AD162" s="9"/>
      <c r="AE162" s="9"/>
      <c r="AF162" s="9"/>
      <c r="AH162" s="9"/>
      <c r="AI162" s="9"/>
      <c r="AJ162" s="9"/>
      <c r="AK162" s="9"/>
      <c r="AM162" s="9"/>
      <c r="AN162" s="9"/>
      <c r="AO162" s="9"/>
      <c r="AP162" s="107"/>
      <c r="AQ162" s="107"/>
      <c r="AR162" s="107"/>
      <c r="AS162" s="107"/>
    </row>
    <row r="163" spans="1:45" x14ac:dyDescent="0.25">
      <c r="C163" s="9"/>
      <c r="D163" s="9"/>
      <c r="F163" s="9"/>
      <c r="G163" s="9"/>
      <c r="H163" s="9"/>
      <c r="I163" s="9"/>
      <c r="J163" s="9"/>
      <c r="K163" s="9"/>
      <c r="N163" s="9"/>
      <c r="O163" s="9"/>
      <c r="Q163" s="9"/>
      <c r="R163" s="9"/>
      <c r="S163" s="9"/>
      <c r="T163" s="9"/>
      <c r="U163" s="9"/>
      <c r="V163" s="9"/>
      <c r="W163" s="9"/>
      <c r="X163" s="9"/>
      <c r="Y163" s="9"/>
      <c r="Z163" s="9"/>
      <c r="AA163" s="9"/>
      <c r="AC163" s="9"/>
      <c r="AD163" s="9"/>
      <c r="AE163" s="9"/>
      <c r="AF163" s="9"/>
      <c r="AH163" s="9"/>
      <c r="AI163" s="9"/>
      <c r="AJ163" s="9"/>
      <c r="AK163" s="9"/>
      <c r="AM163" s="9"/>
      <c r="AN163" s="9"/>
      <c r="AO163" s="9"/>
      <c r="AP163" s="107"/>
      <c r="AQ163" s="107"/>
      <c r="AR163" s="107"/>
      <c r="AS163" s="107"/>
    </row>
    <row r="164" spans="1:45" x14ac:dyDescent="0.25">
      <c r="C164" s="9"/>
      <c r="D164" s="9"/>
      <c r="F164" s="9"/>
      <c r="G164" s="9"/>
      <c r="H164" s="9"/>
      <c r="I164" s="9"/>
      <c r="J164" s="9"/>
      <c r="K164" s="9"/>
      <c r="N164" s="9"/>
      <c r="O164" s="9"/>
      <c r="Q164" s="9"/>
      <c r="R164" s="9"/>
      <c r="S164" s="9"/>
      <c r="T164" s="9"/>
      <c r="U164" s="9"/>
      <c r="V164" s="9"/>
      <c r="W164" s="9"/>
      <c r="X164" s="9"/>
      <c r="Y164" s="9"/>
      <c r="Z164" s="9"/>
      <c r="AA164" s="9"/>
      <c r="AC164" s="9"/>
      <c r="AD164" s="9"/>
      <c r="AE164" s="9"/>
      <c r="AF164" s="9"/>
      <c r="AH164" s="9"/>
      <c r="AI164" s="9"/>
      <c r="AJ164" s="9"/>
      <c r="AK164" s="9"/>
      <c r="AM164" s="9"/>
      <c r="AN164" s="9"/>
      <c r="AO164" s="9"/>
      <c r="AP164" s="107"/>
      <c r="AQ164" s="107"/>
      <c r="AR164" s="107"/>
      <c r="AS164" s="107"/>
    </row>
    <row r="165" spans="1:45" x14ac:dyDescent="0.25">
      <c r="C165" s="9"/>
      <c r="D165" s="9"/>
      <c r="F165" s="9"/>
      <c r="G165" s="9"/>
      <c r="H165" s="9"/>
      <c r="I165" s="9"/>
      <c r="J165" s="9"/>
      <c r="K165" s="9"/>
      <c r="N165" s="9"/>
      <c r="O165" s="9"/>
      <c r="Q165" s="9"/>
      <c r="R165" s="9"/>
      <c r="S165" s="9"/>
      <c r="T165" s="9"/>
      <c r="U165" s="9"/>
      <c r="V165" s="9"/>
      <c r="W165" s="9"/>
      <c r="X165" s="9"/>
      <c r="Y165" s="9"/>
      <c r="Z165" s="9"/>
      <c r="AA165" s="9"/>
      <c r="AC165" s="9"/>
      <c r="AD165" s="9"/>
      <c r="AE165" s="9"/>
      <c r="AF165" s="9"/>
      <c r="AH165" s="9"/>
      <c r="AI165" s="9"/>
      <c r="AJ165" s="9"/>
      <c r="AK165" s="9"/>
      <c r="AM165" s="9"/>
      <c r="AN165" s="9"/>
      <c r="AO165" s="9"/>
      <c r="AP165" s="107"/>
      <c r="AQ165" s="107"/>
      <c r="AR165" s="107"/>
      <c r="AS165" s="107"/>
    </row>
    <row r="166" spans="1:45" x14ac:dyDescent="0.25">
      <c r="C166" s="9"/>
      <c r="D166" s="9"/>
      <c r="F166" s="9"/>
      <c r="G166" s="9"/>
      <c r="H166" s="9"/>
      <c r="I166" s="9"/>
      <c r="J166" s="9"/>
      <c r="K166" s="9"/>
      <c r="N166" s="9"/>
      <c r="O166" s="9"/>
      <c r="Q166" s="9"/>
      <c r="R166" s="9"/>
      <c r="S166" s="9"/>
      <c r="T166" s="9"/>
      <c r="U166" s="9"/>
      <c r="V166" s="9"/>
      <c r="W166" s="9"/>
      <c r="X166" s="9"/>
      <c r="Y166" s="9"/>
      <c r="Z166" s="9"/>
      <c r="AA166" s="9"/>
      <c r="AC166" s="9"/>
      <c r="AD166" s="9"/>
      <c r="AE166" s="9"/>
      <c r="AF166" s="9"/>
      <c r="AH166" s="9"/>
      <c r="AI166" s="9"/>
      <c r="AJ166" s="9"/>
      <c r="AK166" s="9"/>
      <c r="AM166" s="9"/>
      <c r="AN166" s="9"/>
      <c r="AO166" s="9"/>
      <c r="AP166" s="107"/>
      <c r="AQ166" s="107"/>
      <c r="AR166" s="107"/>
      <c r="AS166" s="107"/>
    </row>
    <row r="167" spans="1:45" x14ac:dyDescent="0.25">
      <c r="C167" s="9"/>
      <c r="D167" s="9"/>
      <c r="F167" s="9"/>
      <c r="G167" s="9"/>
      <c r="H167" s="9"/>
      <c r="I167" s="9"/>
      <c r="J167" s="9"/>
      <c r="K167" s="9"/>
      <c r="N167" s="9"/>
      <c r="O167" s="9"/>
      <c r="Q167" s="9"/>
      <c r="R167" s="9"/>
      <c r="S167" s="9"/>
      <c r="T167" s="9"/>
      <c r="U167" s="9"/>
      <c r="V167" s="9"/>
      <c r="W167" s="9"/>
      <c r="X167" s="9"/>
      <c r="Y167" s="9"/>
      <c r="Z167" s="9"/>
      <c r="AA167" s="9"/>
      <c r="AC167" s="9"/>
      <c r="AD167" s="9"/>
      <c r="AE167" s="9"/>
      <c r="AF167" s="9"/>
      <c r="AH167" s="9"/>
      <c r="AI167" s="9"/>
      <c r="AJ167" s="9"/>
      <c r="AK167" s="9"/>
      <c r="AM167" s="9"/>
      <c r="AN167" s="9"/>
      <c r="AO167" s="9"/>
      <c r="AP167" s="107"/>
      <c r="AQ167" s="107"/>
      <c r="AR167" s="107"/>
      <c r="AS167" s="107"/>
    </row>
    <row r="168" spans="1:45" x14ac:dyDescent="0.25">
      <c r="C168" s="9"/>
      <c r="D168" s="9"/>
      <c r="F168" s="9"/>
      <c r="G168" s="9"/>
      <c r="H168" s="9"/>
      <c r="I168" s="9"/>
      <c r="J168" s="9"/>
      <c r="K168" s="9"/>
      <c r="N168" s="9"/>
      <c r="O168" s="9"/>
      <c r="Q168" s="9"/>
      <c r="R168" s="9"/>
      <c r="S168" s="9"/>
      <c r="T168" s="9"/>
      <c r="U168" s="9"/>
      <c r="V168" s="9"/>
      <c r="W168" s="9"/>
      <c r="X168" s="9"/>
      <c r="Y168" s="9"/>
      <c r="Z168" s="9"/>
      <c r="AA168" s="9"/>
      <c r="AC168" s="9"/>
      <c r="AD168" s="9"/>
      <c r="AE168" s="9"/>
      <c r="AF168" s="9"/>
      <c r="AH168" s="9"/>
      <c r="AI168" s="9"/>
      <c r="AJ168" s="9"/>
      <c r="AK168" s="9"/>
      <c r="AM168" s="9"/>
      <c r="AN168" s="9"/>
      <c r="AO168" s="9"/>
      <c r="AP168" s="107"/>
      <c r="AQ168" s="107"/>
      <c r="AR168" s="107"/>
      <c r="AS168" s="107"/>
    </row>
    <row r="169" spans="1:45" x14ac:dyDescent="0.25">
      <c r="C169" s="9"/>
      <c r="D169" s="9"/>
      <c r="F169" s="9"/>
      <c r="G169" s="9"/>
      <c r="H169" s="9"/>
      <c r="I169" s="9"/>
      <c r="J169" s="9"/>
      <c r="K169" s="9"/>
      <c r="N169" s="9"/>
      <c r="O169" s="9"/>
      <c r="Q169" s="9"/>
      <c r="R169" s="9"/>
      <c r="S169" s="9"/>
      <c r="T169" s="9"/>
      <c r="U169" s="9"/>
      <c r="V169" s="9"/>
      <c r="W169" s="9"/>
      <c r="X169" s="9"/>
      <c r="Y169" s="9"/>
      <c r="Z169" s="9"/>
      <c r="AA169" s="9"/>
      <c r="AC169" s="9"/>
      <c r="AD169" s="9"/>
      <c r="AE169" s="9"/>
      <c r="AF169" s="9"/>
      <c r="AH169" s="9"/>
      <c r="AI169" s="9"/>
      <c r="AJ169" s="9"/>
      <c r="AK169" s="9"/>
      <c r="AM169" s="9"/>
      <c r="AN169" s="9"/>
      <c r="AO169" s="9"/>
      <c r="AP169" s="107"/>
      <c r="AQ169" s="107"/>
      <c r="AR169" s="107"/>
      <c r="AS169" s="107"/>
    </row>
    <row r="170" spans="1:45" s="268" customFormat="1" x14ac:dyDescent="0.25">
      <c r="A170" s="107"/>
      <c r="B170" s="107"/>
      <c r="C170" s="9"/>
      <c r="D170" s="9"/>
      <c r="E170" s="107"/>
      <c r="F170" s="9"/>
      <c r="G170" s="9"/>
      <c r="H170" s="9"/>
      <c r="I170" s="9"/>
      <c r="J170" s="9"/>
      <c r="K170" s="9"/>
      <c r="L170" s="107"/>
      <c r="M170" s="107"/>
      <c r="N170" s="9"/>
      <c r="O170" s="9"/>
      <c r="P170" s="107"/>
      <c r="Q170" s="9"/>
      <c r="R170" s="9"/>
      <c r="S170" s="9"/>
      <c r="T170" s="9"/>
      <c r="U170" s="9"/>
      <c r="V170" s="9"/>
      <c r="W170" s="9"/>
      <c r="X170" s="9"/>
      <c r="Y170" s="9"/>
      <c r="Z170" s="9"/>
      <c r="AA170" s="9"/>
      <c r="AB170" s="107"/>
      <c r="AC170" s="9"/>
      <c r="AD170" s="9"/>
      <c r="AE170" s="9"/>
      <c r="AF170" s="9"/>
      <c r="AG170" s="107"/>
      <c r="AH170" s="9"/>
      <c r="AI170" s="9"/>
      <c r="AJ170" s="9"/>
      <c r="AK170" s="9"/>
      <c r="AL170" s="107"/>
      <c r="AM170" s="9"/>
      <c r="AN170" s="9"/>
      <c r="AO170" s="9"/>
    </row>
    <row r="171" spans="1:45" s="268" customFormat="1" x14ac:dyDescent="0.25">
      <c r="A171" s="107"/>
      <c r="B171" s="107"/>
      <c r="C171" s="9"/>
      <c r="D171" s="9"/>
      <c r="E171" s="107"/>
      <c r="F171" s="9"/>
      <c r="G171" s="9"/>
      <c r="H171" s="9"/>
      <c r="I171" s="9"/>
      <c r="J171" s="9"/>
      <c r="K171" s="9"/>
      <c r="L171" s="107"/>
      <c r="M171" s="107"/>
      <c r="N171" s="9"/>
      <c r="O171" s="9"/>
      <c r="P171" s="107"/>
      <c r="Q171" s="9"/>
      <c r="R171" s="9"/>
      <c r="S171" s="9"/>
      <c r="T171" s="9"/>
      <c r="U171" s="9"/>
      <c r="V171" s="9"/>
      <c r="W171" s="9"/>
      <c r="X171" s="9"/>
      <c r="Y171" s="9"/>
      <c r="Z171" s="9"/>
      <c r="AA171" s="9"/>
      <c r="AB171" s="107"/>
      <c r="AC171" s="9"/>
      <c r="AD171" s="9"/>
      <c r="AE171" s="9"/>
      <c r="AF171" s="9"/>
      <c r="AG171" s="107"/>
      <c r="AH171" s="9"/>
      <c r="AI171" s="9"/>
      <c r="AJ171" s="9"/>
      <c r="AK171" s="9"/>
      <c r="AL171" s="107"/>
      <c r="AM171" s="9"/>
      <c r="AN171" s="9"/>
      <c r="AO171" s="9"/>
    </row>
    <row r="172" spans="1:45" s="268" customFormat="1" x14ac:dyDescent="0.25">
      <c r="A172" s="107"/>
      <c r="B172" s="107"/>
      <c r="C172" s="9"/>
      <c r="D172" s="9"/>
      <c r="E172" s="107"/>
      <c r="F172" s="9"/>
      <c r="G172" s="9"/>
      <c r="H172" s="9"/>
      <c r="I172" s="9"/>
      <c r="J172" s="9"/>
      <c r="K172" s="9"/>
      <c r="L172" s="107"/>
      <c r="M172" s="107"/>
      <c r="N172" s="9"/>
      <c r="O172" s="9"/>
      <c r="P172" s="107"/>
      <c r="Q172" s="9"/>
      <c r="R172" s="9"/>
      <c r="S172" s="9"/>
      <c r="T172" s="9"/>
      <c r="U172" s="9"/>
      <c r="V172" s="9"/>
      <c r="W172" s="9"/>
      <c r="X172" s="9"/>
      <c r="Y172" s="9"/>
      <c r="Z172" s="9"/>
      <c r="AA172" s="9"/>
      <c r="AB172" s="107"/>
      <c r="AC172" s="9"/>
      <c r="AD172" s="9"/>
      <c r="AE172" s="9"/>
      <c r="AF172" s="9"/>
      <c r="AG172" s="107"/>
      <c r="AH172" s="9"/>
      <c r="AI172" s="9"/>
      <c r="AJ172" s="9"/>
      <c r="AK172" s="9"/>
      <c r="AL172" s="107"/>
      <c r="AM172" s="9"/>
      <c r="AN172" s="9"/>
      <c r="AO172" s="9"/>
    </row>
    <row r="173" spans="1:45" s="268" customFormat="1" x14ac:dyDescent="0.25">
      <c r="A173" s="107"/>
      <c r="B173" s="107"/>
      <c r="C173" s="9"/>
      <c r="D173" s="9"/>
      <c r="E173" s="107"/>
      <c r="F173" s="9"/>
      <c r="G173" s="9"/>
      <c r="H173" s="9"/>
      <c r="I173" s="9"/>
      <c r="J173" s="9"/>
      <c r="K173" s="9"/>
      <c r="L173" s="107"/>
      <c r="M173" s="107"/>
      <c r="N173" s="9"/>
      <c r="O173" s="9"/>
      <c r="P173" s="107"/>
      <c r="Q173" s="9"/>
      <c r="R173" s="9"/>
      <c r="S173" s="9"/>
      <c r="T173" s="9"/>
      <c r="U173" s="9"/>
      <c r="V173" s="9"/>
      <c r="W173" s="9"/>
      <c r="X173" s="9"/>
      <c r="Y173" s="9"/>
      <c r="Z173" s="9"/>
      <c r="AA173" s="9"/>
      <c r="AB173" s="107"/>
      <c r="AC173" s="9"/>
      <c r="AD173" s="9"/>
      <c r="AE173" s="9"/>
      <c r="AF173" s="9"/>
      <c r="AG173" s="107"/>
      <c r="AH173" s="9"/>
      <c r="AI173" s="9"/>
      <c r="AJ173" s="9"/>
      <c r="AK173" s="9"/>
      <c r="AL173" s="107"/>
      <c r="AM173" s="9"/>
      <c r="AN173" s="9"/>
      <c r="AO173" s="9"/>
    </row>
    <row r="174" spans="1:45" s="268" customFormat="1" x14ac:dyDescent="0.25">
      <c r="A174" s="107"/>
      <c r="B174" s="107"/>
      <c r="C174" s="9"/>
      <c r="D174" s="9"/>
      <c r="E174" s="107"/>
      <c r="F174" s="9"/>
      <c r="G174" s="9"/>
      <c r="H174" s="9"/>
      <c r="I174" s="9"/>
      <c r="J174" s="9"/>
      <c r="K174" s="9"/>
      <c r="L174" s="107"/>
      <c r="M174" s="107"/>
      <c r="N174" s="9"/>
      <c r="O174" s="9"/>
      <c r="P174" s="107"/>
      <c r="Q174" s="9"/>
      <c r="R174" s="9"/>
      <c r="S174" s="9"/>
      <c r="T174" s="9"/>
      <c r="U174" s="9"/>
      <c r="V174" s="9"/>
      <c r="W174" s="9"/>
      <c r="X174" s="9"/>
      <c r="Y174" s="9"/>
      <c r="Z174" s="9"/>
      <c r="AA174" s="9"/>
      <c r="AB174" s="107"/>
      <c r="AC174" s="9"/>
      <c r="AD174" s="9"/>
      <c r="AE174" s="9"/>
      <c r="AF174" s="9"/>
      <c r="AG174" s="107"/>
      <c r="AH174" s="9"/>
      <c r="AI174" s="9"/>
      <c r="AJ174" s="9"/>
      <c r="AK174" s="9"/>
      <c r="AL174" s="107"/>
      <c r="AM174" s="9"/>
      <c r="AN174" s="9"/>
      <c r="AO174" s="9"/>
    </row>
    <row r="175" spans="1:45" s="268" customFormat="1" x14ac:dyDescent="0.25">
      <c r="A175" s="107"/>
      <c r="B175" s="107"/>
      <c r="C175" s="9"/>
      <c r="D175" s="9"/>
      <c r="E175" s="107"/>
      <c r="F175" s="9"/>
      <c r="G175" s="9"/>
      <c r="H175" s="9"/>
      <c r="I175" s="9"/>
      <c r="J175" s="9"/>
      <c r="K175" s="9"/>
      <c r="L175" s="107"/>
      <c r="M175" s="107"/>
      <c r="N175" s="9"/>
      <c r="O175" s="9"/>
      <c r="P175" s="107"/>
      <c r="Q175" s="9"/>
      <c r="R175" s="9"/>
      <c r="S175" s="9"/>
      <c r="T175" s="9"/>
      <c r="U175" s="9"/>
      <c r="V175" s="9"/>
      <c r="W175" s="9"/>
      <c r="X175" s="9"/>
      <c r="Y175" s="9"/>
      <c r="Z175" s="9"/>
      <c r="AA175" s="9"/>
      <c r="AB175" s="107"/>
      <c r="AC175" s="9"/>
      <c r="AD175" s="9"/>
      <c r="AE175" s="9"/>
      <c r="AF175" s="9"/>
      <c r="AG175" s="107"/>
      <c r="AH175" s="9"/>
      <c r="AI175" s="9"/>
      <c r="AJ175" s="9"/>
      <c r="AK175" s="9"/>
      <c r="AL175" s="107"/>
      <c r="AM175" s="9"/>
      <c r="AN175" s="9"/>
      <c r="AO175" s="9"/>
    </row>
    <row r="176" spans="1:45" s="268" customFormat="1" x14ac:dyDescent="0.25">
      <c r="A176" s="107"/>
      <c r="B176" s="107"/>
      <c r="C176" s="9"/>
      <c r="D176" s="9"/>
      <c r="E176" s="107"/>
      <c r="F176" s="9"/>
      <c r="G176" s="9"/>
      <c r="H176" s="9"/>
      <c r="I176" s="9"/>
      <c r="J176" s="9"/>
      <c r="K176" s="9"/>
      <c r="L176" s="107"/>
      <c r="M176" s="107"/>
      <c r="N176" s="9"/>
      <c r="O176" s="9"/>
      <c r="P176" s="107"/>
      <c r="Q176" s="9"/>
      <c r="R176" s="9"/>
      <c r="S176" s="9"/>
      <c r="T176" s="9"/>
      <c r="U176" s="9"/>
      <c r="V176" s="9"/>
      <c r="W176" s="9"/>
      <c r="X176" s="9"/>
      <c r="Y176" s="9"/>
      <c r="Z176" s="9"/>
      <c r="AA176" s="9"/>
      <c r="AB176" s="107"/>
      <c r="AC176" s="9"/>
      <c r="AD176" s="9"/>
      <c r="AE176" s="9"/>
      <c r="AF176" s="9"/>
      <c r="AG176" s="107"/>
      <c r="AH176" s="9"/>
      <c r="AI176" s="9"/>
      <c r="AJ176" s="9"/>
      <c r="AK176" s="9"/>
      <c r="AL176" s="107"/>
      <c r="AM176" s="9"/>
      <c r="AN176" s="9"/>
      <c r="AO176" s="9"/>
    </row>
    <row r="177" spans="1:43" s="268" customFormat="1" x14ac:dyDescent="0.25">
      <c r="A177" s="107"/>
      <c r="B177" s="107"/>
      <c r="C177" s="9"/>
      <c r="D177" s="9"/>
      <c r="E177" s="107"/>
      <c r="F177" s="9"/>
      <c r="G177" s="9"/>
      <c r="H177" s="9"/>
      <c r="I177" s="9"/>
      <c r="J177" s="9"/>
      <c r="K177" s="9"/>
      <c r="L177" s="107"/>
      <c r="M177" s="107"/>
      <c r="N177" s="9"/>
      <c r="O177" s="9"/>
      <c r="P177" s="107"/>
      <c r="Q177" s="9"/>
      <c r="R177" s="9"/>
      <c r="S177" s="9"/>
      <c r="T177" s="9"/>
      <c r="U177" s="9"/>
      <c r="V177" s="9"/>
      <c r="W177" s="9"/>
      <c r="X177" s="9"/>
      <c r="Y177" s="9"/>
      <c r="Z177" s="9"/>
      <c r="AA177" s="9"/>
      <c r="AB177" s="107"/>
      <c r="AC177" s="9"/>
      <c r="AD177" s="9"/>
      <c r="AE177" s="9"/>
      <c r="AF177" s="9"/>
      <c r="AG177" s="107"/>
      <c r="AH177" s="9"/>
      <c r="AI177" s="9"/>
      <c r="AJ177" s="9"/>
      <c r="AK177" s="9"/>
      <c r="AL177" s="107"/>
      <c r="AM177" s="9"/>
      <c r="AN177" s="9"/>
      <c r="AO177" s="9"/>
    </row>
    <row r="178" spans="1:43" s="268" customFormat="1" x14ac:dyDescent="0.25">
      <c r="A178" s="107"/>
      <c r="B178" s="107"/>
      <c r="C178" s="9"/>
      <c r="D178" s="9"/>
      <c r="E178" s="107"/>
      <c r="F178" s="9"/>
      <c r="G178" s="9"/>
      <c r="H178" s="9"/>
      <c r="I178" s="9"/>
      <c r="J178" s="9"/>
      <c r="K178" s="9"/>
      <c r="L178" s="107"/>
      <c r="M178" s="107"/>
      <c r="N178" s="9"/>
      <c r="O178" s="9"/>
      <c r="P178" s="107"/>
      <c r="Q178" s="9"/>
      <c r="R178" s="9"/>
      <c r="S178" s="9"/>
      <c r="T178" s="9"/>
      <c r="U178" s="9"/>
      <c r="V178" s="9"/>
      <c r="W178" s="9"/>
      <c r="X178" s="9"/>
      <c r="Y178" s="9"/>
      <c r="Z178" s="9"/>
      <c r="AA178" s="9"/>
      <c r="AB178" s="107"/>
      <c r="AC178" s="9"/>
      <c r="AD178" s="9"/>
      <c r="AE178" s="9"/>
      <c r="AF178" s="9"/>
      <c r="AG178" s="107"/>
      <c r="AH178" s="9"/>
      <c r="AI178" s="9"/>
      <c r="AJ178" s="9"/>
      <c r="AK178" s="9"/>
      <c r="AL178" s="107"/>
      <c r="AM178" s="9"/>
      <c r="AN178" s="9"/>
      <c r="AO178" s="9"/>
    </row>
    <row r="179" spans="1:43" s="268" customFormat="1" x14ac:dyDescent="0.25">
      <c r="A179" s="107"/>
      <c r="B179" s="107"/>
      <c r="C179" s="9"/>
      <c r="D179" s="9"/>
      <c r="E179" s="107"/>
      <c r="F179" s="9"/>
      <c r="G179" s="9"/>
      <c r="H179" s="9"/>
      <c r="I179" s="9"/>
      <c r="J179" s="9"/>
      <c r="K179" s="9"/>
      <c r="L179" s="107"/>
      <c r="M179" s="107"/>
      <c r="N179" s="9"/>
      <c r="O179" s="9"/>
      <c r="P179" s="107"/>
      <c r="Q179" s="9"/>
      <c r="R179" s="9"/>
      <c r="S179" s="9"/>
      <c r="T179" s="9"/>
      <c r="U179" s="9"/>
      <c r="V179" s="9"/>
      <c r="W179" s="9"/>
      <c r="X179" s="9"/>
      <c r="Y179" s="9"/>
      <c r="Z179" s="9"/>
      <c r="AA179" s="9"/>
      <c r="AB179" s="107"/>
      <c r="AC179" s="9"/>
      <c r="AD179" s="9"/>
      <c r="AE179" s="9"/>
      <c r="AF179" s="9"/>
      <c r="AG179" s="107"/>
      <c r="AH179" s="9"/>
      <c r="AI179" s="9"/>
      <c r="AJ179" s="9"/>
      <c r="AK179" s="9"/>
      <c r="AL179" s="107"/>
      <c r="AM179" s="9"/>
      <c r="AN179" s="9"/>
      <c r="AO179" s="9"/>
    </row>
    <row r="180" spans="1:43" s="268" customFormat="1" x14ac:dyDescent="0.25">
      <c r="A180" s="107"/>
      <c r="B180" s="107"/>
      <c r="C180" s="9"/>
      <c r="D180" s="9"/>
      <c r="E180" s="107"/>
      <c r="F180" s="9"/>
      <c r="G180" s="9"/>
      <c r="H180" s="9"/>
      <c r="I180" s="9"/>
      <c r="J180" s="9"/>
      <c r="K180" s="9"/>
      <c r="L180" s="107"/>
      <c r="M180" s="107"/>
      <c r="N180" s="9"/>
      <c r="O180" s="9"/>
      <c r="P180" s="107"/>
      <c r="Q180" s="9"/>
      <c r="R180" s="9"/>
      <c r="S180" s="9"/>
      <c r="T180" s="9"/>
      <c r="U180" s="9"/>
      <c r="V180" s="9"/>
      <c r="W180" s="9"/>
      <c r="X180" s="9"/>
      <c r="Y180" s="9"/>
      <c r="Z180" s="9"/>
      <c r="AA180" s="9"/>
      <c r="AB180" s="107"/>
      <c r="AC180" s="9"/>
      <c r="AD180" s="9"/>
      <c r="AE180" s="9"/>
      <c r="AF180" s="9"/>
      <c r="AG180" s="107"/>
      <c r="AH180" s="9"/>
      <c r="AI180" s="9"/>
      <c r="AJ180" s="9"/>
      <c r="AK180" s="9"/>
      <c r="AL180" s="107"/>
      <c r="AM180" s="9"/>
      <c r="AN180" s="9"/>
      <c r="AO180" s="9"/>
    </row>
    <row r="181" spans="1:43" s="268" customFormat="1" x14ac:dyDescent="0.25">
      <c r="A181" s="107"/>
      <c r="B181" s="107"/>
      <c r="C181" s="9"/>
      <c r="D181" s="9"/>
      <c r="E181" s="107"/>
      <c r="F181" s="9"/>
      <c r="G181" s="9"/>
      <c r="H181" s="9"/>
      <c r="I181" s="9"/>
      <c r="J181" s="9"/>
      <c r="K181" s="9"/>
      <c r="L181" s="107"/>
      <c r="M181" s="107"/>
      <c r="N181" s="9"/>
      <c r="O181" s="9"/>
      <c r="P181" s="107"/>
      <c r="Q181" s="9"/>
      <c r="R181" s="9"/>
      <c r="S181" s="9"/>
      <c r="T181" s="9"/>
      <c r="U181" s="9"/>
      <c r="V181" s="9"/>
      <c r="W181" s="9"/>
      <c r="X181" s="9"/>
      <c r="Y181" s="9"/>
      <c r="Z181" s="9"/>
      <c r="AA181" s="9"/>
      <c r="AB181" s="107"/>
      <c r="AC181" s="9"/>
      <c r="AD181" s="9"/>
      <c r="AE181" s="9"/>
      <c r="AF181" s="9"/>
      <c r="AG181" s="107"/>
      <c r="AH181" s="9"/>
      <c r="AI181" s="9"/>
      <c r="AJ181" s="9"/>
      <c r="AK181" s="9"/>
      <c r="AL181" s="107"/>
      <c r="AM181" s="9"/>
      <c r="AN181" s="9"/>
      <c r="AO181" s="9"/>
    </row>
    <row r="182" spans="1:43" s="268" customFormat="1" x14ac:dyDescent="0.25">
      <c r="A182" s="107"/>
      <c r="B182" s="107"/>
      <c r="C182" s="9"/>
      <c r="D182" s="9"/>
      <c r="E182" s="107"/>
      <c r="F182" s="9"/>
      <c r="G182" s="9"/>
      <c r="H182" s="9"/>
      <c r="I182" s="9"/>
      <c r="J182" s="9"/>
      <c r="K182" s="9"/>
      <c r="L182" s="107"/>
      <c r="M182" s="107"/>
      <c r="N182" s="9"/>
      <c r="O182" s="9"/>
      <c r="P182" s="107"/>
      <c r="Q182" s="9"/>
      <c r="R182" s="9"/>
      <c r="S182" s="9"/>
      <c r="T182" s="9"/>
      <c r="U182" s="9"/>
      <c r="V182" s="9"/>
      <c r="W182" s="9"/>
      <c r="X182" s="9"/>
      <c r="Y182" s="9"/>
      <c r="Z182" s="9"/>
      <c r="AA182" s="9"/>
      <c r="AB182" s="107"/>
      <c r="AC182" s="9"/>
      <c r="AD182" s="9"/>
      <c r="AE182" s="9"/>
      <c r="AF182" s="9"/>
      <c r="AG182" s="107"/>
      <c r="AH182" s="9"/>
      <c r="AI182" s="9"/>
      <c r="AJ182" s="9"/>
      <c r="AK182" s="9"/>
      <c r="AL182" s="107"/>
      <c r="AM182" s="9"/>
      <c r="AN182" s="9"/>
      <c r="AO182" s="9"/>
    </row>
    <row r="183" spans="1:43" s="268" customFormat="1" x14ac:dyDescent="0.25">
      <c r="A183" s="107"/>
      <c r="B183" s="107"/>
      <c r="C183" s="9"/>
      <c r="D183" s="9"/>
      <c r="E183" s="107"/>
      <c r="F183" s="9"/>
      <c r="G183" s="9"/>
      <c r="H183" s="9"/>
      <c r="I183" s="9"/>
      <c r="J183" s="9"/>
      <c r="K183" s="9"/>
      <c r="L183" s="107"/>
      <c r="M183" s="107"/>
      <c r="N183" s="9"/>
      <c r="O183" s="9"/>
      <c r="P183" s="107"/>
      <c r="Q183" s="7"/>
      <c r="R183" s="7"/>
      <c r="S183" s="7"/>
      <c r="T183" s="7"/>
      <c r="U183" s="7"/>
      <c r="V183" s="7"/>
      <c r="W183" s="7"/>
      <c r="X183" s="7"/>
      <c r="Y183" s="9"/>
      <c r="Z183" s="9"/>
      <c r="AA183" s="9"/>
      <c r="AB183" s="107"/>
      <c r="AC183" s="7"/>
      <c r="AD183" s="7"/>
      <c r="AE183" s="7"/>
      <c r="AF183" s="9"/>
      <c r="AG183" s="107"/>
      <c r="AH183" s="9"/>
      <c r="AI183" s="9"/>
      <c r="AJ183" s="9"/>
      <c r="AK183" s="9"/>
      <c r="AL183" s="107"/>
      <c r="AM183" s="9"/>
      <c r="AN183" s="9"/>
      <c r="AO183" s="9"/>
    </row>
    <row r="184" spans="1:43" s="268" customFormat="1" x14ac:dyDescent="0.25">
      <c r="A184" s="107"/>
      <c r="B184" s="107"/>
      <c r="C184" s="9"/>
      <c r="D184" s="9"/>
      <c r="E184" s="107"/>
      <c r="F184" s="7"/>
      <c r="G184" s="7"/>
      <c r="H184" s="7"/>
      <c r="I184" s="7"/>
      <c r="J184" s="7"/>
      <c r="K184" s="7"/>
      <c r="L184" s="10"/>
      <c r="M184" s="107"/>
      <c r="N184" s="7"/>
      <c r="O184" s="7"/>
      <c r="P184" s="10"/>
      <c r="Q184" s="7"/>
      <c r="R184" s="7"/>
      <c r="S184" s="7"/>
      <c r="T184" s="7"/>
      <c r="U184" s="7"/>
      <c r="V184" s="7"/>
      <c r="W184" s="7"/>
      <c r="X184" s="7"/>
      <c r="Y184" s="7"/>
      <c r="Z184" s="7"/>
      <c r="AA184" s="7"/>
      <c r="AB184" s="10"/>
      <c r="AC184" s="7"/>
      <c r="AD184" s="7"/>
      <c r="AE184" s="7"/>
      <c r="AF184" s="7"/>
      <c r="AG184" s="10"/>
      <c r="AH184" s="7"/>
      <c r="AI184" s="7"/>
      <c r="AJ184" s="7"/>
      <c r="AK184" s="7"/>
      <c r="AL184" s="10"/>
      <c r="AM184" s="7"/>
      <c r="AN184" s="7"/>
      <c r="AO184" s="7"/>
      <c r="AP184" s="266"/>
      <c r="AQ184" s="266"/>
    </row>
    <row r="185" spans="1:43" s="268" customFormat="1" x14ac:dyDescent="0.25">
      <c r="A185" s="107"/>
      <c r="B185" s="107"/>
      <c r="C185" s="9"/>
      <c r="D185" s="9"/>
      <c r="E185" s="107"/>
      <c r="F185" s="7"/>
      <c r="G185" s="7"/>
      <c r="H185" s="7"/>
      <c r="I185" s="7"/>
      <c r="J185" s="7"/>
      <c r="K185" s="7"/>
      <c r="L185" s="10"/>
      <c r="M185" s="107"/>
      <c r="N185" s="7"/>
      <c r="O185" s="7"/>
      <c r="P185" s="10"/>
      <c r="Q185" s="7"/>
      <c r="R185" s="7"/>
      <c r="S185" s="7"/>
      <c r="T185" s="7"/>
      <c r="U185" s="7"/>
      <c r="V185" s="7"/>
      <c r="W185" s="7"/>
      <c r="X185" s="7"/>
      <c r="Y185" s="7"/>
      <c r="Z185" s="7"/>
      <c r="AA185" s="7"/>
      <c r="AB185" s="10"/>
      <c r="AC185" s="7"/>
      <c r="AD185" s="7"/>
      <c r="AE185" s="7"/>
      <c r="AF185" s="7"/>
      <c r="AG185" s="10"/>
      <c r="AH185" s="7"/>
      <c r="AI185" s="7"/>
      <c r="AJ185" s="7"/>
      <c r="AK185" s="7"/>
      <c r="AL185" s="10"/>
      <c r="AM185" s="7"/>
      <c r="AN185" s="7"/>
      <c r="AO185" s="7"/>
      <c r="AP185" s="266"/>
      <c r="AQ185" s="266"/>
    </row>
    <row r="186" spans="1:43" s="268" customFormat="1" x14ac:dyDescent="0.25">
      <c r="A186" s="107"/>
      <c r="B186" s="107"/>
      <c r="C186" s="9"/>
      <c r="D186" s="9"/>
      <c r="E186" s="107"/>
      <c r="F186" s="7"/>
      <c r="G186" s="7"/>
      <c r="H186" s="7"/>
      <c r="I186" s="7"/>
      <c r="J186" s="7"/>
      <c r="K186" s="7"/>
      <c r="L186" s="10"/>
      <c r="M186" s="107"/>
      <c r="N186" s="7"/>
      <c r="O186" s="7"/>
      <c r="P186" s="10"/>
      <c r="Q186" s="7"/>
      <c r="R186" s="7"/>
      <c r="S186" s="7"/>
      <c r="T186" s="7"/>
      <c r="U186" s="7"/>
      <c r="V186" s="7"/>
      <c r="W186" s="7"/>
      <c r="X186" s="7"/>
      <c r="Y186" s="7"/>
      <c r="Z186" s="7"/>
      <c r="AA186" s="7"/>
      <c r="AB186" s="10"/>
      <c r="AC186" s="7"/>
      <c r="AD186" s="7"/>
      <c r="AE186" s="7"/>
      <c r="AF186" s="7"/>
      <c r="AG186" s="10"/>
      <c r="AH186" s="7"/>
      <c r="AI186" s="7"/>
      <c r="AJ186" s="7"/>
      <c r="AK186" s="7"/>
      <c r="AL186" s="10"/>
      <c r="AM186" s="7"/>
      <c r="AN186" s="7"/>
      <c r="AO186" s="7"/>
      <c r="AP186" s="266"/>
      <c r="AQ186" s="266"/>
    </row>
    <row r="187" spans="1:43" s="268" customFormat="1" x14ac:dyDescent="0.25">
      <c r="A187" s="107"/>
      <c r="B187" s="107"/>
      <c r="C187" s="9"/>
      <c r="D187" s="9"/>
      <c r="E187" s="107"/>
      <c r="F187" s="7"/>
      <c r="G187" s="7"/>
      <c r="H187" s="7"/>
      <c r="I187" s="7"/>
      <c r="J187" s="7"/>
      <c r="K187" s="7"/>
      <c r="L187" s="10"/>
      <c r="M187" s="107"/>
      <c r="N187" s="7"/>
      <c r="O187" s="7"/>
      <c r="P187" s="10"/>
      <c r="Q187" s="7"/>
      <c r="R187" s="7"/>
      <c r="S187" s="7"/>
      <c r="T187" s="7"/>
      <c r="U187" s="7"/>
      <c r="V187" s="7"/>
      <c r="W187" s="7"/>
      <c r="X187" s="7"/>
      <c r="Y187" s="7"/>
      <c r="Z187" s="7"/>
      <c r="AA187" s="7"/>
      <c r="AB187" s="10"/>
      <c r="AC187" s="7"/>
      <c r="AD187" s="7"/>
      <c r="AE187" s="7"/>
      <c r="AF187" s="7"/>
      <c r="AG187" s="10"/>
      <c r="AH187" s="7"/>
      <c r="AI187" s="7"/>
      <c r="AJ187" s="7"/>
      <c r="AK187" s="7"/>
      <c r="AL187" s="10"/>
      <c r="AM187" s="7"/>
      <c r="AN187" s="7"/>
      <c r="AO187" s="7"/>
      <c r="AP187" s="266"/>
      <c r="AQ187" s="266"/>
    </row>
    <row r="188" spans="1:43" s="268" customFormat="1" x14ac:dyDescent="0.25">
      <c r="A188" s="107"/>
      <c r="B188" s="107"/>
      <c r="C188" s="9"/>
      <c r="D188" s="9"/>
      <c r="E188" s="107"/>
      <c r="F188" s="7"/>
      <c r="G188" s="7"/>
      <c r="H188" s="7"/>
      <c r="I188" s="7"/>
      <c r="J188" s="7"/>
      <c r="K188" s="7"/>
      <c r="L188" s="10"/>
      <c r="M188" s="107"/>
      <c r="N188" s="7"/>
      <c r="O188" s="7"/>
      <c r="P188" s="10"/>
      <c r="Q188" s="7"/>
      <c r="R188" s="7"/>
      <c r="S188" s="7"/>
      <c r="T188" s="7"/>
      <c r="U188" s="7"/>
      <c r="V188" s="7"/>
      <c r="W188" s="7"/>
      <c r="X188" s="7"/>
      <c r="Y188" s="7"/>
      <c r="Z188" s="7"/>
      <c r="AA188" s="7"/>
      <c r="AB188" s="10"/>
      <c r="AC188" s="7"/>
      <c r="AD188" s="7"/>
      <c r="AE188" s="7"/>
      <c r="AF188" s="7"/>
      <c r="AG188" s="10"/>
      <c r="AH188" s="7"/>
      <c r="AI188" s="7"/>
      <c r="AJ188" s="7"/>
      <c r="AK188" s="7"/>
      <c r="AL188" s="10"/>
      <c r="AM188" s="7"/>
      <c r="AN188" s="7"/>
      <c r="AO188" s="7"/>
      <c r="AP188" s="266"/>
      <c r="AQ188" s="266"/>
    </row>
    <row r="189" spans="1:43" s="268" customFormat="1" x14ac:dyDescent="0.25">
      <c r="A189" s="107"/>
      <c r="B189" s="107"/>
      <c r="C189" s="9"/>
      <c r="D189" s="9"/>
      <c r="E189" s="107"/>
      <c r="F189" s="7"/>
      <c r="G189" s="7"/>
      <c r="H189" s="7"/>
      <c r="I189" s="7"/>
      <c r="J189" s="7"/>
      <c r="K189" s="7"/>
      <c r="L189" s="10"/>
      <c r="M189" s="107"/>
      <c r="N189" s="7"/>
      <c r="O189" s="7"/>
      <c r="P189" s="10"/>
      <c r="Q189" s="7"/>
      <c r="R189" s="7"/>
      <c r="S189" s="7"/>
      <c r="T189" s="7"/>
      <c r="U189" s="7"/>
      <c r="V189" s="7"/>
      <c r="W189" s="7"/>
      <c r="X189" s="7"/>
      <c r="Y189" s="7"/>
      <c r="Z189" s="7"/>
      <c r="AA189" s="7"/>
      <c r="AB189" s="10"/>
      <c r="AC189" s="7"/>
      <c r="AD189" s="7"/>
      <c r="AE189" s="7"/>
      <c r="AF189" s="7"/>
      <c r="AG189" s="10"/>
      <c r="AH189" s="7"/>
      <c r="AI189" s="7"/>
      <c r="AJ189" s="7"/>
      <c r="AK189" s="7"/>
      <c r="AL189" s="10"/>
      <c r="AM189" s="7"/>
      <c r="AN189" s="7"/>
      <c r="AO189" s="7"/>
      <c r="AP189" s="266"/>
      <c r="AQ189" s="266"/>
    </row>
    <row r="190" spans="1:43" s="268" customFormat="1" x14ac:dyDescent="0.25">
      <c r="A190" s="107"/>
      <c r="B190" s="107"/>
      <c r="C190" s="9"/>
      <c r="D190" s="9"/>
      <c r="E190" s="107"/>
      <c r="F190" s="7"/>
      <c r="G190" s="7"/>
      <c r="H190" s="7"/>
      <c r="I190" s="7"/>
      <c r="J190" s="7"/>
      <c r="K190" s="7"/>
      <c r="L190" s="10"/>
      <c r="M190" s="107"/>
      <c r="N190" s="7"/>
      <c r="O190" s="7"/>
      <c r="P190" s="10"/>
      <c r="Q190" s="7"/>
      <c r="R190" s="7"/>
      <c r="S190" s="7"/>
      <c r="T190" s="7"/>
      <c r="U190" s="7"/>
      <c r="V190" s="7"/>
      <c r="W190" s="7"/>
      <c r="X190" s="7"/>
      <c r="Y190" s="7"/>
      <c r="Z190" s="7"/>
      <c r="AA190" s="7"/>
      <c r="AB190" s="10"/>
      <c r="AC190" s="7"/>
      <c r="AD190" s="7"/>
      <c r="AE190" s="7"/>
      <c r="AF190" s="7"/>
      <c r="AG190" s="10"/>
      <c r="AH190" s="7"/>
      <c r="AI190" s="7"/>
      <c r="AJ190" s="7"/>
      <c r="AK190" s="7"/>
      <c r="AL190" s="10"/>
      <c r="AM190" s="7"/>
      <c r="AN190" s="7"/>
      <c r="AO190" s="7"/>
      <c r="AP190" s="266"/>
      <c r="AQ190" s="266"/>
    </row>
    <row r="191" spans="1:43" s="268" customFormat="1" x14ac:dyDescent="0.25">
      <c r="A191" s="107"/>
      <c r="B191" s="107"/>
      <c r="C191" s="9"/>
      <c r="D191" s="9"/>
      <c r="E191" s="107"/>
      <c r="F191" s="7"/>
      <c r="G191" s="7"/>
      <c r="H191" s="7"/>
      <c r="I191" s="7"/>
      <c r="J191" s="7"/>
      <c r="K191" s="7"/>
      <c r="L191" s="10"/>
      <c r="M191" s="107"/>
      <c r="N191" s="7"/>
      <c r="O191" s="7"/>
      <c r="P191" s="10"/>
      <c r="Q191" s="7"/>
      <c r="R191" s="7"/>
      <c r="S191" s="7"/>
      <c r="T191" s="7"/>
      <c r="U191" s="7"/>
      <c r="V191" s="7"/>
      <c r="W191" s="7"/>
      <c r="X191" s="7"/>
      <c r="Y191" s="7"/>
      <c r="Z191" s="7"/>
      <c r="AA191" s="7"/>
      <c r="AB191" s="10"/>
      <c r="AC191" s="7"/>
      <c r="AD191" s="7"/>
      <c r="AE191" s="7"/>
      <c r="AF191" s="7"/>
      <c r="AG191" s="10"/>
      <c r="AH191" s="7"/>
      <c r="AI191" s="7"/>
      <c r="AJ191" s="7"/>
      <c r="AK191" s="7"/>
      <c r="AL191" s="10"/>
      <c r="AM191" s="7"/>
      <c r="AN191" s="7"/>
      <c r="AO191" s="7"/>
      <c r="AP191" s="266"/>
      <c r="AQ191" s="266"/>
    </row>
    <row r="192" spans="1:43" s="268" customFormat="1" x14ac:dyDescent="0.25">
      <c r="A192" s="107"/>
      <c r="B192" s="107"/>
      <c r="C192" s="9"/>
      <c r="D192" s="9"/>
      <c r="E192" s="107"/>
      <c r="F192" s="7"/>
      <c r="G192" s="7"/>
      <c r="H192" s="7"/>
      <c r="I192" s="7"/>
      <c r="J192" s="7"/>
      <c r="K192" s="7"/>
      <c r="L192" s="10"/>
      <c r="M192" s="107"/>
      <c r="N192" s="7"/>
      <c r="O192" s="7"/>
      <c r="P192" s="10"/>
      <c r="Q192" s="7"/>
      <c r="R192" s="7"/>
      <c r="S192" s="7"/>
      <c r="T192" s="7"/>
      <c r="U192" s="7"/>
      <c r="V192" s="7"/>
      <c r="W192" s="7"/>
      <c r="X192" s="7"/>
      <c r="Y192" s="7"/>
      <c r="Z192" s="7"/>
      <c r="AA192" s="7"/>
      <c r="AB192" s="10"/>
      <c r="AC192" s="7"/>
      <c r="AD192" s="7"/>
      <c r="AE192" s="7"/>
      <c r="AF192" s="7"/>
      <c r="AG192" s="10"/>
      <c r="AH192" s="7"/>
      <c r="AI192" s="7"/>
      <c r="AJ192" s="7"/>
      <c r="AK192" s="7"/>
      <c r="AL192" s="10"/>
      <c r="AM192" s="7"/>
      <c r="AN192" s="7"/>
      <c r="AO192" s="7"/>
      <c r="AP192" s="266"/>
      <c r="AQ192" s="266"/>
    </row>
    <row r="193" spans="1:43" s="268" customFormat="1" x14ac:dyDescent="0.25">
      <c r="A193" s="107"/>
      <c r="B193" s="107"/>
      <c r="C193" s="9"/>
      <c r="D193" s="9"/>
      <c r="E193" s="107"/>
      <c r="F193" s="7"/>
      <c r="G193" s="7"/>
      <c r="H193" s="7"/>
      <c r="I193" s="7"/>
      <c r="J193" s="7"/>
      <c r="K193" s="7"/>
      <c r="L193" s="10"/>
      <c r="M193" s="107"/>
      <c r="N193" s="7"/>
      <c r="O193" s="7"/>
      <c r="P193" s="10"/>
      <c r="Q193" s="7"/>
      <c r="R193" s="7"/>
      <c r="S193" s="7"/>
      <c r="T193" s="7"/>
      <c r="U193" s="7"/>
      <c r="V193" s="7"/>
      <c r="W193" s="7"/>
      <c r="X193" s="7"/>
      <c r="Y193" s="7"/>
      <c r="Z193" s="7"/>
      <c r="AA193" s="7"/>
      <c r="AB193" s="10"/>
      <c r="AC193" s="7"/>
      <c r="AD193" s="7"/>
      <c r="AE193" s="7"/>
      <c r="AF193" s="7"/>
      <c r="AG193" s="10"/>
      <c r="AH193" s="7"/>
      <c r="AI193" s="7"/>
      <c r="AJ193" s="7"/>
      <c r="AK193" s="7"/>
      <c r="AL193" s="10"/>
      <c r="AM193" s="7"/>
      <c r="AN193" s="7"/>
      <c r="AO193" s="7"/>
      <c r="AP193" s="266"/>
      <c r="AQ193" s="266"/>
    </row>
    <row r="194" spans="1:43" s="268" customFormat="1" x14ac:dyDescent="0.25">
      <c r="A194" s="107"/>
      <c r="B194" s="107"/>
      <c r="C194" s="9"/>
      <c r="D194" s="9"/>
      <c r="E194" s="107"/>
      <c r="F194" s="7"/>
      <c r="G194" s="7"/>
      <c r="H194" s="7"/>
      <c r="I194" s="7"/>
      <c r="J194" s="7"/>
      <c r="K194" s="7"/>
      <c r="L194" s="10"/>
      <c r="M194" s="107"/>
      <c r="N194" s="7"/>
      <c r="O194" s="7"/>
      <c r="P194" s="10"/>
      <c r="Q194" s="7"/>
      <c r="R194" s="7"/>
      <c r="S194" s="7"/>
      <c r="T194" s="7"/>
      <c r="U194" s="7"/>
      <c r="V194" s="7"/>
      <c r="W194" s="7"/>
      <c r="X194" s="7"/>
      <c r="Y194" s="7"/>
      <c r="Z194" s="7"/>
      <c r="AA194" s="7"/>
      <c r="AB194" s="10"/>
      <c r="AC194" s="7"/>
      <c r="AD194" s="7"/>
      <c r="AE194" s="7"/>
      <c r="AF194" s="7"/>
      <c r="AG194" s="10"/>
      <c r="AH194" s="7"/>
      <c r="AI194" s="7"/>
      <c r="AJ194" s="7"/>
      <c r="AK194" s="7"/>
      <c r="AL194" s="10"/>
      <c r="AM194" s="7"/>
      <c r="AN194" s="7"/>
      <c r="AO194" s="7"/>
      <c r="AP194" s="266"/>
      <c r="AQ194" s="266"/>
    </row>
    <row r="195" spans="1:43" s="268" customFormat="1" x14ac:dyDescent="0.25">
      <c r="A195" s="107"/>
      <c r="B195" s="107"/>
      <c r="C195" s="9"/>
      <c r="D195" s="9"/>
      <c r="E195" s="107"/>
      <c r="F195" s="7"/>
      <c r="G195" s="7"/>
      <c r="H195" s="7"/>
      <c r="I195" s="7"/>
      <c r="J195" s="7"/>
      <c r="K195" s="7"/>
      <c r="L195" s="10"/>
      <c r="M195" s="107"/>
      <c r="N195" s="7"/>
      <c r="O195" s="7"/>
      <c r="P195" s="10"/>
      <c r="Q195" s="7"/>
      <c r="R195" s="7"/>
      <c r="S195" s="7"/>
      <c r="T195" s="7"/>
      <c r="U195" s="7"/>
      <c r="V195" s="7"/>
      <c r="W195" s="7"/>
      <c r="X195" s="7"/>
      <c r="Y195" s="7"/>
      <c r="Z195" s="7"/>
      <c r="AA195" s="7"/>
      <c r="AB195" s="10"/>
      <c r="AC195" s="7"/>
      <c r="AD195" s="7"/>
      <c r="AE195" s="7"/>
      <c r="AF195" s="7"/>
      <c r="AG195" s="10"/>
      <c r="AH195" s="7"/>
      <c r="AI195" s="7"/>
      <c r="AJ195" s="7"/>
      <c r="AK195" s="7"/>
      <c r="AL195" s="10"/>
      <c r="AM195" s="7"/>
      <c r="AN195" s="7"/>
      <c r="AO195" s="7"/>
      <c r="AP195" s="266"/>
      <c r="AQ195" s="266"/>
    </row>
    <row r="196" spans="1:43" s="268" customFormat="1" x14ac:dyDescent="0.25">
      <c r="A196" s="107"/>
      <c r="B196" s="107"/>
      <c r="C196" s="9"/>
      <c r="D196" s="9"/>
      <c r="E196" s="107"/>
      <c r="F196" s="7"/>
      <c r="G196" s="7"/>
      <c r="H196" s="7"/>
      <c r="I196" s="7"/>
      <c r="J196" s="7"/>
      <c r="K196" s="7"/>
      <c r="L196" s="10"/>
      <c r="M196" s="107"/>
      <c r="N196" s="7"/>
      <c r="O196" s="7"/>
      <c r="P196" s="10"/>
      <c r="Q196" s="7"/>
      <c r="R196" s="7"/>
      <c r="S196" s="7"/>
      <c r="T196" s="7"/>
      <c r="U196" s="7"/>
      <c r="V196" s="7"/>
      <c r="W196" s="7"/>
      <c r="X196" s="7"/>
      <c r="Y196" s="7"/>
      <c r="Z196" s="7"/>
      <c r="AA196" s="7"/>
      <c r="AB196" s="10"/>
      <c r="AC196" s="7"/>
      <c r="AD196" s="7"/>
      <c r="AE196" s="7"/>
      <c r="AF196" s="7"/>
      <c r="AG196" s="10"/>
      <c r="AH196" s="7"/>
      <c r="AI196" s="7"/>
      <c r="AJ196" s="7"/>
      <c r="AK196" s="7"/>
      <c r="AL196" s="10"/>
      <c r="AM196" s="7"/>
      <c r="AN196" s="7"/>
      <c r="AO196" s="7"/>
      <c r="AP196" s="266"/>
      <c r="AQ196" s="266"/>
    </row>
    <row r="197" spans="1:43" s="268" customFormat="1" x14ac:dyDescent="0.25">
      <c r="A197" s="107"/>
      <c r="B197" s="107"/>
      <c r="C197" s="9"/>
      <c r="D197" s="9"/>
      <c r="E197" s="107"/>
      <c r="F197" s="7"/>
      <c r="G197" s="7"/>
      <c r="H197" s="7"/>
      <c r="I197" s="7"/>
      <c r="J197" s="7"/>
      <c r="K197" s="7"/>
      <c r="L197" s="10"/>
      <c r="M197" s="107"/>
      <c r="N197" s="7"/>
      <c r="O197" s="7"/>
      <c r="P197" s="10"/>
      <c r="Q197" s="7"/>
      <c r="R197" s="7"/>
      <c r="S197" s="7"/>
      <c r="T197" s="7"/>
      <c r="U197" s="7"/>
      <c r="V197" s="7"/>
      <c r="W197" s="7"/>
      <c r="X197" s="7"/>
      <c r="Y197" s="7"/>
      <c r="Z197" s="7"/>
      <c r="AA197" s="7"/>
      <c r="AB197" s="10"/>
      <c r="AC197" s="7"/>
      <c r="AD197" s="7"/>
      <c r="AE197" s="7"/>
      <c r="AF197" s="7"/>
      <c r="AG197" s="10"/>
      <c r="AH197" s="7"/>
      <c r="AI197" s="7"/>
      <c r="AJ197" s="7"/>
      <c r="AK197" s="7"/>
      <c r="AL197" s="10"/>
      <c r="AM197" s="7"/>
      <c r="AN197" s="7"/>
      <c r="AO197" s="7"/>
      <c r="AP197" s="266"/>
      <c r="AQ197" s="266"/>
    </row>
    <row r="198" spans="1:43" s="268" customFormat="1" x14ac:dyDescent="0.25">
      <c r="A198" s="107"/>
      <c r="B198" s="107"/>
      <c r="C198" s="9"/>
      <c r="D198" s="9"/>
      <c r="E198" s="107"/>
      <c r="F198" s="7"/>
      <c r="G198" s="7"/>
      <c r="H198" s="7"/>
      <c r="I198" s="7"/>
      <c r="J198" s="7"/>
      <c r="K198" s="7"/>
      <c r="L198" s="10"/>
      <c r="M198" s="107"/>
      <c r="N198" s="7"/>
      <c r="O198" s="7"/>
      <c r="P198" s="10"/>
      <c r="Q198" s="7"/>
      <c r="R198" s="7"/>
      <c r="S198" s="7"/>
      <c r="T198" s="7"/>
      <c r="U198" s="7"/>
      <c r="V198" s="7"/>
      <c r="W198" s="7"/>
      <c r="X198" s="7"/>
      <c r="Y198" s="7"/>
      <c r="Z198" s="7"/>
      <c r="AA198" s="7"/>
      <c r="AB198" s="10"/>
      <c r="AC198" s="7"/>
      <c r="AD198" s="7"/>
      <c r="AE198" s="7"/>
      <c r="AF198" s="7"/>
      <c r="AG198" s="10"/>
      <c r="AH198" s="7"/>
      <c r="AI198" s="7"/>
      <c r="AJ198" s="7"/>
      <c r="AK198" s="7"/>
      <c r="AL198" s="10"/>
      <c r="AM198" s="7"/>
      <c r="AN198" s="7"/>
      <c r="AO198" s="7"/>
      <c r="AP198" s="266"/>
      <c r="AQ198" s="266"/>
    </row>
    <row r="199" spans="1:43" s="268" customFormat="1" x14ac:dyDescent="0.25">
      <c r="A199" s="107"/>
      <c r="B199" s="107"/>
      <c r="C199" s="9"/>
      <c r="D199" s="9"/>
      <c r="E199" s="107"/>
      <c r="F199" s="7"/>
      <c r="G199" s="7"/>
      <c r="H199" s="7"/>
      <c r="I199" s="7"/>
      <c r="J199" s="7"/>
      <c r="K199" s="7"/>
      <c r="L199" s="10"/>
      <c r="M199" s="107"/>
      <c r="N199" s="7"/>
      <c r="O199" s="7"/>
      <c r="P199" s="10"/>
      <c r="Q199" s="7"/>
      <c r="R199" s="7"/>
      <c r="S199" s="7"/>
      <c r="T199" s="7"/>
      <c r="U199" s="7"/>
      <c r="V199" s="7"/>
      <c r="W199" s="7"/>
      <c r="X199" s="7"/>
      <c r="Y199" s="7"/>
      <c r="Z199" s="7"/>
      <c r="AA199" s="7"/>
      <c r="AB199" s="10"/>
      <c r="AC199" s="7"/>
      <c r="AD199" s="7"/>
      <c r="AE199" s="7"/>
      <c r="AF199" s="7"/>
      <c r="AG199" s="10"/>
      <c r="AH199" s="7"/>
      <c r="AI199" s="7"/>
      <c r="AJ199" s="7"/>
      <c r="AK199" s="7"/>
      <c r="AL199" s="10"/>
      <c r="AM199" s="7"/>
      <c r="AN199" s="7"/>
      <c r="AO199" s="7"/>
      <c r="AP199" s="266"/>
      <c r="AQ199" s="266"/>
    </row>
    <row r="200" spans="1:43" s="268" customFormat="1" x14ac:dyDescent="0.25">
      <c r="A200" s="107"/>
      <c r="B200" s="107"/>
      <c r="C200" s="9"/>
      <c r="D200" s="9"/>
      <c r="E200" s="107"/>
      <c r="F200" s="7"/>
      <c r="G200" s="7"/>
      <c r="H200" s="7"/>
      <c r="I200" s="7"/>
      <c r="J200" s="7"/>
      <c r="K200" s="7"/>
      <c r="L200" s="10"/>
      <c r="M200" s="107"/>
      <c r="N200" s="7"/>
      <c r="O200" s="7"/>
      <c r="P200" s="10"/>
      <c r="Q200" s="7"/>
      <c r="R200" s="7"/>
      <c r="S200" s="7"/>
      <c r="T200" s="7"/>
      <c r="U200" s="7"/>
      <c r="V200" s="7"/>
      <c r="W200" s="7"/>
      <c r="X200" s="7"/>
      <c r="Y200" s="7"/>
      <c r="Z200" s="7"/>
      <c r="AA200" s="7"/>
      <c r="AB200" s="10"/>
      <c r="AC200" s="7"/>
      <c r="AD200" s="7"/>
      <c r="AE200" s="7"/>
      <c r="AF200" s="7"/>
      <c r="AG200" s="10"/>
      <c r="AH200" s="7"/>
      <c r="AI200" s="7"/>
      <c r="AJ200" s="7"/>
      <c r="AK200" s="7"/>
      <c r="AL200" s="10"/>
      <c r="AM200" s="7"/>
      <c r="AN200" s="7"/>
      <c r="AO200" s="7"/>
      <c r="AP200" s="266"/>
      <c r="AQ200" s="266"/>
    </row>
    <row r="201" spans="1:43" s="268" customFormat="1" x14ac:dyDescent="0.25">
      <c r="A201" s="107"/>
      <c r="B201" s="107"/>
      <c r="C201" s="9"/>
      <c r="D201" s="9"/>
      <c r="E201" s="107"/>
      <c r="F201" s="7"/>
      <c r="G201" s="7"/>
      <c r="H201" s="7"/>
      <c r="I201" s="7"/>
      <c r="J201" s="7"/>
      <c r="K201" s="7"/>
      <c r="L201" s="10"/>
      <c r="M201" s="107"/>
      <c r="N201" s="7"/>
      <c r="O201" s="7"/>
      <c r="P201" s="10"/>
      <c r="Q201" s="7"/>
      <c r="R201" s="7"/>
      <c r="S201" s="7"/>
      <c r="T201" s="7"/>
      <c r="U201" s="7"/>
      <c r="V201" s="7"/>
      <c r="W201" s="7"/>
      <c r="X201" s="7"/>
      <c r="Y201" s="7"/>
      <c r="Z201" s="7"/>
      <c r="AA201" s="7"/>
      <c r="AB201" s="10"/>
      <c r="AC201" s="7"/>
      <c r="AD201" s="7"/>
      <c r="AE201" s="7"/>
      <c r="AF201" s="7"/>
      <c r="AG201" s="10"/>
      <c r="AH201" s="7"/>
      <c r="AI201" s="7"/>
      <c r="AJ201" s="7"/>
      <c r="AK201" s="7"/>
      <c r="AL201" s="10"/>
      <c r="AM201" s="7"/>
      <c r="AN201" s="7"/>
      <c r="AO201" s="7"/>
      <c r="AP201" s="266"/>
      <c r="AQ201" s="266"/>
    </row>
    <row r="202" spans="1:43" s="268" customFormat="1" x14ac:dyDescent="0.25">
      <c r="A202" s="107"/>
      <c r="B202" s="107"/>
      <c r="C202" s="9"/>
      <c r="D202" s="9"/>
      <c r="E202" s="107"/>
      <c r="F202" s="7"/>
      <c r="G202" s="7"/>
      <c r="H202" s="7"/>
      <c r="I202" s="7"/>
      <c r="J202" s="7"/>
      <c r="K202" s="7"/>
      <c r="L202" s="10"/>
      <c r="M202" s="107"/>
      <c r="N202" s="7"/>
      <c r="O202" s="7"/>
      <c r="P202" s="10"/>
      <c r="Q202" s="7"/>
      <c r="R202" s="7"/>
      <c r="S202" s="7"/>
      <c r="T202" s="7"/>
      <c r="U202" s="7"/>
      <c r="V202" s="7"/>
      <c r="W202" s="7"/>
      <c r="X202" s="7"/>
      <c r="Y202" s="7"/>
      <c r="Z202" s="7"/>
      <c r="AA202" s="7"/>
      <c r="AB202" s="10"/>
      <c r="AC202" s="7"/>
      <c r="AD202" s="7"/>
      <c r="AE202" s="7"/>
      <c r="AF202" s="7"/>
      <c r="AG202" s="10"/>
      <c r="AH202" s="7"/>
      <c r="AI202" s="7"/>
      <c r="AJ202" s="7"/>
      <c r="AK202" s="7"/>
      <c r="AL202" s="10"/>
      <c r="AM202" s="7"/>
      <c r="AN202" s="7"/>
      <c r="AO202" s="7"/>
      <c r="AP202" s="266"/>
      <c r="AQ202" s="266"/>
    </row>
    <row r="203" spans="1:43" s="268" customFormat="1" x14ac:dyDescent="0.25">
      <c r="A203" s="107"/>
      <c r="B203" s="107"/>
      <c r="C203" s="9"/>
      <c r="D203" s="9"/>
      <c r="E203" s="107"/>
      <c r="F203" s="7"/>
      <c r="G203" s="7"/>
      <c r="H203" s="7"/>
      <c r="I203" s="7"/>
      <c r="J203" s="7"/>
      <c r="K203" s="7"/>
      <c r="L203" s="10"/>
      <c r="M203" s="107"/>
      <c r="N203" s="7"/>
      <c r="O203" s="7"/>
      <c r="P203" s="10"/>
      <c r="Q203" s="7"/>
      <c r="R203" s="7"/>
      <c r="S203" s="7"/>
      <c r="T203" s="7"/>
      <c r="U203" s="7"/>
      <c r="V203" s="7"/>
      <c r="W203" s="7"/>
      <c r="X203" s="7"/>
      <c r="Y203" s="7"/>
      <c r="Z203" s="7"/>
      <c r="AA203" s="7"/>
      <c r="AB203" s="10"/>
      <c r="AC203" s="7"/>
      <c r="AD203" s="7"/>
      <c r="AE203" s="7"/>
      <c r="AF203" s="7"/>
      <c r="AG203" s="10"/>
      <c r="AH203" s="7"/>
      <c r="AI203" s="7"/>
      <c r="AJ203" s="7"/>
      <c r="AK203" s="7"/>
      <c r="AL203" s="10"/>
      <c r="AM203" s="7"/>
      <c r="AN203" s="7"/>
      <c r="AO203" s="7"/>
      <c r="AP203" s="266"/>
      <c r="AQ203" s="266"/>
    </row>
    <row r="204" spans="1:43" s="268" customFormat="1" x14ac:dyDescent="0.25">
      <c r="A204" s="107"/>
      <c r="B204" s="107"/>
      <c r="C204" s="9"/>
      <c r="D204" s="9"/>
      <c r="E204" s="107"/>
      <c r="F204" s="7"/>
      <c r="G204" s="7"/>
      <c r="H204" s="7"/>
      <c r="I204" s="7"/>
      <c r="J204" s="7"/>
      <c r="K204" s="7"/>
      <c r="L204" s="10"/>
      <c r="M204" s="107"/>
      <c r="N204" s="7"/>
      <c r="O204" s="7"/>
      <c r="P204" s="10"/>
      <c r="Q204" s="7"/>
      <c r="R204" s="7"/>
      <c r="S204" s="7"/>
      <c r="T204" s="7"/>
      <c r="U204" s="7"/>
      <c r="V204" s="7"/>
      <c r="W204" s="7"/>
      <c r="X204" s="7"/>
      <c r="Y204" s="7"/>
      <c r="Z204" s="7"/>
      <c r="AA204" s="7"/>
      <c r="AB204" s="10"/>
      <c r="AC204" s="7"/>
      <c r="AD204" s="7"/>
      <c r="AE204" s="7"/>
      <c r="AF204" s="7"/>
      <c r="AG204" s="10"/>
      <c r="AH204" s="7"/>
      <c r="AI204" s="7"/>
      <c r="AJ204" s="7"/>
      <c r="AK204" s="7"/>
      <c r="AL204" s="10"/>
      <c r="AM204" s="7"/>
      <c r="AN204" s="7"/>
      <c r="AO204" s="7"/>
      <c r="AP204" s="266"/>
      <c r="AQ204" s="266"/>
    </row>
    <row r="205" spans="1:43" s="268" customFormat="1" x14ac:dyDescent="0.25">
      <c r="A205" s="107"/>
      <c r="B205" s="107"/>
      <c r="C205" s="9"/>
      <c r="D205" s="9"/>
      <c r="E205" s="107"/>
      <c r="F205" s="7"/>
      <c r="G205" s="7"/>
      <c r="H205" s="7"/>
      <c r="I205" s="7"/>
      <c r="J205" s="7"/>
      <c r="K205" s="7"/>
      <c r="L205" s="10"/>
      <c r="M205" s="107"/>
      <c r="N205" s="7"/>
      <c r="O205" s="7"/>
      <c r="P205" s="10"/>
      <c r="Q205" s="7"/>
      <c r="R205" s="7"/>
      <c r="S205" s="7"/>
      <c r="T205" s="7"/>
      <c r="U205" s="7"/>
      <c r="V205" s="7"/>
      <c r="W205" s="7"/>
      <c r="X205" s="7"/>
      <c r="Y205" s="7"/>
      <c r="Z205" s="7"/>
      <c r="AA205" s="7"/>
      <c r="AB205" s="10"/>
      <c r="AC205" s="7"/>
      <c r="AD205" s="7"/>
      <c r="AE205" s="7"/>
      <c r="AF205" s="7"/>
      <c r="AG205" s="10"/>
      <c r="AH205" s="7"/>
      <c r="AI205" s="7"/>
      <c r="AJ205" s="7"/>
      <c r="AK205" s="7"/>
      <c r="AL205" s="10"/>
      <c r="AM205" s="7"/>
      <c r="AN205" s="7"/>
      <c r="AO205" s="7"/>
      <c r="AP205" s="266"/>
      <c r="AQ205" s="266"/>
    </row>
    <row r="206" spans="1:43" s="268" customFormat="1" x14ac:dyDescent="0.25">
      <c r="A206" s="107"/>
      <c r="B206" s="107"/>
      <c r="C206" s="9"/>
      <c r="D206" s="9"/>
      <c r="E206" s="107"/>
      <c r="F206" s="7"/>
      <c r="G206" s="7"/>
      <c r="H206" s="7"/>
      <c r="I206" s="7"/>
      <c r="J206" s="7"/>
      <c r="K206" s="7"/>
      <c r="L206" s="10"/>
      <c r="M206" s="107"/>
      <c r="N206" s="7"/>
      <c r="O206" s="7"/>
      <c r="P206" s="10"/>
      <c r="Q206" s="7"/>
      <c r="R206" s="7"/>
      <c r="S206" s="7"/>
      <c r="T206" s="7"/>
      <c r="U206" s="7"/>
      <c r="V206" s="7"/>
      <c r="W206" s="7"/>
      <c r="X206" s="7"/>
      <c r="Y206" s="7"/>
      <c r="Z206" s="7"/>
      <c r="AA206" s="7"/>
      <c r="AB206" s="10"/>
      <c r="AC206" s="7"/>
      <c r="AD206" s="7"/>
      <c r="AE206" s="7"/>
      <c r="AF206" s="7"/>
      <c r="AG206" s="10"/>
      <c r="AH206" s="7"/>
      <c r="AI206" s="7"/>
      <c r="AJ206" s="7"/>
      <c r="AK206" s="7"/>
      <c r="AL206" s="10"/>
      <c r="AM206" s="7"/>
      <c r="AN206" s="7"/>
      <c r="AO206" s="7"/>
      <c r="AP206" s="266"/>
      <c r="AQ206" s="266"/>
    </row>
    <row r="207" spans="1:43" s="268" customFormat="1" x14ac:dyDescent="0.25">
      <c r="A207" s="107"/>
      <c r="B207" s="107"/>
      <c r="C207" s="9"/>
      <c r="D207" s="9"/>
      <c r="E207" s="107"/>
      <c r="F207" s="7"/>
      <c r="G207" s="7"/>
      <c r="H207" s="7"/>
      <c r="I207" s="7"/>
      <c r="J207" s="7"/>
      <c r="K207" s="7"/>
      <c r="L207" s="10"/>
      <c r="M207" s="107"/>
      <c r="N207" s="7"/>
      <c r="O207" s="7"/>
      <c r="P207" s="10"/>
      <c r="Q207" s="7"/>
      <c r="R207" s="7"/>
      <c r="S207" s="7"/>
      <c r="T207" s="7"/>
      <c r="U207" s="7"/>
      <c r="V207" s="7"/>
      <c r="W207" s="7"/>
      <c r="X207" s="7"/>
      <c r="Y207" s="7"/>
      <c r="Z207" s="7"/>
      <c r="AA207" s="7"/>
      <c r="AB207" s="10"/>
      <c r="AC207" s="7"/>
      <c r="AD207" s="7"/>
      <c r="AE207" s="7"/>
      <c r="AF207" s="7"/>
      <c r="AG207" s="10"/>
      <c r="AH207" s="7"/>
      <c r="AI207" s="7"/>
      <c r="AJ207" s="7"/>
      <c r="AK207" s="7"/>
      <c r="AL207" s="10"/>
      <c r="AM207" s="7"/>
      <c r="AN207" s="7"/>
      <c r="AO207" s="7"/>
      <c r="AP207" s="266"/>
      <c r="AQ207" s="266"/>
    </row>
    <row r="208" spans="1:43" s="268" customFormat="1" x14ac:dyDescent="0.25">
      <c r="A208" s="107"/>
      <c r="B208" s="107"/>
      <c r="C208" s="9"/>
      <c r="D208" s="9"/>
      <c r="E208" s="107"/>
      <c r="F208" s="7"/>
      <c r="G208" s="7"/>
      <c r="H208" s="7"/>
      <c r="I208" s="7"/>
      <c r="J208" s="7"/>
      <c r="K208" s="7"/>
      <c r="L208" s="10"/>
      <c r="M208" s="107"/>
      <c r="N208" s="7"/>
      <c r="O208" s="7"/>
      <c r="P208" s="10"/>
      <c r="Q208" s="7"/>
      <c r="R208" s="7"/>
      <c r="S208" s="7"/>
      <c r="T208" s="7"/>
      <c r="U208" s="7"/>
      <c r="V208" s="7"/>
      <c r="W208" s="7"/>
      <c r="X208" s="7"/>
      <c r="Y208" s="7"/>
      <c r="Z208" s="7"/>
      <c r="AA208" s="7"/>
      <c r="AB208" s="10"/>
      <c r="AC208" s="7"/>
      <c r="AD208" s="7"/>
      <c r="AE208" s="7"/>
      <c r="AF208" s="7"/>
      <c r="AG208" s="10"/>
      <c r="AH208" s="7"/>
      <c r="AI208" s="7"/>
      <c r="AJ208" s="7"/>
      <c r="AK208" s="7"/>
      <c r="AL208" s="10"/>
      <c r="AM208" s="7"/>
      <c r="AN208" s="7"/>
      <c r="AO208" s="7"/>
      <c r="AP208" s="266"/>
      <c r="AQ208" s="266"/>
    </row>
    <row r="209" spans="1:43" s="268" customFormat="1" x14ac:dyDescent="0.25">
      <c r="A209" s="107"/>
      <c r="B209" s="107"/>
      <c r="C209" s="7"/>
      <c r="D209" s="7"/>
      <c r="E209" s="10"/>
      <c r="F209" s="7"/>
      <c r="G209" s="7"/>
      <c r="H209" s="7"/>
      <c r="I209" s="7"/>
      <c r="J209" s="7"/>
      <c r="K209" s="7"/>
      <c r="L209" s="10"/>
      <c r="M209" s="107"/>
      <c r="N209" s="7"/>
      <c r="O209" s="7"/>
      <c r="P209" s="10"/>
      <c r="Q209" s="7"/>
      <c r="R209" s="7"/>
      <c r="S209" s="7"/>
      <c r="T209" s="7"/>
      <c r="U209" s="7"/>
      <c r="V209" s="7"/>
      <c r="W209" s="7"/>
      <c r="X209" s="7"/>
      <c r="Y209" s="7"/>
      <c r="Z209" s="7"/>
      <c r="AA209" s="7"/>
      <c r="AB209" s="10"/>
      <c r="AC209" s="7"/>
      <c r="AD209" s="7"/>
      <c r="AE209" s="7"/>
      <c r="AF209" s="7"/>
      <c r="AG209" s="10"/>
      <c r="AH209" s="7"/>
      <c r="AI209" s="7"/>
      <c r="AJ209" s="7"/>
      <c r="AK209" s="7"/>
      <c r="AL209" s="10"/>
      <c r="AM209" s="7"/>
      <c r="AN209" s="7"/>
      <c r="AO209" s="7"/>
      <c r="AP209" s="266"/>
      <c r="AQ209" s="266"/>
    </row>
    <row r="210" spans="1:43" s="268" customFormat="1" x14ac:dyDescent="0.25">
      <c r="A210" s="107"/>
      <c r="B210" s="107"/>
      <c r="C210" s="7"/>
      <c r="D210" s="7"/>
      <c r="E210" s="10"/>
      <c r="F210" s="7"/>
      <c r="G210" s="7"/>
      <c r="H210" s="7"/>
      <c r="I210" s="7"/>
      <c r="J210" s="7"/>
      <c r="K210" s="7"/>
      <c r="L210" s="10"/>
      <c r="M210" s="107"/>
      <c r="N210" s="7"/>
      <c r="O210" s="7"/>
      <c r="P210" s="10"/>
      <c r="Q210" s="7"/>
      <c r="R210" s="7"/>
      <c r="S210" s="7"/>
      <c r="T210" s="7"/>
      <c r="U210" s="7"/>
      <c r="V210" s="7"/>
      <c r="W210" s="7"/>
      <c r="X210" s="7"/>
      <c r="Y210" s="7"/>
      <c r="Z210" s="7"/>
      <c r="AA210" s="7"/>
      <c r="AB210" s="10"/>
      <c r="AC210" s="7"/>
      <c r="AD210" s="7"/>
      <c r="AE210" s="7"/>
      <c r="AF210" s="7"/>
      <c r="AG210" s="10"/>
      <c r="AH210" s="7"/>
      <c r="AI210" s="7"/>
      <c r="AJ210" s="7"/>
      <c r="AK210" s="7"/>
      <c r="AL210" s="10"/>
      <c r="AM210" s="7"/>
      <c r="AN210" s="7"/>
      <c r="AO210" s="7"/>
      <c r="AP210" s="266"/>
      <c r="AQ210" s="266"/>
    </row>
    <row r="211" spans="1:43" s="268" customFormat="1" x14ac:dyDescent="0.25">
      <c r="A211" s="107"/>
      <c r="B211" s="107"/>
      <c r="C211" s="7"/>
      <c r="D211" s="7"/>
      <c r="E211" s="10"/>
      <c r="F211" s="7"/>
      <c r="G211" s="7"/>
      <c r="H211" s="7"/>
      <c r="I211" s="7"/>
      <c r="J211" s="7"/>
      <c r="K211" s="7"/>
      <c r="L211" s="10"/>
      <c r="M211" s="107"/>
      <c r="N211" s="7"/>
      <c r="O211" s="7"/>
      <c r="P211" s="10"/>
      <c r="Q211" s="7"/>
      <c r="R211" s="7"/>
      <c r="S211" s="7"/>
      <c r="T211" s="7"/>
      <c r="U211" s="7"/>
      <c r="V211" s="7"/>
      <c r="W211" s="7"/>
      <c r="X211" s="7"/>
      <c r="Y211" s="7"/>
      <c r="Z211" s="7"/>
      <c r="AA211" s="7"/>
      <c r="AB211" s="10"/>
      <c r="AC211" s="7"/>
      <c r="AD211" s="7"/>
      <c r="AE211" s="7"/>
      <c r="AF211" s="7"/>
      <c r="AG211" s="10"/>
      <c r="AH211" s="7"/>
      <c r="AI211" s="7"/>
      <c r="AJ211" s="7"/>
      <c r="AK211" s="7"/>
      <c r="AL211" s="10"/>
      <c r="AM211" s="7"/>
      <c r="AN211" s="7"/>
      <c r="AO211" s="7"/>
      <c r="AP211" s="266"/>
      <c r="AQ211" s="266"/>
    </row>
    <row r="212" spans="1:43" s="268" customFormat="1" x14ac:dyDescent="0.25">
      <c r="A212" s="107"/>
      <c r="B212" s="107"/>
      <c r="C212" s="7"/>
      <c r="D212" s="7"/>
      <c r="E212" s="10"/>
      <c r="F212" s="7"/>
      <c r="G212" s="7"/>
      <c r="H212" s="7"/>
      <c r="I212" s="7"/>
      <c r="J212" s="7"/>
      <c r="K212" s="7"/>
      <c r="L212" s="10"/>
      <c r="M212" s="107"/>
      <c r="N212" s="7"/>
      <c r="O212" s="7"/>
      <c r="P212" s="10"/>
      <c r="Q212" s="7"/>
      <c r="R212" s="7"/>
      <c r="S212" s="7"/>
      <c r="T212" s="7"/>
      <c r="U212" s="7"/>
      <c r="V212" s="7"/>
      <c r="W212" s="7"/>
      <c r="X212" s="7"/>
      <c r="Y212" s="7"/>
      <c r="Z212" s="7"/>
      <c r="AA212" s="7"/>
      <c r="AB212" s="10"/>
      <c r="AC212" s="7"/>
      <c r="AD212" s="7"/>
      <c r="AE212" s="7"/>
      <c r="AF212" s="7"/>
      <c r="AG212" s="10"/>
      <c r="AH212" s="7"/>
      <c r="AI212" s="7"/>
      <c r="AJ212" s="7"/>
      <c r="AK212" s="7"/>
      <c r="AL212" s="10"/>
      <c r="AM212" s="7"/>
      <c r="AN212" s="7"/>
      <c r="AO212" s="7"/>
      <c r="AP212" s="266"/>
      <c r="AQ212" s="266"/>
    </row>
    <row r="213" spans="1:43" s="268" customFormat="1" x14ac:dyDescent="0.25">
      <c r="A213" s="107"/>
      <c r="B213" s="107"/>
      <c r="C213" s="7"/>
      <c r="D213" s="7"/>
      <c r="E213" s="10"/>
      <c r="F213" s="7"/>
      <c r="G213" s="7"/>
      <c r="H213" s="7"/>
      <c r="I213" s="7"/>
      <c r="J213" s="7"/>
      <c r="K213" s="7"/>
      <c r="L213" s="10"/>
      <c r="M213" s="107"/>
      <c r="N213" s="7"/>
      <c r="O213" s="7"/>
      <c r="P213" s="10"/>
      <c r="Q213" s="7"/>
      <c r="R213" s="7"/>
      <c r="S213" s="7"/>
      <c r="T213" s="7"/>
      <c r="U213" s="7"/>
      <c r="V213" s="7"/>
      <c r="W213" s="7"/>
      <c r="X213" s="7"/>
      <c r="Y213" s="7"/>
      <c r="Z213" s="7"/>
      <c r="AA213" s="7"/>
      <c r="AB213" s="10"/>
      <c r="AC213" s="7"/>
      <c r="AD213" s="7"/>
      <c r="AE213" s="7"/>
      <c r="AF213" s="7"/>
      <c r="AG213" s="10"/>
      <c r="AH213" s="7"/>
      <c r="AI213" s="7"/>
      <c r="AJ213" s="7"/>
      <c r="AK213" s="7"/>
      <c r="AL213" s="10"/>
      <c r="AM213" s="7"/>
      <c r="AN213" s="7"/>
      <c r="AO213" s="7"/>
      <c r="AP213" s="266"/>
      <c r="AQ213" s="266"/>
    </row>
    <row r="214" spans="1:43" s="268" customFormat="1" x14ac:dyDescent="0.25">
      <c r="A214" s="107"/>
      <c r="B214" s="107"/>
      <c r="C214" s="7"/>
      <c r="D214" s="7"/>
      <c r="E214" s="10"/>
      <c r="F214" s="7"/>
      <c r="G214" s="7"/>
      <c r="H214" s="7"/>
      <c r="I214" s="7"/>
      <c r="J214" s="7"/>
      <c r="K214" s="7"/>
      <c r="L214" s="10"/>
      <c r="M214" s="107"/>
      <c r="N214" s="7"/>
      <c r="O214" s="7"/>
      <c r="P214" s="10"/>
      <c r="Q214" s="7"/>
      <c r="R214" s="7"/>
      <c r="S214" s="7"/>
      <c r="T214" s="7"/>
      <c r="U214" s="7"/>
      <c r="V214" s="7"/>
      <c r="W214" s="7"/>
      <c r="X214" s="7"/>
      <c r="Y214" s="7"/>
      <c r="Z214" s="7"/>
      <c r="AA214" s="7"/>
      <c r="AB214" s="10"/>
      <c r="AC214" s="7"/>
      <c r="AD214" s="7"/>
      <c r="AE214" s="7"/>
      <c r="AF214" s="7"/>
      <c r="AG214" s="10"/>
      <c r="AH214" s="7"/>
      <c r="AI214" s="7"/>
      <c r="AJ214" s="7"/>
      <c r="AK214" s="7"/>
      <c r="AL214" s="10"/>
      <c r="AM214" s="7"/>
      <c r="AN214" s="7"/>
      <c r="AO214" s="7"/>
      <c r="AP214" s="266"/>
      <c r="AQ214" s="266"/>
    </row>
    <row r="215" spans="1:43" s="268" customFormat="1" x14ac:dyDescent="0.25">
      <c r="A215" s="107"/>
      <c r="B215" s="107"/>
      <c r="C215" s="7"/>
      <c r="D215" s="7"/>
      <c r="E215" s="10"/>
      <c r="F215" s="7"/>
      <c r="G215" s="7"/>
      <c r="H215" s="7"/>
      <c r="I215" s="7"/>
      <c r="J215" s="7"/>
      <c r="K215" s="7"/>
      <c r="L215" s="10"/>
      <c r="M215" s="107"/>
      <c r="N215" s="7"/>
      <c r="O215" s="7"/>
      <c r="P215" s="10"/>
      <c r="Q215" s="7"/>
      <c r="R215" s="7"/>
      <c r="S215" s="7"/>
      <c r="T215" s="7"/>
      <c r="U215" s="7"/>
      <c r="V215" s="7"/>
      <c r="W215" s="7"/>
      <c r="X215" s="7"/>
      <c r="Y215" s="7"/>
      <c r="Z215" s="7"/>
      <c r="AA215" s="7"/>
      <c r="AB215" s="10"/>
      <c r="AC215" s="7"/>
      <c r="AD215" s="7"/>
      <c r="AE215" s="7"/>
      <c r="AF215" s="7"/>
      <c r="AG215" s="10"/>
      <c r="AH215" s="7"/>
      <c r="AI215" s="7"/>
      <c r="AJ215" s="7"/>
      <c r="AK215" s="7"/>
      <c r="AL215" s="10"/>
      <c r="AM215" s="7"/>
      <c r="AN215" s="7"/>
      <c r="AO215" s="7"/>
      <c r="AP215" s="266"/>
      <c r="AQ215" s="266"/>
    </row>
    <row r="216" spans="1:43" s="268" customFormat="1" x14ac:dyDescent="0.25">
      <c r="A216" s="107"/>
      <c r="B216" s="107"/>
      <c r="C216" s="7"/>
      <c r="D216" s="7"/>
      <c r="E216" s="10"/>
      <c r="F216" s="7"/>
      <c r="G216" s="7"/>
      <c r="H216" s="7"/>
      <c r="I216" s="7"/>
      <c r="J216" s="7"/>
      <c r="K216" s="7"/>
      <c r="L216" s="10"/>
      <c r="M216" s="107"/>
      <c r="N216" s="7"/>
      <c r="O216" s="7"/>
      <c r="P216" s="10"/>
      <c r="Q216" s="7"/>
      <c r="R216" s="7"/>
      <c r="S216" s="7"/>
      <c r="T216" s="7"/>
      <c r="U216" s="7"/>
      <c r="V216" s="7"/>
      <c r="W216" s="7"/>
      <c r="X216" s="7"/>
      <c r="Y216" s="7"/>
      <c r="Z216" s="7"/>
      <c r="AA216" s="7"/>
      <c r="AB216" s="10"/>
      <c r="AC216" s="7"/>
      <c r="AD216" s="7"/>
      <c r="AE216" s="7"/>
      <c r="AF216" s="7"/>
      <c r="AG216" s="10"/>
      <c r="AH216" s="7"/>
      <c r="AI216" s="7"/>
      <c r="AJ216" s="7"/>
      <c r="AK216" s="7"/>
      <c r="AL216" s="10"/>
      <c r="AM216" s="7"/>
      <c r="AN216" s="7"/>
      <c r="AO216" s="7"/>
      <c r="AP216" s="266"/>
      <c r="AQ216" s="266"/>
    </row>
    <row r="217" spans="1:43" s="268" customFormat="1" x14ac:dyDescent="0.25">
      <c r="A217" s="107"/>
      <c r="B217" s="107"/>
      <c r="C217" s="7"/>
      <c r="D217" s="7"/>
      <c r="E217" s="10"/>
      <c r="F217" s="7"/>
      <c r="G217" s="7"/>
      <c r="H217" s="7"/>
      <c r="I217" s="7"/>
      <c r="J217" s="7"/>
      <c r="K217" s="7"/>
      <c r="L217" s="10"/>
      <c r="M217" s="107"/>
      <c r="N217" s="7"/>
      <c r="O217" s="7"/>
      <c r="P217" s="10"/>
      <c r="Q217" s="7"/>
      <c r="R217" s="7"/>
      <c r="S217" s="7"/>
      <c r="T217" s="7"/>
      <c r="U217" s="7"/>
      <c r="V217" s="7"/>
      <c r="W217" s="7"/>
      <c r="X217" s="7"/>
      <c r="Y217" s="7"/>
      <c r="Z217" s="7"/>
      <c r="AA217" s="7"/>
      <c r="AB217" s="10"/>
      <c r="AC217" s="7"/>
      <c r="AD217" s="7"/>
      <c r="AE217" s="7"/>
      <c r="AF217" s="7"/>
      <c r="AG217" s="10"/>
      <c r="AH217" s="7"/>
      <c r="AI217" s="7"/>
      <c r="AJ217" s="7"/>
      <c r="AK217" s="7"/>
      <c r="AL217" s="10"/>
      <c r="AM217" s="7"/>
      <c r="AN217" s="7"/>
      <c r="AO217" s="7"/>
      <c r="AP217" s="266"/>
      <c r="AQ217" s="266"/>
    </row>
    <row r="218" spans="1:43" s="268" customFormat="1" x14ac:dyDescent="0.25">
      <c r="A218" s="107"/>
      <c r="B218" s="107"/>
      <c r="C218" s="7"/>
      <c r="D218" s="7"/>
      <c r="E218" s="10"/>
      <c r="F218" s="7"/>
      <c r="G218" s="7"/>
      <c r="H218" s="7"/>
      <c r="I218" s="7"/>
      <c r="J218" s="7"/>
      <c r="K218" s="7"/>
      <c r="L218" s="10"/>
      <c r="M218" s="107"/>
      <c r="N218" s="7"/>
      <c r="O218" s="7"/>
      <c r="P218" s="10"/>
      <c r="Q218" s="7"/>
      <c r="R218" s="7"/>
      <c r="S218" s="7"/>
      <c r="T218" s="7"/>
      <c r="U218" s="7"/>
      <c r="V218" s="7"/>
      <c r="W218" s="7"/>
      <c r="X218" s="7"/>
      <c r="Y218" s="7"/>
      <c r="Z218" s="7"/>
      <c r="AA218" s="7"/>
      <c r="AB218" s="10"/>
      <c r="AC218" s="7"/>
      <c r="AD218" s="7"/>
      <c r="AE218" s="7"/>
      <c r="AF218" s="7"/>
      <c r="AG218" s="10"/>
      <c r="AH218" s="7"/>
      <c r="AI218" s="7"/>
      <c r="AJ218" s="7"/>
      <c r="AK218" s="7"/>
      <c r="AL218" s="10"/>
      <c r="AM218" s="7"/>
      <c r="AN218" s="7"/>
      <c r="AO218" s="7"/>
      <c r="AP218" s="266"/>
      <c r="AQ218" s="266"/>
    </row>
    <row r="219" spans="1:43" s="268" customFormat="1" x14ac:dyDescent="0.25">
      <c r="A219" s="107"/>
      <c r="B219" s="107"/>
      <c r="C219" s="7"/>
      <c r="D219" s="7"/>
      <c r="E219" s="10"/>
      <c r="F219" s="7"/>
      <c r="G219" s="7"/>
      <c r="H219" s="7"/>
      <c r="I219" s="7"/>
      <c r="J219" s="7"/>
      <c r="K219" s="7"/>
      <c r="L219" s="10"/>
      <c r="M219" s="107"/>
      <c r="N219" s="7"/>
      <c r="O219" s="7"/>
      <c r="P219" s="10"/>
      <c r="Q219" s="7"/>
      <c r="R219" s="7"/>
      <c r="S219" s="7"/>
      <c r="T219" s="7"/>
      <c r="U219" s="7"/>
      <c r="V219" s="7"/>
      <c r="W219" s="7"/>
      <c r="X219" s="7"/>
      <c r="Y219" s="7"/>
      <c r="Z219" s="7"/>
      <c r="AA219" s="7"/>
      <c r="AB219" s="10"/>
      <c r="AC219" s="7"/>
      <c r="AD219" s="7"/>
      <c r="AE219" s="7"/>
      <c r="AF219" s="7"/>
      <c r="AG219" s="10"/>
      <c r="AH219" s="7"/>
      <c r="AI219" s="7"/>
      <c r="AJ219" s="7"/>
      <c r="AK219" s="7"/>
      <c r="AL219" s="10"/>
      <c r="AM219" s="7"/>
      <c r="AN219" s="7"/>
      <c r="AO219" s="7"/>
      <c r="AP219" s="266"/>
      <c r="AQ219" s="266"/>
    </row>
    <row r="220" spans="1:43" s="268" customFormat="1" x14ac:dyDescent="0.25">
      <c r="A220" s="107"/>
      <c r="B220" s="107"/>
      <c r="C220" s="7"/>
      <c r="D220" s="7"/>
      <c r="E220" s="10"/>
      <c r="F220" s="7"/>
      <c r="G220" s="7"/>
      <c r="H220" s="7"/>
      <c r="I220" s="7"/>
      <c r="J220" s="7"/>
      <c r="K220" s="7"/>
      <c r="L220" s="10"/>
      <c r="M220" s="107"/>
      <c r="N220" s="7"/>
      <c r="O220" s="7"/>
      <c r="P220" s="10"/>
      <c r="Q220" s="7"/>
      <c r="R220" s="7"/>
      <c r="S220" s="7"/>
      <c r="T220" s="7"/>
      <c r="U220" s="7"/>
      <c r="V220" s="7"/>
      <c r="W220" s="7"/>
      <c r="X220" s="7"/>
      <c r="Y220" s="7"/>
      <c r="Z220" s="7"/>
      <c r="AA220" s="7"/>
      <c r="AB220" s="10"/>
      <c r="AC220" s="7"/>
      <c r="AD220" s="7"/>
      <c r="AE220" s="7"/>
      <c r="AF220" s="7"/>
      <c r="AG220" s="10"/>
      <c r="AH220" s="7"/>
      <c r="AI220" s="7"/>
      <c r="AJ220" s="7"/>
      <c r="AK220" s="7"/>
      <c r="AL220" s="10"/>
      <c r="AM220" s="7"/>
      <c r="AN220" s="7"/>
      <c r="AO220" s="7"/>
      <c r="AP220" s="266"/>
      <c r="AQ220" s="266"/>
    </row>
    <row r="221" spans="1:43" s="268" customFormat="1" x14ac:dyDescent="0.25">
      <c r="A221" s="107"/>
      <c r="B221" s="107"/>
      <c r="C221" s="7"/>
      <c r="D221" s="7"/>
      <c r="E221" s="10"/>
      <c r="F221" s="7"/>
      <c r="G221" s="7"/>
      <c r="H221" s="7"/>
      <c r="I221" s="7"/>
      <c r="J221" s="7"/>
      <c r="K221" s="7"/>
      <c r="L221" s="10"/>
      <c r="M221" s="107"/>
      <c r="N221" s="7"/>
      <c r="O221" s="7"/>
      <c r="P221" s="10"/>
      <c r="Q221" s="7"/>
      <c r="R221" s="7"/>
      <c r="S221" s="7"/>
      <c r="T221" s="7"/>
      <c r="U221" s="7"/>
      <c r="V221" s="7"/>
      <c r="W221" s="7"/>
      <c r="X221" s="7"/>
      <c r="Y221" s="7"/>
      <c r="Z221" s="7"/>
      <c r="AA221" s="7"/>
      <c r="AB221" s="10"/>
      <c r="AC221" s="7"/>
      <c r="AD221" s="7"/>
      <c r="AE221" s="7"/>
      <c r="AF221" s="7"/>
      <c r="AG221" s="10"/>
      <c r="AH221" s="7"/>
      <c r="AI221" s="7"/>
      <c r="AJ221" s="7"/>
      <c r="AK221" s="7"/>
      <c r="AL221" s="10"/>
      <c r="AM221" s="7"/>
      <c r="AN221" s="7"/>
      <c r="AO221" s="7"/>
      <c r="AP221" s="266"/>
      <c r="AQ221" s="266"/>
    </row>
    <row r="222" spans="1:43" s="268" customFormat="1" x14ac:dyDescent="0.25">
      <c r="A222" s="107"/>
      <c r="B222" s="107"/>
      <c r="C222" s="7"/>
      <c r="D222" s="7"/>
      <c r="E222" s="10"/>
      <c r="F222" s="7"/>
      <c r="G222" s="7"/>
      <c r="H222" s="7"/>
      <c r="I222" s="7"/>
      <c r="J222" s="7"/>
      <c r="K222" s="7"/>
      <c r="L222" s="10"/>
      <c r="M222" s="107"/>
      <c r="N222" s="7"/>
      <c r="O222" s="7"/>
      <c r="P222" s="10"/>
      <c r="Q222" s="7"/>
      <c r="R222" s="7"/>
      <c r="S222" s="7"/>
      <c r="T222" s="7"/>
      <c r="U222" s="7"/>
      <c r="V222" s="7"/>
      <c r="W222" s="7"/>
      <c r="X222" s="7"/>
      <c r="Y222" s="7"/>
      <c r="Z222" s="7"/>
      <c r="AA222" s="7"/>
      <c r="AB222" s="10"/>
      <c r="AC222" s="7"/>
      <c r="AD222" s="7"/>
      <c r="AE222" s="7"/>
      <c r="AF222" s="7"/>
      <c r="AG222" s="10"/>
      <c r="AH222" s="7"/>
      <c r="AI222" s="7"/>
      <c r="AJ222" s="7"/>
      <c r="AK222" s="7"/>
      <c r="AL222" s="10"/>
      <c r="AM222" s="7"/>
      <c r="AN222" s="7"/>
      <c r="AO222" s="7"/>
      <c r="AP222" s="266"/>
      <c r="AQ222" s="266"/>
    </row>
    <row r="223" spans="1:43" s="268" customFormat="1" x14ac:dyDescent="0.25">
      <c r="A223" s="107"/>
      <c r="B223" s="107"/>
      <c r="C223" s="7"/>
      <c r="D223" s="7"/>
      <c r="E223" s="10"/>
      <c r="F223" s="7"/>
      <c r="G223" s="7"/>
      <c r="H223" s="7"/>
      <c r="I223" s="7"/>
      <c r="J223" s="7"/>
      <c r="K223" s="7"/>
      <c r="L223" s="10"/>
      <c r="M223" s="107"/>
      <c r="N223" s="7"/>
      <c r="O223" s="7"/>
      <c r="P223" s="10"/>
      <c r="Q223" s="7"/>
      <c r="R223" s="7"/>
      <c r="S223" s="7"/>
      <c r="T223" s="7"/>
      <c r="U223" s="7"/>
      <c r="V223" s="7"/>
      <c r="W223" s="7"/>
      <c r="X223" s="7"/>
      <c r="Y223" s="7"/>
      <c r="Z223" s="7"/>
      <c r="AA223" s="7"/>
      <c r="AB223" s="10"/>
      <c r="AC223" s="7"/>
      <c r="AD223" s="7"/>
      <c r="AE223" s="7"/>
      <c r="AF223" s="7"/>
      <c r="AG223" s="10"/>
      <c r="AH223" s="7"/>
      <c r="AI223" s="7"/>
      <c r="AJ223" s="7"/>
      <c r="AK223" s="7"/>
      <c r="AL223" s="10"/>
      <c r="AM223" s="7"/>
      <c r="AN223" s="7"/>
      <c r="AO223" s="7"/>
      <c r="AP223" s="266"/>
      <c r="AQ223" s="266"/>
    </row>
    <row r="224" spans="1:43" s="268" customFormat="1" x14ac:dyDescent="0.25">
      <c r="A224" s="107"/>
      <c r="B224" s="107"/>
      <c r="C224" s="7"/>
      <c r="D224" s="7"/>
      <c r="E224" s="10"/>
      <c r="F224" s="7"/>
      <c r="G224" s="7"/>
      <c r="H224" s="7"/>
      <c r="I224" s="7"/>
      <c r="J224" s="7"/>
      <c r="K224" s="7"/>
      <c r="L224" s="10"/>
      <c r="M224" s="107"/>
      <c r="N224" s="7"/>
      <c r="O224" s="7"/>
      <c r="P224" s="10"/>
      <c r="Q224" s="7"/>
      <c r="R224" s="7"/>
      <c r="S224" s="7"/>
      <c r="T224" s="7"/>
      <c r="U224" s="7"/>
      <c r="V224" s="7"/>
      <c r="W224" s="7"/>
      <c r="X224" s="7"/>
      <c r="Y224" s="7"/>
      <c r="Z224" s="7"/>
      <c r="AA224" s="7"/>
      <c r="AB224" s="10"/>
      <c r="AC224" s="7"/>
      <c r="AD224" s="7"/>
      <c r="AE224" s="7"/>
      <c r="AF224" s="7"/>
      <c r="AG224" s="10"/>
      <c r="AH224" s="7"/>
      <c r="AI224" s="7"/>
      <c r="AJ224" s="7"/>
      <c r="AK224" s="7"/>
      <c r="AL224" s="10"/>
      <c r="AM224" s="7"/>
      <c r="AN224" s="7"/>
      <c r="AO224" s="7"/>
      <c r="AP224" s="266"/>
      <c r="AQ224" s="266"/>
    </row>
    <row r="225" spans="1:43" s="268" customFormat="1" x14ac:dyDescent="0.25">
      <c r="A225" s="107"/>
      <c r="B225" s="107"/>
      <c r="C225" s="7"/>
      <c r="D225" s="7"/>
      <c r="E225" s="10"/>
      <c r="F225" s="7"/>
      <c r="G225" s="7"/>
      <c r="H225" s="7"/>
      <c r="I225" s="7"/>
      <c r="J225" s="7"/>
      <c r="K225" s="7"/>
      <c r="L225" s="10"/>
      <c r="M225" s="107"/>
      <c r="N225" s="7"/>
      <c r="O225" s="7"/>
      <c r="P225" s="10"/>
      <c r="Q225" s="7"/>
      <c r="R225" s="7"/>
      <c r="S225" s="7"/>
      <c r="T225" s="7"/>
      <c r="U225" s="7"/>
      <c r="V225" s="7"/>
      <c r="W225" s="7"/>
      <c r="X225" s="7"/>
      <c r="Y225" s="7"/>
      <c r="Z225" s="7"/>
      <c r="AA225" s="7"/>
      <c r="AB225" s="10"/>
      <c r="AC225" s="7"/>
      <c r="AD225" s="7"/>
      <c r="AE225" s="7"/>
      <c r="AF225" s="7"/>
      <c r="AG225" s="10"/>
      <c r="AH225" s="7"/>
      <c r="AI225" s="7"/>
      <c r="AJ225" s="7"/>
      <c r="AK225" s="7"/>
      <c r="AL225" s="10"/>
      <c r="AM225" s="7"/>
      <c r="AN225" s="7"/>
      <c r="AO225" s="7"/>
      <c r="AP225" s="266"/>
      <c r="AQ225" s="266"/>
    </row>
    <row r="226" spans="1:43" s="268" customFormat="1" x14ac:dyDescent="0.25">
      <c r="A226" s="107"/>
      <c r="B226" s="107"/>
      <c r="C226" s="7"/>
      <c r="D226" s="7"/>
      <c r="E226" s="10"/>
      <c r="F226" s="7"/>
      <c r="G226" s="7"/>
      <c r="H226" s="7"/>
      <c r="I226" s="7"/>
      <c r="J226" s="7"/>
      <c r="K226" s="7"/>
      <c r="L226" s="10"/>
      <c r="M226" s="107"/>
      <c r="N226" s="7"/>
      <c r="O226" s="7"/>
      <c r="P226" s="10"/>
      <c r="Q226" s="7"/>
      <c r="R226" s="7"/>
      <c r="S226" s="7"/>
      <c r="T226" s="7"/>
      <c r="U226" s="7"/>
      <c r="V226" s="7"/>
      <c r="W226" s="7"/>
      <c r="X226" s="7"/>
      <c r="Y226" s="7"/>
      <c r="Z226" s="7"/>
      <c r="AA226" s="7"/>
      <c r="AB226" s="10"/>
      <c r="AC226" s="7"/>
      <c r="AD226" s="7"/>
      <c r="AE226" s="7"/>
      <c r="AF226" s="7"/>
      <c r="AG226" s="10"/>
      <c r="AH226" s="7"/>
      <c r="AI226" s="7"/>
      <c r="AJ226" s="7"/>
      <c r="AK226" s="7"/>
      <c r="AL226" s="10"/>
      <c r="AM226" s="7"/>
      <c r="AN226" s="7"/>
      <c r="AO226" s="7"/>
      <c r="AP226" s="266"/>
      <c r="AQ226" s="266"/>
    </row>
    <row r="227" spans="1:43" s="268" customFormat="1" x14ac:dyDescent="0.25">
      <c r="A227" s="107"/>
      <c r="B227" s="107"/>
      <c r="C227" s="7"/>
      <c r="D227" s="7"/>
      <c r="E227" s="10"/>
      <c r="F227" s="7"/>
      <c r="G227" s="7"/>
      <c r="H227" s="7"/>
      <c r="I227" s="7"/>
      <c r="J227" s="7"/>
      <c r="K227" s="7"/>
      <c r="L227" s="10"/>
      <c r="M227" s="107"/>
      <c r="N227" s="7"/>
      <c r="O227" s="7"/>
      <c r="P227" s="10"/>
      <c r="Q227" s="7"/>
      <c r="R227" s="7"/>
      <c r="S227" s="7"/>
      <c r="T227" s="7"/>
      <c r="U227" s="7"/>
      <c r="V227" s="7"/>
      <c r="W227" s="7"/>
      <c r="X227" s="7"/>
      <c r="Y227" s="7"/>
      <c r="Z227" s="7"/>
      <c r="AA227" s="7"/>
      <c r="AB227" s="10"/>
      <c r="AC227" s="7"/>
      <c r="AD227" s="7"/>
      <c r="AE227" s="7"/>
      <c r="AF227" s="7"/>
      <c r="AG227" s="10"/>
      <c r="AH227" s="7"/>
      <c r="AI227" s="7"/>
      <c r="AJ227" s="7"/>
      <c r="AK227" s="7"/>
      <c r="AL227" s="10"/>
      <c r="AM227" s="7"/>
      <c r="AN227" s="7"/>
      <c r="AO227" s="7"/>
      <c r="AP227" s="266"/>
      <c r="AQ227" s="266"/>
    </row>
    <row r="228" spans="1:43" s="268" customFormat="1" x14ac:dyDescent="0.25">
      <c r="A228" s="107"/>
      <c r="B228" s="107"/>
      <c r="C228" s="7"/>
      <c r="D228" s="7"/>
      <c r="E228" s="10"/>
      <c r="F228" s="7"/>
      <c r="G228" s="7"/>
      <c r="H228" s="7"/>
      <c r="I228" s="7"/>
      <c r="J228" s="7"/>
      <c r="K228" s="7"/>
      <c r="L228" s="10"/>
      <c r="M228" s="107"/>
      <c r="N228" s="7"/>
      <c r="O228" s="7"/>
      <c r="P228" s="10"/>
      <c r="Q228" s="7"/>
      <c r="R228" s="7"/>
      <c r="S228" s="7"/>
      <c r="T228" s="7"/>
      <c r="U228" s="7"/>
      <c r="V228" s="7"/>
      <c r="W228" s="7"/>
      <c r="X228" s="7"/>
      <c r="Y228" s="7"/>
      <c r="Z228" s="7"/>
      <c r="AA228" s="7"/>
      <c r="AB228" s="10"/>
      <c r="AC228" s="7"/>
      <c r="AD228" s="7"/>
      <c r="AE228" s="7"/>
      <c r="AF228" s="7"/>
      <c r="AG228" s="10"/>
      <c r="AH228" s="7"/>
      <c r="AI228" s="7"/>
      <c r="AJ228" s="7"/>
      <c r="AK228" s="7"/>
      <c r="AL228" s="10"/>
      <c r="AM228" s="7"/>
      <c r="AN228" s="7"/>
      <c r="AO228" s="7"/>
      <c r="AP228" s="266"/>
      <c r="AQ228" s="266"/>
    </row>
    <row r="229" spans="1:43" s="268" customFormat="1" x14ac:dyDescent="0.25">
      <c r="A229" s="107"/>
      <c r="B229" s="107"/>
      <c r="C229" s="7"/>
      <c r="D229" s="7"/>
      <c r="E229" s="10"/>
      <c r="F229" s="7"/>
      <c r="G229" s="7"/>
      <c r="H229" s="7"/>
      <c r="I229" s="7"/>
      <c r="J229" s="7"/>
      <c r="K229" s="7"/>
      <c r="L229" s="10"/>
      <c r="M229" s="107"/>
      <c r="N229" s="7"/>
      <c r="O229" s="7"/>
      <c r="P229" s="10"/>
      <c r="Q229" s="7"/>
      <c r="R229" s="7"/>
      <c r="S229" s="7"/>
      <c r="T229" s="7"/>
      <c r="U229" s="7"/>
      <c r="V229" s="7"/>
      <c r="W229" s="7"/>
      <c r="X229" s="7"/>
      <c r="Y229" s="7"/>
      <c r="Z229" s="7"/>
      <c r="AA229" s="7"/>
      <c r="AB229" s="10"/>
      <c r="AC229" s="7"/>
      <c r="AD229" s="7"/>
      <c r="AE229" s="7"/>
      <c r="AF229" s="7"/>
      <c r="AG229" s="10"/>
      <c r="AH229" s="7"/>
      <c r="AI229" s="7"/>
      <c r="AJ229" s="7"/>
      <c r="AK229" s="7"/>
      <c r="AL229" s="10"/>
      <c r="AM229" s="7"/>
      <c r="AN229" s="7"/>
      <c r="AO229" s="7"/>
      <c r="AP229" s="266"/>
      <c r="AQ229" s="266"/>
    </row>
    <row r="230" spans="1:43" s="268" customFormat="1" x14ac:dyDescent="0.25">
      <c r="A230" s="107"/>
      <c r="B230" s="107"/>
      <c r="C230" s="7"/>
      <c r="D230" s="7"/>
      <c r="E230" s="10"/>
      <c r="F230" s="7"/>
      <c r="G230" s="7"/>
      <c r="H230" s="7"/>
      <c r="I230" s="7"/>
      <c r="J230" s="7"/>
      <c r="K230" s="7"/>
      <c r="L230" s="10"/>
      <c r="M230" s="107"/>
      <c r="N230" s="7"/>
      <c r="O230" s="7"/>
      <c r="P230" s="10"/>
      <c r="Q230" s="7"/>
      <c r="R230" s="7"/>
      <c r="S230" s="7"/>
      <c r="T230" s="7"/>
      <c r="U230" s="7"/>
      <c r="V230" s="7"/>
      <c r="W230" s="7"/>
      <c r="X230" s="7"/>
      <c r="Y230" s="7"/>
      <c r="Z230" s="7"/>
      <c r="AA230" s="7"/>
      <c r="AB230" s="10"/>
      <c r="AC230" s="7"/>
      <c r="AD230" s="7"/>
      <c r="AE230" s="7"/>
      <c r="AF230" s="7"/>
      <c r="AG230" s="10"/>
      <c r="AH230" s="7"/>
      <c r="AI230" s="7"/>
      <c r="AJ230" s="7"/>
      <c r="AK230" s="7"/>
      <c r="AL230" s="10"/>
      <c r="AM230" s="7"/>
      <c r="AN230" s="7"/>
      <c r="AO230" s="7"/>
      <c r="AP230" s="266"/>
      <c r="AQ230" s="266"/>
    </row>
    <row r="231" spans="1:43" s="268" customFormat="1" x14ac:dyDescent="0.25">
      <c r="A231" s="107"/>
      <c r="B231" s="107"/>
      <c r="C231" s="7"/>
      <c r="D231" s="7"/>
      <c r="E231" s="10"/>
      <c r="F231" s="7"/>
      <c r="G231" s="7"/>
      <c r="H231" s="7"/>
      <c r="I231" s="7"/>
      <c r="J231" s="7"/>
      <c r="K231" s="7"/>
      <c r="L231" s="10"/>
      <c r="M231" s="107"/>
      <c r="N231" s="7"/>
      <c r="O231" s="7"/>
      <c r="P231" s="10"/>
      <c r="Q231" s="7"/>
      <c r="R231" s="7"/>
      <c r="S231" s="7"/>
      <c r="T231" s="7"/>
      <c r="U231" s="7"/>
      <c r="V231" s="7"/>
      <c r="W231" s="7"/>
      <c r="X231" s="7"/>
      <c r="Y231" s="7"/>
      <c r="Z231" s="7"/>
      <c r="AA231" s="7"/>
      <c r="AB231" s="10"/>
      <c r="AC231" s="7"/>
      <c r="AD231" s="7"/>
      <c r="AE231" s="7"/>
      <c r="AF231" s="7"/>
      <c r="AG231" s="10"/>
      <c r="AH231" s="7"/>
      <c r="AI231" s="7"/>
      <c r="AJ231" s="7"/>
      <c r="AK231" s="7"/>
      <c r="AL231" s="10"/>
      <c r="AM231" s="7"/>
      <c r="AN231" s="7"/>
      <c r="AO231" s="7"/>
      <c r="AP231" s="266"/>
      <c r="AQ231" s="266"/>
    </row>
    <row r="232" spans="1:43" s="268" customFormat="1" x14ac:dyDescent="0.25">
      <c r="A232" s="107"/>
      <c r="B232" s="107"/>
      <c r="C232" s="7"/>
      <c r="D232" s="7"/>
      <c r="E232" s="10"/>
      <c r="F232" s="7"/>
      <c r="G232" s="7"/>
      <c r="H232" s="7"/>
      <c r="I232" s="7"/>
      <c r="J232" s="7"/>
      <c r="K232" s="7"/>
      <c r="L232" s="10"/>
      <c r="M232" s="107"/>
      <c r="N232" s="7"/>
      <c r="O232" s="7"/>
      <c r="P232" s="10"/>
      <c r="Q232" s="7"/>
      <c r="R232" s="7"/>
      <c r="S232" s="7"/>
      <c r="T232" s="7"/>
      <c r="U232" s="7"/>
      <c r="V232" s="7"/>
      <c r="W232" s="7"/>
      <c r="X232" s="7"/>
      <c r="Y232" s="7"/>
      <c r="Z232" s="7"/>
      <c r="AA232" s="7"/>
      <c r="AB232" s="10"/>
      <c r="AC232" s="7"/>
      <c r="AD232" s="7"/>
      <c r="AE232" s="7"/>
      <c r="AF232" s="7"/>
      <c r="AG232" s="10"/>
      <c r="AH232" s="7"/>
      <c r="AI232" s="7"/>
      <c r="AJ232" s="7"/>
      <c r="AK232" s="7"/>
      <c r="AL232" s="10"/>
      <c r="AM232" s="7"/>
      <c r="AN232" s="7"/>
      <c r="AO232" s="7"/>
      <c r="AP232" s="266"/>
      <c r="AQ232" s="266"/>
    </row>
    <row r="233" spans="1:43" s="268" customFormat="1" x14ac:dyDescent="0.25">
      <c r="A233" s="107"/>
      <c r="B233" s="107"/>
      <c r="C233" s="7"/>
      <c r="D233" s="7"/>
      <c r="E233" s="10"/>
      <c r="F233" s="7"/>
      <c r="G233" s="7"/>
      <c r="H233" s="7"/>
      <c r="I233" s="7"/>
      <c r="J233" s="7"/>
      <c r="K233" s="7"/>
      <c r="L233" s="10"/>
      <c r="M233" s="107"/>
      <c r="N233" s="7"/>
      <c r="O233" s="7"/>
      <c r="P233" s="10"/>
      <c r="Q233" s="7"/>
      <c r="R233" s="7"/>
      <c r="S233" s="7"/>
      <c r="T233" s="7"/>
      <c r="U233" s="7"/>
      <c r="V233" s="7"/>
      <c r="W233" s="7"/>
      <c r="X233" s="7"/>
      <c r="Y233" s="7"/>
      <c r="Z233" s="7"/>
      <c r="AA233" s="7"/>
      <c r="AB233" s="10"/>
      <c r="AC233" s="7"/>
      <c r="AD233" s="7"/>
      <c r="AE233" s="7"/>
      <c r="AF233" s="7"/>
      <c r="AG233" s="10"/>
      <c r="AH233" s="7"/>
      <c r="AI233" s="7"/>
      <c r="AJ233" s="7"/>
      <c r="AK233" s="7"/>
      <c r="AL233" s="10"/>
      <c r="AM233" s="7"/>
      <c r="AN233" s="7"/>
      <c r="AO233" s="7"/>
      <c r="AP233" s="266"/>
      <c r="AQ233" s="266"/>
    </row>
    <row r="234" spans="1:43" s="268" customFormat="1" x14ac:dyDescent="0.25">
      <c r="A234" s="107"/>
      <c r="B234" s="107"/>
      <c r="C234" s="7"/>
      <c r="D234" s="7"/>
      <c r="E234" s="10"/>
      <c r="F234" s="7"/>
      <c r="G234" s="7"/>
      <c r="H234" s="7"/>
      <c r="I234" s="7"/>
      <c r="J234" s="7"/>
      <c r="K234" s="7"/>
      <c r="L234" s="10"/>
      <c r="M234" s="107"/>
      <c r="N234" s="7"/>
      <c r="O234" s="7"/>
      <c r="P234" s="10"/>
      <c r="Q234" s="7"/>
      <c r="R234" s="7"/>
      <c r="S234" s="7"/>
      <c r="T234" s="7"/>
      <c r="U234" s="7"/>
      <c r="V234" s="7"/>
      <c r="W234" s="7"/>
      <c r="X234" s="7"/>
      <c r="Y234" s="7"/>
      <c r="Z234" s="7"/>
      <c r="AA234" s="7"/>
      <c r="AB234" s="10"/>
      <c r="AC234" s="7"/>
      <c r="AD234" s="7"/>
      <c r="AE234" s="7"/>
      <c r="AF234" s="7"/>
      <c r="AG234" s="10"/>
      <c r="AH234" s="7"/>
      <c r="AI234" s="7"/>
      <c r="AJ234" s="7"/>
      <c r="AK234" s="7"/>
      <c r="AL234" s="10"/>
      <c r="AM234" s="7"/>
      <c r="AN234" s="7"/>
      <c r="AO234" s="7"/>
      <c r="AP234" s="266"/>
      <c r="AQ234" s="266"/>
    </row>
    <row r="235" spans="1:43" s="268" customFormat="1" x14ac:dyDescent="0.25">
      <c r="A235" s="107"/>
      <c r="B235" s="107"/>
      <c r="C235" s="7"/>
      <c r="D235" s="7"/>
      <c r="E235" s="10"/>
      <c r="F235" s="7"/>
      <c r="G235" s="7"/>
      <c r="H235" s="7"/>
      <c r="I235" s="7"/>
      <c r="J235" s="7"/>
      <c r="K235" s="7"/>
      <c r="L235" s="10"/>
      <c r="M235" s="107"/>
      <c r="N235" s="7"/>
      <c r="O235" s="7"/>
      <c r="P235" s="10"/>
      <c r="Q235" s="7"/>
      <c r="R235" s="7"/>
      <c r="S235" s="7"/>
      <c r="T235" s="7"/>
      <c r="U235" s="7"/>
      <c r="V235" s="7"/>
      <c r="W235" s="7"/>
      <c r="X235" s="7"/>
      <c r="Y235" s="7"/>
      <c r="Z235" s="7"/>
      <c r="AA235" s="7"/>
      <c r="AB235" s="10"/>
      <c r="AC235" s="7"/>
      <c r="AD235" s="7"/>
      <c r="AE235" s="7"/>
      <c r="AF235" s="7"/>
      <c r="AG235" s="10"/>
      <c r="AH235" s="7"/>
      <c r="AI235" s="7"/>
      <c r="AJ235" s="7"/>
      <c r="AK235" s="7"/>
      <c r="AL235" s="10"/>
      <c r="AM235" s="7"/>
      <c r="AN235" s="7"/>
      <c r="AO235" s="7"/>
      <c r="AP235" s="266"/>
      <c r="AQ235" s="266"/>
    </row>
    <row r="236" spans="1:43" s="268" customFormat="1" x14ac:dyDescent="0.25">
      <c r="A236" s="107"/>
      <c r="B236" s="107"/>
      <c r="C236" s="7"/>
      <c r="D236" s="7"/>
      <c r="E236" s="10"/>
      <c r="F236" s="7"/>
      <c r="G236" s="7"/>
      <c r="H236" s="7"/>
      <c r="I236" s="7"/>
      <c r="J236" s="7"/>
      <c r="K236" s="7"/>
      <c r="L236" s="10"/>
      <c r="M236" s="107"/>
      <c r="N236" s="7"/>
      <c r="O236" s="7"/>
      <c r="P236" s="10"/>
      <c r="Q236" s="7"/>
      <c r="R236" s="7"/>
      <c r="S236" s="7"/>
      <c r="T236" s="7"/>
      <c r="U236" s="7"/>
      <c r="V236" s="7"/>
      <c r="W236" s="7"/>
      <c r="X236" s="7"/>
      <c r="Y236" s="7"/>
      <c r="Z236" s="7"/>
      <c r="AA236" s="7"/>
      <c r="AB236" s="10"/>
      <c r="AC236" s="7"/>
      <c r="AD236" s="7"/>
      <c r="AE236" s="7"/>
      <c r="AF236" s="7"/>
      <c r="AG236" s="10"/>
      <c r="AH236" s="7"/>
      <c r="AI236" s="7"/>
      <c r="AJ236" s="7"/>
      <c r="AK236" s="7"/>
      <c r="AL236" s="10"/>
      <c r="AM236" s="7"/>
      <c r="AN236" s="7"/>
      <c r="AO236" s="7"/>
      <c r="AP236" s="266"/>
      <c r="AQ236" s="266"/>
    </row>
    <row r="237" spans="1:43" s="268" customFormat="1" x14ac:dyDescent="0.25">
      <c r="A237" s="107"/>
      <c r="B237" s="107"/>
      <c r="C237" s="7"/>
      <c r="D237" s="7"/>
      <c r="E237" s="10"/>
      <c r="F237" s="7"/>
      <c r="G237" s="7"/>
      <c r="H237" s="7"/>
      <c r="I237" s="7"/>
      <c r="J237" s="7"/>
      <c r="K237" s="7"/>
      <c r="L237" s="10"/>
      <c r="M237" s="107"/>
      <c r="N237" s="7"/>
      <c r="O237" s="7"/>
      <c r="P237" s="10"/>
      <c r="Q237" s="7"/>
      <c r="R237" s="7"/>
      <c r="S237" s="7"/>
      <c r="T237" s="7"/>
      <c r="U237" s="7"/>
      <c r="V237" s="7"/>
      <c r="W237" s="7"/>
      <c r="X237" s="7"/>
      <c r="Y237" s="7"/>
      <c r="Z237" s="7"/>
      <c r="AA237" s="7"/>
      <c r="AB237" s="10"/>
      <c r="AC237" s="7"/>
      <c r="AD237" s="7"/>
      <c r="AE237" s="7"/>
      <c r="AF237" s="7"/>
      <c r="AG237" s="10"/>
      <c r="AH237" s="7"/>
      <c r="AI237" s="7"/>
      <c r="AJ237" s="7"/>
      <c r="AK237" s="7"/>
      <c r="AL237" s="10"/>
      <c r="AM237" s="7"/>
      <c r="AN237" s="7"/>
      <c r="AO237" s="7"/>
      <c r="AP237" s="266"/>
      <c r="AQ237" s="266"/>
    </row>
    <row r="238" spans="1:43" s="268" customFormat="1" x14ac:dyDescent="0.25">
      <c r="A238" s="107"/>
      <c r="B238" s="107"/>
      <c r="C238" s="7"/>
      <c r="D238" s="7"/>
      <c r="E238" s="10"/>
      <c r="F238" s="7"/>
      <c r="G238" s="7"/>
      <c r="H238" s="7"/>
      <c r="I238" s="7"/>
      <c r="J238" s="7"/>
      <c r="K238" s="7"/>
      <c r="L238" s="10"/>
      <c r="M238" s="107"/>
      <c r="N238" s="7"/>
      <c r="O238" s="7"/>
      <c r="P238" s="10"/>
      <c r="Q238" s="7"/>
      <c r="R238" s="7"/>
      <c r="S238" s="7"/>
      <c r="T238" s="7"/>
      <c r="U238" s="7"/>
      <c r="V238" s="7"/>
      <c r="W238" s="7"/>
      <c r="X238" s="7"/>
      <c r="Y238" s="7"/>
      <c r="Z238" s="7"/>
      <c r="AA238" s="7"/>
      <c r="AB238" s="10"/>
      <c r="AC238" s="7"/>
      <c r="AD238" s="7"/>
      <c r="AE238" s="7"/>
      <c r="AF238" s="7"/>
      <c r="AG238" s="10"/>
      <c r="AH238" s="7"/>
      <c r="AI238" s="7"/>
      <c r="AJ238" s="7"/>
      <c r="AK238" s="7"/>
      <c r="AL238" s="10"/>
      <c r="AM238" s="7"/>
      <c r="AN238" s="7"/>
      <c r="AO238" s="7"/>
      <c r="AP238" s="266"/>
      <c r="AQ238" s="266"/>
    </row>
    <row r="239" spans="1:43" s="268" customFormat="1" x14ac:dyDescent="0.25">
      <c r="A239" s="107"/>
      <c r="B239" s="107"/>
      <c r="C239" s="7"/>
      <c r="D239" s="7"/>
      <c r="E239" s="10"/>
      <c r="F239" s="7"/>
      <c r="G239" s="7"/>
      <c r="H239" s="7"/>
      <c r="I239" s="7"/>
      <c r="J239" s="7"/>
      <c r="K239" s="7"/>
      <c r="L239" s="10"/>
      <c r="M239" s="107"/>
      <c r="N239" s="7"/>
      <c r="O239" s="7"/>
      <c r="P239" s="10"/>
      <c r="Q239" s="7"/>
      <c r="R239" s="7"/>
      <c r="S239" s="7"/>
      <c r="T239" s="7"/>
      <c r="U239" s="7"/>
      <c r="V239" s="7"/>
      <c r="W239" s="7"/>
      <c r="X239" s="7"/>
      <c r="Y239" s="7"/>
      <c r="Z239" s="7"/>
      <c r="AA239" s="7"/>
      <c r="AB239" s="10"/>
      <c r="AC239" s="7"/>
      <c r="AD239" s="7"/>
      <c r="AE239" s="7"/>
      <c r="AF239" s="7"/>
      <c r="AG239" s="10"/>
      <c r="AH239" s="7"/>
      <c r="AI239" s="7"/>
      <c r="AJ239" s="7"/>
      <c r="AK239" s="7"/>
      <c r="AL239" s="10"/>
      <c r="AM239" s="7"/>
      <c r="AN239" s="7"/>
      <c r="AO239" s="7"/>
      <c r="AP239" s="266"/>
      <c r="AQ239" s="266"/>
    </row>
    <row r="240" spans="1:43" s="268" customFormat="1" x14ac:dyDescent="0.25">
      <c r="A240" s="107"/>
      <c r="B240" s="107"/>
      <c r="C240" s="7"/>
      <c r="D240" s="7"/>
      <c r="E240" s="10"/>
      <c r="F240" s="7"/>
      <c r="G240" s="7"/>
      <c r="H240" s="7"/>
      <c r="I240" s="7"/>
      <c r="J240" s="7"/>
      <c r="K240" s="7"/>
      <c r="L240" s="10"/>
      <c r="M240" s="107"/>
      <c r="N240" s="7"/>
      <c r="O240" s="7"/>
      <c r="P240" s="10"/>
      <c r="Q240" s="7"/>
      <c r="R240" s="7"/>
      <c r="S240" s="7"/>
      <c r="T240" s="7"/>
      <c r="U240" s="7"/>
      <c r="V240" s="7"/>
      <c r="W240" s="7"/>
      <c r="X240" s="7"/>
      <c r="Y240" s="7"/>
      <c r="Z240" s="7"/>
      <c r="AA240" s="7"/>
      <c r="AB240" s="10"/>
      <c r="AC240" s="7"/>
      <c r="AD240" s="7"/>
      <c r="AE240" s="7"/>
      <c r="AF240" s="7"/>
      <c r="AG240" s="10"/>
      <c r="AH240" s="7"/>
      <c r="AI240" s="7"/>
      <c r="AJ240" s="7"/>
      <c r="AK240" s="7"/>
      <c r="AL240" s="10"/>
      <c r="AM240" s="7"/>
      <c r="AN240" s="7"/>
      <c r="AO240" s="7"/>
      <c r="AP240" s="266"/>
      <c r="AQ240" s="266"/>
    </row>
    <row r="241" spans="1:43" s="268" customFormat="1" x14ac:dyDescent="0.25">
      <c r="A241" s="107"/>
      <c r="B241" s="107"/>
      <c r="C241" s="7"/>
      <c r="D241" s="7"/>
      <c r="E241" s="10"/>
      <c r="F241" s="7"/>
      <c r="G241" s="7"/>
      <c r="H241" s="7"/>
      <c r="I241" s="7"/>
      <c r="J241" s="7"/>
      <c r="K241" s="7"/>
      <c r="L241" s="10"/>
      <c r="M241" s="107"/>
      <c r="N241" s="7"/>
      <c r="O241" s="7"/>
      <c r="P241" s="10"/>
      <c r="Q241" s="7"/>
      <c r="R241" s="7"/>
      <c r="S241" s="7"/>
      <c r="T241" s="7"/>
      <c r="U241" s="7"/>
      <c r="V241" s="7"/>
      <c r="W241" s="7"/>
      <c r="X241" s="7"/>
      <c r="Y241" s="7"/>
      <c r="Z241" s="7"/>
      <c r="AA241" s="7"/>
      <c r="AB241" s="10"/>
      <c r="AC241" s="7"/>
      <c r="AD241" s="7"/>
      <c r="AE241" s="7"/>
      <c r="AF241" s="7"/>
      <c r="AG241" s="10"/>
      <c r="AH241" s="7"/>
      <c r="AI241" s="7"/>
      <c r="AJ241" s="7"/>
      <c r="AK241" s="7"/>
      <c r="AL241" s="10"/>
      <c r="AM241" s="7"/>
      <c r="AN241" s="7"/>
      <c r="AO241" s="7"/>
      <c r="AP241" s="266"/>
      <c r="AQ241" s="266"/>
    </row>
    <row r="242" spans="1:43" s="268" customFormat="1" x14ac:dyDescent="0.25">
      <c r="A242" s="107"/>
      <c r="B242" s="107"/>
      <c r="C242" s="7"/>
      <c r="D242" s="7"/>
      <c r="E242" s="10"/>
      <c r="F242" s="7"/>
      <c r="G242" s="7"/>
      <c r="H242" s="7"/>
      <c r="I242" s="7"/>
      <c r="J242" s="7"/>
      <c r="K242" s="7"/>
      <c r="L242" s="10"/>
      <c r="M242" s="107"/>
      <c r="N242" s="7"/>
      <c r="O242" s="7"/>
      <c r="P242" s="10"/>
      <c r="Q242" s="7"/>
      <c r="R242" s="7"/>
      <c r="S242" s="7"/>
      <c r="T242" s="7"/>
      <c r="U242" s="7"/>
      <c r="V242" s="7"/>
      <c r="W242" s="7"/>
      <c r="X242" s="7"/>
      <c r="Y242" s="7"/>
      <c r="Z242" s="7"/>
      <c r="AA242" s="7"/>
      <c r="AB242" s="10"/>
      <c r="AC242" s="7"/>
      <c r="AD242" s="7"/>
      <c r="AE242" s="7"/>
      <c r="AF242" s="7"/>
      <c r="AG242" s="10"/>
      <c r="AH242" s="7"/>
      <c r="AI242" s="7"/>
      <c r="AJ242" s="7"/>
      <c r="AK242" s="7"/>
      <c r="AL242" s="10"/>
      <c r="AM242" s="7"/>
      <c r="AN242" s="7"/>
      <c r="AO242" s="7"/>
      <c r="AP242" s="266"/>
      <c r="AQ242" s="266"/>
    </row>
    <row r="243" spans="1:43" s="268" customFormat="1" x14ac:dyDescent="0.25">
      <c r="A243" s="107"/>
      <c r="B243" s="107"/>
      <c r="C243" s="7"/>
      <c r="D243" s="7"/>
      <c r="E243" s="10"/>
      <c r="F243" s="7"/>
      <c r="G243" s="7"/>
      <c r="H243" s="7"/>
      <c r="I243" s="7"/>
      <c r="J243" s="7"/>
      <c r="K243" s="7"/>
      <c r="L243" s="10"/>
      <c r="M243" s="107"/>
      <c r="N243" s="7"/>
      <c r="O243" s="7"/>
      <c r="P243" s="10"/>
      <c r="Q243" s="7"/>
      <c r="R243" s="7"/>
      <c r="S243" s="7"/>
      <c r="T243" s="7"/>
      <c r="U243" s="7"/>
      <c r="V243" s="7"/>
      <c r="W243" s="7"/>
      <c r="X243" s="7"/>
      <c r="Y243" s="7"/>
      <c r="Z243" s="7"/>
      <c r="AA243" s="7"/>
      <c r="AB243" s="10"/>
      <c r="AC243" s="7"/>
      <c r="AD243" s="7"/>
      <c r="AE243" s="7"/>
      <c r="AF243" s="7"/>
      <c r="AG243" s="10"/>
      <c r="AH243" s="7"/>
      <c r="AI243" s="7"/>
      <c r="AJ243" s="7"/>
      <c r="AK243" s="7"/>
      <c r="AL243" s="10"/>
      <c r="AM243" s="7"/>
      <c r="AN243" s="7"/>
      <c r="AO243" s="7"/>
      <c r="AP243" s="266"/>
      <c r="AQ243" s="266"/>
    </row>
    <row r="244" spans="1:43" s="268" customFormat="1" x14ac:dyDescent="0.25">
      <c r="A244" s="107"/>
      <c r="B244" s="107"/>
      <c r="C244" s="7"/>
      <c r="D244" s="7"/>
      <c r="E244" s="10"/>
      <c r="F244" s="7"/>
      <c r="G244" s="7"/>
      <c r="H244" s="7"/>
      <c r="I244" s="7"/>
      <c r="J244" s="7"/>
      <c r="K244" s="7"/>
      <c r="L244" s="10"/>
      <c r="M244" s="107"/>
      <c r="N244" s="7"/>
      <c r="O244" s="7"/>
      <c r="P244" s="10"/>
      <c r="Q244" s="7"/>
      <c r="R244" s="7"/>
      <c r="S244" s="7"/>
      <c r="T244" s="7"/>
      <c r="U244" s="7"/>
      <c r="V244" s="7"/>
      <c r="W244" s="7"/>
      <c r="X244" s="7"/>
      <c r="Y244" s="7"/>
      <c r="Z244" s="7"/>
      <c r="AA244" s="7"/>
      <c r="AB244" s="10"/>
      <c r="AC244" s="7"/>
      <c r="AD244" s="7"/>
      <c r="AE244" s="7"/>
      <c r="AF244" s="7"/>
      <c r="AG244" s="10"/>
      <c r="AH244" s="7"/>
      <c r="AI244" s="7"/>
      <c r="AJ244" s="7"/>
      <c r="AK244" s="7"/>
      <c r="AL244" s="10"/>
      <c r="AM244" s="7"/>
      <c r="AN244" s="7"/>
      <c r="AO244" s="7"/>
      <c r="AP244" s="266"/>
      <c r="AQ244" s="266"/>
    </row>
    <row r="245" spans="1:43" s="268" customFormat="1" x14ac:dyDescent="0.25">
      <c r="A245" s="107"/>
      <c r="B245" s="107"/>
      <c r="C245" s="7"/>
      <c r="D245" s="7"/>
      <c r="E245" s="10"/>
      <c r="F245" s="7"/>
      <c r="G245" s="7"/>
      <c r="H245" s="7"/>
      <c r="I245" s="7"/>
      <c r="J245" s="7"/>
      <c r="K245" s="7"/>
      <c r="L245" s="10"/>
      <c r="M245" s="107"/>
      <c r="N245" s="7"/>
      <c r="O245" s="7"/>
      <c r="P245" s="10"/>
      <c r="Q245" s="7"/>
      <c r="R245" s="7"/>
      <c r="S245" s="7"/>
      <c r="T245" s="7"/>
      <c r="U245" s="7"/>
      <c r="V245" s="7"/>
      <c r="W245" s="7"/>
      <c r="X245" s="7"/>
      <c r="Y245" s="7"/>
      <c r="Z245" s="7"/>
      <c r="AA245" s="7"/>
      <c r="AB245" s="10"/>
      <c r="AC245" s="7"/>
      <c r="AD245" s="7"/>
      <c r="AE245" s="7"/>
      <c r="AF245" s="7"/>
      <c r="AG245" s="10"/>
      <c r="AH245" s="7"/>
      <c r="AI245" s="7"/>
      <c r="AJ245" s="7"/>
      <c r="AK245" s="7"/>
      <c r="AL245" s="10"/>
      <c r="AM245" s="7"/>
      <c r="AN245" s="7"/>
      <c r="AO245" s="7"/>
      <c r="AP245" s="266"/>
      <c r="AQ245" s="266"/>
    </row>
    <row r="246" spans="1:43" s="268" customFormat="1" x14ac:dyDescent="0.25">
      <c r="A246" s="107"/>
      <c r="B246" s="107"/>
      <c r="C246" s="7"/>
      <c r="D246" s="7"/>
      <c r="E246" s="10"/>
      <c r="F246" s="7"/>
      <c r="G246" s="7"/>
      <c r="H246" s="7"/>
      <c r="I246" s="7"/>
      <c r="J246" s="7"/>
      <c r="K246" s="7"/>
      <c r="L246" s="10"/>
      <c r="M246" s="107"/>
      <c r="N246" s="7"/>
      <c r="O246" s="7"/>
      <c r="P246" s="10"/>
      <c r="Q246" s="7"/>
      <c r="R246" s="7"/>
      <c r="S246" s="7"/>
      <c r="T246" s="7"/>
      <c r="U246" s="7"/>
      <c r="V246" s="7"/>
      <c r="W246" s="7"/>
      <c r="X246" s="7"/>
      <c r="Y246" s="7"/>
      <c r="Z246" s="7"/>
      <c r="AA246" s="7"/>
      <c r="AB246" s="10"/>
      <c r="AC246" s="7"/>
      <c r="AD246" s="7"/>
      <c r="AE246" s="7"/>
      <c r="AF246" s="7"/>
      <c r="AG246" s="10"/>
      <c r="AH246" s="7"/>
      <c r="AI246" s="7"/>
      <c r="AJ246" s="7"/>
      <c r="AK246" s="7"/>
      <c r="AL246" s="10"/>
      <c r="AM246" s="7"/>
      <c r="AN246" s="7"/>
      <c r="AO246" s="7"/>
      <c r="AP246" s="266"/>
      <c r="AQ246" s="266"/>
    </row>
    <row r="247" spans="1:43" s="268" customFormat="1" x14ac:dyDescent="0.25">
      <c r="A247" s="107"/>
      <c r="B247" s="107"/>
      <c r="C247" s="7"/>
      <c r="D247" s="7"/>
      <c r="E247" s="10"/>
      <c r="F247" s="7"/>
      <c r="G247" s="7"/>
      <c r="H247" s="7"/>
      <c r="I247" s="7"/>
      <c r="J247" s="7"/>
      <c r="K247" s="7"/>
      <c r="L247" s="10"/>
      <c r="M247" s="107"/>
      <c r="N247" s="7"/>
      <c r="O247" s="7"/>
      <c r="P247" s="10"/>
      <c r="Q247" s="7"/>
      <c r="R247" s="7"/>
      <c r="S247" s="7"/>
      <c r="T247" s="7"/>
      <c r="U247" s="7"/>
      <c r="V247" s="7"/>
      <c r="W247" s="7"/>
      <c r="X247" s="7"/>
      <c r="Y247" s="7"/>
      <c r="Z247" s="7"/>
      <c r="AA247" s="7"/>
      <c r="AB247" s="10"/>
      <c r="AC247" s="7"/>
      <c r="AD247" s="7"/>
      <c r="AE247" s="7"/>
      <c r="AF247" s="7"/>
      <c r="AG247" s="10"/>
      <c r="AH247" s="7"/>
      <c r="AI247" s="7"/>
      <c r="AJ247" s="7"/>
      <c r="AK247" s="7"/>
      <c r="AL247" s="10"/>
      <c r="AM247" s="7"/>
      <c r="AN247" s="7"/>
      <c r="AO247" s="7"/>
      <c r="AP247" s="266"/>
      <c r="AQ247" s="266"/>
    </row>
    <row r="248" spans="1:43" s="268" customFormat="1" x14ac:dyDescent="0.25">
      <c r="A248" s="107"/>
      <c r="B248" s="107"/>
      <c r="C248" s="7"/>
      <c r="D248" s="7"/>
      <c r="E248" s="10"/>
      <c r="F248" s="7"/>
      <c r="G248" s="7"/>
      <c r="H248" s="7"/>
      <c r="I248" s="7"/>
      <c r="J248" s="7"/>
      <c r="K248" s="7"/>
      <c r="L248" s="10"/>
      <c r="M248" s="107"/>
      <c r="N248" s="7"/>
      <c r="O248" s="7"/>
      <c r="P248" s="10"/>
      <c r="Q248" s="7"/>
      <c r="R248" s="7"/>
      <c r="S248" s="7"/>
      <c r="T248" s="7"/>
      <c r="U248" s="7"/>
      <c r="V248" s="7"/>
      <c r="W248" s="7"/>
      <c r="X248" s="7"/>
      <c r="Y248" s="7"/>
      <c r="Z248" s="7"/>
      <c r="AA248" s="7"/>
      <c r="AB248" s="10"/>
      <c r="AC248" s="7"/>
      <c r="AD248" s="7"/>
      <c r="AE248" s="7"/>
      <c r="AF248" s="7"/>
      <c r="AG248" s="10"/>
      <c r="AH248" s="7"/>
      <c r="AI248" s="7"/>
      <c r="AJ248" s="7"/>
      <c r="AK248" s="7"/>
      <c r="AL248" s="10"/>
      <c r="AM248" s="7"/>
      <c r="AN248" s="7"/>
      <c r="AO248" s="7"/>
      <c r="AP248" s="266"/>
      <c r="AQ248" s="266"/>
    </row>
    <row r="249" spans="1:43" s="268" customFormat="1" x14ac:dyDescent="0.25">
      <c r="A249" s="107"/>
      <c r="B249" s="107"/>
      <c r="C249" s="7"/>
      <c r="D249" s="7"/>
      <c r="E249" s="10"/>
      <c r="F249" s="7"/>
      <c r="G249" s="7"/>
      <c r="H249" s="7"/>
      <c r="I249" s="7"/>
      <c r="J249" s="7"/>
      <c r="K249" s="7"/>
      <c r="L249" s="10"/>
      <c r="M249" s="107"/>
      <c r="N249" s="7"/>
      <c r="O249" s="7"/>
      <c r="P249" s="10"/>
      <c r="Q249" s="108"/>
      <c r="R249" s="108"/>
      <c r="S249" s="108"/>
      <c r="T249" s="108"/>
      <c r="U249" s="108"/>
      <c r="V249" s="108"/>
      <c r="W249" s="108"/>
      <c r="X249" s="108"/>
      <c r="Y249" s="7"/>
      <c r="Z249" s="7"/>
      <c r="AA249" s="7"/>
      <c r="AB249" s="10"/>
      <c r="AC249" s="108"/>
      <c r="AD249" s="108"/>
      <c r="AE249" s="108"/>
      <c r="AF249" s="7"/>
      <c r="AG249" s="10"/>
      <c r="AH249" s="7"/>
      <c r="AI249" s="7"/>
      <c r="AJ249" s="7"/>
      <c r="AK249" s="7"/>
      <c r="AL249" s="10"/>
      <c r="AM249" s="7"/>
      <c r="AN249" s="7"/>
      <c r="AO249" s="7"/>
      <c r="AP249" s="266"/>
      <c r="AQ249" s="266"/>
    </row>
    <row r="250" spans="1:43" s="268" customFormat="1" x14ac:dyDescent="0.25">
      <c r="A250" s="107"/>
      <c r="B250" s="107"/>
      <c r="C250" s="7"/>
      <c r="D250" s="7"/>
      <c r="E250" s="10"/>
      <c r="F250" s="108"/>
      <c r="G250" s="108"/>
      <c r="H250" s="108"/>
      <c r="I250" s="108"/>
      <c r="J250" s="108"/>
      <c r="K250" s="108"/>
      <c r="L250" s="11"/>
      <c r="M250" s="107"/>
      <c r="N250" s="108"/>
      <c r="O250" s="108"/>
      <c r="P250" s="11"/>
      <c r="Q250" s="108"/>
      <c r="R250" s="108"/>
      <c r="S250" s="108"/>
      <c r="T250" s="108"/>
      <c r="U250" s="108"/>
      <c r="V250" s="108"/>
      <c r="W250" s="108"/>
      <c r="X250" s="108"/>
      <c r="Y250" s="108"/>
      <c r="Z250" s="108"/>
      <c r="AA250" s="108"/>
      <c r="AB250" s="11"/>
      <c r="AC250" s="108"/>
      <c r="AD250" s="108"/>
      <c r="AE250" s="108"/>
      <c r="AF250" s="108"/>
      <c r="AG250" s="11"/>
      <c r="AH250" s="108"/>
      <c r="AI250" s="108"/>
      <c r="AJ250" s="108"/>
      <c r="AK250" s="108"/>
      <c r="AL250" s="11"/>
      <c r="AM250" s="108"/>
      <c r="AN250" s="108"/>
      <c r="AO250" s="108"/>
      <c r="AP250" s="270"/>
      <c r="AQ250" s="270"/>
    </row>
    <row r="251" spans="1:43" s="268" customFormat="1" x14ac:dyDescent="0.25">
      <c r="A251" s="107"/>
      <c r="B251" s="107"/>
      <c r="C251" s="7"/>
      <c r="D251" s="7"/>
      <c r="E251" s="10"/>
      <c r="F251" s="108"/>
      <c r="G251" s="108"/>
      <c r="H251" s="108"/>
      <c r="I251" s="108"/>
      <c r="J251" s="108"/>
      <c r="K251" s="108"/>
      <c r="L251" s="11"/>
      <c r="M251" s="107"/>
      <c r="N251" s="108"/>
      <c r="O251" s="108"/>
      <c r="P251" s="11"/>
      <c r="Q251" s="108"/>
      <c r="R251" s="108"/>
      <c r="S251" s="108"/>
      <c r="T251" s="108"/>
      <c r="U251" s="108"/>
      <c r="V251" s="108"/>
      <c r="W251" s="108"/>
      <c r="X251" s="108"/>
      <c r="Y251" s="108"/>
      <c r="Z251" s="108"/>
      <c r="AA251" s="108"/>
      <c r="AB251" s="11"/>
      <c r="AC251" s="108"/>
      <c r="AD251" s="108"/>
      <c r="AE251" s="108"/>
      <c r="AF251" s="108"/>
      <c r="AG251" s="11"/>
      <c r="AH251" s="108"/>
      <c r="AI251" s="108"/>
      <c r="AJ251" s="108"/>
      <c r="AK251" s="108"/>
      <c r="AL251" s="11"/>
      <c r="AM251" s="108"/>
      <c r="AN251" s="108"/>
      <c r="AO251" s="108"/>
      <c r="AP251" s="270"/>
      <c r="AQ251" s="270"/>
    </row>
    <row r="252" spans="1:43" s="268" customFormat="1" x14ac:dyDescent="0.25">
      <c r="A252" s="107"/>
      <c r="B252" s="107"/>
      <c r="C252" s="7"/>
      <c r="D252" s="7"/>
      <c r="E252" s="10"/>
      <c r="F252" s="108"/>
      <c r="G252" s="108"/>
      <c r="H252" s="108"/>
      <c r="I252" s="108"/>
      <c r="J252" s="108"/>
      <c r="K252" s="108"/>
      <c r="L252" s="11"/>
      <c r="M252" s="107"/>
      <c r="N252" s="108"/>
      <c r="O252" s="108"/>
      <c r="P252" s="11"/>
      <c r="Q252" s="108"/>
      <c r="R252" s="108"/>
      <c r="S252" s="108"/>
      <c r="T252" s="108"/>
      <c r="U252" s="108"/>
      <c r="V252" s="108"/>
      <c r="W252" s="108"/>
      <c r="X252" s="108"/>
      <c r="Y252" s="108"/>
      <c r="Z252" s="108"/>
      <c r="AA252" s="108"/>
      <c r="AB252" s="11"/>
      <c r="AC252" s="108"/>
      <c r="AD252" s="108"/>
      <c r="AE252" s="108"/>
      <c r="AF252" s="108"/>
      <c r="AG252" s="11"/>
      <c r="AH252" s="108"/>
      <c r="AI252" s="108"/>
      <c r="AJ252" s="108"/>
      <c r="AK252" s="108"/>
      <c r="AL252" s="11"/>
      <c r="AM252" s="108"/>
      <c r="AN252" s="108"/>
      <c r="AO252" s="108"/>
      <c r="AP252" s="270"/>
      <c r="AQ252" s="270"/>
    </row>
    <row r="253" spans="1:43" s="268" customFormat="1" x14ac:dyDescent="0.25">
      <c r="A253" s="107"/>
      <c r="B253" s="107"/>
      <c r="C253" s="7"/>
      <c r="D253" s="7"/>
      <c r="E253" s="10"/>
      <c r="F253" s="108"/>
      <c r="G253" s="108"/>
      <c r="H253" s="108"/>
      <c r="I253" s="108"/>
      <c r="J253" s="108"/>
      <c r="K253" s="108"/>
      <c r="L253" s="11"/>
      <c r="M253" s="107"/>
      <c r="N253" s="108"/>
      <c r="O253" s="108"/>
      <c r="P253" s="11"/>
      <c r="Q253" s="108"/>
      <c r="R253" s="108"/>
      <c r="S253" s="108"/>
      <c r="T253" s="108"/>
      <c r="U253" s="108"/>
      <c r="V253" s="108"/>
      <c r="W253" s="108"/>
      <c r="X253" s="108"/>
      <c r="Y253" s="108"/>
      <c r="Z253" s="108"/>
      <c r="AA253" s="108"/>
      <c r="AB253" s="11"/>
      <c r="AC253" s="108"/>
      <c r="AD253" s="108"/>
      <c r="AE253" s="108"/>
      <c r="AF253" s="108"/>
      <c r="AG253" s="11"/>
      <c r="AH253" s="108"/>
      <c r="AI253" s="108"/>
      <c r="AJ253" s="108"/>
      <c r="AK253" s="108"/>
      <c r="AL253" s="11"/>
      <c r="AM253" s="108"/>
      <c r="AN253" s="108"/>
      <c r="AO253" s="108"/>
      <c r="AP253" s="270"/>
      <c r="AQ253" s="270"/>
    </row>
    <row r="254" spans="1:43" s="268" customFormat="1" x14ac:dyDescent="0.25">
      <c r="A254" s="107"/>
      <c r="B254" s="107"/>
      <c r="C254" s="7"/>
      <c r="D254" s="7"/>
      <c r="E254" s="10"/>
      <c r="F254" s="108"/>
      <c r="G254" s="108"/>
      <c r="H254" s="108"/>
      <c r="I254" s="108"/>
      <c r="J254" s="108"/>
      <c r="K254" s="108"/>
      <c r="L254" s="11"/>
      <c r="M254" s="107"/>
      <c r="N254" s="108"/>
      <c r="O254" s="108"/>
      <c r="P254" s="11"/>
      <c r="Q254" s="108"/>
      <c r="R254" s="108"/>
      <c r="S254" s="108"/>
      <c r="T254" s="108"/>
      <c r="U254" s="108"/>
      <c r="V254" s="108"/>
      <c r="W254" s="108"/>
      <c r="X254" s="108"/>
      <c r="Y254" s="108"/>
      <c r="Z254" s="108"/>
      <c r="AA254" s="108"/>
      <c r="AB254" s="11"/>
      <c r="AC254" s="108"/>
      <c r="AD254" s="108"/>
      <c r="AE254" s="108"/>
      <c r="AF254" s="108"/>
      <c r="AG254" s="11"/>
      <c r="AH254" s="108"/>
      <c r="AI254" s="108"/>
      <c r="AJ254" s="108"/>
      <c r="AK254" s="108"/>
      <c r="AL254" s="11"/>
      <c r="AM254" s="108"/>
      <c r="AN254" s="108"/>
      <c r="AO254" s="108"/>
      <c r="AP254" s="270"/>
      <c r="AQ254" s="270"/>
    </row>
    <row r="255" spans="1:43" s="268" customFormat="1" x14ac:dyDescent="0.25">
      <c r="A255" s="107"/>
      <c r="B255" s="107"/>
      <c r="C255" s="7"/>
      <c r="D255" s="7"/>
      <c r="E255" s="10"/>
      <c r="F255" s="108"/>
      <c r="G255" s="108"/>
      <c r="H255" s="108"/>
      <c r="I255" s="108"/>
      <c r="J255" s="108"/>
      <c r="K255" s="108"/>
      <c r="L255" s="11"/>
      <c r="M255" s="107"/>
      <c r="N255" s="108"/>
      <c r="O255" s="108"/>
      <c r="P255" s="11"/>
      <c r="Q255" s="108"/>
      <c r="R255" s="108"/>
      <c r="S255" s="108"/>
      <c r="T255" s="108"/>
      <c r="U255" s="108"/>
      <c r="V255" s="108"/>
      <c r="W255" s="108"/>
      <c r="X255" s="108"/>
      <c r="Y255" s="108"/>
      <c r="Z255" s="108"/>
      <c r="AA255" s="108"/>
      <c r="AB255" s="11"/>
      <c r="AC255" s="108"/>
      <c r="AD255" s="108"/>
      <c r="AE255" s="108"/>
      <c r="AF255" s="108"/>
      <c r="AG255" s="11"/>
      <c r="AH255" s="108"/>
      <c r="AI255" s="108"/>
      <c r="AJ255" s="108"/>
      <c r="AK255" s="108"/>
      <c r="AL255" s="11"/>
      <c r="AM255" s="108"/>
      <c r="AN255" s="108"/>
      <c r="AO255" s="108"/>
      <c r="AP255" s="270"/>
      <c r="AQ255" s="270"/>
    </row>
    <row r="256" spans="1:43" s="268" customFormat="1" x14ac:dyDescent="0.25">
      <c r="A256" s="107"/>
      <c r="B256" s="107"/>
      <c r="C256" s="7"/>
      <c r="D256" s="7"/>
      <c r="E256" s="10"/>
      <c r="F256" s="108"/>
      <c r="G256" s="108"/>
      <c r="H256" s="108"/>
      <c r="I256" s="108"/>
      <c r="J256" s="108"/>
      <c r="K256" s="108"/>
      <c r="L256" s="11"/>
      <c r="M256" s="107"/>
      <c r="N256" s="108"/>
      <c r="O256" s="108"/>
      <c r="P256" s="11"/>
      <c r="Q256" s="108"/>
      <c r="R256" s="108"/>
      <c r="S256" s="108"/>
      <c r="T256" s="108"/>
      <c r="U256" s="108"/>
      <c r="V256" s="108"/>
      <c r="W256" s="108"/>
      <c r="X256" s="108"/>
      <c r="Y256" s="108"/>
      <c r="Z256" s="108"/>
      <c r="AA256" s="108"/>
      <c r="AB256" s="11"/>
      <c r="AC256" s="108"/>
      <c r="AD256" s="108"/>
      <c r="AE256" s="108"/>
      <c r="AF256" s="108"/>
      <c r="AG256" s="11"/>
      <c r="AH256" s="108"/>
      <c r="AI256" s="108"/>
      <c r="AJ256" s="108"/>
      <c r="AK256" s="108"/>
      <c r="AL256" s="11"/>
      <c r="AM256" s="108"/>
      <c r="AN256" s="108"/>
      <c r="AO256" s="108"/>
      <c r="AP256" s="270"/>
      <c r="AQ256" s="270"/>
    </row>
    <row r="257" spans="1:43" s="268" customFormat="1" x14ac:dyDescent="0.25">
      <c r="A257" s="107"/>
      <c r="B257" s="107"/>
      <c r="C257" s="7"/>
      <c r="D257" s="7"/>
      <c r="E257" s="10"/>
      <c r="F257" s="108"/>
      <c r="G257" s="108"/>
      <c r="H257" s="108"/>
      <c r="I257" s="108"/>
      <c r="J257" s="108"/>
      <c r="K257" s="108"/>
      <c r="L257" s="11"/>
      <c r="M257" s="107"/>
      <c r="N257" s="108"/>
      <c r="O257" s="108"/>
      <c r="P257" s="11"/>
      <c r="Q257" s="108"/>
      <c r="R257" s="108"/>
      <c r="S257" s="108"/>
      <c r="T257" s="108"/>
      <c r="U257" s="108"/>
      <c r="V257" s="108"/>
      <c r="W257" s="108"/>
      <c r="X257" s="108"/>
      <c r="Y257" s="108"/>
      <c r="Z257" s="108"/>
      <c r="AA257" s="108"/>
      <c r="AB257" s="11"/>
      <c r="AC257" s="108"/>
      <c r="AD257" s="108"/>
      <c r="AE257" s="108"/>
      <c r="AF257" s="108"/>
      <c r="AG257" s="11"/>
      <c r="AH257" s="108"/>
      <c r="AI257" s="108"/>
      <c r="AJ257" s="108"/>
      <c r="AK257" s="108"/>
      <c r="AL257" s="11"/>
      <c r="AM257" s="108"/>
      <c r="AN257" s="108"/>
      <c r="AO257" s="108"/>
      <c r="AP257" s="270"/>
      <c r="AQ257" s="270"/>
    </row>
    <row r="258" spans="1:43" s="268" customFormat="1" x14ac:dyDescent="0.25">
      <c r="A258" s="107"/>
      <c r="B258" s="107"/>
      <c r="C258" s="7"/>
      <c r="D258" s="7"/>
      <c r="E258" s="10"/>
      <c r="F258" s="108"/>
      <c r="G258" s="108"/>
      <c r="H258" s="108"/>
      <c r="I258" s="108"/>
      <c r="J258" s="108"/>
      <c r="K258" s="108"/>
      <c r="L258" s="11"/>
      <c r="M258" s="107"/>
      <c r="N258" s="108"/>
      <c r="O258" s="108"/>
      <c r="P258" s="11"/>
      <c r="Q258" s="108"/>
      <c r="R258" s="108"/>
      <c r="S258" s="108"/>
      <c r="T258" s="108"/>
      <c r="U258" s="108"/>
      <c r="V258" s="108"/>
      <c r="W258" s="108"/>
      <c r="X258" s="108"/>
      <c r="Y258" s="108"/>
      <c r="Z258" s="108"/>
      <c r="AA258" s="108"/>
      <c r="AB258" s="11"/>
      <c r="AC258" s="108"/>
      <c r="AD258" s="108"/>
      <c r="AE258" s="108"/>
      <c r="AF258" s="108"/>
      <c r="AG258" s="11"/>
      <c r="AH258" s="108"/>
      <c r="AI258" s="108"/>
      <c r="AJ258" s="108"/>
      <c r="AK258" s="108"/>
      <c r="AL258" s="11"/>
      <c r="AM258" s="108"/>
      <c r="AN258" s="108"/>
      <c r="AO258" s="108"/>
      <c r="AP258" s="270"/>
      <c r="AQ258" s="270"/>
    </row>
    <row r="259" spans="1:43" s="268" customFormat="1" x14ac:dyDescent="0.25">
      <c r="A259" s="107"/>
      <c r="B259" s="107"/>
      <c r="C259" s="7"/>
      <c r="D259" s="7"/>
      <c r="E259" s="10"/>
      <c r="F259" s="108"/>
      <c r="G259" s="108"/>
      <c r="H259" s="108"/>
      <c r="I259" s="108"/>
      <c r="J259" s="108"/>
      <c r="K259" s="108"/>
      <c r="L259" s="11"/>
      <c r="M259" s="107"/>
      <c r="N259" s="108"/>
      <c r="O259" s="108"/>
      <c r="P259" s="11"/>
      <c r="Q259" s="108"/>
      <c r="R259" s="108"/>
      <c r="S259" s="108"/>
      <c r="T259" s="108"/>
      <c r="U259" s="108"/>
      <c r="V259" s="108"/>
      <c r="W259" s="108"/>
      <c r="X259" s="108"/>
      <c r="Y259" s="108"/>
      <c r="Z259" s="108"/>
      <c r="AA259" s="108"/>
      <c r="AB259" s="11"/>
      <c r="AC259" s="108"/>
      <c r="AD259" s="108"/>
      <c r="AE259" s="108"/>
      <c r="AF259" s="108"/>
      <c r="AG259" s="11"/>
      <c r="AH259" s="108"/>
      <c r="AI259" s="108"/>
      <c r="AJ259" s="108"/>
      <c r="AK259" s="108"/>
      <c r="AL259" s="11"/>
      <c r="AM259" s="108"/>
      <c r="AN259" s="108"/>
      <c r="AO259" s="108"/>
      <c r="AP259" s="270"/>
      <c r="AQ259" s="270"/>
    </row>
    <row r="260" spans="1:43" s="268" customFormat="1" x14ac:dyDescent="0.25">
      <c r="A260" s="107"/>
      <c r="B260" s="107"/>
      <c r="C260" s="7"/>
      <c r="D260" s="7"/>
      <c r="E260" s="10"/>
      <c r="F260" s="108"/>
      <c r="G260" s="108"/>
      <c r="H260" s="108"/>
      <c r="I260" s="108"/>
      <c r="J260" s="108"/>
      <c r="K260" s="108"/>
      <c r="L260" s="11"/>
      <c r="M260" s="107"/>
      <c r="N260" s="108"/>
      <c r="O260" s="108"/>
      <c r="P260" s="11"/>
      <c r="Q260" s="108"/>
      <c r="R260" s="108"/>
      <c r="S260" s="108"/>
      <c r="T260" s="108"/>
      <c r="U260" s="108"/>
      <c r="V260" s="108"/>
      <c r="W260" s="108"/>
      <c r="X260" s="108"/>
      <c r="Y260" s="108"/>
      <c r="Z260" s="108"/>
      <c r="AA260" s="108"/>
      <c r="AB260" s="11"/>
      <c r="AC260" s="108"/>
      <c r="AD260" s="108"/>
      <c r="AE260" s="108"/>
      <c r="AF260" s="108"/>
      <c r="AG260" s="11"/>
      <c r="AH260" s="108"/>
      <c r="AI260" s="108"/>
      <c r="AJ260" s="108"/>
      <c r="AK260" s="108"/>
      <c r="AL260" s="11"/>
      <c r="AM260" s="108"/>
      <c r="AN260" s="108"/>
      <c r="AO260" s="108"/>
      <c r="AP260" s="270"/>
      <c r="AQ260" s="270"/>
    </row>
    <row r="261" spans="1:43" s="268" customFormat="1" x14ac:dyDescent="0.25">
      <c r="A261" s="107"/>
      <c r="B261" s="107"/>
      <c r="C261" s="7"/>
      <c r="D261" s="7"/>
      <c r="E261" s="10"/>
      <c r="F261" s="108"/>
      <c r="G261" s="108"/>
      <c r="H261" s="108"/>
      <c r="I261" s="108"/>
      <c r="J261" s="108"/>
      <c r="K261" s="108"/>
      <c r="L261" s="11"/>
      <c r="M261" s="107"/>
      <c r="N261" s="108"/>
      <c r="O261" s="108"/>
      <c r="P261" s="11"/>
      <c r="Q261" s="108"/>
      <c r="R261" s="108"/>
      <c r="S261" s="108"/>
      <c r="T261" s="108"/>
      <c r="U261" s="108"/>
      <c r="V261" s="108"/>
      <c r="W261" s="108"/>
      <c r="X261" s="108"/>
      <c r="Y261" s="108"/>
      <c r="Z261" s="108"/>
      <c r="AA261" s="108"/>
      <c r="AB261" s="11"/>
      <c r="AC261" s="108"/>
      <c r="AD261" s="108"/>
      <c r="AE261" s="108"/>
      <c r="AF261" s="108"/>
      <c r="AG261" s="11"/>
      <c r="AH261" s="108"/>
      <c r="AI261" s="108"/>
      <c r="AJ261" s="108"/>
      <c r="AK261" s="108"/>
      <c r="AL261" s="11"/>
      <c r="AM261" s="108"/>
      <c r="AN261" s="108"/>
      <c r="AO261" s="108"/>
      <c r="AP261" s="270"/>
      <c r="AQ261" s="270"/>
    </row>
    <row r="262" spans="1:43" s="268" customFormat="1" x14ac:dyDescent="0.25">
      <c r="A262" s="107"/>
      <c r="B262" s="107"/>
      <c r="C262" s="7"/>
      <c r="D262" s="7"/>
      <c r="E262" s="10"/>
      <c r="F262" s="108"/>
      <c r="G262" s="108"/>
      <c r="H262" s="108"/>
      <c r="I262" s="108"/>
      <c r="J262" s="108"/>
      <c r="K262" s="108"/>
      <c r="L262" s="11"/>
      <c r="M262" s="107"/>
      <c r="N262" s="108"/>
      <c r="O262" s="108"/>
      <c r="P262" s="11"/>
      <c r="Q262" s="7"/>
      <c r="R262" s="7"/>
      <c r="S262" s="7"/>
      <c r="T262" s="7"/>
      <c r="U262" s="7"/>
      <c r="V262" s="7"/>
      <c r="W262" s="7"/>
      <c r="X262" s="7"/>
      <c r="Y262" s="108"/>
      <c r="Z262" s="108"/>
      <c r="AA262" s="108"/>
      <c r="AB262" s="11"/>
      <c r="AC262" s="7"/>
      <c r="AD262" s="7"/>
      <c r="AE262" s="7"/>
      <c r="AF262" s="108"/>
      <c r="AG262" s="11"/>
      <c r="AH262" s="108"/>
      <c r="AI262" s="108"/>
      <c r="AJ262" s="108"/>
      <c r="AK262" s="108"/>
      <c r="AL262" s="11"/>
      <c r="AM262" s="108"/>
      <c r="AN262" s="108"/>
      <c r="AO262" s="108"/>
      <c r="AP262" s="270"/>
      <c r="AQ262" s="270"/>
    </row>
    <row r="263" spans="1:43" s="268" customFormat="1" x14ac:dyDescent="0.25">
      <c r="A263" s="107"/>
      <c r="B263" s="107"/>
      <c r="C263" s="7"/>
      <c r="D263" s="7"/>
      <c r="E263" s="10"/>
      <c r="F263" s="7"/>
      <c r="G263" s="7"/>
      <c r="H263" s="7"/>
      <c r="I263" s="7"/>
      <c r="J263" s="7"/>
      <c r="K263" s="7"/>
      <c r="L263" s="10"/>
      <c r="M263" s="107"/>
      <c r="N263" s="7"/>
      <c r="O263" s="7"/>
      <c r="P263" s="10"/>
      <c r="Q263" s="7"/>
      <c r="R263" s="7"/>
      <c r="S263" s="7"/>
      <c r="T263" s="7"/>
      <c r="U263" s="7"/>
      <c r="V263" s="7"/>
      <c r="W263" s="7"/>
      <c r="X263" s="7"/>
      <c r="Y263" s="7"/>
      <c r="Z263" s="7"/>
      <c r="AA263" s="7"/>
      <c r="AB263" s="10"/>
      <c r="AC263" s="7"/>
      <c r="AD263" s="7"/>
      <c r="AE263" s="7"/>
      <c r="AF263" s="7"/>
      <c r="AG263" s="10"/>
      <c r="AH263" s="7"/>
      <c r="AI263" s="7"/>
      <c r="AJ263" s="7"/>
      <c r="AK263" s="7"/>
      <c r="AL263" s="10"/>
      <c r="AM263" s="7"/>
      <c r="AN263" s="7"/>
      <c r="AO263" s="7"/>
      <c r="AP263" s="266"/>
      <c r="AQ263" s="266"/>
    </row>
    <row r="264" spans="1:43" s="268" customFormat="1" x14ac:dyDescent="0.25">
      <c r="A264" s="107"/>
      <c r="B264" s="107"/>
      <c r="C264" s="7"/>
      <c r="D264" s="7"/>
      <c r="E264" s="10"/>
      <c r="F264" s="7"/>
      <c r="G264" s="7"/>
      <c r="H264" s="7"/>
      <c r="I264" s="7"/>
      <c r="J264" s="7"/>
      <c r="K264" s="7"/>
      <c r="L264" s="10"/>
      <c r="M264" s="107"/>
      <c r="N264" s="7"/>
      <c r="O264" s="7"/>
      <c r="P264" s="10"/>
      <c r="Q264" s="7"/>
      <c r="R264" s="7"/>
      <c r="S264" s="7"/>
      <c r="T264" s="7"/>
      <c r="U264" s="7"/>
      <c r="V264" s="7"/>
      <c r="W264" s="7"/>
      <c r="X264" s="7"/>
      <c r="Y264" s="7"/>
      <c r="Z264" s="7"/>
      <c r="AA264" s="7"/>
      <c r="AB264" s="10"/>
      <c r="AC264" s="7"/>
      <c r="AD264" s="7"/>
      <c r="AE264" s="7"/>
      <c r="AF264" s="7"/>
      <c r="AG264" s="10"/>
      <c r="AH264" s="7"/>
      <c r="AI264" s="7"/>
      <c r="AJ264" s="7"/>
      <c r="AK264" s="7"/>
      <c r="AL264" s="10"/>
      <c r="AM264" s="7"/>
      <c r="AN264" s="7"/>
      <c r="AO264" s="7"/>
      <c r="AP264" s="266"/>
      <c r="AQ264" s="266"/>
    </row>
    <row r="265" spans="1:43" s="268" customFormat="1" x14ac:dyDescent="0.25">
      <c r="A265" s="107"/>
      <c r="B265" s="107"/>
      <c r="C265" s="7"/>
      <c r="D265" s="7"/>
      <c r="E265" s="10"/>
      <c r="F265" s="7"/>
      <c r="G265" s="7"/>
      <c r="H265" s="7"/>
      <c r="I265" s="7"/>
      <c r="J265" s="7"/>
      <c r="K265" s="7"/>
      <c r="L265" s="10"/>
      <c r="M265" s="107"/>
      <c r="N265" s="7"/>
      <c r="O265" s="7"/>
      <c r="P265" s="10"/>
      <c r="Q265" s="7"/>
      <c r="R265" s="7"/>
      <c r="S265" s="7"/>
      <c r="T265" s="7"/>
      <c r="U265" s="7"/>
      <c r="V265" s="7"/>
      <c r="W265" s="7"/>
      <c r="X265" s="7"/>
      <c r="Y265" s="7"/>
      <c r="Z265" s="7"/>
      <c r="AA265" s="7"/>
      <c r="AB265" s="10"/>
      <c r="AC265" s="7"/>
      <c r="AD265" s="7"/>
      <c r="AE265" s="7"/>
      <c r="AF265" s="7"/>
      <c r="AG265" s="10"/>
      <c r="AH265" s="7"/>
      <c r="AI265" s="7"/>
      <c r="AJ265" s="7"/>
      <c r="AK265" s="7"/>
      <c r="AL265" s="10"/>
      <c r="AM265" s="7"/>
      <c r="AN265" s="7"/>
      <c r="AO265" s="7"/>
      <c r="AP265" s="266"/>
      <c r="AQ265" s="266"/>
    </row>
    <row r="266" spans="1:43" s="268" customFormat="1" x14ac:dyDescent="0.25">
      <c r="A266" s="107"/>
      <c r="B266" s="107"/>
      <c r="C266" s="7"/>
      <c r="D266" s="7"/>
      <c r="E266" s="10"/>
      <c r="F266" s="7"/>
      <c r="G266" s="7"/>
      <c r="H266" s="7"/>
      <c r="I266" s="7"/>
      <c r="J266" s="7"/>
      <c r="K266" s="7"/>
      <c r="L266" s="10"/>
      <c r="M266" s="107"/>
      <c r="N266" s="7"/>
      <c r="O266" s="7"/>
      <c r="P266" s="10"/>
      <c r="Q266" s="7"/>
      <c r="R266" s="7"/>
      <c r="S266" s="7"/>
      <c r="T266" s="7"/>
      <c r="U266" s="7"/>
      <c r="V266" s="7"/>
      <c r="W266" s="7"/>
      <c r="X266" s="7"/>
      <c r="Y266" s="7"/>
      <c r="Z266" s="7"/>
      <c r="AA266" s="7"/>
      <c r="AB266" s="10"/>
      <c r="AC266" s="7"/>
      <c r="AD266" s="7"/>
      <c r="AE266" s="7"/>
      <c r="AF266" s="7"/>
      <c r="AG266" s="10"/>
      <c r="AH266" s="7"/>
      <c r="AI266" s="7"/>
      <c r="AJ266" s="7"/>
      <c r="AK266" s="7"/>
      <c r="AL266" s="10"/>
      <c r="AM266" s="7"/>
      <c r="AN266" s="7"/>
      <c r="AO266" s="7"/>
      <c r="AP266" s="266"/>
      <c r="AQ266" s="266"/>
    </row>
    <row r="267" spans="1:43" s="268" customFormat="1" x14ac:dyDescent="0.25">
      <c r="A267" s="107"/>
      <c r="B267" s="107"/>
      <c r="C267" s="7"/>
      <c r="D267" s="7"/>
      <c r="E267" s="10"/>
      <c r="F267" s="7"/>
      <c r="G267" s="7"/>
      <c r="H267" s="7"/>
      <c r="I267" s="7"/>
      <c r="J267" s="7"/>
      <c r="K267" s="7"/>
      <c r="L267" s="10"/>
      <c r="M267" s="107"/>
      <c r="N267" s="7"/>
      <c r="O267" s="7"/>
      <c r="P267" s="10"/>
      <c r="Q267" s="7"/>
      <c r="R267" s="7"/>
      <c r="S267" s="7"/>
      <c r="T267" s="7"/>
      <c r="U267" s="7"/>
      <c r="V267" s="7"/>
      <c r="W267" s="7"/>
      <c r="X267" s="7"/>
      <c r="Y267" s="7"/>
      <c r="Z267" s="7"/>
      <c r="AA267" s="7"/>
      <c r="AB267" s="10"/>
      <c r="AC267" s="7"/>
      <c r="AD267" s="7"/>
      <c r="AE267" s="7"/>
      <c r="AF267" s="7"/>
      <c r="AG267" s="10"/>
      <c r="AH267" s="7"/>
      <c r="AI267" s="7"/>
      <c r="AJ267" s="7"/>
      <c r="AK267" s="7"/>
      <c r="AL267" s="10"/>
      <c r="AM267" s="7"/>
      <c r="AN267" s="7"/>
      <c r="AO267" s="7"/>
      <c r="AP267" s="266"/>
      <c r="AQ267" s="266"/>
    </row>
    <row r="268" spans="1:43" s="268" customFormat="1" x14ac:dyDescent="0.25">
      <c r="A268" s="107"/>
      <c r="B268" s="107"/>
      <c r="C268" s="7"/>
      <c r="D268" s="7"/>
      <c r="E268" s="10"/>
      <c r="F268" s="7"/>
      <c r="G268" s="7"/>
      <c r="H268" s="7"/>
      <c r="I268" s="7"/>
      <c r="J268" s="7"/>
      <c r="K268" s="7"/>
      <c r="L268" s="10"/>
      <c r="M268" s="107"/>
      <c r="N268" s="7"/>
      <c r="O268" s="7"/>
      <c r="P268" s="10"/>
      <c r="Q268" s="7"/>
      <c r="R268" s="7"/>
      <c r="S268" s="7"/>
      <c r="T268" s="7"/>
      <c r="U268" s="7"/>
      <c r="V268" s="7"/>
      <c r="W268" s="7"/>
      <c r="X268" s="7"/>
      <c r="Y268" s="7"/>
      <c r="Z268" s="7"/>
      <c r="AA268" s="7"/>
      <c r="AB268" s="10"/>
      <c r="AC268" s="7"/>
      <c r="AD268" s="7"/>
      <c r="AE268" s="7"/>
      <c r="AF268" s="7"/>
      <c r="AG268" s="10"/>
      <c r="AH268" s="7"/>
      <c r="AI268" s="7"/>
      <c r="AJ268" s="7"/>
      <c r="AK268" s="7"/>
      <c r="AL268" s="10"/>
      <c r="AM268" s="7"/>
      <c r="AN268" s="7"/>
      <c r="AO268" s="7"/>
      <c r="AP268" s="266"/>
      <c r="AQ268" s="266"/>
    </row>
    <row r="269" spans="1:43" s="268" customFormat="1" x14ac:dyDescent="0.25">
      <c r="A269" s="107"/>
      <c r="B269" s="107"/>
      <c r="C269" s="7"/>
      <c r="D269" s="7"/>
      <c r="E269" s="10"/>
      <c r="F269" s="7"/>
      <c r="G269" s="7"/>
      <c r="H269" s="7"/>
      <c r="I269" s="7"/>
      <c r="J269" s="7"/>
      <c r="K269" s="7"/>
      <c r="L269" s="10"/>
      <c r="M269" s="107"/>
      <c r="N269" s="7"/>
      <c r="O269" s="7"/>
      <c r="P269" s="10"/>
      <c r="Q269" s="7"/>
      <c r="R269" s="7"/>
      <c r="S269" s="7"/>
      <c r="T269" s="7"/>
      <c r="U269" s="7"/>
      <c r="V269" s="7"/>
      <c r="W269" s="7"/>
      <c r="X269" s="7"/>
      <c r="Y269" s="7"/>
      <c r="Z269" s="7"/>
      <c r="AA269" s="7"/>
      <c r="AB269" s="10"/>
      <c r="AC269" s="7"/>
      <c r="AD269" s="7"/>
      <c r="AE269" s="7"/>
      <c r="AF269" s="7"/>
      <c r="AG269" s="10"/>
      <c r="AH269" s="7"/>
      <c r="AI269" s="7"/>
      <c r="AJ269" s="7"/>
      <c r="AK269" s="7"/>
      <c r="AL269" s="10"/>
      <c r="AM269" s="7"/>
      <c r="AN269" s="7"/>
      <c r="AO269" s="7"/>
      <c r="AP269" s="266"/>
      <c r="AQ269" s="266"/>
    </row>
    <row r="270" spans="1:43" s="268" customFormat="1" x14ac:dyDescent="0.25">
      <c r="A270" s="107"/>
      <c r="B270" s="107"/>
      <c r="C270" s="7"/>
      <c r="D270" s="7"/>
      <c r="E270" s="10"/>
      <c r="F270" s="7"/>
      <c r="G270" s="7"/>
      <c r="H270" s="7"/>
      <c r="I270" s="7"/>
      <c r="J270" s="7"/>
      <c r="K270" s="7"/>
      <c r="L270" s="10"/>
      <c r="M270" s="107"/>
      <c r="N270" s="7"/>
      <c r="O270" s="7"/>
      <c r="P270" s="10"/>
      <c r="Q270" s="7"/>
      <c r="R270" s="7"/>
      <c r="S270" s="7"/>
      <c r="T270" s="7"/>
      <c r="U270" s="7"/>
      <c r="V270" s="7"/>
      <c r="W270" s="7"/>
      <c r="X270" s="7"/>
      <c r="Y270" s="7"/>
      <c r="Z270" s="7"/>
      <c r="AA270" s="7"/>
      <c r="AB270" s="10"/>
      <c r="AC270" s="7"/>
      <c r="AD270" s="7"/>
      <c r="AE270" s="7"/>
      <c r="AF270" s="7"/>
      <c r="AG270" s="10"/>
      <c r="AH270" s="7"/>
      <c r="AI270" s="7"/>
      <c r="AJ270" s="7"/>
      <c r="AK270" s="7"/>
      <c r="AL270" s="10"/>
      <c r="AM270" s="7"/>
      <c r="AN270" s="7"/>
      <c r="AO270" s="7"/>
      <c r="AP270" s="266"/>
      <c r="AQ270" s="266"/>
    </row>
    <row r="271" spans="1:43" s="268" customFormat="1" x14ac:dyDescent="0.25">
      <c r="A271" s="107"/>
      <c r="B271" s="107"/>
      <c r="C271" s="7"/>
      <c r="D271" s="7"/>
      <c r="E271" s="10"/>
      <c r="F271" s="7"/>
      <c r="G271" s="7"/>
      <c r="H271" s="7"/>
      <c r="I271" s="7"/>
      <c r="J271" s="7"/>
      <c r="K271" s="7"/>
      <c r="L271" s="10"/>
      <c r="M271" s="107"/>
      <c r="N271" s="7"/>
      <c r="O271" s="7"/>
      <c r="P271" s="10"/>
      <c r="Q271" s="7"/>
      <c r="R271" s="7"/>
      <c r="S271" s="7"/>
      <c r="T271" s="7"/>
      <c r="U271" s="7"/>
      <c r="V271" s="7"/>
      <c r="W271" s="7"/>
      <c r="X271" s="7"/>
      <c r="Y271" s="7"/>
      <c r="Z271" s="7"/>
      <c r="AA271" s="7"/>
      <c r="AB271" s="10"/>
      <c r="AC271" s="7"/>
      <c r="AD271" s="7"/>
      <c r="AE271" s="7"/>
      <c r="AF271" s="7"/>
      <c r="AG271" s="10"/>
      <c r="AH271" s="7"/>
      <c r="AI271" s="7"/>
      <c r="AJ271" s="7"/>
      <c r="AK271" s="7"/>
      <c r="AL271" s="10"/>
      <c r="AM271" s="7"/>
      <c r="AN271" s="7"/>
      <c r="AO271" s="7"/>
      <c r="AP271" s="266"/>
      <c r="AQ271" s="266"/>
    </row>
    <row r="272" spans="1:43" s="268" customFormat="1" x14ac:dyDescent="0.25">
      <c r="A272" s="107"/>
      <c r="B272" s="107"/>
      <c r="C272" s="7"/>
      <c r="D272" s="7"/>
      <c r="E272" s="10"/>
      <c r="F272" s="7"/>
      <c r="G272" s="7"/>
      <c r="H272" s="7"/>
      <c r="I272" s="7"/>
      <c r="J272" s="7"/>
      <c r="K272" s="7"/>
      <c r="L272" s="10"/>
      <c r="M272" s="107"/>
      <c r="N272" s="7"/>
      <c r="O272" s="7"/>
      <c r="P272" s="10"/>
      <c r="Q272" s="7"/>
      <c r="R272" s="7"/>
      <c r="S272" s="7"/>
      <c r="T272" s="7"/>
      <c r="U272" s="7"/>
      <c r="V272" s="7"/>
      <c r="W272" s="7"/>
      <c r="X272" s="7"/>
      <c r="Y272" s="7"/>
      <c r="Z272" s="7"/>
      <c r="AA272" s="7"/>
      <c r="AB272" s="10"/>
      <c r="AC272" s="7"/>
      <c r="AD272" s="7"/>
      <c r="AE272" s="7"/>
      <c r="AF272" s="7"/>
      <c r="AG272" s="10"/>
      <c r="AH272" s="7"/>
      <c r="AI272" s="7"/>
      <c r="AJ272" s="7"/>
      <c r="AK272" s="7"/>
      <c r="AL272" s="10"/>
      <c r="AM272" s="7"/>
      <c r="AN272" s="7"/>
      <c r="AO272" s="7"/>
      <c r="AP272" s="266"/>
      <c r="AQ272" s="266"/>
    </row>
    <row r="273" spans="1:43" s="268" customFormat="1" x14ac:dyDescent="0.25">
      <c r="A273" s="107"/>
      <c r="B273" s="107"/>
      <c r="C273" s="7"/>
      <c r="D273" s="7"/>
      <c r="E273" s="10"/>
      <c r="F273" s="7"/>
      <c r="G273" s="7"/>
      <c r="H273" s="7"/>
      <c r="I273" s="7"/>
      <c r="J273" s="7"/>
      <c r="K273" s="7"/>
      <c r="L273" s="10"/>
      <c r="M273" s="107"/>
      <c r="N273" s="7"/>
      <c r="O273" s="7"/>
      <c r="P273" s="10"/>
      <c r="Q273" s="7"/>
      <c r="R273" s="7"/>
      <c r="S273" s="7"/>
      <c r="T273" s="7"/>
      <c r="U273" s="7"/>
      <c r="V273" s="7"/>
      <c r="W273" s="7"/>
      <c r="X273" s="7"/>
      <c r="Y273" s="7"/>
      <c r="Z273" s="7"/>
      <c r="AA273" s="7"/>
      <c r="AB273" s="10"/>
      <c r="AC273" s="7"/>
      <c r="AD273" s="7"/>
      <c r="AE273" s="7"/>
      <c r="AF273" s="7"/>
      <c r="AG273" s="10"/>
      <c r="AH273" s="7"/>
      <c r="AI273" s="7"/>
      <c r="AJ273" s="7"/>
      <c r="AK273" s="7"/>
      <c r="AL273" s="10"/>
      <c r="AM273" s="7"/>
      <c r="AN273" s="7"/>
      <c r="AO273" s="7"/>
      <c r="AP273" s="266"/>
      <c r="AQ273" s="266"/>
    </row>
    <row r="274" spans="1:43" s="268" customFormat="1" x14ac:dyDescent="0.25">
      <c r="A274" s="107"/>
      <c r="B274" s="107"/>
      <c r="C274" s="7"/>
      <c r="D274" s="7"/>
      <c r="E274" s="10"/>
      <c r="F274" s="7"/>
      <c r="G274" s="7"/>
      <c r="H274" s="7"/>
      <c r="I274" s="7"/>
      <c r="J274" s="7"/>
      <c r="K274" s="7"/>
      <c r="L274" s="10"/>
      <c r="M274" s="107"/>
      <c r="N274" s="7"/>
      <c r="O274" s="7"/>
      <c r="P274" s="10"/>
      <c r="Q274" s="7"/>
      <c r="R274" s="7"/>
      <c r="S274" s="7"/>
      <c r="T274" s="7"/>
      <c r="U274" s="7"/>
      <c r="V274" s="7"/>
      <c r="W274" s="7"/>
      <c r="X274" s="7"/>
      <c r="Y274" s="7"/>
      <c r="Z274" s="7"/>
      <c r="AA274" s="7"/>
      <c r="AB274" s="10"/>
      <c r="AC274" s="7"/>
      <c r="AD274" s="7"/>
      <c r="AE274" s="7"/>
      <c r="AF274" s="7"/>
      <c r="AG274" s="10"/>
      <c r="AH274" s="7"/>
      <c r="AI274" s="7"/>
      <c r="AJ274" s="7"/>
      <c r="AK274" s="7"/>
      <c r="AL274" s="10"/>
      <c r="AM274" s="7"/>
      <c r="AN274" s="7"/>
      <c r="AO274" s="7"/>
      <c r="AP274" s="266"/>
      <c r="AQ274" s="266"/>
    </row>
    <row r="275" spans="1:43" s="268" customFormat="1" x14ac:dyDescent="0.25">
      <c r="A275" s="107"/>
      <c r="B275" s="107"/>
      <c r="C275" s="108"/>
      <c r="D275" s="108"/>
      <c r="E275" s="11"/>
      <c r="F275" s="7"/>
      <c r="G275" s="7"/>
      <c r="H275" s="7"/>
      <c r="I275" s="7"/>
      <c r="J275" s="7"/>
      <c r="K275" s="7"/>
      <c r="L275" s="10"/>
      <c r="M275" s="107"/>
      <c r="N275" s="7"/>
      <c r="O275" s="7"/>
      <c r="P275" s="10"/>
      <c r="Q275" s="7"/>
      <c r="R275" s="7"/>
      <c r="S275" s="7"/>
      <c r="T275" s="7"/>
      <c r="U275" s="7"/>
      <c r="V275" s="7"/>
      <c r="W275" s="7"/>
      <c r="X275" s="7"/>
      <c r="Y275" s="7"/>
      <c r="Z275" s="7"/>
      <c r="AA275" s="7"/>
      <c r="AB275" s="10"/>
      <c r="AC275" s="7"/>
      <c r="AD275" s="7"/>
      <c r="AE275" s="7"/>
      <c r="AF275" s="7"/>
      <c r="AG275" s="10"/>
      <c r="AH275" s="7"/>
      <c r="AI275" s="7"/>
      <c r="AJ275" s="7"/>
      <c r="AK275" s="7"/>
      <c r="AL275" s="10"/>
      <c r="AM275" s="7"/>
      <c r="AN275" s="7"/>
      <c r="AO275" s="7"/>
      <c r="AP275" s="266"/>
      <c r="AQ275" s="266"/>
    </row>
    <row r="276" spans="1:43" s="268" customFormat="1" x14ac:dyDescent="0.25">
      <c r="A276" s="107"/>
      <c r="B276" s="107"/>
      <c r="C276" s="108"/>
      <c r="D276" s="108"/>
      <c r="E276" s="11"/>
      <c r="F276" s="7"/>
      <c r="G276" s="7"/>
      <c r="H276" s="7"/>
      <c r="I276" s="7"/>
      <c r="J276" s="7"/>
      <c r="K276" s="7"/>
      <c r="L276" s="10"/>
      <c r="M276" s="107"/>
      <c r="N276" s="7"/>
      <c r="O276" s="7"/>
      <c r="P276" s="10"/>
      <c r="Q276" s="7"/>
      <c r="R276" s="7"/>
      <c r="S276" s="7"/>
      <c r="T276" s="7"/>
      <c r="U276" s="7"/>
      <c r="V276" s="7"/>
      <c r="W276" s="7"/>
      <c r="X276" s="7"/>
      <c r="Y276" s="7"/>
      <c r="Z276" s="7"/>
      <c r="AA276" s="7"/>
      <c r="AB276" s="10"/>
      <c r="AC276" s="7"/>
      <c r="AD276" s="7"/>
      <c r="AE276" s="7"/>
      <c r="AF276" s="7"/>
      <c r="AG276" s="10"/>
      <c r="AH276" s="7"/>
      <c r="AI276" s="7"/>
      <c r="AJ276" s="7"/>
      <c r="AK276" s="7"/>
      <c r="AL276" s="10"/>
      <c r="AM276" s="7"/>
      <c r="AN276" s="7"/>
      <c r="AO276" s="7"/>
      <c r="AP276" s="266"/>
      <c r="AQ276" s="266"/>
    </row>
    <row r="277" spans="1:43" s="268" customFormat="1" x14ac:dyDescent="0.25">
      <c r="A277" s="107"/>
      <c r="B277" s="107"/>
      <c r="C277" s="108"/>
      <c r="D277" s="108"/>
      <c r="E277" s="11"/>
      <c r="F277" s="7"/>
      <c r="G277" s="7"/>
      <c r="H277" s="7"/>
      <c r="I277" s="7"/>
      <c r="J277" s="7"/>
      <c r="K277" s="7"/>
      <c r="L277" s="10"/>
      <c r="M277" s="107"/>
      <c r="N277" s="7"/>
      <c r="O277" s="7"/>
      <c r="P277" s="10"/>
      <c r="Q277" s="7"/>
      <c r="R277" s="7"/>
      <c r="S277" s="7"/>
      <c r="T277" s="7"/>
      <c r="U277" s="7"/>
      <c r="V277" s="7"/>
      <c r="W277" s="7"/>
      <c r="X277" s="7"/>
      <c r="Y277" s="7"/>
      <c r="Z277" s="7"/>
      <c r="AA277" s="7"/>
      <c r="AB277" s="10"/>
      <c r="AC277" s="7"/>
      <c r="AD277" s="7"/>
      <c r="AE277" s="7"/>
      <c r="AF277" s="7"/>
      <c r="AG277" s="10"/>
      <c r="AH277" s="7"/>
      <c r="AI277" s="7"/>
      <c r="AJ277" s="7"/>
      <c r="AK277" s="7"/>
      <c r="AL277" s="10"/>
      <c r="AM277" s="7"/>
      <c r="AN277" s="7"/>
      <c r="AO277" s="7"/>
      <c r="AP277" s="266"/>
      <c r="AQ277" s="266"/>
    </row>
    <row r="278" spans="1:43" s="268" customFormat="1" x14ac:dyDescent="0.25">
      <c r="A278" s="107"/>
      <c r="B278" s="107"/>
      <c r="C278" s="108"/>
      <c r="D278" s="108"/>
      <c r="E278" s="11"/>
      <c r="F278" s="7"/>
      <c r="G278" s="7"/>
      <c r="H278" s="7"/>
      <c r="I278" s="7"/>
      <c r="J278" s="7"/>
      <c r="K278" s="7"/>
      <c r="L278" s="10"/>
      <c r="M278" s="107"/>
      <c r="N278" s="7"/>
      <c r="O278" s="7"/>
      <c r="P278" s="10"/>
      <c r="Q278" s="7"/>
      <c r="R278" s="7"/>
      <c r="S278" s="7"/>
      <c r="T278" s="7"/>
      <c r="U278" s="7"/>
      <c r="V278" s="7"/>
      <c r="W278" s="7"/>
      <c r="X278" s="7"/>
      <c r="Y278" s="7"/>
      <c r="Z278" s="7"/>
      <c r="AA278" s="7"/>
      <c r="AB278" s="10"/>
      <c r="AC278" s="7"/>
      <c r="AD278" s="7"/>
      <c r="AE278" s="7"/>
      <c r="AF278" s="7"/>
      <c r="AG278" s="10"/>
      <c r="AH278" s="7"/>
      <c r="AI278" s="7"/>
      <c r="AJ278" s="7"/>
      <c r="AK278" s="7"/>
      <c r="AL278" s="10"/>
      <c r="AM278" s="7"/>
      <c r="AN278" s="7"/>
      <c r="AO278" s="7"/>
      <c r="AP278" s="266"/>
      <c r="AQ278" s="266"/>
    </row>
    <row r="279" spans="1:43" s="268" customFormat="1" x14ac:dyDescent="0.25">
      <c r="A279" s="107"/>
      <c r="B279" s="107"/>
      <c r="C279" s="108"/>
      <c r="D279" s="108"/>
      <c r="E279" s="11"/>
      <c r="F279" s="7"/>
      <c r="G279" s="7"/>
      <c r="H279" s="7"/>
      <c r="I279" s="7"/>
      <c r="J279" s="7"/>
      <c r="K279" s="7"/>
      <c r="L279" s="10"/>
      <c r="M279" s="107"/>
      <c r="N279" s="7"/>
      <c r="O279" s="7"/>
      <c r="P279" s="10"/>
      <c r="Q279" s="7"/>
      <c r="R279" s="7"/>
      <c r="S279" s="7"/>
      <c r="T279" s="7"/>
      <c r="U279" s="7"/>
      <c r="V279" s="7"/>
      <c r="W279" s="7"/>
      <c r="X279" s="7"/>
      <c r="Y279" s="7"/>
      <c r="Z279" s="7"/>
      <c r="AA279" s="7"/>
      <c r="AB279" s="10"/>
      <c r="AC279" s="7"/>
      <c r="AD279" s="7"/>
      <c r="AE279" s="7"/>
      <c r="AF279" s="7"/>
      <c r="AG279" s="10"/>
      <c r="AH279" s="7"/>
      <c r="AI279" s="7"/>
      <c r="AJ279" s="7"/>
      <c r="AK279" s="7"/>
      <c r="AL279" s="10"/>
      <c r="AM279" s="7"/>
      <c r="AN279" s="7"/>
      <c r="AO279" s="7"/>
      <c r="AP279" s="266"/>
      <c r="AQ279" s="266"/>
    </row>
    <row r="280" spans="1:43" s="268" customFormat="1" x14ac:dyDescent="0.25">
      <c r="A280" s="107"/>
      <c r="B280" s="107"/>
      <c r="C280" s="108"/>
      <c r="D280" s="108"/>
      <c r="E280" s="11"/>
      <c r="F280" s="7"/>
      <c r="G280" s="7"/>
      <c r="H280" s="7"/>
      <c r="I280" s="7"/>
      <c r="J280" s="7"/>
      <c r="K280" s="7"/>
      <c r="L280" s="10"/>
      <c r="M280" s="107"/>
      <c r="N280" s="7"/>
      <c r="O280" s="7"/>
      <c r="P280" s="10"/>
      <c r="Q280" s="7"/>
      <c r="R280" s="7"/>
      <c r="S280" s="7"/>
      <c r="T280" s="7"/>
      <c r="U280" s="7"/>
      <c r="V280" s="7"/>
      <c r="W280" s="7"/>
      <c r="X280" s="7"/>
      <c r="Y280" s="7"/>
      <c r="Z280" s="7"/>
      <c r="AA280" s="7"/>
      <c r="AB280" s="10"/>
      <c r="AC280" s="7"/>
      <c r="AD280" s="7"/>
      <c r="AE280" s="7"/>
      <c r="AF280" s="7"/>
      <c r="AG280" s="10"/>
      <c r="AH280" s="7"/>
      <c r="AI280" s="7"/>
      <c r="AJ280" s="7"/>
      <c r="AK280" s="7"/>
      <c r="AL280" s="10"/>
      <c r="AM280" s="7"/>
      <c r="AN280" s="7"/>
      <c r="AO280" s="7"/>
      <c r="AP280" s="266"/>
      <c r="AQ280" s="266"/>
    </row>
    <row r="281" spans="1:43" s="268" customFormat="1" x14ac:dyDescent="0.25">
      <c r="A281" s="107"/>
      <c r="B281" s="107"/>
      <c r="C281" s="108"/>
      <c r="D281" s="108"/>
      <c r="E281" s="11"/>
      <c r="F281" s="7"/>
      <c r="G281" s="7"/>
      <c r="H281" s="7"/>
      <c r="I281" s="7"/>
      <c r="J281" s="7"/>
      <c r="K281" s="7"/>
      <c r="L281" s="10"/>
      <c r="M281" s="107"/>
      <c r="N281" s="7"/>
      <c r="O281" s="7"/>
      <c r="P281" s="10"/>
      <c r="Q281" s="7"/>
      <c r="R281" s="7"/>
      <c r="S281" s="7"/>
      <c r="T281" s="7"/>
      <c r="U281" s="7"/>
      <c r="V281" s="7"/>
      <c r="W281" s="7"/>
      <c r="X281" s="7"/>
      <c r="Y281" s="7"/>
      <c r="Z281" s="7"/>
      <c r="AA281" s="7"/>
      <c r="AB281" s="10"/>
      <c r="AC281" s="7"/>
      <c r="AD281" s="7"/>
      <c r="AE281" s="7"/>
      <c r="AF281" s="7"/>
      <c r="AG281" s="10"/>
      <c r="AH281" s="7"/>
      <c r="AI281" s="7"/>
      <c r="AJ281" s="7"/>
      <c r="AK281" s="7"/>
      <c r="AL281" s="10"/>
      <c r="AM281" s="7"/>
      <c r="AN281" s="7"/>
      <c r="AO281" s="7"/>
      <c r="AP281" s="266"/>
      <c r="AQ281" s="266"/>
    </row>
    <row r="282" spans="1:43" s="268" customFormat="1" x14ac:dyDescent="0.25">
      <c r="A282" s="107"/>
      <c r="B282" s="107"/>
      <c r="C282" s="108"/>
      <c r="D282" s="108"/>
      <c r="E282" s="11"/>
      <c r="F282" s="7"/>
      <c r="G282" s="7"/>
      <c r="H282" s="7"/>
      <c r="I282" s="7"/>
      <c r="J282" s="7"/>
      <c r="K282" s="7"/>
      <c r="L282" s="10"/>
      <c r="M282" s="107"/>
      <c r="N282" s="7"/>
      <c r="O282" s="7"/>
      <c r="P282" s="10"/>
      <c r="Q282" s="7"/>
      <c r="R282" s="7"/>
      <c r="S282" s="7"/>
      <c r="T282" s="7"/>
      <c r="U282" s="7"/>
      <c r="V282" s="7"/>
      <c r="W282" s="7"/>
      <c r="X282" s="7"/>
      <c r="Y282" s="7"/>
      <c r="Z282" s="7"/>
      <c r="AA282" s="7"/>
      <c r="AB282" s="10"/>
      <c r="AC282" s="7"/>
      <c r="AD282" s="7"/>
      <c r="AE282" s="7"/>
      <c r="AF282" s="7"/>
      <c r="AG282" s="10"/>
      <c r="AH282" s="7"/>
      <c r="AI282" s="7"/>
      <c r="AJ282" s="7"/>
      <c r="AK282" s="7"/>
      <c r="AL282" s="10"/>
      <c r="AM282" s="7"/>
      <c r="AN282" s="7"/>
      <c r="AO282" s="7"/>
      <c r="AP282" s="266"/>
      <c r="AQ282" s="266"/>
    </row>
    <row r="283" spans="1:43" s="268" customFormat="1" x14ac:dyDescent="0.25">
      <c r="A283" s="107"/>
      <c r="B283" s="107"/>
      <c r="C283" s="108"/>
      <c r="D283" s="108"/>
      <c r="E283" s="11"/>
      <c r="F283" s="7"/>
      <c r="G283" s="7"/>
      <c r="H283" s="7"/>
      <c r="I283" s="7"/>
      <c r="J283" s="7"/>
      <c r="K283" s="7"/>
      <c r="L283" s="10"/>
      <c r="M283" s="107"/>
      <c r="N283" s="7"/>
      <c r="O283" s="7"/>
      <c r="P283" s="10"/>
      <c r="Q283" s="7"/>
      <c r="R283" s="7"/>
      <c r="S283" s="7"/>
      <c r="T283" s="7"/>
      <c r="U283" s="7"/>
      <c r="V283" s="7"/>
      <c r="W283" s="7"/>
      <c r="X283" s="7"/>
      <c r="Y283" s="7"/>
      <c r="Z283" s="7"/>
      <c r="AA283" s="7"/>
      <c r="AB283" s="10"/>
      <c r="AC283" s="7"/>
      <c r="AD283" s="7"/>
      <c r="AE283" s="7"/>
      <c r="AF283" s="7"/>
      <c r="AG283" s="10"/>
      <c r="AH283" s="7"/>
      <c r="AI283" s="7"/>
      <c r="AJ283" s="7"/>
      <c r="AK283" s="7"/>
      <c r="AL283" s="10"/>
      <c r="AM283" s="7"/>
      <c r="AN283" s="7"/>
      <c r="AO283" s="7"/>
      <c r="AP283" s="266"/>
      <c r="AQ283" s="266"/>
    </row>
    <row r="284" spans="1:43" s="268" customFormat="1" x14ac:dyDescent="0.25">
      <c r="A284" s="107"/>
      <c r="B284" s="107"/>
      <c r="C284" s="108"/>
      <c r="D284" s="108"/>
      <c r="E284" s="11"/>
      <c r="F284" s="7"/>
      <c r="G284" s="7"/>
      <c r="H284" s="7"/>
      <c r="I284" s="7"/>
      <c r="J284" s="7"/>
      <c r="K284" s="7"/>
      <c r="L284" s="10"/>
      <c r="M284" s="107"/>
      <c r="N284" s="7"/>
      <c r="O284" s="7"/>
      <c r="P284" s="10"/>
      <c r="Q284" s="7"/>
      <c r="R284" s="7"/>
      <c r="S284" s="7"/>
      <c r="T284" s="7"/>
      <c r="U284" s="7"/>
      <c r="V284" s="7"/>
      <c r="W284" s="7"/>
      <c r="X284" s="7"/>
      <c r="Y284" s="7"/>
      <c r="Z284" s="7"/>
      <c r="AA284" s="7"/>
      <c r="AB284" s="10"/>
      <c r="AC284" s="7"/>
      <c r="AD284" s="7"/>
      <c r="AE284" s="7"/>
      <c r="AF284" s="7"/>
      <c r="AG284" s="10"/>
      <c r="AH284" s="7"/>
      <c r="AI284" s="7"/>
      <c r="AJ284" s="7"/>
      <c r="AK284" s="7"/>
      <c r="AL284" s="10"/>
      <c r="AM284" s="7"/>
      <c r="AN284" s="7"/>
      <c r="AO284" s="7"/>
      <c r="AP284" s="266"/>
      <c r="AQ284" s="266"/>
    </row>
    <row r="285" spans="1:43" s="268" customFormat="1" x14ac:dyDescent="0.25">
      <c r="A285" s="107"/>
      <c r="B285" s="107"/>
      <c r="C285" s="108"/>
      <c r="D285" s="108"/>
      <c r="E285" s="11"/>
      <c r="F285" s="7"/>
      <c r="G285" s="7"/>
      <c r="H285" s="7"/>
      <c r="I285" s="7"/>
      <c r="J285" s="7"/>
      <c r="K285" s="7"/>
      <c r="L285" s="10"/>
      <c r="M285" s="107"/>
      <c r="N285" s="7"/>
      <c r="O285" s="7"/>
      <c r="P285" s="10"/>
      <c r="Q285" s="7"/>
      <c r="R285" s="7"/>
      <c r="S285" s="7"/>
      <c r="T285" s="7"/>
      <c r="U285" s="7"/>
      <c r="V285" s="7"/>
      <c r="W285" s="7"/>
      <c r="X285" s="7"/>
      <c r="Y285" s="7"/>
      <c r="Z285" s="7"/>
      <c r="AA285" s="7"/>
      <c r="AB285" s="10"/>
      <c r="AC285" s="7"/>
      <c r="AD285" s="7"/>
      <c r="AE285" s="7"/>
      <c r="AF285" s="7"/>
      <c r="AG285" s="10"/>
      <c r="AH285" s="7"/>
      <c r="AI285" s="7"/>
      <c r="AJ285" s="7"/>
      <c r="AK285" s="7"/>
      <c r="AL285" s="10"/>
      <c r="AM285" s="7"/>
      <c r="AN285" s="7"/>
      <c r="AO285" s="7"/>
      <c r="AP285" s="266"/>
      <c r="AQ285" s="266"/>
    </row>
    <row r="286" spans="1:43" s="268" customFormat="1" x14ac:dyDescent="0.25">
      <c r="A286" s="107"/>
      <c r="B286" s="107"/>
      <c r="C286" s="108"/>
      <c r="D286" s="108"/>
      <c r="E286" s="11"/>
      <c r="F286" s="7"/>
      <c r="G286" s="7"/>
      <c r="H286" s="7"/>
      <c r="I286" s="7"/>
      <c r="J286" s="7"/>
      <c r="K286" s="7"/>
      <c r="L286" s="10"/>
      <c r="M286" s="107"/>
      <c r="N286" s="7"/>
      <c r="O286" s="7"/>
      <c r="P286" s="10"/>
      <c r="Q286" s="7"/>
      <c r="R286" s="7"/>
      <c r="S286" s="7"/>
      <c r="T286" s="7"/>
      <c r="U286" s="7"/>
      <c r="V286" s="7"/>
      <c r="W286" s="7"/>
      <c r="X286" s="7"/>
      <c r="Y286" s="7"/>
      <c r="Z286" s="7"/>
      <c r="AA286" s="7"/>
      <c r="AB286" s="10"/>
      <c r="AC286" s="7"/>
      <c r="AD286" s="7"/>
      <c r="AE286" s="7"/>
      <c r="AF286" s="7"/>
      <c r="AG286" s="10"/>
      <c r="AH286" s="7"/>
      <c r="AI286" s="7"/>
      <c r="AJ286" s="7"/>
      <c r="AK286" s="7"/>
      <c r="AL286" s="10"/>
      <c r="AM286" s="7"/>
      <c r="AN286" s="7"/>
      <c r="AO286" s="7"/>
      <c r="AP286" s="266"/>
      <c r="AQ286" s="266"/>
    </row>
    <row r="287" spans="1:43" s="268" customFormat="1" x14ac:dyDescent="0.25">
      <c r="A287" s="107"/>
      <c r="B287" s="107"/>
      <c r="C287" s="108"/>
      <c r="D287" s="108"/>
      <c r="E287" s="11"/>
      <c r="F287" s="7"/>
      <c r="G287" s="7"/>
      <c r="H287" s="7"/>
      <c r="I287" s="7"/>
      <c r="J287" s="7"/>
      <c r="K287" s="7"/>
      <c r="L287" s="10"/>
      <c r="M287" s="107"/>
      <c r="N287" s="7"/>
      <c r="O287" s="7"/>
      <c r="P287" s="10"/>
      <c r="Q287" s="7"/>
      <c r="R287" s="7"/>
      <c r="S287" s="7"/>
      <c r="T287" s="7"/>
      <c r="U287" s="7"/>
      <c r="V287" s="7"/>
      <c r="W287" s="7"/>
      <c r="X287" s="7"/>
      <c r="Y287" s="7"/>
      <c r="Z287" s="7"/>
      <c r="AA287" s="7"/>
      <c r="AB287" s="10"/>
      <c r="AC287" s="7"/>
      <c r="AD287" s="7"/>
      <c r="AE287" s="7"/>
      <c r="AF287" s="7"/>
      <c r="AG287" s="10"/>
      <c r="AH287" s="7"/>
      <c r="AI287" s="7"/>
      <c r="AJ287" s="7"/>
      <c r="AK287" s="7"/>
      <c r="AL287" s="10"/>
      <c r="AM287" s="7"/>
      <c r="AN287" s="7"/>
      <c r="AO287" s="7"/>
      <c r="AP287" s="266"/>
      <c r="AQ287" s="266"/>
    </row>
    <row r="288" spans="1:43" s="268" customFormat="1" x14ac:dyDescent="0.25">
      <c r="A288" s="107"/>
      <c r="B288" s="107"/>
      <c r="C288" s="7"/>
      <c r="D288" s="7"/>
      <c r="E288" s="10"/>
      <c r="F288" s="7"/>
      <c r="G288" s="7"/>
      <c r="H288" s="7"/>
      <c r="I288" s="7"/>
      <c r="J288" s="7"/>
      <c r="K288" s="7"/>
      <c r="L288" s="10"/>
      <c r="M288" s="107"/>
      <c r="N288" s="7"/>
      <c r="O288" s="7"/>
      <c r="P288" s="10"/>
      <c r="Q288" s="7"/>
      <c r="R288" s="7"/>
      <c r="S288" s="7"/>
      <c r="T288" s="7"/>
      <c r="U288" s="7"/>
      <c r="V288" s="7"/>
      <c r="W288" s="7"/>
      <c r="X288" s="7"/>
      <c r="Y288" s="7"/>
      <c r="Z288" s="7"/>
      <c r="AA288" s="7"/>
      <c r="AB288" s="10"/>
      <c r="AC288" s="7"/>
      <c r="AD288" s="7"/>
      <c r="AE288" s="7"/>
      <c r="AF288" s="7"/>
      <c r="AG288" s="10"/>
      <c r="AH288" s="7"/>
      <c r="AI288" s="7"/>
      <c r="AJ288" s="7"/>
      <c r="AK288" s="7"/>
      <c r="AL288" s="10"/>
      <c r="AM288" s="7"/>
      <c r="AN288" s="7"/>
      <c r="AO288" s="7"/>
      <c r="AP288" s="266"/>
      <c r="AQ288" s="266"/>
    </row>
    <row r="289" spans="1:43" s="268" customFormat="1" x14ac:dyDescent="0.25">
      <c r="A289" s="107"/>
      <c r="B289" s="107"/>
      <c r="C289" s="7"/>
      <c r="D289" s="7"/>
      <c r="E289" s="10"/>
      <c r="F289" s="7"/>
      <c r="G289" s="7"/>
      <c r="H289" s="7"/>
      <c r="I289" s="7"/>
      <c r="J289" s="7"/>
      <c r="K289" s="7"/>
      <c r="L289" s="10"/>
      <c r="M289" s="107"/>
      <c r="N289" s="7"/>
      <c r="O289" s="7"/>
      <c r="P289" s="10"/>
      <c r="Q289" s="7"/>
      <c r="R289" s="7"/>
      <c r="S289" s="7"/>
      <c r="T289" s="7"/>
      <c r="U289" s="7"/>
      <c r="V289" s="7"/>
      <c r="W289" s="7"/>
      <c r="X289" s="7"/>
      <c r="Y289" s="7"/>
      <c r="Z289" s="7"/>
      <c r="AA289" s="7"/>
      <c r="AB289" s="10"/>
      <c r="AC289" s="7"/>
      <c r="AD289" s="7"/>
      <c r="AE289" s="7"/>
      <c r="AF289" s="7"/>
      <c r="AG289" s="10"/>
      <c r="AH289" s="7"/>
      <c r="AI289" s="7"/>
      <c r="AJ289" s="7"/>
      <c r="AK289" s="7"/>
      <c r="AL289" s="10"/>
      <c r="AM289" s="7"/>
      <c r="AN289" s="7"/>
      <c r="AO289" s="7"/>
      <c r="AP289" s="266"/>
      <c r="AQ289" s="266"/>
    </row>
    <row r="290" spans="1:43" s="268" customFormat="1" x14ac:dyDescent="0.25">
      <c r="A290" s="107"/>
      <c r="B290" s="107"/>
      <c r="C290" s="7"/>
      <c r="D290" s="7"/>
      <c r="E290" s="10"/>
      <c r="F290" s="7"/>
      <c r="G290" s="7"/>
      <c r="H290" s="7"/>
      <c r="I290" s="7"/>
      <c r="J290" s="7"/>
      <c r="K290" s="7"/>
      <c r="L290" s="10"/>
      <c r="M290" s="107"/>
      <c r="N290" s="7"/>
      <c r="O290" s="7"/>
      <c r="P290" s="10"/>
      <c r="Q290" s="7"/>
      <c r="R290" s="7"/>
      <c r="S290" s="7"/>
      <c r="T290" s="7"/>
      <c r="U290" s="7"/>
      <c r="V290" s="7"/>
      <c r="W290" s="7"/>
      <c r="X290" s="7"/>
      <c r="Y290" s="7"/>
      <c r="Z290" s="7"/>
      <c r="AA290" s="7"/>
      <c r="AB290" s="10"/>
      <c r="AC290" s="7"/>
      <c r="AD290" s="7"/>
      <c r="AE290" s="7"/>
      <c r="AF290" s="7"/>
      <c r="AG290" s="10"/>
      <c r="AH290" s="7"/>
      <c r="AI290" s="7"/>
      <c r="AJ290" s="7"/>
      <c r="AK290" s="7"/>
      <c r="AL290" s="10"/>
      <c r="AM290" s="7"/>
      <c r="AN290" s="7"/>
      <c r="AO290" s="7"/>
      <c r="AP290" s="266"/>
      <c r="AQ290" s="266"/>
    </row>
    <row r="291" spans="1:43" s="268" customFormat="1" x14ac:dyDescent="0.25">
      <c r="A291" s="107"/>
      <c r="B291" s="107"/>
      <c r="C291" s="7"/>
      <c r="D291" s="7"/>
      <c r="E291" s="10"/>
      <c r="F291" s="7"/>
      <c r="G291" s="7"/>
      <c r="H291" s="7"/>
      <c r="I291" s="7"/>
      <c r="J291" s="7"/>
      <c r="K291" s="7"/>
      <c r="L291" s="10"/>
      <c r="M291" s="107"/>
      <c r="N291" s="7"/>
      <c r="O291" s="7"/>
      <c r="P291" s="10"/>
      <c r="Q291" s="7"/>
      <c r="R291" s="7"/>
      <c r="S291" s="7"/>
      <c r="T291" s="7"/>
      <c r="U291" s="7"/>
      <c r="V291" s="7"/>
      <c r="W291" s="7"/>
      <c r="X291" s="7"/>
      <c r="Y291" s="7"/>
      <c r="Z291" s="7"/>
      <c r="AA291" s="7"/>
      <c r="AB291" s="10"/>
      <c r="AC291" s="7"/>
      <c r="AD291" s="7"/>
      <c r="AE291" s="7"/>
      <c r="AF291" s="7"/>
      <c r="AG291" s="10"/>
      <c r="AH291" s="7"/>
      <c r="AI291" s="7"/>
      <c r="AJ291" s="7"/>
      <c r="AK291" s="7"/>
      <c r="AL291" s="10"/>
      <c r="AM291" s="7"/>
      <c r="AN291" s="7"/>
      <c r="AO291" s="7"/>
      <c r="AP291" s="266"/>
      <c r="AQ291" s="266"/>
    </row>
    <row r="292" spans="1:43" s="268" customFormat="1" x14ac:dyDescent="0.25">
      <c r="A292" s="107"/>
      <c r="B292" s="107"/>
      <c r="C292" s="7"/>
      <c r="D292" s="7"/>
      <c r="E292" s="10"/>
      <c r="F292" s="7"/>
      <c r="G292" s="7"/>
      <c r="H292" s="7"/>
      <c r="I292" s="7"/>
      <c r="J292" s="7"/>
      <c r="K292" s="7"/>
      <c r="L292" s="10"/>
      <c r="M292" s="107"/>
      <c r="N292" s="7"/>
      <c r="O292" s="7"/>
      <c r="P292" s="10"/>
      <c r="Q292" s="7"/>
      <c r="R292" s="7"/>
      <c r="S292" s="7"/>
      <c r="T292" s="7"/>
      <c r="U292" s="7"/>
      <c r="V292" s="7"/>
      <c r="W292" s="7"/>
      <c r="X292" s="7"/>
      <c r="Y292" s="7"/>
      <c r="Z292" s="7"/>
      <c r="AA292" s="7"/>
      <c r="AB292" s="10"/>
      <c r="AC292" s="7"/>
      <c r="AD292" s="7"/>
      <c r="AE292" s="7"/>
      <c r="AF292" s="7"/>
      <c r="AG292" s="10"/>
      <c r="AH292" s="7"/>
      <c r="AI292" s="7"/>
      <c r="AJ292" s="7"/>
      <c r="AK292" s="7"/>
      <c r="AL292" s="10"/>
      <c r="AM292" s="7"/>
      <c r="AN292" s="7"/>
      <c r="AO292" s="7"/>
      <c r="AP292" s="266"/>
      <c r="AQ292" s="266"/>
    </row>
    <row r="293" spans="1:43" s="268" customFormat="1" x14ac:dyDescent="0.25">
      <c r="A293" s="107"/>
      <c r="B293" s="107"/>
      <c r="C293" s="7"/>
      <c r="D293" s="7"/>
      <c r="E293" s="10"/>
      <c r="F293" s="7"/>
      <c r="G293" s="7"/>
      <c r="H293" s="7"/>
      <c r="I293" s="7"/>
      <c r="J293" s="7"/>
      <c r="K293" s="7"/>
      <c r="L293" s="10"/>
      <c r="M293" s="107"/>
      <c r="N293" s="7"/>
      <c r="O293" s="7"/>
      <c r="P293" s="10"/>
      <c r="Q293" s="7"/>
      <c r="R293" s="7"/>
      <c r="S293" s="7"/>
      <c r="T293" s="7"/>
      <c r="U293" s="7"/>
      <c r="V293" s="7"/>
      <c r="W293" s="7"/>
      <c r="X293" s="7"/>
      <c r="Y293" s="7"/>
      <c r="Z293" s="7"/>
      <c r="AA293" s="7"/>
      <c r="AB293" s="10"/>
      <c r="AC293" s="7"/>
      <c r="AD293" s="7"/>
      <c r="AE293" s="7"/>
      <c r="AF293" s="7"/>
      <c r="AG293" s="10"/>
      <c r="AH293" s="7"/>
      <c r="AI293" s="7"/>
      <c r="AJ293" s="7"/>
      <c r="AK293" s="7"/>
      <c r="AL293" s="10"/>
      <c r="AM293" s="7"/>
      <c r="AN293" s="7"/>
      <c r="AO293" s="7"/>
      <c r="AP293" s="266"/>
      <c r="AQ293" s="266"/>
    </row>
    <row r="294" spans="1:43" s="268" customFormat="1" x14ac:dyDescent="0.25">
      <c r="A294" s="107"/>
      <c r="B294" s="107"/>
      <c r="C294" s="7"/>
      <c r="D294" s="7"/>
      <c r="E294" s="10"/>
      <c r="F294" s="7"/>
      <c r="G294" s="7"/>
      <c r="H294" s="7"/>
      <c r="I294" s="7"/>
      <c r="J294" s="7"/>
      <c r="K294" s="7"/>
      <c r="L294" s="10"/>
      <c r="M294" s="107"/>
      <c r="N294" s="7"/>
      <c r="O294" s="7"/>
      <c r="P294" s="10"/>
      <c r="Q294" s="7"/>
      <c r="R294" s="7"/>
      <c r="S294" s="7"/>
      <c r="T294" s="7"/>
      <c r="U294" s="7"/>
      <c r="V294" s="7"/>
      <c r="W294" s="7"/>
      <c r="X294" s="7"/>
      <c r="Y294" s="7"/>
      <c r="Z294" s="7"/>
      <c r="AA294" s="7"/>
      <c r="AB294" s="10"/>
      <c r="AC294" s="7"/>
      <c r="AD294" s="7"/>
      <c r="AE294" s="7"/>
      <c r="AF294" s="7"/>
      <c r="AG294" s="10"/>
      <c r="AH294" s="7"/>
      <c r="AI294" s="7"/>
      <c r="AJ294" s="7"/>
      <c r="AK294" s="7"/>
      <c r="AL294" s="10"/>
      <c r="AM294" s="7"/>
      <c r="AN294" s="7"/>
      <c r="AO294" s="7"/>
      <c r="AP294" s="266"/>
      <c r="AQ294" s="266"/>
    </row>
    <row r="295" spans="1:43" s="268" customFormat="1" x14ac:dyDescent="0.25">
      <c r="A295" s="107"/>
      <c r="B295" s="107"/>
      <c r="C295" s="7"/>
      <c r="D295" s="7"/>
      <c r="E295" s="10"/>
      <c r="F295" s="7"/>
      <c r="G295" s="7"/>
      <c r="H295" s="7"/>
      <c r="I295" s="7"/>
      <c r="J295" s="7"/>
      <c r="K295" s="7"/>
      <c r="L295" s="10"/>
      <c r="M295" s="107"/>
      <c r="N295" s="7"/>
      <c r="O295" s="7"/>
      <c r="P295" s="10"/>
      <c r="Q295" s="7"/>
      <c r="R295" s="7"/>
      <c r="S295" s="7"/>
      <c r="T295" s="7"/>
      <c r="U295" s="7"/>
      <c r="V295" s="7"/>
      <c r="W295" s="7"/>
      <c r="X295" s="7"/>
      <c r="Y295" s="7"/>
      <c r="Z295" s="7"/>
      <c r="AA295" s="7"/>
      <c r="AB295" s="10"/>
      <c r="AC295" s="7"/>
      <c r="AD295" s="7"/>
      <c r="AE295" s="7"/>
      <c r="AF295" s="7"/>
      <c r="AG295" s="10"/>
      <c r="AH295" s="7"/>
      <c r="AI295" s="7"/>
      <c r="AJ295" s="7"/>
      <c r="AK295" s="7"/>
      <c r="AL295" s="10"/>
      <c r="AM295" s="7"/>
      <c r="AN295" s="7"/>
      <c r="AO295" s="7"/>
      <c r="AP295" s="266"/>
      <c r="AQ295" s="266"/>
    </row>
    <row r="296" spans="1:43" s="268" customFormat="1" x14ac:dyDescent="0.25">
      <c r="A296" s="107"/>
      <c r="B296" s="107"/>
      <c r="C296" s="7"/>
      <c r="D296" s="7"/>
      <c r="E296" s="10"/>
      <c r="F296" s="7"/>
      <c r="G296" s="7"/>
      <c r="H296" s="7"/>
      <c r="I296" s="7"/>
      <c r="J296" s="7"/>
      <c r="K296" s="7"/>
      <c r="L296" s="10"/>
      <c r="M296" s="107"/>
      <c r="N296" s="7"/>
      <c r="O296" s="7"/>
      <c r="P296" s="10"/>
      <c r="Q296" s="7"/>
      <c r="R296" s="7"/>
      <c r="S296" s="7"/>
      <c r="T296" s="7"/>
      <c r="U296" s="7"/>
      <c r="V296" s="7"/>
      <c r="W296" s="7"/>
      <c r="X296" s="7"/>
      <c r="Y296" s="7"/>
      <c r="Z296" s="7"/>
      <c r="AA296" s="7"/>
      <c r="AB296" s="10"/>
      <c r="AC296" s="7"/>
      <c r="AD296" s="7"/>
      <c r="AE296" s="7"/>
      <c r="AF296" s="7"/>
      <c r="AG296" s="10"/>
      <c r="AH296" s="7"/>
      <c r="AI296" s="7"/>
      <c r="AJ296" s="7"/>
      <c r="AK296" s="7"/>
      <c r="AL296" s="10"/>
      <c r="AM296" s="7"/>
      <c r="AN296" s="7"/>
      <c r="AO296" s="7"/>
      <c r="AP296" s="266"/>
      <c r="AQ296" s="266"/>
    </row>
    <row r="297" spans="1:43" s="268" customFormat="1" x14ac:dyDescent="0.25">
      <c r="A297" s="107"/>
      <c r="B297" s="107"/>
      <c r="C297" s="7"/>
      <c r="D297" s="7"/>
      <c r="E297" s="10"/>
      <c r="F297" s="7"/>
      <c r="G297" s="7"/>
      <c r="H297" s="7"/>
      <c r="I297" s="7"/>
      <c r="J297" s="7"/>
      <c r="K297" s="7"/>
      <c r="L297" s="10"/>
      <c r="M297" s="107"/>
      <c r="N297" s="7"/>
      <c r="O297" s="7"/>
      <c r="P297" s="10"/>
      <c r="Q297" s="7"/>
      <c r="R297" s="7"/>
      <c r="S297" s="7"/>
      <c r="T297" s="7"/>
      <c r="U297" s="7"/>
      <c r="V297" s="7"/>
      <c r="W297" s="7"/>
      <c r="X297" s="7"/>
      <c r="Y297" s="7"/>
      <c r="Z297" s="7"/>
      <c r="AA297" s="7"/>
      <c r="AB297" s="10"/>
      <c r="AC297" s="7"/>
      <c r="AD297" s="7"/>
      <c r="AE297" s="7"/>
      <c r="AF297" s="7"/>
      <c r="AG297" s="10"/>
      <c r="AH297" s="7"/>
      <c r="AI297" s="7"/>
      <c r="AJ297" s="7"/>
      <c r="AK297" s="7"/>
      <c r="AL297" s="10"/>
      <c r="AM297" s="7"/>
      <c r="AN297" s="7"/>
      <c r="AO297" s="7"/>
      <c r="AP297" s="266"/>
      <c r="AQ297" s="266"/>
    </row>
    <row r="298" spans="1:43" s="268" customFormat="1" x14ac:dyDescent="0.25">
      <c r="A298" s="107"/>
      <c r="B298" s="107"/>
      <c r="C298" s="7"/>
      <c r="D298" s="7"/>
      <c r="E298" s="10"/>
      <c r="F298" s="7"/>
      <c r="G298" s="7"/>
      <c r="H298" s="7"/>
      <c r="I298" s="7"/>
      <c r="J298" s="7"/>
      <c r="K298" s="7"/>
      <c r="L298" s="10"/>
      <c r="M298" s="107"/>
      <c r="N298" s="7"/>
      <c r="O298" s="7"/>
      <c r="P298" s="10"/>
      <c r="Q298" s="7"/>
      <c r="R298" s="7"/>
      <c r="S298" s="7"/>
      <c r="T298" s="7"/>
      <c r="U298" s="7"/>
      <c r="V298" s="7"/>
      <c r="W298" s="7"/>
      <c r="X298" s="7"/>
      <c r="Y298" s="7"/>
      <c r="Z298" s="7"/>
      <c r="AA298" s="7"/>
      <c r="AB298" s="10"/>
      <c r="AC298" s="7"/>
      <c r="AD298" s="7"/>
      <c r="AE298" s="7"/>
      <c r="AF298" s="7"/>
      <c r="AG298" s="10"/>
      <c r="AH298" s="7"/>
      <c r="AI298" s="7"/>
      <c r="AJ298" s="7"/>
      <c r="AK298" s="7"/>
      <c r="AL298" s="10"/>
      <c r="AM298" s="7"/>
      <c r="AN298" s="7"/>
      <c r="AO298" s="7"/>
      <c r="AP298" s="266"/>
      <c r="AQ298" s="266"/>
    </row>
    <row r="299" spans="1:43" s="268" customFormat="1" x14ac:dyDescent="0.25">
      <c r="A299" s="107"/>
      <c r="B299" s="107"/>
      <c r="C299" s="7"/>
      <c r="D299" s="7"/>
      <c r="E299" s="10"/>
      <c r="F299" s="7"/>
      <c r="G299" s="7"/>
      <c r="H299" s="7"/>
      <c r="I299" s="7"/>
      <c r="J299" s="7"/>
      <c r="K299" s="7"/>
      <c r="L299" s="10"/>
      <c r="M299" s="107"/>
      <c r="N299" s="7"/>
      <c r="O299" s="7"/>
      <c r="P299" s="10"/>
      <c r="Q299" s="7"/>
      <c r="R299" s="7"/>
      <c r="S299" s="7"/>
      <c r="T299" s="7"/>
      <c r="U299" s="7"/>
      <c r="V299" s="7"/>
      <c r="W299" s="7"/>
      <c r="X299" s="7"/>
      <c r="Y299" s="7"/>
      <c r="Z299" s="7"/>
      <c r="AA299" s="7"/>
      <c r="AB299" s="10"/>
      <c r="AC299" s="7"/>
      <c r="AD299" s="7"/>
      <c r="AE299" s="7"/>
      <c r="AF299" s="7"/>
      <c r="AG299" s="10"/>
      <c r="AH299" s="7"/>
      <c r="AI299" s="7"/>
      <c r="AJ299" s="7"/>
      <c r="AK299" s="7"/>
      <c r="AL299" s="10"/>
      <c r="AM299" s="7"/>
      <c r="AN299" s="7"/>
      <c r="AO299" s="7"/>
      <c r="AP299" s="266"/>
      <c r="AQ299" s="266"/>
    </row>
    <row r="300" spans="1:43" s="268" customFormat="1" x14ac:dyDescent="0.25">
      <c r="A300" s="107"/>
      <c r="B300" s="107"/>
      <c r="C300" s="7"/>
      <c r="D300" s="7"/>
      <c r="E300" s="10"/>
      <c r="F300" s="7"/>
      <c r="G300" s="7"/>
      <c r="H300" s="7"/>
      <c r="I300" s="7"/>
      <c r="J300" s="7"/>
      <c r="K300" s="7"/>
      <c r="L300" s="10"/>
      <c r="M300" s="107"/>
      <c r="N300" s="7"/>
      <c r="O300" s="7"/>
      <c r="P300" s="10"/>
      <c r="Q300" s="7"/>
      <c r="R300" s="7"/>
      <c r="S300" s="7"/>
      <c r="T300" s="7"/>
      <c r="U300" s="7"/>
      <c r="V300" s="7"/>
      <c r="W300" s="7"/>
      <c r="X300" s="7"/>
      <c r="Y300" s="7"/>
      <c r="Z300" s="7"/>
      <c r="AA300" s="7"/>
      <c r="AB300" s="10"/>
      <c r="AC300" s="7"/>
      <c r="AD300" s="7"/>
      <c r="AE300" s="7"/>
      <c r="AF300" s="7"/>
      <c r="AG300" s="10"/>
      <c r="AH300" s="7"/>
      <c r="AI300" s="7"/>
      <c r="AJ300" s="7"/>
      <c r="AK300" s="7"/>
      <c r="AL300" s="10"/>
      <c r="AM300" s="7"/>
      <c r="AN300" s="7"/>
      <c r="AO300" s="7"/>
      <c r="AP300" s="266"/>
      <c r="AQ300" s="266"/>
    </row>
    <row r="301" spans="1:43" s="268" customFormat="1" x14ac:dyDescent="0.25">
      <c r="A301" s="107"/>
      <c r="B301" s="107"/>
      <c r="C301" s="7"/>
      <c r="D301" s="7"/>
      <c r="E301" s="10"/>
      <c r="F301" s="7"/>
      <c r="G301" s="7"/>
      <c r="H301" s="7"/>
      <c r="I301" s="7"/>
      <c r="J301" s="7"/>
      <c r="K301" s="7"/>
      <c r="L301" s="10"/>
      <c r="M301" s="107"/>
      <c r="N301" s="7"/>
      <c r="O301" s="7"/>
      <c r="P301" s="10"/>
      <c r="Q301" s="7"/>
      <c r="R301" s="7"/>
      <c r="S301" s="7"/>
      <c r="T301" s="7"/>
      <c r="U301" s="7"/>
      <c r="V301" s="7"/>
      <c r="W301" s="7"/>
      <c r="X301" s="7"/>
      <c r="Y301" s="7"/>
      <c r="Z301" s="7"/>
      <c r="AA301" s="7"/>
      <c r="AB301" s="10"/>
      <c r="AC301" s="7"/>
      <c r="AD301" s="7"/>
      <c r="AE301" s="7"/>
      <c r="AF301" s="7"/>
      <c r="AG301" s="10"/>
      <c r="AH301" s="7"/>
      <c r="AI301" s="7"/>
      <c r="AJ301" s="7"/>
      <c r="AK301" s="7"/>
      <c r="AL301" s="10"/>
      <c r="AM301" s="7"/>
      <c r="AN301" s="7"/>
      <c r="AO301" s="7"/>
      <c r="AP301" s="266"/>
      <c r="AQ301" s="266"/>
    </row>
    <row r="302" spans="1:43" s="268" customFormat="1" x14ac:dyDescent="0.25">
      <c r="A302" s="107"/>
      <c r="B302" s="107"/>
      <c r="C302" s="7"/>
      <c r="D302" s="7"/>
      <c r="E302" s="10"/>
      <c r="F302" s="7"/>
      <c r="G302" s="7"/>
      <c r="H302" s="7"/>
      <c r="I302" s="7"/>
      <c r="J302" s="7"/>
      <c r="K302" s="7"/>
      <c r="L302" s="10"/>
      <c r="M302" s="107"/>
      <c r="N302" s="7"/>
      <c r="O302" s="7"/>
      <c r="P302" s="10"/>
      <c r="Q302" s="7"/>
      <c r="R302" s="7"/>
      <c r="S302" s="7"/>
      <c r="T302" s="7"/>
      <c r="U302" s="7"/>
      <c r="V302" s="7"/>
      <c r="W302" s="7"/>
      <c r="X302" s="7"/>
      <c r="Y302" s="7"/>
      <c r="Z302" s="7"/>
      <c r="AA302" s="7"/>
      <c r="AB302" s="10"/>
      <c r="AC302" s="7"/>
      <c r="AD302" s="7"/>
      <c r="AE302" s="7"/>
      <c r="AF302" s="7"/>
      <c r="AG302" s="10"/>
      <c r="AH302" s="7"/>
      <c r="AI302" s="7"/>
      <c r="AJ302" s="7"/>
      <c r="AK302" s="7"/>
      <c r="AL302" s="10"/>
      <c r="AM302" s="7"/>
      <c r="AN302" s="7"/>
      <c r="AO302" s="7"/>
      <c r="AP302" s="266"/>
      <c r="AQ302" s="266"/>
    </row>
    <row r="303" spans="1:43" s="268" customFormat="1" x14ac:dyDescent="0.25">
      <c r="A303" s="107"/>
      <c r="B303" s="107"/>
      <c r="C303" s="7"/>
      <c r="D303" s="7"/>
      <c r="E303" s="10"/>
      <c r="F303" s="7"/>
      <c r="G303" s="7"/>
      <c r="H303" s="7"/>
      <c r="I303" s="7"/>
      <c r="J303" s="7"/>
      <c r="K303" s="7"/>
      <c r="L303" s="10"/>
      <c r="M303" s="107"/>
      <c r="N303" s="7"/>
      <c r="O303" s="7"/>
      <c r="P303" s="10"/>
      <c r="Q303" s="7"/>
      <c r="R303" s="7"/>
      <c r="S303" s="7"/>
      <c r="T303" s="7"/>
      <c r="U303" s="7"/>
      <c r="V303" s="7"/>
      <c r="W303" s="7"/>
      <c r="X303" s="7"/>
      <c r="Y303" s="7"/>
      <c r="Z303" s="7"/>
      <c r="AA303" s="7"/>
      <c r="AB303" s="10"/>
      <c r="AC303" s="7"/>
      <c r="AD303" s="7"/>
      <c r="AE303" s="7"/>
      <c r="AF303" s="7"/>
      <c r="AG303" s="10"/>
      <c r="AH303" s="7"/>
      <c r="AI303" s="7"/>
      <c r="AJ303" s="7"/>
      <c r="AK303" s="7"/>
      <c r="AL303" s="10"/>
      <c r="AM303" s="7"/>
      <c r="AN303" s="7"/>
      <c r="AO303" s="7"/>
      <c r="AP303" s="266"/>
      <c r="AQ303" s="266"/>
    </row>
    <row r="304" spans="1:43" s="268" customFormat="1" x14ac:dyDescent="0.25">
      <c r="A304" s="107"/>
      <c r="B304" s="107"/>
      <c r="C304" s="7"/>
      <c r="D304" s="7"/>
      <c r="E304" s="10"/>
      <c r="F304" s="7"/>
      <c r="G304" s="7"/>
      <c r="H304" s="7"/>
      <c r="I304" s="7"/>
      <c r="J304" s="7"/>
      <c r="K304" s="7"/>
      <c r="L304" s="10"/>
      <c r="M304" s="107"/>
      <c r="N304" s="7"/>
      <c r="O304" s="7"/>
      <c r="P304" s="10"/>
      <c r="Q304" s="7"/>
      <c r="R304" s="7"/>
      <c r="S304" s="7"/>
      <c r="T304" s="7"/>
      <c r="U304" s="7"/>
      <c r="V304" s="7"/>
      <c r="W304" s="7"/>
      <c r="X304" s="7"/>
      <c r="Y304" s="7"/>
      <c r="Z304" s="7"/>
      <c r="AA304" s="7"/>
      <c r="AB304" s="10"/>
      <c r="AC304" s="7"/>
      <c r="AD304" s="7"/>
      <c r="AE304" s="7"/>
      <c r="AF304" s="7"/>
      <c r="AG304" s="10"/>
      <c r="AH304" s="7"/>
      <c r="AI304" s="7"/>
      <c r="AJ304" s="7"/>
      <c r="AK304" s="7"/>
      <c r="AL304" s="10"/>
      <c r="AM304" s="7"/>
      <c r="AN304" s="7"/>
      <c r="AO304" s="7"/>
      <c r="AP304" s="266"/>
      <c r="AQ304" s="266"/>
    </row>
    <row r="305" spans="1:43" s="268" customFormat="1" x14ac:dyDescent="0.25">
      <c r="A305" s="107"/>
      <c r="B305" s="107"/>
      <c r="C305" s="7"/>
      <c r="D305" s="7"/>
      <c r="E305" s="10"/>
      <c r="F305" s="7"/>
      <c r="G305" s="7"/>
      <c r="H305" s="7"/>
      <c r="I305" s="7"/>
      <c r="J305" s="7"/>
      <c r="K305" s="7"/>
      <c r="L305" s="10"/>
      <c r="M305" s="107"/>
      <c r="N305" s="7"/>
      <c r="O305" s="7"/>
      <c r="P305" s="10"/>
      <c r="Q305" s="7"/>
      <c r="R305" s="7"/>
      <c r="S305" s="7"/>
      <c r="T305" s="7"/>
      <c r="U305" s="7"/>
      <c r="V305" s="7"/>
      <c r="W305" s="7"/>
      <c r="X305" s="7"/>
      <c r="Y305" s="7"/>
      <c r="Z305" s="7"/>
      <c r="AA305" s="7"/>
      <c r="AB305" s="10"/>
      <c r="AC305" s="7"/>
      <c r="AD305" s="7"/>
      <c r="AE305" s="7"/>
      <c r="AF305" s="7"/>
      <c r="AG305" s="10"/>
      <c r="AH305" s="7"/>
      <c r="AI305" s="7"/>
      <c r="AJ305" s="7"/>
      <c r="AK305" s="7"/>
      <c r="AL305" s="10"/>
      <c r="AM305" s="7"/>
      <c r="AN305" s="7"/>
      <c r="AO305" s="7"/>
      <c r="AP305" s="266"/>
      <c r="AQ305" s="266"/>
    </row>
    <row r="306" spans="1:43" s="268" customFormat="1" x14ac:dyDescent="0.25">
      <c r="A306" s="107"/>
      <c r="B306" s="107"/>
      <c r="C306" s="7"/>
      <c r="D306" s="7"/>
      <c r="E306" s="10"/>
      <c r="F306" s="7"/>
      <c r="G306" s="7"/>
      <c r="H306" s="7"/>
      <c r="I306" s="7"/>
      <c r="J306" s="7"/>
      <c r="K306" s="7"/>
      <c r="L306" s="10"/>
      <c r="M306" s="107"/>
      <c r="N306" s="7"/>
      <c r="O306" s="7"/>
      <c r="P306" s="10"/>
      <c r="Q306" s="7"/>
      <c r="R306" s="7"/>
      <c r="S306" s="7"/>
      <c r="T306" s="7"/>
      <c r="U306" s="7"/>
      <c r="V306" s="7"/>
      <c r="W306" s="7"/>
      <c r="X306" s="7"/>
      <c r="Y306" s="7"/>
      <c r="Z306" s="7"/>
      <c r="AA306" s="7"/>
      <c r="AB306" s="10"/>
      <c r="AC306" s="7"/>
      <c r="AD306" s="7"/>
      <c r="AE306" s="7"/>
      <c r="AF306" s="7"/>
      <c r="AG306" s="10"/>
      <c r="AH306" s="7"/>
      <c r="AI306" s="7"/>
      <c r="AJ306" s="7"/>
      <c r="AK306" s="7"/>
      <c r="AL306" s="10"/>
      <c r="AM306" s="7"/>
      <c r="AN306" s="7"/>
      <c r="AO306" s="7"/>
      <c r="AP306" s="266"/>
      <c r="AQ306" s="266"/>
    </row>
    <row r="307" spans="1:43" s="268" customFormat="1" x14ac:dyDescent="0.25">
      <c r="A307" s="107"/>
      <c r="B307" s="107"/>
      <c r="C307" s="7"/>
      <c r="D307" s="7"/>
      <c r="E307" s="10"/>
      <c r="F307" s="7"/>
      <c r="G307" s="7"/>
      <c r="H307" s="7"/>
      <c r="I307" s="7"/>
      <c r="J307" s="7"/>
      <c r="K307" s="7"/>
      <c r="L307" s="10"/>
      <c r="M307" s="107"/>
      <c r="N307" s="7"/>
      <c r="O307" s="7"/>
      <c r="P307" s="10"/>
      <c r="Q307" s="7"/>
      <c r="R307" s="7"/>
      <c r="S307" s="7"/>
      <c r="T307" s="7"/>
      <c r="U307" s="7"/>
      <c r="V307" s="7"/>
      <c r="W307" s="7"/>
      <c r="X307" s="7"/>
      <c r="Y307" s="7"/>
      <c r="Z307" s="7"/>
      <c r="AA307" s="7"/>
      <c r="AB307" s="10"/>
      <c r="AC307" s="7"/>
      <c r="AD307" s="7"/>
      <c r="AE307" s="7"/>
      <c r="AF307" s="7"/>
      <c r="AG307" s="10"/>
      <c r="AH307" s="7"/>
      <c r="AI307" s="7"/>
      <c r="AJ307" s="7"/>
      <c r="AK307" s="7"/>
      <c r="AL307" s="10"/>
      <c r="AM307" s="7"/>
      <c r="AN307" s="7"/>
      <c r="AO307" s="7"/>
      <c r="AP307" s="266"/>
      <c r="AQ307" s="266"/>
    </row>
    <row r="308" spans="1:43" s="268" customFormat="1" x14ac:dyDescent="0.25">
      <c r="A308" s="107"/>
      <c r="B308" s="107"/>
      <c r="C308" s="7"/>
      <c r="D308" s="7"/>
      <c r="E308" s="10"/>
      <c r="F308" s="7"/>
      <c r="G308" s="7"/>
      <c r="H308" s="7"/>
      <c r="I308" s="7"/>
      <c r="J308" s="7"/>
      <c r="K308" s="7"/>
      <c r="L308" s="10"/>
      <c r="M308" s="107"/>
      <c r="N308" s="7"/>
      <c r="O308" s="7"/>
      <c r="P308" s="10"/>
      <c r="Q308" s="7"/>
      <c r="R308" s="7"/>
      <c r="S308" s="7"/>
      <c r="T308" s="7"/>
      <c r="U308" s="7"/>
      <c r="V308" s="7"/>
      <c r="W308" s="7"/>
      <c r="X308" s="7"/>
      <c r="Y308" s="7"/>
      <c r="Z308" s="7"/>
      <c r="AA308" s="7"/>
      <c r="AB308" s="10"/>
      <c r="AC308" s="7"/>
      <c r="AD308" s="7"/>
      <c r="AE308" s="7"/>
      <c r="AF308" s="7"/>
      <c r="AG308" s="10"/>
      <c r="AH308" s="7"/>
      <c r="AI308" s="7"/>
      <c r="AJ308" s="7"/>
      <c r="AK308" s="7"/>
      <c r="AL308" s="10"/>
      <c r="AM308" s="7"/>
      <c r="AN308" s="7"/>
      <c r="AO308" s="7"/>
      <c r="AP308" s="266"/>
      <c r="AQ308" s="266"/>
    </row>
    <row r="309" spans="1:43" s="268" customFormat="1" x14ac:dyDescent="0.25">
      <c r="A309" s="107"/>
      <c r="B309" s="107"/>
      <c r="C309" s="7"/>
      <c r="D309" s="7"/>
      <c r="E309" s="10"/>
      <c r="F309" s="7"/>
      <c r="G309" s="7"/>
      <c r="H309" s="7"/>
      <c r="I309" s="7"/>
      <c r="J309" s="7"/>
      <c r="K309" s="7"/>
      <c r="L309" s="10"/>
      <c r="M309" s="107"/>
      <c r="N309" s="7"/>
      <c r="O309" s="7"/>
      <c r="P309" s="10"/>
      <c r="Q309" s="7"/>
      <c r="R309" s="7"/>
      <c r="S309" s="7"/>
      <c r="T309" s="7"/>
      <c r="U309" s="7"/>
      <c r="V309" s="7"/>
      <c r="W309" s="7"/>
      <c r="X309" s="7"/>
      <c r="Y309" s="7"/>
      <c r="Z309" s="7"/>
      <c r="AA309" s="7"/>
      <c r="AB309" s="10"/>
      <c r="AC309" s="7"/>
      <c r="AD309" s="7"/>
      <c r="AE309" s="7"/>
      <c r="AF309" s="7"/>
      <c r="AG309" s="10"/>
      <c r="AH309" s="7"/>
      <c r="AI309" s="7"/>
      <c r="AJ309" s="7"/>
      <c r="AK309" s="7"/>
      <c r="AL309" s="10"/>
      <c r="AM309" s="7"/>
      <c r="AN309" s="7"/>
      <c r="AO309" s="7"/>
      <c r="AP309" s="266"/>
      <c r="AQ309" s="266"/>
    </row>
    <row r="310" spans="1:43" s="268" customFormat="1" x14ac:dyDescent="0.25">
      <c r="A310" s="107"/>
      <c r="B310" s="107"/>
      <c r="C310" s="7"/>
      <c r="D310" s="7"/>
      <c r="E310" s="10"/>
      <c r="F310" s="7"/>
      <c r="G310" s="7"/>
      <c r="H310" s="7"/>
      <c r="I310" s="7"/>
      <c r="J310" s="7"/>
      <c r="K310" s="7"/>
      <c r="L310" s="10"/>
      <c r="M310" s="107"/>
      <c r="N310" s="7"/>
      <c r="O310" s="7"/>
      <c r="P310" s="10"/>
      <c r="Q310" s="7"/>
      <c r="R310" s="7"/>
      <c r="S310" s="7"/>
      <c r="T310" s="7"/>
      <c r="U310" s="7"/>
      <c r="V310" s="7"/>
      <c r="W310" s="7"/>
      <c r="X310" s="7"/>
      <c r="Y310" s="7"/>
      <c r="Z310" s="7"/>
      <c r="AA310" s="7"/>
      <c r="AB310" s="10"/>
      <c r="AC310" s="7"/>
      <c r="AD310" s="7"/>
      <c r="AE310" s="7"/>
      <c r="AF310" s="7"/>
      <c r="AG310" s="10"/>
      <c r="AH310" s="7"/>
      <c r="AI310" s="7"/>
      <c r="AJ310" s="7"/>
      <c r="AK310" s="7"/>
      <c r="AL310" s="10"/>
      <c r="AM310" s="7"/>
      <c r="AN310" s="7"/>
      <c r="AO310" s="7"/>
      <c r="AP310" s="266"/>
      <c r="AQ310" s="266"/>
    </row>
    <row r="311" spans="1:43" s="268" customFormat="1" x14ac:dyDescent="0.25">
      <c r="A311" s="107"/>
      <c r="B311" s="107"/>
      <c r="C311" s="7"/>
      <c r="D311" s="7"/>
      <c r="E311" s="10"/>
      <c r="F311" s="7"/>
      <c r="G311" s="7"/>
      <c r="H311" s="7"/>
      <c r="I311" s="7"/>
      <c r="J311" s="7"/>
      <c r="K311" s="7"/>
      <c r="L311" s="10"/>
      <c r="M311" s="107"/>
      <c r="N311" s="7"/>
      <c r="O311" s="7"/>
      <c r="P311" s="10"/>
      <c r="Q311" s="7"/>
      <c r="R311" s="7"/>
      <c r="S311" s="7"/>
      <c r="T311" s="7"/>
      <c r="U311" s="7"/>
      <c r="V311" s="7"/>
      <c r="W311" s="7"/>
      <c r="X311" s="7"/>
      <c r="Y311" s="7"/>
      <c r="Z311" s="7"/>
      <c r="AA311" s="7"/>
      <c r="AB311" s="10"/>
      <c r="AC311" s="7"/>
      <c r="AD311" s="7"/>
      <c r="AE311" s="7"/>
      <c r="AF311" s="7"/>
      <c r="AG311" s="10"/>
      <c r="AH311" s="7"/>
      <c r="AI311" s="7"/>
      <c r="AJ311" s="7"/>
      <c r="AK311" s="7"/>
      <c r="AL311" s="10"/>
      <c r="AM311" s="7"/>
      <c r="AN311" s="7"/>
      <c r="AO311" s="7"/>
      <c r="AP311" s="266"/>
      <c r="AQ311" s="266"/>
    </row>
    <row r="312" spans="1:43" s="268" customFormat="1" x14ac:dyDescent="0.25">
      <c r="A312" s="107"/>
      <c r="B312" s="107"/>
      <c r="C312" s="7"/>
      <c r="D312" s="7"/>
      <c r="E312" s="10"/>
      <c r="F312" s="7"/>
      <c r="G312" s="7"/>
      <c r="H312" s="7"/>
      <c r="I312" s="7"/>
      <c r="J312" s="7"/>
      <c r="K312" s="7"/>
      <c r="L312" s="10"/>
      <c r="M312" s="107"/>
      <c r="N312" s="7"/>
      <c r="O312" s="7"/>
      <c r="P312" s="10"/>
      <c r="Q312" s="7"/>
      <c r="R312" s="7"/>
      <c r="S312" s="7"/>
      <c r="T312" s="7"/>
      <c r="U312" s="7"/>
      <c r="V312" s="7"/>
      <c r="W312" s="7"/>
      <c r="X312" s="7"/>
      <c r="Y312" s="7"/>
      <c r="Z312" s="7"/>
      <c r="AA312" s="7"/>
      <c r="AB312" s="10"/>
      <c r="AC312" s="7"/>
      <c r="AD312" s="7"/>
      <c r="AE312" s="7"/>
      <c r="AF312" s="7"/>
      <c r="AG312" s="10"/>
      <c r="AH312" s="7"/>
      <c r="AI312" s="7"/>
      <c r="AJ312" s="7"/>
      <c r="AK312" s="7"/>
      <c r="AL312" s="10"/>
      <c r="AM312" s="7"/>
      <c r="AN312" s="7"/>
      <c r="AO312" s="7"/>
      <c r="AP312" s="266"/>
      <c r="AQ312" s="266"/>
    </row>
    <row r="313" spans="1:43" s="268" customFormat="1" x14ac:dyDescent="0.25">
      <c r="A313" s="107"/>
      <c r="B313" s="107"/>
      <c r="C313" s="7"/>
      <c r="D313" s="7"/>
      <c r="E313" s="10"/>
      <c r="F313" s="7"/>
      <c r="G313" s="7"/>
      <c r="H313" s="7"/>
      <c r="I313" s="7"/>
      <c r="J313" s="7"/>
      <c r="K313" s="7"/>
      <c r="L313" s="10"/>
      <c r="M313" s="107"/>
      <c r="N313" s="7"/>
      <c r="O313" s="7"/>
      <c r="P313" s="10"/>
      <c r="Q313" s="7"/>
      <c r="R313" s="7"/>
      <c r="S313" s="7"/>
      <c r="T313" s="7"/>
      <c r="U313" s="7"/>
      <c r="V313" s="7"/>
      <c r="W313" s="7"/>
      <c r="X313" s="7"/>
      <c r="Y313" s="7"/>
      <c r="Z313" s="7"/>
      <c r="AA313" s="7"/>
      <c r="AB313" s="10"/>
      <c r="AC313" s="7"/>
      <c r="AD313" s="7"/>
      <c r="AE313" s="7"/>
      <c r="AF313" s="7"/>
      <c r="AG313" s="10"/>
      <c r="AH313" s="7"/>
      <c r="AI313" s="7"/>
      <c r="AJ313" s="7"/>
      <c r="AK313" s="7"/>
      <c r="AL313" s="10"/>
      <c r="AM313" s="7"/>
      <c r="AN313" s="7"/>
      <c r="AO313" s="7"/>
      <c r="AP313" s="266"/>
      <c r="AQ313" s="266"/>
    </row>
    <row r="314" spans="1:43" s="268" customFormat="1" x14ac:dyDescent="0.25">
      <c r="A314" s="107"/>
      <c r="B314" s="107"/>
      <c r="C314" s="7"/>
      <c r="D314" s="7"/>
      <c r="E314" s="10"/>
      <c r="F314" s="7"/>
      <c r="G314" s="7"/>
      <c r="H314" s="7"/>
      <c r="I314" s="7"/>
      <c r="J314" s="7"/>
      <c r="K314" s="7"/>
      <c r="L314" s="10"/>
      <c r="M314" s="107"/>
      <c r="N314" s="7"/>
      <c r="O314" s="7"/>
      <c r="P314" s="10"/>
      <c r="Q314" s="7"/>
      <c r="R314" s="7"/>
      <c r="S314" s="7"/>
      <c r="T314" s="7"/>
      <c r="U314" s="7"/>
      <c r="V314" s="7"/>
      <c r="W314" s="7"/>
      <c r="X314" s="7"/>
      <c r="Y314" s="7"/>
      <c r="Z314" s="7"/>
      <c r="AA314" s="7"/>
      <c r="AB314" s="10"/>
      <c r="AC314" s="7"/>
      <c r="AD314" s="7"/>
      <c r="AE314" s="7"/>
      <c r="AF314" s="7"/>
      <c r="AG314" s="10"/>
      <c r="AH314" s="7"/>
      <c r="AI314" s="7"/>
      <c r="AJ314" s="7"/>
      <c r="AK314" s="7"/>
      <c r="AL314" s="10"/>
      <c r="AM314" s="7"/>
      <c r="AN314" s="7"/>
      <c r="AO314" s="7"/>
      <c r="AP314" s="266"/>
      <c r="AQ314" s="266"/>
    </row>
    <row r="315" spans="1:43" s="268" customFormat="1" x14ac:dyDescent="0.25">
      <c r="A315" s="107"/>
      <c r="B315" s="107"/>
      <c r="C315" s="7"/>
      <c r="D315" s="7"/>
      <c r="E315" s="10"/>
      <c r="F315" s="7"/>
      <c r="G315" s="7"/>
      <c r="H315" s="7"/>
      <c r="I315" s="7"/>
      <c r="J315" s="7"/>
      <c r="K315" s="7"/>
      <c r="L315" s="10"/>
      <c r="M315" s="107"/>
      <c r="N315" s="7"/>
      <c r="O315" s="7"/>
      <c r="P315" s="10"/>
      <c r="Q315" s="7"/>
      <c r="R315" s="7"/>
      <c r="S315" s="7"/>
      <c r="T315" s="7"/>
      <c r="U315" s="7"/>
      <c r="V315" s="7"/>
      <c r="W315" s="7"/>
      <c r="X315" s="7"/>
      <c r="Y315" s="7"/>
      <c r="Z315" s="7"/>
      <c r="AA315" s="7"/>
      <c r="AB315" s="10"/>
      <c r="AC315" s="7"/>
      <c r="AD315" s="7"/>
      <c r="AE315" s="7"/>
      <c r="AF315" s="7"/>
      <c r="AG315" s="10"/>
      <c r="AH315" s="7"/>
      <c r="AI315" s="7"/>
      <c r="AJ315" s="7"/>
      <c r="AK315" s="7"/>
      <c r="AL315" s="10"/>
      <c r="AM315" s="7"/>
      <c r="AN315" s="7"/>
      <c r="AO315" s="7"/>
      <c r="AP315" s="266"/>
      <c r="AQ315" s="266"/>
    </row>
    <row r="316" spans="1:43" s="268" customFormat="1" x14ac:dyDescent="0.25">
      <c r="A316" s="107"/>
      <c r="B316" s="107"/>
      <c r="C316" s="7"/>
      <c r="D316" s="7"/>
      <c r="E316" s="10"/>
      <c r="F316" s="7"/>
      <c r="G316" s="7"/>
      <c r="H316" s="7"/>
      <c r="I316" s="7"/>
      <c r="J316" s="7"/>
      <c r="K316" s="7"/>
      <c r="L316" s="10"/>
      <c r="M316" s="107"/>
      <c r="N316" s="7"/>
      <c r="O316" s="7"/>
      <c r="P316" s="10"/>
      <c r="Q316" s="7"/>
      <c r="R316" s="7"/>
      <c r="S316" s="7"/>
      <c r="T316" s="7"/>
      <c r="U316" s="7"/>
      <c r="V316" s="7"/>
      <c r="W316" s="7"/>
      <c r="X316" s="7"/>
      <c r="Y316" s="7"/>
      <c r="Z316" s="7"/>
      <c r="AA316" s="7"/>
      <c r="AB316" s="10"/>
      <c r="AC316" s="7"/>
      <c r="AD316" s="7"/>
      <c r="AE316" s="7"/>
      <c r="AF316" s="7"/>
      <c r="AG316" s="10"/>
      <c r="AH316" s="7"/>
      <c r="AI316" s="7"/>
      <c r="AJ316" s="7"/>
      <c r="AK316" s="7"/>
      <c r="AL316" s="10"/>
      <c r="AM316" s="7"/>
      <c r="AN316" s="7"/>
      <c r="AO316" s="7"/>
      <c r="AP316" s="266"/>
      <c r="AQ316" s="266"/>
    </row>
    <row r="317" spans="1:43" s="268" customFormat="1" x14ac:dyDescent="0.25">
      <c r="A317" s="107"/>
      <c r="B317" s="107"/>
      <c r="C317" s="7"/>
      <c r="D317" s="7"/>
      <c r="E317" s="10"/>
      <c r="F317" s="7"/>
      <c r="G317" s="7"/>
      <c r="H317" s="7"/>
      <c r="I317" s="7"/>
      <c r="J317" s="7"/>
      <c r="K317" s="7"/>
      <c r="L317" s="10"/>
      <c r="M317" s="107"/>
      <c r="N317" s="7"/>
      <c r="O317" s="7"/>
      <c r="P317" s="10"/>
      <c r="Q317" s="7"/>
      <c r="R317" s="7"/>
      <c r="S317" s="7"/>
      <c r="T317" s="7"/>
      <c r="U317" s="7"/>
      <c r="V317" s="7"/>
      <c r="W317" s="7"/>
      <c r="X317" s="7"/>
      <c r="Y317" s="7"/>
      <c r="Z317" s="7"/>
      <c r="AA317" s="7"/>
      <c r="AB317" s="10"/>
      <c r="AC317" s="7"/>
      <c r="AD317" s="7"/>
      <c r="AE317" s="7"/>
      <c r="AF317" s="7"/>
      <c r="AG317" s="10"/>
      <c r="AH317" s="7"/>
      <c r="AI317" s="7"/>
      <c r="AJ317" s="7"/>
      <c r="AK317" s="7"/>
      <c r="AL317" s="10"/>
      <c r="AM317" s="7"/>
      <c r="AN317" s="7"/>
      <c r="AO317" s="7"/>
      <c r="AP317" s="266"/>
      <c r="AQ317" s="266"/>
    </row>
    <row r="318" spans="1:43" s="268" customFormat="1" x14ac:dyDescent="0.25">
      <c r="A318" s="107"/>
      <c r="B318" s="107"/>
      <c r="C318" s="7"/>
      <c r="D318" s="7"/>
      <c r="E318" s="10"/>
      <c r="F318" s="7"/>
      <c r="G318" s="7"/>
      <c r="H318" s="7"/>
      <c r="I318" s="7"/>
      <c r="J318" s="7"/>
      <c r="K318" s="7"/>
      <c r="L318" s="10"/>
      <c r="M318" s="107"/>
      <c r="N318" s="7"/>
      <c r="O318" s="7"/>
      <c r="P318" s="10"/>
      <c r="Q318" s="7"/>
      <c r="R318" s="7"/>
      <c r="S318" s="7"/>
      <c r="T318" s="7"/>
      <c r="U318" s="7"/>
      <c r="V318" s="7"/>
      <c r="W318" s="7"/>
      <c r="X318" s="7"/>
      <c r="Y318" s="7"/>
      <c r="Z318" s="7"/>
      <c r="AA318" s="7"/>
      <c r="AB318" s="10"/>
      <c r="AC318" s="7"/>
      <c r="AD318" s="7"/>
      <c r="AE318" s="7"/>
      <c r="AF318" s="7"/>
      <c r="AG318" s="10"/>
      <c r="AH318" s="7"/>
      <c r="AI318" s="7"/>
      <c r="AJ318" s="7"/>
      <c r="AK318" s="7"/>
      <c r="AL318" s="10"/>
      <c r="AM318" s="7"/>
      <c r="AN318" s="7"/>
      <c r="AO318" s="7"/>
      <c r="AP318" s="266"/>
      <c r="AQ318" s="266"/>
    </row>
    <row r="319" spans="1:43" s="268" customFormat="1" x14ac:dyDescent="0.25">
      <c r="A319" s="107"/>
      <c r="B319" s="107"/>
      <c r="C319" s="7"/>
      <c r="D319" s="7"/>
      <c r="E319" s="10"/>
      <c r="F319" s="7"/>
      <c r="G319" s="7"/>
      <c r="H319" s="7"/>
      <c r="I319" s="7"/>
      <c r="J319" s="7"/>
      <c r="K319" s="7"/>
      <c r="L319" s="10"/>
      <c r="M319" s="107"/>
      <c r="N319" s="7"/>
      <c r="O319" s="7"/>
      <c r="P319" s="10"/>
      <c r="Q319" s="7"/>
      <c r="R319" s="7"/>
      <c r="S319" s="7"/>
      <c r="T319" s="7"/>
      <c r="U319" s="7"/>
      <c r="V319" s="7"/>
      <c r="W319" s="7"/>
      <c r="X319" s="7"/>
      <c r="Y319" s="7"/>
      <c r="Z319" s="7"/>
      <c r="AA319" s="7"/>
      <c r="AB319" s="10"/>
      <c r="AC319" s="7"/>
      <c r="AD319" s="7"/>
      <c r="AE319" s="7"/>
      <c r="AF319" s="7"/>
      <c r="AG319" s="10"/>
      <c r="AH319" s="7"/>
      <c r="AI319" s="7"/>
      <c r="AJ319" s="7"/>
      <c r="AK319" s="7"/>
      <c r="AL319" s="10"/>
      <c r="AM319" s="7"/>
      <c r="AN319" s="7"/>
      <c r="AO319" s="7"/>
      <c r="AP319" s="266"/>
      <c r="AQ319" s="266"/>
    </row>
    <row r="320" spans="1:43" s="268" customFormat="1" x14ac:dyDescent="0.25">
      <c r="A320" s="107"/>
      <c r="B320" s="107"/>
      <c r="C320" s="7"/>
      <c r="D320" s="7"/>
      <c r="E320" s="10"/>
      <c r="F320" s="7"/>
      <c r="G320" s="7"/>
      <c r="H320" s="7"/>
      <c r="I320" s="7"/>
      <c r="J320" s="7"/>
      <c r="K320" s="7"/>
      <c r="L320" s="10"/>
      <c r="M320" s="107"/>
      <c r="N320" s="7"/>
      <c r="O320" s="7"/>
      <c r="P320" s="10"/>
      <c r="Q320" s="7"/>
      <c r="R320" s="7"/>
      <c r="S320" s="7"/>
      <c r="T320" s="7"/>
      <c r="U320" s="7"/>
      <c r="V320" s="7"/>
      <c r="W320" s="7"/>
      <c r="X320" s="7"/>
      <c r="Y320" s="7"/>
      <c r="Z320" s="7"/>
      <c r="AA320" s="7"/>
      <c r="AB320" s="10"/>
      <c r="AC320" s="7"/>
      <c r="AD320" s="7"/>
      <c r="AE320" s="7"/>
      <c r="AF320" s="7"/>
      <c r="AG320" s="10"/>
      <c r="AH320" s="7"/>
      <c r="AI320" s="7"/>
      <c r="AJ320" s="7"/>
      <c r="AK320" s="7"/>
      <c r="AL320" s="10"/>
      <c r="AM320" s="7"/>
      <c r="AN320" s="7"/>
      <c r="AO320" s="7"/>
      <c r="AP320" s="266"/>
      <c r="AQ320" s="266"/>
    </row>
    <row r="321" spans="1:43" s="268" customFormat="1" x14ac:dyDescent="0.25">
      <c r="A321" s="107"/>
      <c r="B321" s="107"/>
      <c r="C321" s="7"/>
      <c r="D321" s="7"/>
      <c r="E321" s="10"/>
      <c r="F321" s="7"/>
      <c r="G321" s="7"/>
      <c r="H321" s="7"/>
      <c r="I321" s="7"/>
      <c r="J321" s="7"/>
      <c r="K321" s="7"/>
      <c r="L321" s="10"/>
      <c r="M321" s="107"/>
      <c r="N321" s="7"/>
      <c r="O321" s="7"/>
      <c r="P321" s="10"/>
      <c r="Q321" s="7"/>
      <c r="R321" s="7"/>
      <c r="S321" s="7"/>
      <c r="T321" s="7"/>
      <c r="U321" s="7"/>
      <c r="V321" s="7"/>
      <c r="W321" s="7"/>
      <c r="X321" s="7"/>
      <c r="Y321" s="7"/>
      <c r="Z321" s="7"/>
      <c r="AA321" s="7"/>
      <c r="AB321" s="10"/>
      <c r="AC321" s="7"/>
      <c r="AD321" s="7"/>
      <c r="AE321" s="7"/>
      <c r="AF321" s="7"/>
      <c r="AG321" s="10"/>
      <c r="AH321" s="7"/>
      <c r="AI321" s="7"/>
      <c r="AJ321" s="7"/>
      <c r="AK321" s="7"/>
      <c r="AL321" s="10"/>
      <c r="AM321" s="7"/>
      <c r="AN321" s="7"/>
      <c r="AO321" s="7"/>
      <c r="AP321" s="266"/>
      <c r="AQ321" s="266"/>
    </row>
    <row r="322" spans="1:43" s="268" customFormat="1" x14ac:dyDescent="0.25">
      <c r="A322" s="107"/>
      <c r="B322" s="107"/>
      <c r="C322" s="7"/>
      <c r="D322" s="7"/>
      <c r="E322" s="10"/>
      <c r="F322" s="7"/>
      <c r="G322" s="7"/>
      <c r="H322" s="7"/>
      <c r="I322" s="7"/>
      <c r="J322" s="7"/>
      <c r="K322" s="7"/>
      <c r="L322" s="10"/>
      <c r="M322" s="107"/>
      <c r="N322" s="7"/>
      <c r="O322" s="7"/>
      <c r="P322" s="10"/>
      <c r="Q322" s="7"/>
      <c r="R322" s="7"/>
      <c r="S322" s="7"/>
      <c r="T322" s="7"/>
      <c r="U322" s="7"/>
      <c r="V322" s="7"/>
      <c r="W322" s="7"/>
      <c r="X322" s="7"/>
      <c r="Y322" s="7"/>
      <c r="Z322" s="7"/>
      <c r="AA322" s="7"/>
      <c r="AB322" s="10"/>
      <c r="AC322" s="7"/>
      <c r="AD322" s="7"/>
      <c r="AE322" s="7"/>
      <c r="AF322" s="7"/>
      <c r="AG322" s="10"/>
      <c r="AH322" s="7"/>
      <c r="AI322" s="7"/>
      <c r="AJ322" s="7"/>
      <c r="AK322" s="7"/>
      <c r="AL322" s="10"/>
      <c r="AM322" s="7"/>
      <c r="AN322" s="7"/>
      <c r="AO322" s="7"/>
      <c r="AP322" s="266"/>
      <c r="AQ322" s="266"/>
    </row>
    <row r="323" spans="1:43" s="268" customFormat="1" x14ac:dyDescent="0.25">
      <c r="A323" s="107"/>
      <c r="B323" s="107"/>
      <c r="C323" s="7"/>
      <c r="D323" s="7"/>
      <c r="E323" s="10"/>
      <c r="F323" s="7"/>
      <c r="G323" s="7"/>
      <c r="H323" s="7"/>
      <c r="I323" s="7"/>
      <c r="J323" s="7"/>
      <c r="K323" s="7"/>
      <c r="L323" s="10"/>
      <c r="M323" s="107"/>
      <c r="N323" s="7"/>
      <c r="O323" s="7"/>
      <c r="P323" s="10"/>
      <c r="Q323" s="7"/>
      <c r="R323" s="7"/>
      <c r="S323" s="7"/>
      <c r="T323" s="7"/>
      <c r="U323" s="7"/>
      <c r="V323" s="7"/>
      <c r="W323" s="7"/>
      <c r="X323" s="7"/>
      <c r="Y323" s="7"/>
      <c r="Z323" s="7"/>
      <c r="AA323" s="7"/>
      <c r="AB323" s="10"/>
      <c r="AC323" s="7"/>
      <c r="AD323" s="7"/>
      <c r="AE323" s="7"/>
      <c r="AF323" s="7"/>
      <c r="AG323" s="10"/>
      <c r="AH323" s="7"/>
      <c r="AI323" s="7"/>
      <c r="AJ323" s="7"/>
      <c r="AK323" s="7"/>
      <c r="AL323" s="10"/>
      <c r="AM323" s="7"/>
      <c r="AN323" s="7"/>
      <c r="AO323" s="7"/>
      <c r="AP323" s="266"/>
      <c r="AQ323" s="266"/>
    </row>
    <row r="324" spans="1:43" s="268" customFormat="1" x14ac:dyDescent="0.25">
      <c r="A324" s="107"/>
      <c r="B324" s="107"/>
      <c r="C324" s="7"/>
      <c r="D324" s="7"/>
      <c r="E324" s="10"/>
      <c r="F324" s="7"/>
      <c r="G324" s="7"/>
      <c r="H324" s="7"/>
      <c r="I324" s="7"/>
      <c r="J324" s="7"/>
      <c r="K324" s="7"/>
      <c r="L324" s="10"/>
      <c r="M324" s="107"/>
      <c r="N324" s="7"/>
      <c r="O324" s="7"/>
      <c r="P324" s="10"/>
      <c r="Q324" s="7"/>
      <c r="R324" s="7"/>
      <c r="S324" s="7"/>
      <c r="T324" s="7"/>
      <c r="U324" s="7"/>
      <c r="V324" s="7"/>
      <c r="W324" s="7"/>
      <c r="X324" s="7"/>
      <c r="Y324" s="7"/>
      <c r="Z324" s="7"/>
      <c r="AA324" s="7"/>
      <c r="AB324" s="10"/>
      <c r="AC324" s="7"/>
      <c r="AD324" s="7"/>
      <c r="AE324" s="7"/>
      <c r="AF324" s="7"/>
      <c r="AG324" s="10"/>
      <c r="AH324" s="7"/>
      <c r="AI324" s="7"/>
      <c r="AJ324" s="7"/>
      <c r="AK324" s="7"/>
      <c r="AL324" s="10"/>
      <c r="AM324" s="7"/>
      <c r="AN324" s="7"/>
      <c r="AO324" s="7"/>
      <c r="AP324" s="266"/>
      <c r="AQ324" s="266"/>
    </row>
    <row r="325" spans="1:43" s="268" customFormat="1" x14ac:dyDescent="0.25">
      <c r="A325" s="107"/>
      <c r="B325" s="107"/>
      <c r="C325" s="7"/>
      <c r="D325" s="7"/>
      <c r="E325" s="10"/>
      <c r="F325" s="7"/>
      <c r="G325" s="7"/>
      <c r="H325" s="7"/>
      <c r="I325" s="7"/>
      <c r="J325" s="7"/>
      <c r="K325" s="7"/>
      <c r="L325" s="10"/>
      <c r="M325" s="107"/>
      <c r="N325" s="7"/>
      <c r="O325" s="7"/>
      <c r="P325" s="10"/>
      <c r="Q325" s="7"/>
      <c r="R325" s="7"/>
      <c r="S325" s="7"/>
      <c r="T325" s="7"/>
      <c r="U325" s="7"/>
      <c r="V325" s="7"/>
      <c r="W325" s="7"/>
      <c r="X325" s="7"/>
      <c r="Y325" s="7"/>
      <c r="Z325" s="7"/>
      <c r="AA325" s="7"/>
      <c r="AB325" s="10"/>
      <c r="AC325" s="7"/>
      <c r="AD325" s="7"/>
      <c r="AE325" s="7"/>
      <c r="AF325" s="7"/>
      <c r="AG325" s="10"/>
      <c r="AH325" s="7"/>
      <c r="AI325" s="7"/>
      <c r="AJ325" s="7"/>
      <c r="AK325" s="7"/>
      <c r="AL325" s="10"/>
      <c r="AM325" s="7"/>
      <c r="AN325" s="7"/>
      <c r="AO325" s="7"/>
      <c r="AP325" s="266"/>
      <c r="AQ325" s="266"/>
    </row>
    <row r="326" spans="1:43" s="268" customFormat="1" x14ac:dyDescent="0.25">
      <c r="A326" s="107"/>
      <c r="B326" s="107"/>
      <c r="C326" s="7"/>
      <c r="D326" s="7"/>
      <c r="E326" s="10"/>
      <c r="F326" s="7"/>
      <c r="G326" s="7"/>
      <c r="H326" s="7"/>
      <c r="I326" s="7"/>
      <c r="J326" s="7"/>
      <c r="K326" s="7"/>
      <c r="L326" s="10"/>
      <c r="M326" s="107"/>
      <c r="N326" s="7"/>
      <c r="O326" s="7"/>
      <c r="P326" s="10"/>
      <c r="Q326" s="7"/>
      <c r="R326" s="7"/>
      <c r="S326" s="7"/>
      <c r="T326" s="7"/>
      <c r="U326" s="7"/>
      <c r="V326" s="7"/>
      <c r="W326" s="7"/>
      <c r="X326" s="7"/>
      <c r="Y326" s="7"/>
      <c r="Z326" s="7"/>
      <c r="AA326" s="7"/>
      <c r="AB326" s="10"/>
      <c r="AC326" s="7"/>
      <c r="AD326" s="7"/>
      <c r="AE326" s="7"/>
      <c r="AF326" s="7"/>
      <c r="AG326" s="10"/>
      <c r="AH326" s="7"/>
      <c r="AI326" s="7"/>
      <c r="AJ326" s="7"/>
      <c r="AK326" s="7"/>
      <c r="AL326" s="10"/>
      <c r="AM326" s="7"/>
      <c r="AN326" s="7"/>
      <c r="AO326" s="7"/>
      <c r="AP326" s="266"/>
      <c r="AQ326" s="266"/>
    </row>
    <row r="327" spans="1:43" s="268" customFormat="1" x14ac:dyDescent="0.25">
      <c r="A327" s="107"/>
      <c r="B327" s="107"/>
      <c r="C327" s="7"/>
      <c r="D327" s="7"/>
      <c r="E327" s="10"/>
      <c r="F327" s="7"/>
      <c r="G327" s="7"/>
      <c r="H327" s="7"/>
      <c r="I327" s="7"/>
      <c r="J327" s="7"/>
      <c r="K327" s="7"/>
      <c r="L327" s="10"/>
      <c r="M327" s="107"/>
      <c r="N327" s="7"/>
      <c r="O327" s="7"/>
      <c r="P327" s="10"/>
      <c r="Q327" s="7"/>
      <c r="R327" s="7"/>
      <c r="S327" s="7"/>
      <c r="T327" s="7"/>
      <c r="U327" s="7"/>
      <c r="V327" s="7"/>
      <c r="W327" s="7"/>
      <c r="X327" s="7"/>
      <c r="Y327" s="7"/>
      <c r="Z327" s="7"/>
      <c r="AA327" s="7"/>
      <c r="AB327" s="10"/>
      <c r="AC327" s="7"/>
      <c r="AD327" s="7"/>
      <c r="AE327" s="7"/>
      <c r="AF327" s="7"/>
      <c r="AG327" s="10"/>
      <c r="AH327" s="7"/>
      <c r="AI327" s="7"/>
      <c r="AJ327" s="7"/>
      <c r="AK327" s="7"/>
      <c r="AL327" s="10"/>
      <c r="AM327" s="7"/>
      <c r="AN327" s="7"/>
      <c r="AO327" s="7"/>
      <c r="AP327" s="266"/>
      <c r="AQ327" s="266"/>
    </row>
    <row r="328" spans="1:43" s="268" customFormat="1" x14ac:dyDescent="0.25">
      <c r="A328" s="107"/>
      <c r="B328" s="107"/>
      <c r="C328" s="7"/>
      <c r="D328" s="7"/>
      <c r="E328" s="10"/>
      <c r="F328" s="7"/>
      <c r="G328" s="7"/>
      <c r="H328" s="7"/>
      <c r="I328" s="7"/>
      <c r="J328" s="7"/>
      <c r="K328" s="7"/>
      <c r="L328" s="10"/>
      <c r="M328" s="107"/>
      <c r="N328" s="7"/>
      <c r="O328" s="7"/>
      <c r="P328" s="10"/>
      <c r="Q328" s="108"/>
      <c r="R328" s="108"/>
      <c r="S328" s="108"/>
      <c r="T328" s="108"/>
      <c r="U328" s="108"/>
      <c r="V328" s="108"/>
      <c r="W328" s="108"/>
      <c r="X328" s="108"/>
      <c r="Y328" s="7"/>
      <c r="Z328" s="7"/>
      <c r="AA328" s="7"/>
      <c r="AB328" s="10"/>
      <c r="AC328" s="108"/>
      <c r="AD328" s="108"/>
      <c r="AE328" s="108"/>
      <c r="AF328" s="7"/>
      <c r="AG328" s="10"/>
      <c r="AH328" s="7"/>
      <c r="AI328" s="7"/>
      <c r="AJ328" s="7"/>
      <c r="AK328" s="7"/>
      <c r="AL328" s="10"/>
      <c r="AM328" s="7"/>
      <c r="AN328" s="7"/>
      <c r="AO328" s="7"/>
      <c r="AP328" s="266"/>
      <c r="AQ328" s="266"/>
    </row>
    <row r="329" spans="1:43" s="268" customFormat="1" x14ac:dyDescent="0.25">
      <c r="A329" s="107"/>
      <c r="B329" s="107"/>
      <c r="C329" s="7"/>
      <c r="D329" s="7"/>
      <c r="E329" s="10"/>
      <c r="F329" s="108"/>
      <c r="G329" s="108"/>
      <c r="H329" s="108"/>
      <c r="I329" s="108"/>
      <c r="J329" s="108"/>
      <c r="K329" s="108"/>
      <c r="L329" s="11"/>
      <c r="M329" s="107"/>
      <c r="N329" s="108"/>
      <c r="O329" s="108"/>
      <c r="P329" s="11"/>
      <c r="Q329" s="108"/>
      <c r="R329" s="108"/>
      <c r="S329" s="108"/>
      <c r="T329" s="108"/>
      <c r="U329" s="108"/>
      <c r="V329" s="108"/>
      <c r="W329" s="108"/>
      <c r="X329" s="108"/>
      <c r="Y329" s="108"/>
      <c r="Z329" s="108"/>
      <c r="AA329" s="108"/>
      <c r="AB329" s="11"/>
      <c r="AC329" s="108"/>
      <c r="AD329" s="108"/>
      <c r="AE329" s="108"/>
      <c r="AF329" s="108"/>
      <c r="AG329" s="11"/>
      <c r="AH329" s="108"/>
      <c r="AI329" s="108"/>
      <c r="AJ329" s="108"/>
      <c r="AK329" s="108"/>
      <c r="AL329" s="11"/>
      <c r="AM329" s="108"/>
      <c r="AN329" s="108"/>
      <c r="AO329" s="108"/>
      <c r="AP329" s="270"/>
      <c r="AQ329" s="270"/>
    </row>
    <row r="330" spans="1:43" s="268" customFormat="1" x14ac:dyDescent="0.25">
      <c r="A330" s="107"/>
      <c r="B330" s="107"/>
      <c r="C330" s="7"/>
      <c r="D330" s="7"/>
      <c r="E330" s="10"/>
      <c r="F330" s="108"/>
      <c r="G330" s="108"/>
      <c r="H330" s="108"/>
      <c r="I330" s="108"/>
      <c r="J330" s="108"/>
      <c r="K330" s="108"/>
      <c r="L330" s="11"/>
      <c r="M330" s="107"/>
      <c r="N330" s="108"/>
      <c r="O330" s="108"/>
      <c r="P330" s="11"/>
      <c r="Q330" s="108"/>
      <c r="R330" s="108"/>
      <c r="S330" s="108"/>
      <c r="T330" s="108"/>
      <c r="U330" s="108"/>
      <c r="V330" s="108"/>
      <c r="W330" s="108"/>
      <c r="X330" s="108"/>
      <c r="Y330" s="108"/>
      <c r="Z330" s="108"/>
      <c r="AA330" s="108"/>
      <c r="AB330" s="11"/>
      <c r="AC330" s="108"/>
      <c r="AD330" s="108"/>
      <c r="AE330" s="108"/>
      <c r="AF330" s="108"/>
      <c r="AG330" s="11"/>
      <c r="AH330" s="108"/>
      <c r="AI330" s="108"/>
      <c r="AJ330" s="108"/>
      <c r="AK330" s="108"/>
      <c r="AL330" s="11"/>
      <c r="AM330" s="108"/>
      <c r="AN330" s="108"/>
      <c r="AO330" s="108"/>
      <c r="AP330" s="270"/>
      <c r="AQ330" s="270"/>
    </row>
    <row r="331" spans="1:43" s="268" customFormat="1" x14ac:dyDescent="0.25">
      <c r="A331" s="107"/>
      <c r="B331" s="107"/>
      <c r="C331" s="7"/>
      <c r="D331" s="7"/>
      <c r="E331" s="10"/>
      <c r="F331" s="108"/>
      <c r="G331" s="108"/>
      <c r="H331" s="108"/>
      <c r="I331" s="108"/>
      <c r="J331" s="108"/>
      <c r="K331" s="108"/>
      <c r="L331" s="11"/>
      <c r="M331" s="107"/>
      <c r="N331" s="108"/>
      <c r="O331" s="108"/>
      <c r="P331" s="11"/>
      <c r="Q331" s="108"/>
      <c r="R331" s="108"/>
      <c r="S331" s="108"/>
      <c r="T331" s="108"/>
      <c r="U331" s="108"/>
      <c r="V331" s="108"/>
      <c r="W331" s="108"/>
      <c r="X331" s="108"/>
      <c r="Y331" s="108"/>
      <c r="Z331" s="108"/>
      <c r="AA331" s="108"/>
      <c r="AB331" s="11"/>
      <c r="AC331" s="108"/>
      <c r="AD331" s="108"/>
      <c r="AE331" s="108"/>
      <c r="AF331" s="108"/>
      <c r="AG331" s="11"/>
      <c r="AH331" s="108"/>
      <c r="AI331" s="108"/>
      <c r="AJ331" s="108"/>
      <c r="AK331" s="108"/>
      <c r="AL331" s="11"/>
      <c r="AM331" s="108"/>
      <c r="AN331" s="108"/>
      <c r="AO331" s="108"/>
      <c r="AP331" s="270"/>
      <c r="AQ331" s="270"/>
    </row>
    <row r="332" spans="1:43" s="268" customFormat="1" x14ac:dyDescent="0.25">
      <c r="A332" s="107"/>
      <c r="B332" s="107"/>
      <c r="C332" s="7"/>
      <c r="D332" s="7"/>
      <c r="E332" s="10"/>
      <c r="F332" s="108"/>
      <c r="G332" s="108"/>
      <c r="H332" s="108"/>
      <c r="I332" s="108"/>
      <c r="J332" s="108"/>
      <c r="K332" s="108"/>
      <c r="L332" s="11"/>
      <c r="M332" s="107"/>
      <c r="N332" s="108"/>
      <c r="O332" s="108"/>
      <c r="P332" s="11"/>
      <c r="Q332" s="108"/>
      <c r="R332" s="108"/>
      <c r="S332" s="108"/>
      <c r="T332" s="108"/>
      <c r="U332" s="108"/>
      <c r="V332" s="108"/>
      <c r="W332" s="108"/>
      <c r="X332" s="108"/>
      <c r="Y332" s="108"/>
      <c r="Z332" s="108"/>
      <c r="AA332" s="108"/>
      <c r="AB332" s="11"/>
      <c r="AC332" s="108"/>
      <c r="AD332" s="108"/>
      <c r="AE332" s="108"/>
      <c r="AF332" s="108"/>
      <c r="AG332" s="11"/>
      <c r="AH332" s="108"/>
      <c r="AI332" s="108"/>
      <c r="AJ332" s="108"/>
      <c r="AK332" s="108"/>
      <c r="AL332" s="11"/>
      <c r="AM332" s="108"/>
      <c r="AN332" s="108"/>
      <c r="AO332" s="108"/>
      <c r="AP332" s="270"/>
      <c r="AQ332" s="270"/>
    </row>
    <row r="333" spans="1:43" s="268" customFormat="1" x14ac:dyDescent="0.25">
      <c r="A333" s="107"/>
      <c r="B333" s="107"/>
      <c r="C333" s="7"/>
      <c r="D333" s="7"/>
      <c r="E333" s="10"/>
      <c r="F333" s="108"/>
      <c r="G333" s="108"/>
      <c r="H333" s="108"/>
      <c r="I333" s="108"/>
      <c r="J333" s="108"/>
      <c r="K333" s="108"/>
      <c r="L333" s="11"/>
      <c r="M333" s="107"/>
      <c r="N333" s="108"/>
      <c r="O333" s="108"/>
      <c r="P333" s="11"/>
      <c r="Q333" s="108"/>
      <c r="R333" s="108"/>
      <c r="S333" s="108"/>
      <c r="T333" s="108"/>
      <c r="U333" s="108"/>
      <c r="V333" s="108"/>
      <c r="W333" s="108"/>
      <c r="X333" s="108"/>
      <c r="Y333" s="108"/>
      <c r="Z333" s="108"/>
      <c r="AA333" s="108"/>
      <c r="AB333" s="11"/>
      <c r="AC333" s="108"/>
      <c r="AD333" s="108"/>
      <c r="AE333" s="108"/>
      <c r="AF333" s="108"/>
      <c r="AG333" s="11"/>
      <c r="AH333" s="108"/>
      <c r="AI333" s="108"/>
      <c r="AJ333" s="108"/>
      <c r="AK333" s="108"/>
      <c r="AL333" s="11"/>
      <c r="AM333" s="108"/>
      <c r="AN333" s="108"/>
      <c r="AO333" s="108"/>
      <c r="AP333" s="270"/>
      <c r="AQ333" s="270"/>
    </row>
    <row r="334" spans="1:43" s="268" customFormat="1" x14ac:dyDescent="0.25">
      <c r="A334" s="107"/>
      <c r="B334" s="107"/>
      <c r="C334" s="7"/>
      <c r="D334" s="7"/>
      <c r="E334" s="10"/>
      <c r="F334" s="108"/>
      <c r="G334" s="108"/>
      <c r="H334" s="108"/>
      <c r="I334" s="108"/>
      <c r="J334" s="108"/>
      <c r="K334" s="108"/>
      <c r="L334" s="11"/>
      <c r="M334" s="107"/>
      <c r="N334" s="108"/>
      <c r="O334" s="108"/>
      <c r="P334" s="11"/>
      <c r="Q334" s="108"/>
      <c r="R334" s="108"/>
      <c r="S334" s="108"/>
      <c r="T334" s="108"/>
      <c r="U334" s="108"/>
      <c r="V334" s="108"/>
      <c r="W334" s="108"/>
      <c r="X334" s="108"/>
      <c r="Y334" s="108"/>
      <c r="Z334" s="108"/>
      <c r="AA334" s="108"/>
      <c r="AB334" s="11"/>
      <c r="AC334" s="108"/>
      <c r="AD334" s="108"/>
      <c r="AE334" s="108"/>
      <c r="AF334" s="108"/>
      <c r="AG334" s="11"/>
      <c r="AH334" s="108"/>
      <c r="AI334" s="108"/>
      <c r="AJ334" s="108"/>
      <c r="AK334" s="108"/>
      <c r="AL334" s="11"/>
      <c r="AM334" s="108"/>
      <c r="AN334" s="108"/>
      <c r="AO334" s="108"/>
      <c r="AP334" s="270"/>
      <c r="AQ334" s="270"/>
    </row>
    <row r="335" spans="1:43" s="268" customFormat="1" x14ac:dyDescent="0.25">
      <c r="A335" s="107"/>
      <c r="B335" s="107"/>
      <c r="C335" s="7"/>
      <c r="D335" s="7"/>
      <c r="E335" s="10"/>
      <c r="F335" s="108"/>
      <c r="G335" s="108"/>
      <c r="H335" s="108"/>
      <c r="I335" s="108"/>
      <c r="J335" s="108"/>
      <c r="K335" s="108"/>
      <c r="L335" s="11"/>
      <c r="M335" s="107"/>
      <c r="N335" s="108"/>
      <c r="O335" s="108"/>
      <c r="P335" s="11"/>
      <c r="Q335" s="108"/>
      <c r="R335" s="108"/>
      <c r="S335" s="108"/>
      <c r="T335" s="108"/>
      <c r="U335" s="108"/>
      <c r="V335" s="108"/>
      <c r="W335" s="108"/>
      <c r="X335" s="108"/>
      <c r="Y335" s="108"/>
      <c r="Z335" s="108"/>
      <c r="AA335" s="108"/>
      <c r="AB335" s="11"/>
      <c r="AC335" s="108"/>
      <c r="AD335" s="108"/>
      <c r="AE335" s="108"/>
      <c r="AF335" s="108"/>
      <c r="AG335" s="11"/>
      <c r="AH335" s="108"/>
      <c r="AI335" s="108"/>
      <c r="AJ335" s="108"/>
      <c r="AK335" s="108"/>
      <c r="AL335" s="11"/>
      <c r="AM335" s="108"/>
      <c r="AN335" s="108"/>
      <c r="AO335" s="108"/>
      <c r="AP335" s="270"/>
      <c r="AQ335" s="270"/>
    </row>
    <row r="336" spans="1:43" s="268" customFormat="1" x14ac:dyDescent="0.25">
      <c r="A336" s="107"/>
      <c r="B336" s="107"/>
      <c r="C336" s="7"/>
      <c r="D336" s="7"/>
      <c r="E336" s="10"/>
      <c r="F336" s="108"/>
      <c r="G336" s="108"/>
      <c r="H336" s="108"/>
      <c r="I336" s="108"/>
      <c r="J336" s="108"/>
      <c r="K336" s="108"/>
      <c r="L336" s="11"/>
      <c r="M336" s="107"/>
      <c r="N336" s="108"/>
      <c r="O336" s="108"/>
      <c r="P336" s="11"/>
      <c r="Q336" s="108"/>
      <c r="R336" s="108"/>
      <c r="S336" s="108"/>
      <c r="T336" s="108"/>
      <c r="U336" s="108"/>
      <c r="V336" s="108"/>
      <c r="W336" s="108"/>
      <c r="X336" s="108"/>
      <c r="Y336" s="108"/>
      <c r="Z336" s="108"/>
      <c r="AA336" s="108"/>
      <c r="AB336" s="11"/>
      <c r="AC336" s="108"/>
      <c r="AD336" s="108"/>
      <c r="AE336" s="108"/>
      <c r="AF336" s="108"/>
      <c r="AG336" s="11"/>
      <c r="AH336" s="108"/>
      <c r="AI336" s="108"/>
      <c r="AJ336" s="108"/>
      <c r="AK336" s="108"/>
      <c r="AL336" s="11"/>
      <c r="AM336" s="108"/>
      <c r="AN336" s="108"/>
      <c r="AO336" s="108"/>
      <c r="AP336" s="270"/>
      <c r="AQ336" s="270"/>
    </row>
    <row r="337" spans="1:46" s="268" customFormat="1" x14ac:dyDescent="0.25">
      <c r="A337" s="107"/>
      <c r="B337" s="107"/>
      <c r="C337" s="7"/>
      <c r="D337" s="7"/>
      <c r="E337" s="10"/>
      <c r="F337" s="108"/>
      <c r="G337" s="108"/>
      <c r="H337" s="108"/>
      <c r="I337" s="108"/>
      <c r="J337" s="108"/>
      <c r="K337" s="108"/>
      <c r="L337" s="11"/>
      <c r="M337" s="107"/>
      <c r="N337" s="108"/>
      <c r="O337" s="108"/>
      <c r="P337" s="11"/>
      <c r="Q337" s="108"/>
      <c r="R337" s="108"/>
      <c r="S337" s="108"/>
      <c r="T337" s="108"/>
      <c r="U337" s="108"/>
      <c r="V337" s="108"/>
      <c r="W337" s="108"/>
      <c r="X337" s="108"/>
      <c r="Y337" s="108"/>
      <c r="Z337" s="108"/>
      <c r="AA337" s="108"/>
      <c r="AB337" s="11"/>
      <c r="AC337" s="108"/>
      <c r="AD337" s="108"/>
      <c r="AE337" s="108"/>
      <c r="AF337" s="108"/>
      <c r="AG337" s="11"/>
      <c r="AH337" s="108"/>
      <c r="AI337" s="108"/>
      <c r="AJ337" s="108"/>
      <c r="AK337" s="108"/>
      <c r="AL337" s="11"/>
      <c r="AM337" s="108"/>
      <c r="AN337" s="108"/>
      <c r="AO337" s="108"/>
      <c r="AP337" s="270"/>
      <c r="AQ337" s="270"/>
    </row>
    <row r="338" spans="1:46" s="268" customFormat="1" x14ac:dyDescent="0.25">
      <c r="A338" s="107"/>
      <c r="B338" s="107"/>
      <c r="C338" s="7"/>
      <c r="D338" s="7"/>
      <c r="E338" s="10"/>
      <c r="F338" s="108"/>
      <c r="G338" s="108"/>
      <c r="H338" s="108"/>
      <c r="I338" s="108"/>
      <c r="J338" s="108"/>
      <c r="K338" s="108"/>
      <c r="L338" s="11"/>
      <c r="M338" s="107"/>
      <c r="N338" s="108"/>
      <c r="O338" s="108"/>
      <c r="P338" s="11"/>
      <c r="Q338" s="108"/>
      <c r="R338" s="108"/>
      <c r="S338" s="108"/>
      <c r="T338" s="108"/>
      <c r="U338" s="108"/>
      <c r="V338" s="108"/>
      <c r="W338" s="108"/>
      <c r="X338" s="108"/>
      <c r="Y338" s="108"/>
      <c r="Z338" s="108"/>
      <c r="AA338" s="108"/>
      <c r="AB338" s="11"/>
      <c r="AC338" s="108"/>
      <c r="AD338" s="108"/>
      <c r="AE338" s="108"/>
      <c r="AF338" s="108"/>
      <c r="AG338" s="11"/>
      <c r="AH338" s="108"/>
      <c r="AI338" s="108"/>
      <c r="AJ338" s="108"/>
      <c r="AK338" s="108"/>
      <c r="AL338" s="11"/>
      <c r="AM338" s="108"/>
      <c r="AN338" s="108"/>
      <c r="AO338" s="108"/>
      <c r="AP338" s="270"/>
      <c r="AQ338" s="270"/>
    </row>
    <row r="339" spans="1:46" s="268" customFormat="1" x14ac:dyDescent="0.25">
      <c r="A339" s="107"/>
      <c r="B339" s="107"/>
      <c r="C339" s="7"/>
      <c r="D339" s="7"/>
      <c r="E339" s="10"/>
      <c r="F339" s="108"/>
      <c r="G339" s="108"/>
      <c r="H339" s="108"/>
      <c r="I339" s="108"/>
      <c r="J339" s="108"/>
      <c r="K339" s="108"/>
      <c r="L339" s="11"/>
      <c r="M339" s="107"/>
      <c r="N339" s="108"/>
      <c r="O339" s="108"/>
      <c r="P339" s="11"/>
      <c r="Q339" s="108"/>
      <c r="R339" s="108"/>
      <c r="S339" s="108"/>
      <c r="T339" s="108"/>
      <c r="U339" s="108"/>
      <c r="V339" s="108"/>
      <c r="W339" s="108"/>
      <c r="X339" s="108"/>
      <c r="Y339" s="108"/>
      <c r="Z339" s="108"/>
      <c r="AA339" s="108"/>
      <c r="AB339" s="11"/>
      <c r="AC339" s="108"/>
      <c r="AD339" s="108"/>
      <c r="AE339" s="108"/>
      <c r="AF339" s="108"/>
      <c r="AG339" s="11"/>
      <c r="AH339" s="108"/>
      <c r="AI339" s="108"/>
      <c r="AJ339" s="108"/>
      <c r="AK339" s="108"/>
      <c r="AL339" s="11"/>
      <c r="AM339" s="108"/>
      <c r="AN339" s="108"/>
      <c r="AO339" s="108"/>
      <c r="AP339" s="270"/>
      <c r="AQ339" s="270"/>
    </row>
    <row r="340" spans="1:46" s="268" customFormat="1" x14ac:dyDescent="0.25">
      <c r="A340" s="107"/>
      <c r="B340" s="107"/>
      <c r="C340" s="7"/>
      <c r="D340" s="7"/>
      <c r="E340" s="10"/>
      <c r="F340" s="108"/>
      <c r="G340" s="108"/>
      <c r="H340" s="108"/>
      <c r="I340" s="108"/>
      <c r="J340" s="108"/>
      <c r="K340" s="108"/>
      <c r="L340" s="11"/>
      <c r="M340" s="107"/>
      <c r="N340" s="108"/>
      <c r="O340" s="108"/>
      <c r="P340" s="11"/>
      <c r="Q340" s="108"/>
      <c r="R340" s="108"/>
      <c r="S340" s="108"/>
      <c r="T340" s="108"/>
      <c r="U340" s="108"/>
      <c r="V340" s="108"/>
      <c r="W340" s="108"/>
      <c r="X340" s="108"/>
      <c r="Y340" s="108"/>
      <c r="Z340" s="108"/>
      <c r="AA340" s="108"/>
      <c r="AB340" s="11"/>
      <c r="AC340" s="108"/>
      <c r="AD340" s="108"/>
      <c r="AE340" s="108"/>
      <c r="AF340" s="108"/>
      <c r="AG340" s="11"/>
      <c r="AH340" s="108"/>
      <c r="AI340" s="108"/>
      <c r="AJ340" s="108"/>
      <c r="AK340" s="108"/>
      <c r="AL340" s="11"/>
      <c r="AM340" s="108"/>
      <c r="AN340" s="108"/>
      <c r="AO340" s="108"/>
      <c r="AP340" s="270"/>
      <c r="AQ340" s="270"/>
    </row>
    <row r="341" spans="1:46" s="268" customFormat="1" x14ac:dyDescent="0.25">
      <c r="A341" s="107"/>
      <c r="B341" s="107"/>
      <c r="C341" s="7"/>
      <c r="D341" s="7"/>
      <c r="E341" s="10"/>
      <c r="F341" s="108"/>
      <c r="G341" s="108"/>
      <c r="H341" s="108"/>
      <c r="I341" s="108"/>
      <c r="J341" s="108"/>
      <c r="K341" s="108"/>
      <c r="L341" s="11"/>
      <c r="M341" s="107"/>
      <c r="N341" s="108"/>
      <c r="O341" s="108"/>
      <c r="P341" s="11"/>
      <c r="Q341" s="108"/>
      <c r="R341" s="108"/>
      <c r="S341" s="108"/>
      <c r="T341" s="108"/>
      <c r="U341" s="108"/>
      <c r="V341" s="108"/>
      <c r="W341" s="108"/>
      <c r="X341" s="108"/>
      <c r="Y341" s="108"/>
      <c r="Z341" s="108"/>
      <c r="AA341" s="108"/>
      <c r="AB341" s="11"/>
      <c r="AC341" s="108"/>
      <c r="AD341" s="108"/>
      <c r="AE341" s="108"/>
      <c r="AF341" s="108"/>
      <c r="AG341" s="11"/>
      <c r="AH341" s="108"/>
      <c r="AI341" s="108"/>
      <c r="AJ341" s="108"/>
      <c r="AK341" s="108"/>
      <c r="AL341" s="11"/>
      <c r="AM341" s="108"/>
      <c r="AN341" s="108"/>
      <c r="AO341" s="108"/>
      <c r="AP341" s="270"/>
      <c r="AQ341" s="270"/>
    </row>
    <row r="342" spans="1:46" s="268" customFormat="1" x14ac:dyDescent="0.25">
      <c r="A342" s="107"/>
      <c r="B342" s="107"/>
      <c r="C342" s="7"/>
      <c r="D342" s="7"/>
      <c r="E342" s="10"/>
      <c r="F342" s="108"/>
      <c r="G342" s="108"/>
      <c r="H342" s="108"/>
      <c r="I342" s="108"/>
      <c r="J342" s="108"/>
      <c r="K342" s="108"/>
      <c r="L342" s="11"/>
      <c r="M342" s="107"/>
      <c r="N342" s="108"/>
      <c r="O342" s="108"/>
      <c r="P342" s="11"/>
      <c r="Q342" s="108"/>
      <c r="R342" s="108"/>
      <c r="S342" s="108"/>
      <c r="T342" s="108"/>
      <c r="U342" s="108"/>
      <c r="V342" s="108"/>
      <c r="W342" s="108"/>
      <c r="X342" s="108"/>
      <c r="Y342" s="108"/>
      <c r="Z342" s="108"/>
      <c r="AA342" s="108"/>
      <c r="AB342" s="11"/>
      <c r="AC342" s="108"/>
      <c r="AD342" s="108"/>
      <c r="AE342" s="108"/>
      <c r="AF342" s="108"/>
      <c r="AG342" s="11"/>
      <c r="AH342" s="108"/>
      <c r="AI342" s="108"/>
      <c r="AJ342" s="108"/>
      <c r="AK342" s="108"/>
      <c r="AL342" s="11"/>
      <c r="AM342" s="108"/>
      <c r="AN342" s="108"/>
      <c r="AO342" s="108"/>
      <c r="AP342" s="270"/>
      <c r="AQ342" s="270"/>
    </row>
    <row r="343" spans="1:46" s="268" customFormat="1" x14ac:dyDescent="0.25">
      <c r="A343" s="107"/>
      <c r="B343" s="107"/>
      <c r="C343" s="7"/>
      <c r="D343" s="7"/>
      <c r="E343" s="10"/>
      <c r="F343" s="108"/>
      <c r="G343" s="108"/>
      <c r="H343" s="108"/>
      <c r="I343" s="108"/>
      <c r="J343" s="108"/>
      <c r="K343" s="108"/>
      <c r="L343" s="11"/>
      <c r="M343" s="107"/>
      <c r="N343" s="108"/>
      <c r="O343" s="108"/>
      <c r="P343" s="11"/>
      <c r="Q343" s="107"/>
      <c r="R343" s="107"/>
      <c r="S343" s="107"/>
      <c r="T343" s="107"/>
      <c r="U343" s="107"/>
      <c r="V343" s="107"/>
      <c r="W343" s="107"/>
      <c r="X343" s="107"/>
      <c r="Y343" s="108"/>
      <c r="Z343" s="108"/>
      <c r="AA343" s="108"/>
      <c r="AB343" s="11"/>
      <c r="AC343" s="107"/>
      <c r="AD343" s="107"/>
      <c r="AE343" s="107"/>
      <c r="AF343" s="108"/>
      <c r="AG343" s="11"/>
      <c r="AH343" s="108"/>
      <c r="AI343" s="108"/>
      <c r="AJ343" s="108"/>
      <c r="AK343" s="108"/>
      <c r="AL343" s="11"/>
      <c r="AM343" s="108"/>
      <c r="AN343" s="108"/>
      <c r="AO343" s="108"/>
      <c r="AP343" s="270"/>
      <c r="AQ343" s="270"/>
    </row>
    <row r="344" spans="1:46" s="268" customFormat="1" x14ac:dyDescent="0.25">
      <c r="A344" s="107"/>
      <c r="B344" s="107"/>
      <c r="C344" s="7"/>
      <c r="D344" s="7"/>
      <c r="E344" s="10"/>
      <c r="F344" s="107"/>
      <c r="G344" s="107"/>
      <c r="H344" s="107"/>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T344" s="107"/>
    </row>
    <row r="345" spans="1:46" s="268" customFormat="1" x14ac:dyDescent="0.25">
      <c r="A345" s="107"/>
      <c r="B345" s="107"/>
      <c r="C345" s="7"/>
      <c r="D345" s="7"/>
      <c r="E345" s="10"/>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T345" s="107"/>
    </row>
    <row r="346" spans="1:46" s="268" customFormat="1" x14ac:dyDescent="0.25">
      <c r="A346" s="107"/>
      <c r="B346" s="107"/>
      <c r="C346" s="7"/>
      <c r="D346" s="7"/>
      <c r="E346" s="10"/>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T346" s="107"/>
    </row>
    <row r="347" spans="1:46" s="268" customFormat="1" x14ac:dyDescent="0.25">
      <c r="A347" s="107"/>
      <c r="B347" s="107"/>
      <c r="C347" s="7"/>
      <c r="D347" s="7"/>
      <c r="E347" s="10"/>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T347" s="107"/>
    </row>
    <row r="348" spans="1:46" s="268" customFormat="1" x14ac:dyDescent="0.25">
      <c r="A348" s="107"/>
      <c r="B348" s="107"/>
      <c r="C348" s="7"/>
      <c r="D348" s="7"/>
      <c r="E348" s="10"/>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T348" s="107"/>
    </row>
    <row r="349" spans="1:46" s="268" customFormat="1" x14ac:dyDescent="0.25">
      <c r="A349" s="107"/>
      <c r="B349" s="107"/>
      <c r="C349" s="7"/>
      <c r="D349" s="7"/>
      <c r="E349" s="10"/>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T349" s="107"/>
    </row>
    <row r="350" spans="1:46" s="268" customFormat="1" x14ac:dyDescent="0.25">
      <c r="A350" s="107"/>
      <c r="B350" s="107"/>
      <c r="C350" s="7"/>
      <c r="D350" s="7"/>
      <c r="E350" s="10"/>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T350" s="107"/>
    </row>
    <row r="351" spans="1:46" s="268" customFormat="1" x14ac:dyDescent="0.25">
      <c r="A351" s="107"/>
      <c r="B351" s="107"/>
      <c r="C351" s="7"/>
      <c r="D351" s="7"/>
      <c r="E351" s="10"/>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T351" s="107"/>
    </row>
    <row r="352" spans="1:46" s="268" customFormat="1" x14ac:dyDescent="0.25">
      <c r="A352" s="107"/>
      <c r="B352" s="107"/>
      <c r="C352" s="7"/>
      <c r="D352" s="7"/>
      <c r="E352" s="10"/>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T352" s="107"/>
    </row>
    <row r="353" spans="1:46" s="268" customFormat="1" x14ac:dyDescent="0.25">
      <c r="A353" s="107"/>
      <c r="B353" s="107"/>
      <c r="C353" s="7"/>
      <c r="D353" s="7"/>
      <c r="E353" s="10"/>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T353" s="107"/>
    </row>
    <row r="354" spans="1:46" s="268" customFormat="1" x14ac:dyDescent="0.25">
      <c r="A354" s="107"/>
      <c r="B354" s="107"/>
      <c r="C354" s="108"/>
      <c r="D354" s="108"/>
      <c r="E354" s="11"/>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T354" s="107"/>
    </row>
    <row r="355" spans="1:46" s="268" customFormat="1" x14ac:dyDescent="0.25">
      <c r="A355" s="107"/>
      <c r="B355" s="107"/>
      <c r="C355" s="108"/>
      <c r="D355" s="108"/>
      <c r="E355" s="11"/>
      <c r="F355" s="107"/>
      <c r="G355" s="107"/>
      <c r="H355" s="107"/>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T355" s="107"/>
    </row>
    <row r="356" spans="1:46" x14ac:dyDescent="0.25">
      <c r="C356" s="108"/>
      <c r="D356" s="108"/>
      <c r="E356" s="11"/>
    </row>
    <row r="357" spans="1:46" x14ac:dyDescent="0.25">
      <c r="C357" s="108"/>
      <c r="D357" s="108"/>
      <c r="E357" s="11"/>
    </row>
    <row r="358" spans="1:46" x14ac:dyDescent="0.25">
      <c r="C358" s="108"/>
      <c r="D358" s="108"/>
      <c r="E358" s="11"/>
    </row>
    <row r="359" spans="1:46" x14ac:dyDescent="0.25">
      <c r="C359" s="108"/>
      <c r="D359" s="108"/>
      <c r="E359" s="11"/>
    </row>
    <row r="360" spans="1:46" x14ac:dyDescent="0.25">
      <c r="C360" s="108"/>
      <c r="D360" s="108"/>
      <c r="E360" s="11"/>
    </row>
    <row r="361" spans="1:46" x14ac:dyDescent="0.25">
      <c r="C361" s="108"/>
      <c r="D361" s="108"/>
      <c r="E361" s="11"/>
    </row>
    <row r="362" spans="1:46" x14ac:dyDescent="0.25">
      <c r="C362" s="108"/>
      <c r="D362" s="108"/>
      <c r="E362" s="11"/>
    </row>
    <row r="363" spans="1:46" x14ac:dyDescent="0.25">
      <c r="C363" s="108"/>
      <c r="D363" s="108"/>
      <c r="E363" s="11"/>
    </row>
    <row r="364" spans="1:46" x14ac:dyDescent="0.25">
      <c r="C364" s="108"/>
      <c r="D364" s="108"/>
      <c r="E364" s="11"/>
    </row>
    <row r="365" spans="1:46" x14ac:dyDescent="0.25">
      <c r="C365" s="108"/>
      <c r="D365" s="108"/>
      <c r="E365" s="11"/>
    </row>
    <row r="366" spans="1:46" x14ac:dyDescent="0.25">
      <c r="C366" s="108"/>
      <c r="D366" s="108"/>
      <c r="E366" s="11"/>
    </row>
    <row r="367" spans="1:46" x14ac:dyDescent="0.25">
      <c r="C367" s="108"/>
      <c r="D367" s="108"/>
      <c r="E367" s="11"/>
    </row>
    <row r="368" spans="1:46" x14ac:dyDescent="0.25">
      <c r="C368" s="108"/>
      <c r="D368" s="108"/>
      <c r="E368" s="11"/>
    </row>
  </sheetData>
  <mergeCells count="33">
    <mergeCell ref="O3:AJ3"/>
    <mergeCell ref="O4:P4"/>
    <mergeCell ref="F4:F5"/>
    <mergeCell ref="J4:L4"/>
    <mergeCell ref="AI4:AI5"/>
    <mergeCell ref="O2:AO2"/>
    <mergeCell ref="AE4:AE5"/>
    <mergeCell ref="AD4:AD5"/>
    <mergeCell ref="AK4:AL4"/>
    <mergeCell ref="Q4:Q5"/>
    <mergeCell ref="R4:R5"/>
    <mergeCell ref="S4:S5"/>
    <mergeCell ref="T4:T5"/>
    <mergeCell ref="U4:U5"/>
    <mergeCell ref="V4:V5"/>
    <mergeCell ref="W4:W5"/>
    <mergeCell ref="X4:X5"/>
    <mergeCell ref="B1:AO1"/>
    <mergeCell ref="B2:C3"/>
    <mergeCell ref="D2:D5"/>
    <mergeCell ref="E2:E5"/>
    <mergeCell ref="F2:L3"/>
    <mergeCell ref="M2:M5"/>
    <mergeCell ref="N2:N5"/>
    <mergeCell ref="AM3:AO4"/>
    <mergeCell ref="Y4:AB4"/>
    <mergeCell ref="AC4:AC5"/>
    <mergeCell ref="AF4:AG4"/>
    <mergeCell ref="B4:B5"/>
    <mergeCell ref="C4:C5"/>
    <mergeCell ref="AH4:AH5"/>
    <mergeCell ref="G4:I4"/>
    <mergeCell ref="AJ4:AJ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352C2-0661-4486-8DC4-8901FD3FE74F}">
  <dimension ref="A1:GC368"/>
  <sheetViews>
    <sheetView topLeftCell="AZ1" zoomScale="70" zoomScaleNormal="70" workbookViewId="0">
      <pane ySplit="5" topLeftCell="A9" activePane="bottomLeft" state="frozen"/>
      <selection activeCell="T1" sqref="T1"/>
      <selection pane="bottomLeft" activeCell="AZ16" sqref="AZ16"/>
    </sheetView>
  </sheetViews>
  <sheetFormatPr baseColWidth="10" defaultRowHeight="15" x14ac:dyDescent="0.25"/>
  <cols>
    <col min="1" max="1" width="6.140625" style="107" customWidth="1"/>
    <col min="2" max="5" width="5.28515625" style="107" customWidth="1"/>
    <col min="6" max="6" width="13.140625" style="107" customWidth="1"/>
    <col min="7" max="7" width="7.140625" style="107" customWidth="1"/>
    <col min="8" max="8" width="7" style="107" customWidth="1"/>
    <col min="9" max="9" width="12.7109375" style="107" bestFit="1" customWidth="1"/>
    <col min="10" max="10" width="8.28515625" style="107" customWidth="1"/>
    <col min="11" max="11" width="5.85546875" style="107" customWidth="1"/>
    <col min="12" max="12" width="10.140625" style="107" customWidth="1"/>
    <col min="13" max="13" width="5.85546875" style="107" customWidth="1"/>
    <col min="14" max="14" width="11.5703125" style="107" customWidth="1"/>
    <col min="15" max="15" width="5.85546875" style="107" customWidth="1"/>
    <col min="16" max="16" width="12" style="107" customWidth="1"/>
    <col min="17" max="17" width="5.85546875" style="107" customWidth="1"/>
    <col min="18" max="20" width="5.7109375" style="107" customWidth="1"/>
    <col min="21" max="21" width="7.140625" style="107" customWidth="1"/>
    <col min="22" max="22" width="5.7109375" style="107" customWidth="1"/>
    <col min="23" max="23" width="6.42578125" style="107" customWidth="1"/>
    <col min="24" max="25" width="5.7109375" style="107" customWidth="1"/>
    <col min="26" max="26" width="6.42578125" style="107" customWidth="1"/>
    <col min="27" max="27" width="15.42578125" style="107" customWidth="1"/>
    <col min="28" max="28" width="5.7109375" style="107" customWidth="1"/>
    <col min="29" max="29" width="6.42578125" style="107" customWidth="1"/>
    <col min="30" max="33" width="5.7109375" style="107" customWidth="1"/>
    <col min="34" max="34" width="6.42578125" style="107" customWidth="1"/>
    <col min="35" max="35" width="6.7109375" style="107" bestFit="1" customWidth="1"/>
    <col min="36" max="36" width="7.140625" style="107" bestFit="1" customWidth="1"/>
    <col min="37" max="37" width="8.7109375" style="107" bestFit="1" customWidth="1"/>
    <col min="38" max="40" width="8.7109375" style="107" customWidth="1"/>
    <col min="41" max="41" width="6.7109375" style="107" bestFit="1" customWidth="1"/>
    <col min="42" max="42" width="8.7109375" style="107" customWidth="1"/>
    <col min="43" max="43" width="8.7109375" style="107" bestFit="1" customWidth="1"/>
    <col min="44" max="46" width="8.7109375" style="107" customWidth="1"/>
    <col min="47" max="47" width="12" style="107" bestFit="1" customWidth="1"/>
    <col min="48" max="49" width="5.7109375" style="107" customWidth="1"/>
    <col min="50" max="50" width="50.5703125" style="268" bestFit="1" customWidth="1"/>
    <col min="51" max="51" width="173.42578125" style="268" bestFit="1" customWidth="1"/>
    <col min="52" max="52" width="146" style="268" bestFit="1" customWidth="1"/>
    <col min="53" max="53" width="103.7109375" style="268" bestFit="1" customWidth="1"/>
    <col min="54" max="16384" width="11.42578125" style="107"/>
  </cols>
  <sheetData>
    <row r="1" spans="1:185" s="12" customFormat="1" ht="23.25" customHeight="1" thickTop="1" x14ac:dyDescent="0.25">
      <c r="B1" s="634" t="s">
        <v>1207</v>
      </c>
      <c r="C1" s="634"/>
      <c r="D1" s="634"/>
      <c r="E1" s="634"/>
      <c r="F1" s="634"/>
      <c r="G1" s="634"/>
      <c r="H1" s="634"/>
      <c r="I1" s="634"/>
      <c r="J1" s="634"/>
      <c r="K1" s="634"/>
      <c r="L1" s="634"/>
      <c r="M1" s="634"/>
      <c r="N1" s="634"/>
      <c r="O1" s="634"/>
      <c r="P1" s="634"/>
      <c r="Q1" s="634"/>
      <c r="R1" s="634"/>
      <c r="S1" s="634"/>
      <c r="T1" s="634"/>
      <c r="U1" s="634"/>
      <c r="V1" s="634"/>
      <c r="W1" s="634"/>
      <c r="X1" s="634"/>
      <c r="Y1" s="634"/>
      <c r="Z1" s="634"/>
      <c r="AA1" s="634"/>
      <c r="AB1" s="634"/>
      <c r="AC1" s="634"/>
      <c r="AD1" s="634"/>
      <c r="AE1" s="634"/>
      <c r="AF1" s="634"/>
      <c r="AG1" s="634"/>
      <c r="AH1" s="634"/>
      <c r="AI1" s="634"/>
      <c r="AJ1" s="634"/>
      <c r="AK1" s="634"/>
      <c r="AL1" s="634"/>
      <c r="AM1" s="634"/>
      <c r="AN1" s="634"/>
      <c r="AO1" s="634"/>
      <c r="AP1" s="634"/>
      <c r="AQ1" s="634"/>
      <c r="AR1" s="634"/>
      <c r="AS1" s="634"/>
      <c r="AT1" s="634"/>
      <c r="AU1" s="634"/>
      <c r="AV1" s="634"/>
      <c r="AW1" s="635"/>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59"/>
      <c r="CT1" s="459"/>
      <c r="CU1" s="459"/>
      <c r="CV1" s="459"/>
      <c r="CW1" s="459"/>
      <c r="CX1" s="459"/>
      <c r="CY1" s="459"/>
      <c r="CZ1" s="459"/>
      <c r="DA1" s="459"/>
      <c r="DB1" s="459"/>
      <c r="DC1" s="459"/>
      <c r="DD1" s="459"/>
      <c r="DE1" s="459"/>
      <c r="DF1" s="459"/>
      <c r="DG1" s="459"/>
      <c r="DH1" s="459"/>
      <c r="DI1" s="459"/>
      <c r="DJ1" s="459"/>
      <c r="DK1" s="459"/>
      <c r="DL1" s="459"/>
      <c r="DM1" s="459"/>
      <c r="DN1" s="459"/>
      <c r="DO1" s="459"/>
      <c r="DP1" s="459"/>
      <c r="DQ1" s="459"/>
      <c r="DR1" s="459"/>
      <c r="DS1" s="459"/>
      <c r="DT1" s="459"/>
      <c r="DU1" s="459"/>
      <c r="DV1" s="459"/>
      <c r="DW1" s="459"/>
      <c r="DX1" s="459"/>
      <c r="DY1" s="460"/>
      <c r="DZ1" s="359"/>
      <c r="EA1" s="362"/>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7"/>
      <c r="FR1" s="357"/>
      <c r="FS1" s="357"/>
      <c r="FT1" s="357"/>
      <c r="FU1" s="357"/>
      <c r="FV1" s="357"/>
      <c r="FW1" s="357"/>
      <c r="FX1" s="357"/>
      <c r="FY1" s="358"/>
      <c r="FZ1" s="263"/>
      <c r="GA1" s="264"/>
      <c r="GB1" s="264"/>
      <c r="GC1" s="264"/>
    </row>
    <row r="2" spans="1:185" s="12" customFormat="1" ht="30" customHeight="1" x14ac:dyDescent="0.25">
      <c r="B2" s="640" t="s">
        <v>554</v>
      </c>
      <c r="C2" s="543"/>
      <c r="D2" s="598" t="s">
        <v>456</v>
      </c>
      <c r="E2" s="598" t="s">
        <v>933</v>
      </c>
      <c r="F2" s="542" t="s">
        <v>658</v>
      </c>
      <c r="G2" s="637" t="s">
        <v>1209</v>
      </c>
      <c r="H2" s="637" t="s">
        <v>1207</v>
      </c>
      <c r="I2" s="515" t="s">
        <v>1210</v>
      </c>
      <c r="J2" s="524"/>
      <c r="K2" s="524"/>
      <c r="L2" s="524"/>
      <c r="M2" s="524"/>
      <c r="N2" s="524"/>
      <c r="O2" s="524"/>
      <c r="P2" s="524"/>
      <c r="Q2" s="524"/>
      <c r="R2" s="524"/>
      <c r="S2" s="524"/>
      <c r="T2" s="524"/>
      <c r="U2" s="524"/>
      <c r="V2" s="524"/>
      <c r="W2" s="524"/>
      <c r="X2" s="524"/>
      <c r="Y2" s="524"/>
      <c r="Z2" s="524"/>
      <c r="AA2" s="524"/>
      <c r="AB2" s="524"/>
      <c r="AC2" s="524"/>
      <c r="AD2" s="524"/>
      <c r="AE2" s="524"/>
      <c r="AF2" s="524"/>
      <c r="AG2" s="524"/>
      <c r="AH2" s="524"/>
      <c r="AI2" s="524"/>
      <c r="AJ2" s="524"/>
      <c r="AK2" s="524"/>
      <c r="AL2" s="524"/>
      <c r="AM2" s="524"/>
      <c r="AN2" s="524"/>
      <c r="AO2" s="524"/>
      <c r="AP2" s="524"/>
      <c r="AQ2" s="524"/>
      <c r="AR2" s="524"/>
      <c r="AS2" s="524"/>
      <c r="AT2" s="524"/>
      <c r="AU2" s="524"/>
      <c r="AV2" s="524"/>
      <c r="AW2" s="550"/>
      <c r="AX2" s="263"/>
      <c r="AY2" s="263"/>
      <c r="AZ2" s="264"/>
      <c r="BA2" s="264"/>
    </row>
    <row r="3" spans="1:185" s="12" customFormat="1" ht="30" customHeight="1" x14ac:dyDescent="0.25">
      <c r="B3" s="641"/>
      <c r="C3" s="535"/>
      <c r="D3" s="636"/>
      <c r="E3" s="636"/>
      <c r="F3" s="533"/>
      <c r="G3" s="638"/>
      <c r="H3" s="638"/>
      <c r="I3" s="515" t="s">
        <v>206</v>
      </c>
      <c r="J3" s="524"/>
      <c r="K3" s="524"/>
      <c r="L3" s="524"/>
      <c r="M3" s="524"/>
      <c r="N3" s="524"/>
      <c r="O3" s="524"/>
      <c r="P3" s="524"/>
      <c r="Q3" s="516"/>
      <c r="R3" s="515" t="s">
        <v>1184</v>
      </c>
      <c r="S3" s="524"/>
      <c r="T3" s="524"/>
      <c r="U3" s="524"/>
      <c r="V3" s="524"/>
      <c r="W3" s="524"/>
      <c r="X3" s="524"/>
      <c r="Y3" s="524"/>
      <c r="Z3" s="524"/>
      <c r="AA3" s="524"/>
      <c r="AB3" s="524"/>
      <c r="AC3" s="524"/>
      <c r="AD3" s="524"/>
      <c r="AE3" s="524"/>
      <c r="AF3" s="524"/>
      <c r="AG3" s="524"/>
      <c r="AH3" s="524"/>
      <c r="AI3" s="524"/>
      <c r="AJ3" s="524"/>
      <c r="AK3" s="524"/>
      <c r="AL3" s="524"/>
      <c r="AM3" s="524"/>
      <c r="AN3" s="524"/>
      <c r="AO3" s="524"/>
      <c r="AP3" s="524"/>
      <c r="AQ3" s="524"/>
      <c r="AR3" s="524"/>
      <c r="AS3" s="524"/>
      <c r="AT3" s="524"/>
      <c r="AU3" s="516"/>
      <c r="AV3" s="560" t="s">
        <v>554</v>
      </c>
      <c r="AW3" s="642"/>
      <c r="AX3" s="263"/>
      <c r="AY3" s="263"/>
      <c r="AZ3" s="264"/>
      <c r="BA3" s="264"/>
    </row>
    <row r="4" spans="1:185" s="12" customFormat="1" ht="26.25" customHeight="1" x14ac:dyDescent="0.25">
      <c r="B4" s="614" t="s">
        <v>986</v>
      </c>
      <c r="C4" s="631" t="s">
        <v>335</v>
      </c>
      <c r="D4" s="636"/>
      <c r="E4" s="636"/>
      <c r="F4" s="513" t="s">
        <v>1208</v>
      </c>
      <c r="G4" s="638"/>
      <c r="H4" s="638"/>
      <c r="I4" s="513" t="s">
        <v>995</v>
      </c>
      <c r="J4" s="513" t="s">
        <v>1211</v>
      </c>
      <c r="K4" s="520" t="s">
        <v>1113</v>
      </c>
      <c r="L4" s="513" t="s">
        <v>1212</v>
      </c>
      <c r="M4" s="520" t="s">
        <v>1113</v>
      </c>
      <c r="N4" s="513" t="s">
        <v>1213</v>
      </c>
      <c r="O4" s="520" t="s">
        <v>1113</v>
      </c>
      <c r="P4" s="513" t="s">
        <v>1214</v>
      </c>
      <c r="Q4" s="520" t="s">
        <v>1113</v>
      </c>
      <c r="R4" s="524" t="s">
        <v>86</v>
      </c>
      <c r="S4" s="516"/>
      <c r="T4" s="515" t="s">
        <v>198</v>
      </c>
      <c r="U4" s="524"/>
      <c r="V4" s="515" t="s">
        <v>20</v>
      </c>
      <c r="W4" s="524"/>
      <c r="X4" s="515" t="s">
        <v>934</v>
      </c>
      <c r="Y4" s="524"/>
      <c r="Z4" s="524"/>
      <c r="AA4" s="513" t="s">
        <v>1219</v>
      </c>
      <c r="AB4" s="515" t="s">
        <v>99</v>
      </c>
      <c r="AC4" s="524"/>
      <c r="AD4" s="515" t="s">
        <v>92</v>
      </c>
      <c r="AE4" s="524"/>
      <c r="AF4" s="524"/>
      <c r="AG4" s="524"/>
      <c r="AH4" s="524"/>
      <c r="AI4" s="513" t="s">
        <v>1220</v>
      </c>
      <c r="AJ4" s="513" t="s">
        <v>88</v>
      </c>
      <c r="AK4" s="513" t="s">
        <v>89</v>
      </c>
      <c r="AL4" s="513" t="s">
        <v>1221</v>
      </c>
      <c r="AM4" s="513" t="s">
        <v>1222</v>
      </c>
      <c r="AN4" s="513" t="s">
        <v>96</v>
      </c>
      <c r="AO4" s="513" t="s">
        <v>1223</v>
      </c>
      <c r="AP4" s="513" t="s">
        <v>1224</v>
      </c>
      <c r="AQ4" s="513" t="s">
        <v>1225</v>
      </c>
      <c r="AR4" s="513" t="s">
        <v>1226</v>
      </c>
      <c r="AS4" s="513" t="s">
        <v>1227</v>
      </c>
      <c r="AT4" s="513" t="s">
        <v>1190</v>
      </c>
      <c r="AU4" s="513" t="s">
        <v>1228</v>
      </c>
      <c r="AV4" s="534"/>
      <c r="AW4" s="643"/>
      <c r="AX4" s="263"/>
      <c r="AY4" s="263"/>
      <c r="AZ4" s="264"/>
      <c r="BA4" s="264"/>
    </row>
    <row r="5" spans="1:185" s="12" customFormat="1" ht="78.75" customHeight="1" x14ac:dyDescent="0.25">
      <c r="B5" s="615"/>
      <c r="C5" s="632"/>
      <c r="D5" s="599"/>
      <c r="E5" s="599"/>
      <c r="F5" s="514"/>
      <c r="G5" s="639"/>
      <c r="H5" s="639"/>
      <c r="I5" s="514"/>
      <c r="J5" s="514"/>
      <c r="K5" s="521"/>
      <c r="L5" s="514"/>
      <c r="M5" s="521"/>
      <c r="N5" s="514"/>
      <c r="O5" s="521"/>
      <c r="P5" s="514"/>
      <c r="Q5" s="521"/>
      <c r="R5" s="366" t="s">
        <v>545</v>
      </c>
      <c r="S5" s="469" t="s">
        <v>546</v>
      </c>
      <c r="T5" s="366" t="s">
        <v>1215</v>
      </c>
      <c r="U5" s="366" t="s">
        <v>1216</v>
      </c>
      <c r="V5" s="366" t="s">
        <v>1217</v>
      </c>
      <c r="W5" s="366" t="s">
        <v>1218</v>
      </c>
      <c r="X5" s="366" t="s">
        <v>935</v>
      </c>
      <c r="Y5" s="366" t="s">
        <v>936</v>
      </c>
      <c r="Z5" s="366" t="s">
        <v>937</v>
      </c>
      <c r="AA5" s="514"/>
      <c r="AB5" s="366" t="s">
        <v>102</v>
      </c>
      <c r="AC5" s="366" t="s">
        <v>103</v>
      </c>
      <c r="AD5" s="366">
        <v>12</v>
      </c>
      <c r="AE5" s="366">
        <v>24</v>
      </c>
      <c r="AF5" s="366">
        <v>36</v>
      </c>
      <c r="AG5" s="366">
        <v>48</v>
      </c>
      <c r="AH5" s="366">
        <v>60</v>
      </c>
      <c r="AI5" s="514"/>
      <c r="AJ5" s="514"/>
      <c r="AK5" s="514"/>
      <c r="AL5" s="514"/>
      <c r="AM5" s="514"/>
      <c r="AN5" s="514"/>
      <c r="AO5" s="514"/>
      <c r="AP5" s="514"/>
      <c r="AQ5" s="514"/>
      <c r="AR5" s="514"/>
      <c r="AS5" s="514"/>
      <c r="AT5" s="514"/>
      <c r="AU5" s="514"/>
      <c r="AV5" s="455" t="s">
        <v>668</v>
      </c>
      <c r="AW5" s="477" t="s">
        <v>355</v>
      </c>
      <c r="AX5" s="263" t="s">
        <v>549</v>
      </c>
      <c r="AY5" s="264" t="s">
        <v>548</v>
      </c>
      <c r="AZ5" s="264" t="s">
        <v>1554</v>
      </c>
      <c r="BA5" s="265" t="s">
        <v>8</v>
      </c>
    </row>
    <row r="6" spans="1:185" s="109" customFormat="1" ht="15" customHeight="1" x14ac:dyDescent="0.25">
      <c r="A6" s="23"/>
      <c r="B6" s="20"/>
      <c r="C6" s="13"/>
      <c r="D6" s="13"/>
      <c r="E6" s="13">
        <v>1</v>
      </c>
      <c r="F6" s="289"/>
      <c r="G6" s="111"/>
      <c r="H6" s="13"/>
      <c r="I6" s="289"/>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453"/>
      <c r="AX6" s="266" t="s">
        <v>1234</v>
      </c>
      <c r="AY6" s="266" t="str">
        <f xml:space="preserve"> CONCATENATE("Acceder al sistema Gemma con usuario y perfil activo para la funcionalidad modulo Maestro - Campaña, hacer clic en el boton,"," ",IF(B6=1,"Modificar un registro","")," ",IF(C6=1,"Eliminar un registro","")," ",IF(D6=1,"Agregar un nuevo registro",""), " ",IF(E6=1,"Exportar Documento Excel","")," ",)</f>
        <v xml:space="preserve">Acceder al sistema Gemma con usuario y perfil activo para la funcionalidad modulo Maestro - Campaña, hacer clic en el boton,    Exportar Documento Excel </v>
      </c>
      <c r="AZ6" s="267" t="str">
        <f>CONCATENATE(" Validar funcionalidad Maestro Campaña seleccionando la opcion "," ",IF(B6=1,"Modificar registro","")," ",IF(C6=1,"Eliminar registro","")," ",IF(D6=1,"Agregar un nuevo registro","")," ",IF(E6=1,"Exportar excel","")," sin seleccionar valores",)</f>
        <v xml:space="preserve"> Validar funcionalidad Maestro Campaña seleccionando la opcion     Exportar excel sin seleccionar valores</v>
      </c>
      <c r="BA6" s="267" t="s">
        <v>1008</v>
      </c>
    </row>
    <row r="7" spans="1:185" s="109" customFormat="1" ht="15" customHeight="1" x14ac:dyDescent="0.25">
      <c r="A7" s="23"/>
      <c r="B7" s="20"/>
      <c r="C7" s="13"/>
      <c r="D7" s="13">
        <v>1</v>
      </c>
      <c r="E7" s="103"/>
      <c r="F7" s="289"/>
      <c r="G7" s="111"/>
      <c r="H7" s="13"/>
      <c r="I7" s="289">
        <v>1</v>
      </c>
      <c r="J7" s="289">
        <v>1</v>
      </c>
      <c r="K7" s="289">
        <v>1</v>
      </c>
      <c r="L7" s="289">
        <v>1</v>
      </c>
      <c r="M7" s="289">
        <v>1</v>
      </c>
      <c r="N7" s="289">
        <v>1</v>
      </c>
      <c r="O7" s="289">
        <v>1</v>
      </c>
      <c r="P7" s="289">
        <v>1</v>
      </c>
      <c r="Q7" s="289">
        <v>1</v>
      </c>
      <c r="R7" s="289">
        <v>1</v>
      </c>
      <c r="S7" s="289"/>
      <c r="T7" s="289">
        <v>1</v>
      </c>
      <c r="U7" s="289"/>
      <c r="V7" s="289">
        <v>1</v>
      </c>
      <c r="W7" s="289"/>
      <c r="X7" s="289">
        <v>1</v>
      </c>
      <c r="Y7" s="289"/>
      <c r="Z7" s="289"/>
      <c r="AA7" s="289">
        <v>1</v>
      </c>
      <c r="AB7" s="289">
        <v>1</v>
      </c>
      <c r="AC7" s="289"/>
      <c r="AD7" s="289">
        <v>1</v>
      </c>
      <c r="AE7" s="289"/>
      <c r="AF7" s="289"/>
      <c r="AG7" s="289"/>
      <c r="AH7" s="289"/>
      <c r="AI7" s="289">
        <v>1</v>
      </c>
      <c r="AJ7" s="289">
        <v>1</v>
      </c>
      <c r="AK7" s="289">
        <v>1</v>
      </c>
      <c r="AL7" s="289">
        <v>1</v>
      </c>
      <c r="AM7" s="289">
        <v>1</v>
      </c>
      <c r="AN7" s="289">
        <v>1</v>
      </c>
      <c r="AO7" s="289">
        <v>1</v>
      </c>
      <c r="AP7" s="289">
        <v>1</v>
      </c>
      <c r="AQ7" s="289">
        <v>1</v>
      </c>
      <c r="AR7" s="289">
        <v>1</v>
      </c>
      <c r="AS7" s="289">
        <v>1</v>
      </c>
      <c r="AT7" s="289">
        <v>1</v>
      </c>
      <c r="AU7" s="289">
        <v>1</v>
      </c>
      <c r="AV7" s="289">
        <v>1</v>
      </c>
      <c r="AW7" s="453"/>
      <c r="AX7" s="266" t="s">
        <v>1235</v>
      </c>
      <c r="AY7" s="266" t="str">
        <f xml:space="preserve"> CONCATENATE("Acceder al sistema Gemma con usuario y perfil activo para la funcionalidad modulo Maestro - Campaña, hacer clic en el boton,"," ",IF(B7=1,"Modificar un registro","")," ",IF(C7=1,"Eliminar un registro","")," ",IF(D7=1,"Agregar un nuevo registro",""), " ",IF(E7=1,"Exportar Documento Excel","")," ",)</f>
        <v xml:space="preserve">Acceder al sistema Gemma con usuario y perfil activo para la funcionalidad modulo Maestro - Campaña, hacer clic en el boton,   Agregar un nuevo registro  </v>
      </c>
      <c r="AZ7" s="267" t="str">
        <f>CONCATENATE(" Validar funcionalidad Maestro Campaña seleccionando la opcion "," ",IF(B7=1,"Modificar registro","")," ",IF(C7=1,"Eliminar registro","")," ",IF(D7=1,"Agregar un nuevo registro","")," ",IF(E7=1,"Exportar excel","")," seleccionado campos requeridos, presionar Confirmar",)</f>
        <v xml:space="preserve"> Validar funcionalidad Maestro Campaña seleccionando la opcion    Agregar un nuevo registro  seleccionado campos requeridos, presionar Confirmar</v>
      </c>
      <c r="BA7" s="267" t="s">
        <v>982</v>
      </c>
    </row>
    <row r="8" spans="1:185" s="109" customFormat="1" ht="15" customHeight="1" x14ac:dyDescent="0.25">
      <c r="A8" s="23"/>
      <c r="B8" s="20">
        <v>1</v>
      </c>
      <c r="C8" s="13"/>
      <c r="D8" s="13"/>
      <c r="E8" s="103"/>
      <c r="F8" s="289">
        <v>1</v>
      </c>
      <c r="G8" s="111"/>
      <c r="H8" s="13"/>
      <c r="I8" s="289">
        <v>1</v>
      </c>
      <c r="J8" s="289"/>
      <c r="K8" s="289"/>
      <c r="L8" s="289">
        <v>1</v>
      </c>
      <c r="M8" s="289">
        <v>1</v>
      </c>
      <c r="N8" s="289"/>
      <c r="O8" s="289"/>
      <c r="P8" s="289">
        <v>1</v>
      </c>
      <c r="Q8" s="289">
        <v>1</v>
      </c>
      <c r="R8" s="289">
        <v>1</v>
      </c>
      <c r="S8" s="289"/>
      <c r="T8" s="289"/>
      <c r="U8" s="289"/>
      <c r="V8" s="289"/>
      <c r="W8" s="289"/>
      <c r="X8" s="289"/>
      <c r="Y8" s="289"/>
      <c r="Z8" s="289"/>
      <c r="AA8" s="289">
        <v>1</v>
      </c>
      <c r="AB8" s="289"/>
      <c r="AC8" s="289"/>
      <c r="AD8" s="289"/>
      <c r="AE8" s="289"/>
      <c r="AF8" s="289"/>
      <c r="AG8" s="289">
        <v>1</v>
      </c>
      <c r="AH8" s="289"/>
      <c r="AI8" s="289">
        <v>1</v>
      </c>
      <c r="AJ8" s="289"/>
      <c r="AK8" s="289"/>
      <c r="AL8" s="289">
        <v>1</v>
      </c>
      <c r="AM8" s="289"/>
      <c r="AN8" s="289"/>
      <c r="AO8" s="289">
        <v>1</v>
      </c>
      <c r="AP8" s="289"/>
      <c r="AQ8" s="289">
        <v>1</v>
      </c>
      <c r="AR8" s="289"/>
      <c r="AS8" s="289"/>
      <c r="AT8" s="289"/>
      <c r="AU8" s="289">
        <v>1</v>
      </c>
      <c r="AV8" s="289">
        <v>1</v>
      </c>
      <c r="AW8" s="453"/>
      <c r="AX8" s="266" t="s">
        <v>1236</v>
      </c>
      <c r="AY8" s="266" t="str">
        <f xml:space="preserve"> CONCATENATE("Acceder al sistema Gemma con usuario y perfil activo para la funcionalidad modulo Maestro - Campaña, hacer clic en el boton,"," ",IF(B8=1,"Modificar un registro","")," ",IF(C8=1,"Eliminar un registro","")," ",IF(D8=1,"Agregar un nuevo registro",""), " ",IF(E8=1,"Exportar Documento Excel",""),"seleccionando Dist Descripcion en el filtro",)</f>
        <v>Acceder al sistema Gemma con usuario y perfil activo para la funcionalidad modulo Maestro - Campaña, hacer clic en el boton, Modificar un registro   seleccionando Dist Descripcion en el filtro</v>
      </c>
      <c r="AZ8" s="267" t="str">
        <f>CONCATENATE(" Validar funcionalidad Maestro Campaña seleccionando la opcion "," ",IF(B8=1,"Modificar registro","")," ",IF(C8=1,"Eliminar registro","")," ",IF(D8=1,"Agregar un nuevo registro","")," ",IF(E8=1,"Exportar excel","")," seleccionando los valores en el filtro, presionar Confirmat",)</f>
        <v xml:space="preserve"> Validar funcionalidad Maestro Campaña seleccionando la opcion  Modificar registro    seleccionando los valores en el filtro, presionar Confirmat</v>
      </c>
      <c r="BA8" s="267" t="s">
        <v>1009</v>
      </c>
    </row>
    <row r="9" spans="1:185" s="109" customFormat="1" ht="15" customHeight="1" x14ac:dyDescent="0.25">
      <c r="A9" s="23"/>
      <c r="B9" s="20">
        <v>1</v>
      </c>
      <c r="C9" s="13"/>
      <c r="D9" s="13"/>
      <c r="E9" s="103"/>
      <c r="F9" s="289"/>
      <c r="G9" s="111"/>
      <c r="H9" s="13"/>
      <c r="I9" s="289">
        <v>1</v>
      </c>
      <c r="J9" s="289">
        <v>1</v>
      </c>
      <c r="K9" s="289">
        <v>1</v>
      </c>
      <c r="L9" s="289"/>
      <c r="M9" s="289"/>
      <c r="N9" s="289">
        <v>1</v>
      </c>
      <c r="O9" s="289">
        <v>1</v>
      </c>
      <c r="P9" s="289"/>
      <c r="Q9" s="289"/>
      <c r="R9" s="289">
        <v>1</v>
      </c>
      <c r="S9" s="289"/>
      <c r="T9" s="289"/>
      <c r="U9" s="289"/>
      <c r="V9" s="289"/>
      <c r="W9" s="289"/>
      <c r="X9" s="289"/>
      <c r="Y9" s="289"/>
      <c r="Z9" s="289"/>
      <c r="AA9" s="289"/>
      <c r="AB9" s="289"/>
      <c r="AC9" s="289"/>
      <c r="AD9" s="289"/>
      <c r="AE9" s="289"/>
      <c r="AF9" s="289"/>
      <c r="AG9" s="289"/>
      <c r="AH9" s="289"/>
      <c r="AI9" s="289"/>
      <c r="AJ9" s="289"/>
      <c r="AK9" s="289"/>
      <c r="AL9" s="289"/>
      <c r="AM9" s="289"/>
      <c r="AN9" s="289"/>
      <c r="AO9" s="289"/>
      <c r="AP9" s="289"/>
      <c r="AQ9" s="289"/>
      <c r="AR9" s="289"/>
      <c r="AS9" s="289"/>
      <c r="AT9" s="289"/>
      <c r="AU9" s="289"/>
      <c r="AV9" s="289">
        <v>1</v>
      </c>
      <c r="AW9" s="453"/>
      <c r="AX9" s="266" t="s">
        <v>1229</v>
      </c>
      <c r="AY9" s="266" t="str">
        <f xml:space="preserve"> CONCATENATE("Acceder al sistema Gemma con usuario y perfil activo para la funcionalidad modulo Maestro - Campaña, hacer clic en el boton,"," ",IF(B9=1,"Modificar un registro","")," ",IF(C9=1,"Eliminar un registro","")," ",IF(D9=1,"Agregar un nuevo registro",""), " ",IF(E9=1,"Exportar Documento Excel",""),"tomando un registro de la tabla consulta ",)</f>
        <v xml:space="preserve">Acceder al sistema Gemma con usuario y perfil activo para la funcionalidad modulo Maestro - Campaña, hacer clic en el boton, Modificar un registro   tomando un registro de la tabla consulta </v>
      </c>
      <c r="AZ9" s="267" t="str">
        <f>CONCATENATE(" Validar funcionalidad Maestro Campaña seleccionando la opcion "," ",IF(B9=1,"Modificar registro","")," ",IF(C9=1,"Eliminar registro","")," ",IF(D9=1,"Agregar un nuevo registro","")," ",IF(E9=1,"Exportar excel","")," sin seleccionar valores en el filtro, presionar Confirmar",)</f>
        <v xml:space="preserve"> Validar funcionalidad Maestro Campaña seleccionando la opcion  Modificar registro    sin seleccionar valores en el filtro, presionar Confirmar</v>
      </c>
      <c r="BA9" s="267" t="s">
        <v>1010</v>
      </c>
    </row>
    <row r="10" spans="1:185" s="109" customFormat="1" ht="15" customHeight="1" x14ac:dyDescent="0.25">
      <c r="A10" s="23"/>
      <c r="B10" s="20"/>
      <c r="C10" s="13">
        <v>1</v>
      </c>
      <c r="D10" s="13"/>
      <c r="E10" s="103"/>
      <c r="F10" s="289">
        <v>1</v>
      </c>
      <c r="G10" s="111"/>
      <c r="H10" s="13"/>
      <c r="I10" s="289"/>
      <c r="J10" s="289"/>
      <c r="K10" s="289"/>
      <c r="L10" s="289"/>
      <c r="M10" s="289"/>
      <c r="N10" s="289"/>
      <c r="O10" s="289"/>
      <c r="P10" s="289"/>
      <c r="Q10" s="289"/>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89"/>
      <c r="AQ10" s="289"/>
      <c r="AR10" s="289"/>
      <c r="AS10" s="289"/>
      <c r="AT10" s="289"/>
      <c r="AU10" s="289"/>
      <c r="AV10" s="289">
        <v>1</v>
      </c>
      <c r="AW10" s="453"/>
      <c r="AX10" s="266" t="s">
        <v>1230</v>
      </c>
      <c r="AY10" s="266" t="str">
        <f xml:space="preserve"> CONCATENATE("Acceder al sistema Gemma con usuario y perfil activo para la funcionalidad modulo Maestro - Campaña, hacer clic en el boton,"," ",IF(B10=1,"Modificar un registro","")," ",IF(C10=1,"Eliminar un registro","")," ",IF(D10=1,"Agregar un nuevo registro",""), " ",IF(E10=1,"Exportar Documento Excel",""),"seleccionando Dist Descripcion en el filtro",)</f>
        <v>Acceder al sistema Gemma con usuario y perfil activo para la funcionalidad modulo Maestro - Campaña, hacer clic en el boton,  Eliminar un registro  seleccionando Dist Descripcion en el filtro</v>
      </c>
      <c r="AZ10" s="267" t="str">
        <f>CONCATENATE(" Validar funcionalidad Maestro Campaña seleccionando la opcion "," ",IF(B10=1,"Modificar registro","")," ",IF(C10=1,"Eliminar registro","")," ",IF(D10=1,"Agregar un nuevo registro","")," ",IF(E10=1,"Exportar excel","")," seleccionando valores en el filtro, presionar Confirmar",)</f>
        <v xml:space="preserve"> Validar funcionalidad Maestro Campaña seleccionando la opcion   Eliminar registro   seleccionando valores en el filtro, presionar Confirmar</v>
      </c>
      <c r="BA10" s="267" t="s">
        <v>1011</v>
      </c>
    </row>
    <row r="11" spans="1:185" s="109" customFormat="1" ht="15" customHeight="1" x14ac:dyDescent="0.25">
      <c r="A11" s="23"/>
      <c r="B11" s="20"/>
      <c r="C11" s="13">
        <v>1</v>
      </c>
      <c r="D11" s="13"/>
      <c r="E11" s="103"/>
      <c r="F11" s="289"/>
      <c r="G11" s="111"/>
      <c r="H11" s="13"/>
      <c r="I11" s="289"/>
      <c r="J11" s="289"/>
      <c r="K11" s="289"/>
      <c r="L11" s="289"/>
      <c r="M11" s="289"/>
      <c r="N11" s="289"/>
      <c r="O11" s="289"/>
      <c r="P11" s="289"/>
      <c r="Q11" s="289"/>
      <c r="R11" s="289"/>
      <c r="S11" s="289"/>
      <c r="T11" s="289"/>
      <c r="U11" s="289"/>
      <c r="V11" s="289"/>
      <c r="W11" s="289"/>
      <c r="X11" s="289"/>
      <c r="Y11" s="289"/>
      <c r="Z11" s="289"/>
      <c r="AA11" s="289"/>
      <c r="AB11" s="289"/>
      <c r="AC11" s="289"/>
      <c r="AD11" s="289"/>
      <c r="AE11" s="289"/>
      <c r="AF11" s="289"/>
      <c r="AG11" s="289"/>
      <c r="AH11" s="289"/>
      <c r="AI11" s="289"/>
      <c r="AJ11" s="289"/>
      <c r="AK11" s="289"/>
      <c r="AL11" s="289"/>
      <c r="AM11" s="289"/>
      <c r="AN11" s="289"/>
      <c r="AO11" s="289"/>
      <c r="AP11" s="289"/>
      <c r="AQ11" s="289"/>
      <c r="AR11" s="289"/>
      <c r="AS11" s="289"/>
      <c r="AT11" s="289"/>
      <c r="AU11" s="289"/>
      <c r="AV11" s="289">
        <v>1</v>
      </c>
      <c r="AW11" s="453"/>
      <c r="AX11" s="266" t="s">
        <v>1231</v>
      </c>
      <c r="AY11" s="266" t="str">
        <f xml:space="preserve"> CONCATENATE("Acceder al sistema Gemma con usuario y perfil activo para la funcionalidad modulo Maestro - Campaña, hacer clic en el boton,"," ",IF(B11=1,"Modificar un registro","")," ",IF(C11=1,"Eliminar un registro","")," ",IF(D11=1,"Agregar un nuevo registro",""), " ",IF(E11=1,"Exportar Documento Excel",""),"tomando un registro de la tabla consulta ",)</f>
        <v xml:space="preserve">Acceder al sistema Gemma con usuario y perfil activo para la funcionalidad modulo Maestro - Campaña, hacer clic en el boton,  Eliminar un registro  tomando un registro de la tabla consulta </v>
      </c>
      <c r="AZ11" s="267" t="str">
        <f>CONCATENATE(" Validar funcionalidad Maestro Campaña seleccionando la opcion "," ",IF(B11=1,"Modificar registro","")," ",IF(C11=1,"Eliminar registro","")," ",IF(D11=1,"Agregar un nuevo registro","")," ",IF(E11=1,"Exportar excel","")," sin seleccionar valores en el filtro, presionar Confirmar",)</f>
        <v xml:space="preserve"> Validar funcionalidad Maestro Campaña seleccionando la opcion   Eliminar registro   sin seleccionar valores en el filtro, presionar Confirmar</v>
      </c>
      <c r="BA11" s="267" t="s">
        <v>1012</v>
      </c>
    </row>
    <row r="12" spans="1:185" s="109" customFormat="1" ht="15" customHeight="1" x14ac:dyDescent="0.25">
      <c r="A12" s="23"/>
      <c r="B12" s="20">
        <v>1</v>
      </c>
      <c r="C12" s="13"/>
      <c r="D12" s="13"/>
      <c r="E12" s="103"/>
      <c r="F12" s="289">
        <v>1</v>
      </c>
      <c r="G12" s="450">
        <v>1</v>
      </c>
      <c r="H12" s="13"/>
      <c r="I12" s="289">
        <v>1</v>
      </c>
      <c r="J12" s="289">
        <v>1</v>
      </c>
      <c r="K12" s="289">
        <v>1</v>
      </c>
      <c r="L12" s="289"/>
      <c r="M12" s="289"/>
      <c r="N12" s="289"/>
      <c r="O12" s="289"/>
      <c r="P12" s="289"/>
      <c r="Q12" s="289"/>
      <c r="R12" s="289">
        <v>1</v>
      </c>
      <c r="S12" s="289"/>
      <c r="T12" s="289"/>
      <c r="U12" s="289">
        <v>1</v>
      </c>
      <c r="V12" s="289"/>
      <c r="W12" s="289">
        <v>1</v>
      </c>
      <c r="X12" s="289"/>
      <c r="Y12" s="289"/>
      <c r="Z12" s="289">
        <v>1</v>
      </c>
      <c r="AA12" s="289"/>
      <c r="AB12" s="289"/>
      <c r="AC12" s="289">
        <v>1</v>
      </c>
      <c r="AD12" s="289"/>
      <c r="AE12" s="289"/>
      <c r="AF12" s="289"/>
      <c r="AG12" s="289"/>
      <c r="AH12" s="289">
        <v>1</v>
      </c>
      <c r="AI12" s="289"/>
      <c r="AJ12" s="289"/>
      <c r="AK12" s="289"/>
      <c r="AL12" s="289"/>
      <c r="AM12" s="289"/>
      <c r="AN12" s="289">
        <v>1</v>
      </c>
      <c r="AO12" s="289"/>
      <c r="AP12" s="289"/>
      <c r="AQ12" s="289"/>
      <c r="AR12" s="289"/>
      <c r="AS12" s="289">
        <v>1</v>
      </c>
      <c r="AT12" s="289"/>
      <c r="AU12" s="289"/>
      <c r="AV12" s="289">
        <v>1</v>
      </c>
      <c r="AW12" s="453"/>
      <c r="AX12" s="266" t="s">
        <v>1232</v>
      </c>
      <c r="AY12" s="266" t="str">
        <f xml:space="preserve"> CONCATENATE("Acceder al sistema Gemma con usuario y perfil activo para la funcionalidad modulo Maestro - Campaña, hacer clic en el boton,"," ",IF(B12=1,"Modificar un registro","")," ",IF(C12=1,"Eliminar un registro","")," ",IF(D12=1,"Agregar un nuevo registro",""), " ",IF(E12=1,"Exportar Documento Excel","")," mediante el Link Dist Descripcion",)</f>
        <v>Acceder al sistema Gemma con usuario y perfil activo para la funcionalidad modulo Maestro - Campaña, hacer clic en el boton, Modificar un registro    mediante el Link Dist Descripcion</v>
      </c>
      <c r="AZ12" s="267" t="str">
        <f>CONCATENATE(" Validar funcionalidad Maestro Campaña seleccionando la opcion ","presionando ",IF(G12=1,$G$2,"")," ",IF(B12=1,"Modificar registro","")," ",IF(C12=1,"Eliminar registro","")," ",IF(D12=1,"Agregar un nuevo registro","")," ",IF(E12=1,"Exportar excel",""),"seleccionando valores en el filtro, presionar Confirmar",)</f>
        <v xml:space="preserve"> Validar funcionalidad Maestro Campaña seleccionando la opcion presionando Link Dist Descripción Modificar registro   seleccionando valores en el filtro, presionar Confirmar</v>
      </c>
      <c r="BA12" s="267" t="s">
        <v>1237</v>
      </c>
    </row>
    <row r="13" spans="1:185" s="109" customFormat="1" ht="15" customHeight="1" thickBot="1" x14ac:dyDescent="0.3">
      <c r="A13" s="23"/>
      <c r="B13" s="20"/>
      <c r="C13" s="13">
        <v>1</v>
      </c>
      <c r="D13" s="13"/>
      <c r="E13" s="103"/>
      <c r="F13" s="13">
        <v>1</v>
      </c>
      <c r="G13" s="273">
        <v>1</v>
      </c>
      <c r="H13" s="272"/>
      <c r="I13" s="13"/>
      <c r="J13" s="13"/>
      <c r="K13" s="13"/>
      <c r="L13" s="13"/>
      <c r="M13" s="13"/>
      <c r="N13" s="13"/>
      <c r="O13" s="13"/>
      <c r="P13" s="13"/>
      <c r="Q13" s="13"/>
      <c r="R13" s="289"/>
      <c r="S13" s="289"/>
      <c r="T13" s="289"/>
      <c r="U13" s="289"/>
      <c r="V13" s="289"/>
      <c r="W13" s="289"/>
      <c r="X13" s="289"/>
      <c r="Y13" s="289"/>
      <c r="Z13" s="289"/>
      <c r="AA13" s="13"/>
      <c r="AB13" s="289"/>
      <c r="AC13" s="289"/>
      <c r="AD13" s="289"/>
      <c r="AE13" s="289"/>
      <c r="AF13" s="289"/>
      <c r="AG13" s="289"/>
      <c r="AH13" s="289"/>
      <c r="AI13" s="13"/>
      <c r="AJ13" s="13"/>
      <c r="AK13" s="13"/>
      <c r="AL13" s="13"/>
      <c r="AM13" s="13"/>
      <c r="AN13" s="13"/>
      <c r="AO13" s="13"/>
      <c r="AP13" s="13"/>
      <c r="AQ13" s="13"/>
      <c r="AR13" s="13"/>
      <c r="AS13" s="13"/>
      <c r="AT13" s="13"/>
      <c r="AU13" s="13"/>
      <c r="AV13" s="13">
        <v>1</v>
      </c>
      <c r="AW13" s="278"/>
      <c r="AX13" s="266" t="s">
        <v>1233</v>
      </c>
      <c r="AY13" s="266" t="str">
        <f xml:space="preserve"> CONCATENATE("Acceder al sistema Gemma con usuario y perfil activo para la funcionalidad modulo Maestro - Campaña, hacer clic en el boton,"," ",IF(B13=1,"Modificar un registro","")," ",IF(C13=1,"Eliminar un registro","")," ",IF(D13=1,"Agregar un nuevo registro",""), " ",IF(E13=1,"Exportar Documento Excel",""),"  mediante el Link Dist Descripcion",)</f>
        <v>Acceder al sistema Gemma con usuario y perfil activo para la funcionalidad modulo Maestro - Campaña, hacer clic en el boton,  Eliminar un registro    mediante el Link Dist Descripcion</v>
      </c>
      <c r="AZ13" s="267" t="str">
        <f>CONCATENATE(" Validar funcionalidad Maestro Campaña seleccionando la opcion ","presionando ",IF(G13=1,$G$2,"")," ",IF(B13=1,"Modificar registro","")," ",IF(C13=1,"Eliminar registro","")," ",IF(D13=1,"Agregar un nuevo registro","")," ",IF(E13=1,"Exportar excel",""),"seleccionando valores en el filtro, presionar Confirmar",)</f>
        <v xml:space="preserve"> Validar funcionalidad Maestro Campaña seleccionando la opcion presionando Link Dist Descripción  Eliminar registro  seleccionando valores en el filtro, presionar Confirmar</v>
      </c>
      <c r="BA13" s="267" t="s">
        <v>1238</v>
      </c>
    </row>
    <row r="14" spans="1:185" s="109" customFormat="1" ht="15" customHeight="1" thickTop="1" x14ac:dyDescent="0.25">
      <c r="A14" s="23"/>
      <c r="B14" s="292"/>
      <c r="C14" s="293"/>
      <c r="D14" s="293">
        <v>1</v>
      </c>
      <c r="E14" s="293"/>
      <c r="F14" s="398"/>
      <c r="G14" s="106"/>
      <c r="H14" s="293"/>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K14" s="398"/>
      <c r="AL14" s="398"/>
      <c r="AM14" s="398"/>
      <c r="AN14" s="398"/>
      <c r="AO14" s="398"/>
      <c r="AP14" s="398"/>
      <c r="AQ14" s="398"/>
      <c r="AR14" s="398"/>
      <c r="AS14" s="398"/>
      <c r="AT14" s="398"/>
      <c r="AU14" s="398"/>
      <c r="AV14" s="398">
        <v>1</v>
      </c>
      <c r="AW14" s="458"/>
      <c r="AX14" s="266" t="s">
        <v>1549</v>
      </c>
      <c r="AY14" s="266" t="str">
        <f xml:space="preserve"> CONCATENATE("Acceder al sistema Gemma con usuario y perfil activo para la funcionalidad modulo Maestro - Campaña, hacer clic en el boton,"," ",IF(B14=1,"Modificar un registro","")," ",IF(C14=1,"Eliminar un registro","")," ",IF(D14=1,"Agregar un nuevo registro",""), " dejando los campos vacios. ",IF(E14=1,"Exportar Documento Excel","")," ",)</f>
        <v xml:space="preserve">Acceder al sistema Gemma con usuario y perfil activo para la funcionalidad modulo Maestro - Campaña, hacer clic en el boton,   Agregar un nuevo registro dejando los campos vacios.  </v>
      </c>
      <c r="AZ14" s="267" t="str">
        <f>CONCATENATE(" Validar funcionalidad Maestro Campaña seleccionando la opcion "," ",IF(B14=1,"Modificar o","")," ",IF(C14=1,"Eliminar o","")," ",IF(D14=1,"Agregar un registro","")," ",IF(E14=1,"Exportar excel","")," sin seleccionar filtros y campos vacios, presionar Confirmar",)</f>
        <v xml:space="preserve"> Validar funcionalidad Maestro Campaña seleccionando la opcion    Agregar un registro  sin seleccionar filtros y campos vacios, presionar Confirmar</v>
      </c>
      <c r="BA14" s="267" t="s">
        <v>1487</v>
      </c>
    </row>
    <row r="15" spans="1:185" s="109" customFormat="1" ht="15" customHeight="1" x14ac:dyDescent="0.25">
      <c r="A15" s="23"/>
      <c r="B15" s="20"/>
      <c r="C15" s="13"/>
      <c r="D15" s="13">
        <v>1</v>
      </c>
      <c r="E15" s="13"/>
      <c r="F15" s="451"/>
      <c r="G15" s="450"/>
      <c r="H15" s="111"/>
      <c r="I15" s="451"/>
      <c r="J15" s="451"/>
      <c r="K15" s="451"/>
      <c r="L15" s="451"/>
      <c r="M15" s="451"/>
      <c r="N15" s="451"/>
      <c r="O15" s="451"/>
      <c r="P15" s="451"/>
      <c r="Q15" s="451"/>
      <c r="R15" s="289"/>
      <c r="S15" s="289"/>
      <c r="T15" s="451"/>
      <c r="U15" s="289"/>
      <c r="V15" s="451"/>
      <c r="W15" s="289"/>
      <c r="X15" s="451"/>
      <c r="Y15" s="451"/>
      <c r="Z15" s="289"/>
      <c r="AA15" s="451"/>
      <c r="AB15" s="451"/>
      <c r="AC15" s="289"/>
      <c r="AD15" s="451"/>
      <c r="AE15" s="451"/>
      <c r="AF15" s="451"/>
      <c r="AG15" s="451"/>
      <c r="AH15" s="289"/>
      <c r="AI15" s="451"/>
      <c r="AJ15" s="451"/>
      <c r="AK15" s="451"/>
      <c r="AL15" s="451"/>
      <c r="AM15" s="451"/>
      <c r="AN15" s="451"/>
      <c r="AO15" s="451"/>
      <c r="AP15" s="451"/>
      <c r="AQ15" s="451"/>
      <c r="AR15" s="451"/>
      <c r="AS15" s="451"/>
      <c r="AT15" s="451"/>
      <c r="AU15" s="451"/>
      <c r="AV15" s="289"/>
      <c r="AW15" s="453"/>
      <c r="AX15" s="266" t="s">
        <v>1550</v>
      </c>
      <c r="AY15" s="266" t="str">
        <f xml:space="preserve"> CONCATENATE("Acceder al sistema Gemma con usuario y perfil activo para la funcionalidad modulo Maestro - Campaña, hacer clic en el boton,"," ",IF(B15=1,"Modificar un registro","")," ",IF(C15=1,"Eliminar un registro","")," ",IF(D15=1,"Agregar un nuevo registro",""), " ",IF(E15=1,"Exportar Documento Excel",""),"  colocando un valor no numerico en la fecha",)</f>
        <v>Acceder al sistema Gemma con usuario y perfil activo para la funcionalidad modulo Maestro - Campaña, hacer clic en el boton,   Agregar un nuevo registro   colocando un valor no numerico en la fecha</v>
      </c>
      <c r="AZ15" s="267" t="str">
        <f>CONCATENATE(" Validar funcionalidad Maestro Campaña seleccionando la opcion "," ",IF(B15=1,"Modificar o","")," ",IF(C15=1,"Eliminar o","")," ",IF(D15=1,"Agregar un registro","")," con el campo de Fecha no Numerico",)</f>
        <v xml:space="preserve"> Validar funcionalidad Maestro Campaña seleccionando la opcion    Agregar un registro con el campo de Fecha no Numerico</v>
      </c>
      <c r="BA15" s="267" t="s">
        <v>1487</v>
      </c>
    </row>
    <row r="16" spans="1:185" s="109" customFormat="1" x14ac:dyDescent="0.25">
      <c r="B16" s="14"/>
      <c r="C16" s="110"/>
      <c r="D16" s="110"/>
      <c r="E16" s="110"/>
      <c r="F16" s="111" t="s">
        <v>1201</v>
      </c>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278"/>
      <c r="AX16" s="266" t="s">
        <v>1551</v>
      </c>
      <c r="AY16" s="266" t="str">
        <f xml:space="preserve"> CONCATENATE("Acceder al sistema Gemma con usuario y perfil activo para la funcionalidad modulo Maestro - Campaña, hacer clic en el boton,"," ",IF(B16=1,"Modificar un registro","")," Buscar con el filtro un Dist Descipcion Invalido",)</f>
        <v>Acceder al sistema Gemma con usuario y perfil activo para la funcionalidad modulo Maestro - Campaña, hacer clic en el boton,  Buscar con el filtro un Dist Descipcion Invalido</v>
      </c>
      <c r="AZ16" s="267" t="s">
        <v>1552</v>
      </c>
      <c r="BA16" s="267" t="s">
        <v>1205</v>
      </c>
    </row>
    <row r="17" spans="2:53" s="109" customFormat="1" x14ac:dyDescent="0.25">
      <c r="B17" s="14"/>
      <c r="C17" s="110"/>
      <c r="D17" s="110"/>
      <c r="E17" s="110"/>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278"/>
      <c r="AX17" s="266"/>
      <c r="AY17" s="266"/>
      <c r="AZ17" s="267"/>
      <c r="BA17" s="267"/>
    </row>
    <row r="18" spans="2:53" s="109" customFormat="1" x14ac:dyDescent="0.25">
      <c r="B18" s="14"/>
      <c r="C18" s="110"/>
      <c r="D18" s="110"/>
      <c r="E18" s="110"/>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278"/>
      <c r="AX18" s="266"/>
      <c r="AY18" s="266"/>
      <c r="AZ18" s="267"/>
      <c r="BA18" s="267"/>
    </row>
    <row r="19" spans="2:53" s="109" customFormat="1" x14ac:dyDescent="0.25">
      <c r="B19" s="14"/>
      <c r="C19" s="110"/>
      <c r="D19" s="110"/>
      <c r="E19" s="110"/>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278"/>
      <c r="AX19" s="266"/>
      <c r="AY19" s="266"/>
      <c r="AZ19" s="267"/>
      <c r="BA19" s="267"/>
    </row>
    <row r="20" spans="2:53" s="109" customFormat="1" x14ac:dyDescent="0.25">
      <c r="B20" s="14"/>
      <c r="C20" s="110"/>
      <c r="D20" s="110"/>
      <c r="E20" s="110"/>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278"/>
      <c r="AX20" s="266"/>
      <c r="AY20" s="266"/>
      <c r="AZ20" s="267"/>
      <c r="BA20" s="267"/>
    </row>
    <row r="21" spans="2:53" s="109" customFormat="1" x14ac:dyDescent="0.25">
      <c r="B21" s="14"/>
      <c r="C21" s="110"/>
      <c r="D21" s="110"/>
      <c r="E21" s="110"/>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278"/>
      <c r="AX21" s="266"/>
      <c r="AY21" s="266"/>
      <c r="AZ21" s="267"/>
      <c r="BA21" s="267"/>
    </row>
    <row r="22" spans="2:53" s="109" customFormat="1" x14ac:dyDescent="0.25">
      <c r="B22" s="14"/>
      <c r="C22" s="110"/>
      <c r="D22" s="110"/>
      <c r="E22" s="110"/>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278"/>
      <c r="AX22" s="266"/>
      <c r="AY22" s="266"/>
      <c r="AZ22" s="267"/>
      <c r="BA22" s="267"/>
    </row>
    <row r="23" spans="2:53" s="109" customFormat="1" x14ac:dyDescent="0.25">
      <c r="B23" s="14"/>
      <c r="C23" s="110"/>
      <c r="D23" s="110"/>
      <c r="E23" s="110"/>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278"/>
      <c r="AX23" s="266"/>
      <c r="AY23" s="266"/>
      <c r="AZ23" s="267"/>
      <c r="BA23" s="267"/>
    </row>
    <row r="24" spans="2:53" s="109" customFormat="1" x14ac:dyDescent="0.25">
      <c r="B24" s="14"/>
      <c r="C24" s="110"/>
      <c r="D24" s="110"/>
      <c r="E24" s="110"/>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278"/>
      <c r="AX24" s="266"/>
      <c r="AY24" s="266"/>
      <c r="AZ24" s="267"/>
      <c r="BA24" s="267"/>
    </row>
    <row r="25" spans="2:53" s="109" customFormat="1" x14ac:dyDescent="0.25">
      <c r="B25" s="14"/>
      <c r="C25" s="110"/>
      <c r="D25" s="110"/>
      <c r="E25" s="110"/>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278"/>
      <c r="AX25" s="266"/>
      <c r="AY25" s="266"/>
      <c r="AZ25" s="267"/>
      <c r="BA25" s="267"/>
    </row>
    <row r="26" spans="2:53" s="109" customFormat="1" x14ac:dyDescent="0.25">
      <c r="B26" s="14"/>
      <c r="C26" s="110"/>
      <c r="D26" s="110"/>
      <c r="E26" s="110"/>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278"/>
      <c r="AX26" s="266"/>
      <c r="AY26" s="266"/>
      <c r="AZ26" s="267"/>
      <c r="BA26" s="267"/>
    </row>
    <row r="27" spans="2:53" s="109" customFormat="1" x14ac:dyDescent="0.25">
      <c r="B27" s="18"/>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278"/>
      <c r="AX27" s="266"/>
      <c r="AY27" s="266"/>
      <c r="AZ27" s="267"/>
      <c r="BA27" s="267"/>
    </row>
    <row r="28" spans="2:53" s="109" customFormat="1" x14ac:dyDescent="0.25">
      <c r="B28" s="18"/>
      <c r="C28" s="13"/>
      <c r="D28" s="13"/>
      <c r="E28" s="13"/>
      <c r="F28" s="110"/>
      <c r="G28" s="110"/>
      <c r="H28" s="110"/>
      <c r="I28" s="110"/>
      <c r="J28" s="110"/>
      <c r="K28" s="110"/>
      <c r="L28" s="110"/>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c r="AM28" s="110"/>
      <c r="AN28" s="110"/>
      <c r="AO28" s="110"/>
      <c r="AP28" s="110"/>
      <c r="AQ28" s="110"/>
      <c r="AR28" s="110"/>
      <c r="AS28" s="110"/>
      <c r="AT28" s="110"/>
      <c r="AU28" s="110"/>
      <c r="AV28" s="110"/>
      <c r="AW28" s="17"/>
      <c r="AX28" s="270"/>
      <c r="AY28" s="270"/>
      <c r="AZ28" s="267"/>
      <c r="BA28" s="267"/>
    </row>
    <row r="29" spans="2:53" s="109" customFormat="1" x14ac:dyDescent="0.25">
      <c r="B29" s="18"/>
      <c r="C29" s="13"/>
      <c r="D29" s="13"/>
      <c r="E29" s="13"/>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c r="AM29" s="110"/>
      <c r="AN29" s="110"/>
      <c r="AO29" s="110"/>
      <c r="AP29" s="110"/>
      <c r="AQ29" s="110"/>
      <c r="AR29" s="110"/>
      <c r="AS29" s="110"/>
      <c r="AT29" s="110"/>
      <c r="AU29" s="110"/>
      <c r="AV29" s="110"/>
      <c r="AW29" s="17"/>
      <c r="AX29" s="270"/>
      <c r="AY29" s="270"/>
      <c r="AZ29" s="267"/>
      <c r="BA29" s="267"/>
    </row>
    <row r="30" spans="2:53" s="109" customFormat="1" x14ac:dyDescent="0.25">
      <c r="B30" s="18"/>
      <c r="C30" s="13"/>
      <c r="D30" s="13"/>
      <c r="E30" s="13"/>
      <c r="F30" s="110"/>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110"/>
      <c r="AP30" s="110"/>
      <c r="AQ30" s="110"/>
      <c r="AR30" s="110"/>
      <c r="AS30" s="110"/>
      <c r="AT30" s="110"/>
      <c r="AU30" s="110"/>
      <c r="AV30" s="110"/>
      <c r="AW30" s="17"/>
      <c r="AX30" s="270"/>
      <c r="AY30" s="270"/>
      <c r="AZ30" s="267"/>
      <c r="BA30" s="267"/>
    </row>
    <row r="31" spans="2:53" s="109" customFormat="1" x14ac:dyDescent="0.25">
      <c r="B31" s="18"/>
      <c r="C31" s="13"/>
      <c r="D31" s="13"/>
      <c r="E31" s="13"/>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c r="AW31" s="17"/>
      <c r="AX31" s="270"/>
      <c r="AY31" s="270"/>
      <c r="AZ31" s="267"/>
      <c r="BA31" s="267"/>
    </row>
    <row r="32" spans="2:53" s="109" customFormat="1" x14ac:dyDescent="0.25">
      <c r="B32" s="18"/>
      <c r="C32" s="13"/>
      <c r="D32" s="13"/>
      <c r="E32" s="13"/>
      <c r="F32" s="110"/>
      <c r="G32" s="110"/>
      <c r="H32" s="110"/>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110"/>
      <c r="AO32" s="110"/>
      <c r="AP32" s="110"/>
      <c r="AQ32" s="110"/>
      <c r="AR32" s="110"/>
      <c r="AS32" s="110"/>
      <c r="AT32" s="110"/>
      <c r="AU32" s="110"/>
      <c r="AV32" s="110"/>
      <c r="AW32" s="17"/>
      <c r="AX32" s="270"/>
      <c r="AY32" s="270"/>
      <c r="AZ32" s="267"/>
      <c r="BA32" s="267"/>
    </row>
    <row r="33" spans="2:53" s="109" customFormat="1" x14ac:dyDescent="0.25">
      <c r="B33" s="18"/>
      <c r="C33" s="13"/>
      <c r="D33" s="13"/>
      <c r="E33" s="13"/>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110"/>
      <c r="AO33" s="110"/>
      <c r="AP33" s="110"/>
      <c r="AQ33" s="110"/>
      <c r="AR33" s="110"/>
      <c r="AS33" s="110"/>
      <c r="AT33" s="110"/>
      <c r="AU33" s="110"/>
      <c r="AV33" s="110"/>
      <c r="AW33" s="17"/>
      <c r="AX33" s="270"/>
      <c r="AY33" s="270"/>
      <c r="AZ33" s="267"/>
      <c r="BA33" s="267"/>
    </row>
    <row r="34" spans="2:53" s="109" customFormat="1" x14ac:dyDescent="0.25">
      <c r="B34" s="18"/>
      <c r="C34" s="13"/>
      <c r="D34" s="13"/>
      <c r="E34" s="13"/>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0"/>
      <c r="AO34" s="110"/>
      <c r="AP34" s="110"/>
      <c r="AQ34" s="110"/>
      <c r="AR34" s="110"/>
      <c r="AS34" s="110"/>
      <c r="AT34" s="110"/>
      <c r="AU34" s="110"/>
      <c r="AV34" s="110"/>
      <c r="AW34" s="17"/>
      <c r="AX34" s="270"/>
      <c r="AY34" s="270"/>
      <c r="AZ34" s="267"/>
      <c r="BA34" s="267"/>
    </row>
    <row r="35" spans="2:53" s="109" customFormat="1" x14ac:dyDescent="0.25">
      <c r="B35" s="18"/>
      <c r="C35" s="13"/>
      <c r="D35" s="13"/>
      <c r="E35" s="13"/>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110"/>
      <c r="AO35" s="110"/>
      <c r="AP35" s="110"/>
      <c r="AQ35" s="110"/>
      <c r="AR35" s="110"/>
      <c r="AS35" s="110"/>
      <c r="AT35" s="110"/>
      <c r="AU35" s="110"/>
      <c r="AV35" s="110"/>
      <c r="AW35" s="17"/>
      <c r="AX35" s="270"/>
      <c r="AY35" s="270"/>
      <c r="AZ35" s="267"/>
      <c r="BA35" s="267"/>
    </row>
    <row r="36" spans="2:53" s="109" customFormat="1" x14ac:dyDescent="0.25">
      <c r="B36" s="18"/>
      <c r="C36" s="13"/>
      <c r="D36" s="13"/>
      <c r="E36" s="13"/>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110"/>
      <c r="AO36" s="110"/>
      <c r="AP36" s="110"/>
      <c r="AQ36" s="110"/>
      <c r="AR36" s="110"/>
      <c r="AS36" s="110"/>
      <c r="AT36" s="110"/>
      <c r="AU36" s="110"/>
      <c r="AV36" s="110"/>
      <c r="AW36" s="17"/>
      <c r="AX36" s="270"/>
      <c r="AY36" s="270"/>
      <c r="AZ36" s="267"/>
      <c r="BA36" s="267"/>
    </row>
    <row r="37" spans="2:53" s="109" customFormat="1" x14ac:dyDescent="0.25">
      <c r="B37" s="18"/>
      <c r="C37" s="13"/>
      <c r="D37" s="13"/>
      <c r="E37" s="13"/>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110"/>
      <c r="AO37" s="110"/>
      <c r="AP37" s="110"/>
      <c r="AQ37" s="110"/>
      <c r="AR37" s="110"/>
      <c r="AS37" s="110"/>
      <c r="AT37" s="110"/>
      <c r="AU37" s="110"/>
      <c r="AV37" s="110"/>
      <c r="AW37" s="17"/>
      <c r="AX37" s="270"/>
      <c r="AY37" s="270"/>
      <c r="AZ37" s="267"/>
      <c r="BA37" s="267"/>
    </row>
    <row r="38" spans="2:53" s="109" customFormat="1" x14ac:dyDescent="0.25">
      <c r="B38" s="18"/>
      <c r="C38" s="13"/>
      <c r="D38" s="13"/>
      <c r="E38" s="13"/>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7"/>
      <c r="AX38" s="270"/>
      <c r="AY38" s="270"/>
      <c r="AZ38" s="267"/>
      <c r="BA38" s="267"/>
    </row>
    <row r="39" spans="2:53" s="109" customFormat="1" x14ac:dyDescent="0.25">
      <c r="B39" s="18"/>
      <c r="C39" s="13"/>
      <c r="D39" s="13"/>
      <c r="E39" s="13"/>
      <c r="F39" s="110"/>
      <c r="G39" s="110"/>
      <c r="H39" s="110"/>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c r="AM39" s="110"/>
      <c r="AN39" s="110"/>
      <c r="AO39" s="110"/>
      <c r="AP39" s="110"/>
      <c r="AQ39" s="110"/>
      <c r="AR39" s="110"/>
      <c r="AS39" s="110"/>
      <c r="AT39" s="110"/>
      <c r="AU39" s="110"/>
      <c r="AV39" s="110"/>
      <c r="AW39" s="17"/>
      <c r="AX39" s="270"/>
      <c r="AY39" s="270"/>
      <c r="AZ39" s="267"/>
      <c r="BA39" s="267"/>
    </row>
    <row r="40" spans="2:53" s="109" customFormat="1" x14ac:dyDescent="0.25">
      <c r="B40" s="18"/>
      <c r="C40" s="13"/>
      <c r="D40" s="13"/>
      <c r="E40" s="13"/>
      <c r="F40" s="110"/>
      <c r="G40" s="110"/>
      <c r="H40" s="110"/>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c r="AM40" s="110"/>
      <c r="AN40" s="110"/>
      <c r="AO40" s="110"/>
      <c r="AP40" s="110"/>
      <c r="AQ40" s="110"/>
      <c r="AR40" s="110"/>
      <c r="AS40" s="110"/>
      <c r="AT40" s="110"/>
      <c r="AU40" s="110"/>
      <c r="AV40" s="110"/>
      <c r="AW40" s="17"/>
      <c r="AX40" s="270"/>
      <c r="AY40" s="270"/>
      <c r="AZ40" s="267"/>
      <c r="BA40" s="267"/>
    </row>
    <row r="41" spans="2:53" s="109" customFormat="1" x14ac:dyDescent="0.25">
      <c r="B41" s="18"/>
      <c r="C41" s="13"/>
      <c r="D41" s="13"/>
      <c r="E41" s="13"/>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7"/>
      <c r="AX41" s="270"/>
      <c r="AY41" s="270"/>
      <c r="AZ41" s="267"/>
      <c r="BA41" s="267"/>
    </row>
    <row r="42" spans="2:53" s="109" customFormat="1" x14ac:dyDescent="0.25">
      <c r="B42" s="18"/>
      <c r="C42" s="13"/>
      <c r="D42" s="13"/>
      <c r="E42" s="13"/>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110"/>
      <c r="AO42" s="110"/>
      <c r="AP42" s="110"/>
      <c r="AQ42" s="110"/>
      <c r="AR42" s="110"/>
      <c r="AS42" s="110"/>
      <c r="AT42" s="110"/>
      <c r="AU42" s="110"/>
      <c r="AV42" s="110"/>
      <c r="AW42" s="17"/>
      <c r="AX42" s="270"/>
      <c r="AY42" s="270"/>
      <c r="AZ42" s="267"/>
      <c r="BA42" s="267"/>
    </row>
    <row r="43" spans="2:53" s="109" customFormat="1" x14ac:dyDescent="0.25">
      <c r="B43" s="18"/>
      <c r="C43" s="13"/>
      <c r="D43" s="13"/>
      <c r="E43" s="13"/>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10"/>
      <c r="AP43" s="110"/>
      <c r="AQ43" s="110"/>
      <c r="AR43" s="110"/>
      <c r="AS43" s="110"/>
      <c r="AT43" s="110"/>
      <c r="AU43" s="110"/>
      <c r="AV43" s="110"/>
      <c r="AW43" s="17"/>
      <c r="AX43" s="270"/>
      <c r="AY43" s="270"/>
      <c r="AZ43" s="267"/>
      <c r="BA43" s="267"/>
    </row>
    <row r="44" spans="2:53" s="109" customFormat="1" x14ac:dyDescent="0.25">
      <c r="B44" s="18"/>
      <c r="C44" s="13"/>
      <c r="D44" s="13"/>
      <c r="E44" s="13"/>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7"/>
      <c r="AX44" s="270"/>
      <c r="AY44" s="270"/>
      <c r="AZ44" s="267"/>
      <c r="BA44" s="267"/>
    </row>
    <row r="45" spans="2:53" s="109" customFormat="1" x14ac:dyDescent="0.25">
      <c r="B45" s="18"/>
      <c r="C45" s="13"/>
      <c r="D45" s="13"/>
      <c r="E45" s="13"/>
      <c r="F45" s="110"/>
      <c r="G45" s="110"/>
      <c r="H45" s="110"/>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c r="AW45" s="17"/>
      <c r="AX45" s="270"/>
      <c r="AY45" s="270"/>
      <c r="AZ45" s="267"/>
      <c r="BA45" s="267"/>
    </row>
    <row r="46" spans="2:53" s="109" customFormat="1" x14ac:dyDescent="0.25">
      <c r="B46" s="18"/>
      <c r="C46" s="13"/>
      <c r="D46" s="13"/>
      <c r="E46" s="13"/>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110"/>
      <c r="AO46" s="110"/>
      <c r="AP46" s="110"/>
      <c r="AQ46" s="110"/>
      <c r="AR46" s="110"/>
      <c r="AS46" s="110"/>
      <c r="AT46" s="110"/>
      <c r="AU46" s="110"/>
      <c r="AV46" s="110"/>
      <c r="AW46" s="17"/>
      <c r="AX46" s="270"/>
      <c r="AY46" s="270"/>
      <c r="AZ46" s="267"/>
      <c r="BA46" s="267"/>
    </row>
    <row r="47" spans="2:53" s="109" customFormat="1" x14ac:dyDescent="0.25">
      <c r="B47" s="18"/>
      <c r="C47" s="13"/>
      <c r="D47" s="13"/>
      <c r="E47" s="1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7"/>
      <c r="AX47" s="270"/>
      <c r="AY47" s="270"/>
      <c r="AZ47" s="267"/>
      <c r="BA47" s="267"/>
    </row>
    <row r="48" spans="2:53" s="109" customFormat="1" x14ac:dyDescent="0.25">
      <c r="B48" s="18"/>
      <c r="C48" s="13"/>
      <c r="D48" s="13"/>
      <c r="E48" s="13"/>
      <c r="F48" s="110"/>
      <c r="G48" s="110"/>
      <c r="H48" s="110"/>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c r="AM48" s="110"/>
      <c r="AN48" s="110"/>
      <c r="AO48" s="110"/>
      <c r="AP48" s="110"/>
      <c r="AQ48" s="110"/>
      <c r="AR48" s="110"/>
      <c r="AS48" s="110"/>
      <c r="AT48" s="110"/>
      <c r="AU48" s="110"/>
      <c r="AV48" s="110"/>
      <c r="AW48" s="17"/>
      <c r="AX48" s="270"/>
      <c r="AY48" s="270"/>
      <c r="AZ48" s="267"/>
      <c r="BA48" s="267"/>
    </row>
    <row r="49" spans="2:53" s="109" customFormat="1" x14ac:dyDescent="0.25">
      <c r="B49" s="18"/>
      <c r="C49" s="13"/>
      <c r="D49" s="13"/>
      <c r="E49" s="1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7"/>
      <c r="AX49" s="270"/>
      <c r="AY49" s="270"/>
      <c r="AZ49" s="267"/>
      <c r="BA49" s="267"/>
    </row>
    <row r="50" spans="2:53" s="109" customFormat="1" x14ac:dyDescent="0.25">
      <c r="B50" s="18"/>
      <c r="C50" s="13"/>
      <c r="D50" s="13"/>
      <c r="E50" s="13"/>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10"/>
      <c r="AP50" s="110"/>
      <c r="AQ50" s="110"/>
      <c r="AR50" s="110"/>
      <c r="AS50" s="110"/>
      <c r="AT50" s="110"/>
      <c r="AU50" s="110"/>
      <c r="AV50" s="110"/>
      <c r="AW50" s="17"/>
      <c r="AX50" s="270"/>
      <c r="AY50" s="270"/>
      <c r="AZ50" s="267"/>
      <c r="BA50" s="267"/>
    </row>
    <row r="51" spans="2:53" s="109" customFormat="1" x14ac:dyDescent="0.25">
      <c r="B51" s="18"/>
      <c r="C51" s="13"/>
      <c r="D51" s="13"/>
      <c r="E51" s="13"/>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10"/>
      <c r="AP51" s="110"/>
      <c r="AQ51" s="110"/>
      <c r="AR51" s="110"/>
      <c r="AS51" s="110"/>
      <c r="AT51" s="110"/>
      <c r="AU51" s="110"/>
      <c r="AV51" s="110"/>
      <c r="AW51" s="17"/>
      <c r="AX51" s="270"/>
      <c r="AY51" s="270"/>
      <c r="AZ51" s="267"/>
      <c r="BA51" s="267"/>
    </row>
    <row r="52" spans="2:53" s="109" customFormat="1" ht="15.75" thickBot="1" x14ac:dyDescent="0.3">
      <c r="B52" s="323"/>
      <c r="C52" s="281"/>
      <c r="D52" s="281"/>
      <c r="E52" s="281"/>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38"/>
      <c r="AX52" s="270"/>
      <c r="AY52" s="270"/>
      <c r="AZ52" s="267"/>
      <c r="BA52" s="267"/>
    </row>
    <row r="53" spans="2:53" s="109" customFormat="1" ht="15.75" thickTop="1" x14ac:dyDescent="0.25">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270"/>
      <c r="AY53" s="270"/>
      <c r="AZ53" s="267"/>
      <c r="BA53" s="267"/>
    </row>
    <row r="54" spans="2:53" s="109" customFormat="1" x14ac:dyDescent="0.2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270"/>
      <c r="AY54" s="270"/>
      <c r="AZ54" s="267"/>
      <c r="BA54" s="267"/>
    </row>
    <row r="55" spans="2:53" s="109" customFormat="1" x14ac:dyDescent="0.2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270"/>
      <c r="AY55" s="270"/>
      <c r="AZ55" s="267"/>
      <c r="BA55" s="267"/>
    </row>
    <row r="56" spans="2:53" s="109" customFormat="1" x14ac:dyDescent="0.2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270"/>
      <c r="AY56" s="270"/>
      <c r="AZ56" s="267"/>
      <c r="BA56" s="267"/>
    </row>
    <row r="57" spans="2:53" s="109" customFormat="1" x14ac:dyDescent="0.2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270"/>
      <c r="AY57" s="270"/>
      <c r="AZ57" s="267"/>
      <c r="BA57" s="267"/>
    </row>
    <row r="58" spans="2:53" s="109" customFormat="1" x14ac:dyDescent="0.2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270"/>
      <c r="AY58" s="270"/>
      <c r="AZ58" s="267"/>
      <c r="BA58" s="267"/>
    </row>
    <row r="59" spans="2:53" s="109" customFormat="1" x14ac:dyDescent="0.2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270"/>
      <c r="AY59" s="270"/>
      <c r="AZ59" s="267"/>
      <c r="BA59" s="267"/>
    </row>
    <row r="60" spans="2:53" s="109" customFormat="1" x14ac:dyDescent="0.2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270"/>
      <c r="AY60" s="270"/>
      <c r="AZ60" s="267"/>
      <c r="BA60" s="267"/>
    </row>
    <row r="61" spans="2:53" s="109" customFormat="1" x14ac:dyDescent="0.2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270"/>
      <c r="AY61" s="270"/>
      <c r="AZ61" s="267"/>
      <c r="BA61" s="267"/>
    </row>
    <row r="62" spans="2:53" s="109" customFormat="1" x14ac:dyDescent="0.2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270"/>
      <c r="AY62" s="270"/>
      <c r="AZ62" s="267"/>
      <c r="BA62" s="267"/>
    </row>
    <row r="63" spans="2:53" s="109" customFormat="1" x14ac:dyDescent="0.2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270"/>
      <c r="AY63" s="270"/>
      <c r="AZ63" s="267"/>
      <c r="BA63" s="267"/>
    </row>
    <row r="64" spans="2:53" s="109" customFormat="1" x14ac:dyDescent="0.2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270"/>
      <c r="AY64" s="270"/>
      <c r="AZ64" s="267"/>
      <c r="BA64" s="267"/>
    </row>
    <row r="65" spans="2:53" s="109" customFormat="1" x14ac:dyDescent="0.2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8"/>
      <c r="AO65" s="108"/>
      <c r="AP65" s="108"/>
      <c r="AQ65" s="108"/>
      <c r="AR65" s="108"/>
      <c r="AS65" s="108"/>
      <c r="AT65" s="108"/>
      <c r="AU65" s="108"/>
      <c r="AV65" s="108"/>
      <c r="AW65" s="108"/>
      <c r="AX65" s="270"/>
      <c r="AY65" s="270"/>
      <c r="AZ65" s="267"/>
      <c r="BA65" s="267"/>
    </row>
    <row r="66" spans="2:53" s="109" customFormat="1" x14ac:dyDescent="0.2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270"/>
      <c r="AY66" s="270"/>
      <c r="AZ66" s="267"/>
      <c r="BA66" s="267"/>
    </row>
    <row r="67" spans="2:53" s="109" customFormat="1" x14ac:dyDescent="0.2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270"/>
      <c r="AY67" s="270"/>
      <c r="AZ67" s="267"/>
      <c r="BA67" s="267"/>
    </row>
    <row r="68" spans="2:53" s="109" customFormat="1" x14ac:dyDescent="0.2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270"/>
      <c r="AY68" s="270"/>
      <c r="AZ68" s="267"/>
      <c r="BA68" s="267"/>
    </row>
    <row r="69" spans="2:53" s="109" customFormat="1" x14ac:dyDescent="0.2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270"/>
      <c r="AY69" s="270"/>
      <c r="AZ69" s="267"/>
      <c r="BA69" s="267"/>
    </row>
    <row r="70" spans="2:53" s="109" customFormat="1" x14ac:dyDescent="0.2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270"/>
      <c r="AY70" s="270"/>
      <c r="AZ70" s="267"/>
      <c r="BA70" s="267"/>
    </row>
    <row r="71" spans="2:53" s="109" customFormat="1" x14ac:dyDescent="0.2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270"/>
      <c r="AY71" s="270"/>
      <c r="AZ71" s="267"/>
      <c r="BA71" s="267"/>
    </row>
    <row r="72" spans="2:53" s="109" customFormat="1" x14ac:dyDescent="0.2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270"/>
      <c r="AY72" s="270"/>
      <c r="AZ72" s="267"/>
      <c r="BA72" s="267"/>
    </row>
    <row r="73" spans="2:53" s="109" customFormat="1" x14ac:dyDescent="0.2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108"/>
      <c r="AQ73" s="108"/>
      <c r="AR73" s="108"/>
      <c r="AS73" s="108"/>
      <c r="AT73" s="108"/>
      <c r="AU73" s="108"/>
      <c r="AV73" s="108"/>
      <c r="AW73" s="108"/>
      <c r="AX73" s="270"/>
      <c r="AY73" s="270"/>
      <c r="AZ73" s="267"/>
      <c r="BA73" s="267"/>
    </row>
    <row r="74" spans="2:53" s="109" customFormat="1" x14ac:dyDescent="0.2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270"/>
      <c r="AY74" s="270"/>
      <c r="AZ74" s="267"/>
      <c r="BA74" s="267"/>
    </row>
    <row r="75" spans="2:53" s="109" customFormat="1" x14ac:dyDescent="0.2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108"/>
      <c r="AQ75" s="108"/>
      <c r="AR75" s="108"/>
      <c r="AS75" s="108"/>
      <c r="AT75" s="108"/>
      <c r="AU75" s="108"/>
      <c r="AV75" s="108"/>
      <c r="AW75" s="108"/>
      <c r="AX75" s="270"/>
      <c r="AY75" s="270"/>
      <c r="AZ75" s="267"/>
      <c r="BA75" s="267"/>
    </row>
    <row r="76" spans="2:53" s="109" customFormat="1" x14ac:dyDescent="0.2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270"/>
      <c r="AY76" s="270"/>
      <c r="AZ76" s="267"/>
      <c r="BA76" s="267"/>
    </row>
    <row r="77" spans="2:53" s="109" customFormat="1" x14ac:dyDescent="0.2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270"/>
      <c r="AY77" s="270"/>
      <c r="AZ77" s="267"/>
      <c r="BA77" s="267"/>
    </row>
    <row r="78" spans="2:53" s="109" customFormat="1" x14ac:dyDescent="0.2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108"/>
      <c r="AP78" s="108"/>
      <c r="AQ78" s="108"/>
      <c r="AR78" s="108"/>
      <c r="AS78" s="108"/>
      <c r="AT78" s="108"/>
      <c r="AU78" s="108"/>
      <c r="AV78" s="108"/>
      <c r="AW78" s="108"/>
      <c r="AX78" s="270"/>
      <c r="AY78" s="270"/>
      <c r="AZ78" s="267"/>
      <c r="BA78" s="267"/>
    </row>
    <row r="79" spans="2:53" s="109" customFormat="1" x14ac:dyDescent="0.2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270"/>
      <c r="AY79" s="270"/>
      <c r="AZ79" s="267"/>
      <c r="BA79" s="267"/>
    </row>
    <row r="80" spans="2:53" s="109" customFormat="1" x14ac:dyDescent="0.2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270"/>
      <c r="AY80" s="270"/>
      <c r="AZ80" s="267"/>
      <c r="BA80" s="267"/>
    </row>
    <row r="81" spans="2:53" s="109" customFormat="1" x14ac:dyDescent="0.2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108"/>
      <c r="AP81" s="108"/>
      <c r="AQ81" s="108"/>
      <c r="AR81" s="108"/>
      <c r="AS81" s="108"/>
      <c r="AT81" s="108"/>
      <c r="AU81" s="108"/>
      <c r="AV81" s="108"/>
      <c r="AW81" s="108"/>
      <c r="AX81" s="270"/>
      <c r="AY81" s="270"/>
      <c r="AZ81" s="267"/>
      <c r="BA81" s="267"/>
    </row>
    <row r="82" spans="2:53" s="109" customFormat="1" x14ac:dyDescent="0.25">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108"/>
      <c r="AM82" s="108"/>
      <c r="AN82" s="108"/>
      <c r="AO82" s="108"/>
      <c r="AP82" s="108"/>
      <c r="AQ82" s="108"/>
      <c r="AR82" s="108"/>
      <c r="AS82" s="108"/>
      <c r="AT82" s="108"/>
      <c r="AU82" s="108"/>
      <c r="AV82" s="108"/>
      <c r="AW82" s="108"/>
      <c r="AX82" s="270"/>
      <c r="AY82" s="270"/>
      <c r="AZ82" s="267"/>
      <c r="BA82" s="267"/>
    </row>
    <row r="83" spans="2:53" s="109" customFormat="1" x14ac:dyDescent="0.25">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108"/>
      <c r="AM83" s="108"/>
      <c r="AN83" s="108"/>
      <c r="AO83" s="108"/>
      <c r="AP83" s="108"/>
      <c r="AQ83" s="108"/>
      <c r="AR83" s="108"/>
      <c r="AS83" s="108"/>
      <c r="AT83" s="108"/>
      <c r="AU83" s="108"/>
      <c r="AV83" s="108"/>
      <c r="AW83" s="108"/>
      <c r="AX83" s="270"/>
      <c r="AY83" s="270"/>
      <c r="AZ83" s="267"/>
      <c r="BA83" s="267"/>
    </row>
    <row r="84" spans="2:53" s="109" customFormat="1" x14ac:dyDescent="0.2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c r="AQ84" s="108"/>
      <c r="AR84" s="108"/>
      <c r="AS84" s="108"/>
      <c r="AT84" s="108"/>
      <c r="AU84" s="108"/>
      <c r="AV84" s="108"/>
      <c r="AW84" s="108"/>
      <c r="AX84" s="270"/>
      <c r="AY84" s="270"/>
      <c r="AZ84" s="267"/>
      <c r="BA84" s="267"/>
    </row>
    <row r="85" spans="2:53" s="109" customFormat="1" x14ac:dyDescent="0.2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270"/>
      <c r="AY85" s="270"/>
      <c r="AZ85" s="267"/>
      <c r="BA85" s="267"/>
    </row>
    <row r="86" spans="2:53" s="109" customFormat="1" x14ac:dyDescent="0.2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270"/>
      <c r="AY86" s="270"/>
      <c r="AZ86" s="267"/>
      <c r="BA86" s="267"/>
    </row>
    <row r="87" spans="2:53" s="109" customFormat="1" x14ac:dyDescent="0.2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270"/>
      <c r="AY87" s="270"/>
      <c r="AZ87" s="267"/>
      <c r="BA87" s="267"/>
    </row>
    <row r="88" spans="2:53" s="109" customFormat="1" x14ac:dyDescent="0.2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270"/>
      <c r="AY88" s="270"/>
      <c r="AZ88" s="267"/>
      <c r="BA88" s="267"/>
    </row>
    <row r="89" spans="2:53" s="109" customFormat="1" x14ac:dyDescent="0.2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270"/>
      <c r="AY89" s="270"/>
      <c r="AZ89" s="267"/>
      <c r="BA89" s="267"/>
    </row>
    <row r="90" spans="2:53" s="109" customFormat="1" x14ac:dyDescent="0.2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270"/>
      <c r="AY90" s="270"/>
      <c r="AZ90" s="267"/>
      <c r="BA90" s="267"/>
    </row>
    <row r="91" spans="2:53" s="109" customFormat="1" x14ac:dyDescent="0.2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270"/>
      <c r="AY91" s="270"/>
      <c r="AZ91" s="267"/>
      <c r="BA91" s="267"/>
    </row>
    <row r="92" spans="2:53" s="109" customFormat="1" x14ac:dyDescent="0.2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270"/>
      <c r="AY92" s="270"/>
      <c r="AZ92" s="267"/>
      <c r="BA92" s="267"/>
    </row>
    <row r="93" spans="2:53" s="109" customFormat="1" x14ac:dyDescent="0.2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108"/>
      <c r="AP93" s="108"/>
      <c r="AQ93" s="108"/>
      <c r="AR93" s="108"/>
      <c r="AS93" s="108"/>
      <c r="AT93" s="108"/>
      <c r="AU93" s="108"/>
      <c r="AV93" s="108"/>
      <c r="AW93" s="108"/>
      <c r="AX93" s="270"/>
      <c r="AY93" s="270"/>
      <c r="AZ93" s="267"/>
      <c r="BA93" s="267"/>
    </row>
    <row r="94" spans="2:53" s="109" customFormat="1" x14ac:dyDescent="0.2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108"/>
      <c r="AP94" s="108"/>
      <c r="AQ94" s="108"/>
      <c r="AR94" s="108"/>
      <c r="AS94" s="108"/>
      <c r="AT94" s="108"/>
      <c r="AU94" s="108"/>
      <c r="AV94" s="108"/>
      <c r="AW94" s="108"/>
      <c r="AX94" s="270"/>
      <c r="AY94" s="270"/>
      <c r="AZ94" s="268"/>
      <c r="BA94" s="267"/>
    </row>
    <row r="95" spans="2:53" x14ac:dyDescent="0.2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270"/>
      <c r="AY95" s="270"/>
    </row>
    <row r="96" spans="2:53" x14ac:dyDescent="0.2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108"/>
      <c r="AP96" s="108"/>
      <c r="AQ96" s="108"/>
      <c r="AR96" s="108"/>
      <c r="AS96" s="108"/>
      <c r="AT96" s="108"/>
      <c r="AU96" s="108"/>
      <c r="AV96" s="108"/>
      <c r="AW96" s="108"/>
      <c r="AX96" s="270"/>
      <c r="AY96" s="270"/>
    </row>
    <row r="97" spans="1:54" x14ac:dyDescent="0.25">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108"/>
      <c r="AP97" s="108"/>
      <c r="AQ97" s="108"/>
      <c r="AR97" s="108"/>
      <c r="AS97" s="108"/>
      <c r="AT97" s="108"/>
      <c r="AU97" s="108"/>
      <c r="AV97" s="108"/>
      <c r="AW97" s="108"/>
      <c r="AX97" s="270"/>
      <c r="AY97" s="270"/>
    </row>
    <row r="98" spans="1:54" s="268" customFormat="1" x14ac:dyDescent="0.25">
      <c r="A98" s="107"/>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270"/>
      <c r="AY98" s="270"/>
      <c r="BB98" s="107"/>
    </row>
    <row r="99" spans="1:54"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108"/>
      <c r="AP99" s="108"/>
      <c r="AQ99" s="108"/>
      <c r="AR99" s="108"/>
      <c r="AS99" s="108"/>
      <c r="AT99" s="108"/>
      <c r="AU99" s="108"/>
      <c r="AV99" s="108"/>
      <c r="AW99" s="108"/>
      <c r="AX99" s="270"/>
      <c r="AY99" s="270"/>
      <c r="BB99" s="107"/>
    </row>
    <row r="100" spans="1:54"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c r="AS100" s="108"/>
      <c r="AT100" s="108"/>
      <c r="AU100" s="108"/>
      <c r="AV100" s="108"/>
      <c r="AW100" s="108"/>
      <c r="AX100" s="270"/>
      <c r="AY100" s="270"/>
      <c r="BB100" s="107"/>
    </row>
    <row r="101" spans="1:54"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c r="AS101" s="108"/>
      <c r="AT101" s="108"/>
      <c r="AU101" s="108"/>
      <c r="AV101" s="108"/>
      <c r="AW101" s="108"/>
      <c r="AX101" s="270"/>
      <c r="AY101" s="270"/>
      <c r="BB101" s="107"/>
    </row>
    <row r="102" spans="1:54"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270"/>
      <c r="AY102" s="270"/>
      <c r="BB102" s="107"/>
    </row>
    <row r="103" spans="1:54"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108"/>
      <c r="AP103" s="108"/>
      <c r="AQ103" s="108"/>
      <c r="AR103" s="108"/>
      <c r="AS103" s="108"/>
      <c r="AT103" s="108"/>
      <c r="AU103" s="108"/>
      <c r="AV103" s="108"/>
      <c r="AW103" s="108"/>
      <c r="AX103" s="270"/>
      <c r="AY103" s="270"/>
      <c r="BB103" s="107"/>
    </row>
    <row r="104" spans="1:54"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270"/>
      <c r="AY104" s="270"/>
      <c r="BB104" s="107"/>
    </row>
    <row r="105" spans="1:54" s="268" customFormat="1" x14ac:dyDescent="0.2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c r="AQ105" s="108"/>
      <c r="AR105" s="108"/>
      <c r="AS105" s="108"/>
      <c r="AT105" s="108"/>
      <c r="AU105" s="108"/>
      <c r="AV105" s="108"/>
      <c r="AW105" s="108"/>
      <c r="AX105" s="270"/>
      <c r="AY105" s="270"/>
      <c r="BB105" s="107"/>
    </row>
    <row r="106" spans="1:54" s="268" customFormat="1" x14ac:dyDescent="0.25">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c r="AQ106" s="108"/>
      <c r="AR106" s="108"/>
      <c r="AS106" s="108"/>
      <c r="AT106" s="108"/>
      <c r="AU106" s="108"/>
      <c r="AV106" s="108"/>
      <c r="AW106" s="108"/>
      <c r="AX106" s="270"/>
      <c r="AY106" s="270"/>
    </row>
    <row r="107" spans="1:54" s="268" customFormat="1" x14ac:dyDescent="0.25">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108"/>
      <c r="AP107" s="108"/>
      <c r="AQ107" s="108"/>
      <c r="AR107" s="108"/>
      <c r="AS107" s="108"/>
      <c r="AT107" s="108"/>
      <c r="AU107" s="108"/>
      <c r="AV107" s="108"/>
      <c r="AW107" s="108"/>
      <c r="AX107" s="270"/>
      <c r="AY107" s="270"/>
    </row>
    <row r="108" spans="1:54" s="268" customFormat="1" x14ac:dyDescent="0.25">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270"/>
      <c r="AY108" s="270"/>
    </row>
    <row r="109" spans="1:54" s="268" customFormat="1" x14ac:dyDescent="0.25">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108"/>
      <c r="AQ109" s="108"/>
      <c r="AR109" s="108"/>
      <c r="AS109" s="108"/>
      <c r="AT109" s="108"/>
      <c r="AU109" s="108"/>
      <c r="AV109" s="108"/>
      <c r="AW109" s="108"/>
      <c r="AX109" s="270"/>
      <c r="AY109" s="270"/>
    </row>
    <row r="110" spans="1:54" s="268" customFormat="1" x14ac:dyDescent="0.25">
      <c r="A110" s="107"/>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270"/>
      <c r="AY110" s="270"/>
    </row>
    <row r="111" spans="1:54" s="268" customFormat="1" x14ac:dyDescent="0.25">
      <c r="A111" s="107"/>
      <c r="B111" s="108"/>
      <c r="C111" s="108"/>
      <c r="D111" s="108"/>
      <c r="E111" s="108"/>
      <c r="F111" s="9"/>
      <c r="G111" s="107"/>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row>
    <row r="112" spans="1:54" s="268" customFormat="1" x14ac:dyDescent="0.25">
      <c r="A112" s="107"/>
      <c r="B112" s="108"/>
      <c r="C112" s="108"/>
      <c r="D112" s="108"/>
      <c r="E112" s="108"/>
      <c r="F112" s="9"/>
      <c r="G112" s="107"/>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row>
    <row r="113" spans="1:49" s="268" customFormat="1" x14ac:dyDescent="0.25">
      <c r="A113" s="107"/>
      <c r="B113" s="108"/>
      <c r="C113" s="108"/>
      <c r="D113" s="108"/>
      <c r="E113" s="108"/>
      <c r="F113" s="9"/>
      <c r="G113" s="107"/>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row>
    <row r="114" spans="1:49" s="268" customFormat="1" x14ac:dyDescent="0.25">
      <c r="A114" s="107"/>
      <c r="B114" s="108"/>
      <c r="C114" s="108"/>
      <c r="D114" s="108"/>
      <c r="E114" s="108"/>
      <c r="F114" s="9"/>
      <c r="G114" s="107"/>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row>
    <row r="115" spans="1:49" s="268" customFormat="1" x14ac:dyDescent="0.25">
      <c r="A115" s="107"/>
      <c r="B115" s="108"/>
      <c r="C115" s="108"/>
      <c r="D115" s="108"/>
      <c r="E115" s="108"/>
      <c r="F115" s="9"/>
      <c r="G115" s="107"/>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row>
    <row r="116" spans="1:49" s="268" customFormat="1" x14ac:dyDescent="0.25">
      <c r="A116" s="107"/>
      <c r="B116" s="108"/>
      <c r="C116" s="108"/>
      <c r="D116" s="108"/>
      <c r="E116" s="108"/>
      <c r="F116" s="9"/>
      <c r="G116" s="107"/>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row>
    <row r="117" spans="1:49" s="268" customFormat="1" x14ac:dyDescent="0.25">
      <c r="A117" s="107"/>
      <c r="B117" s="108"/>
      <c r="C117" s="108"/>
      <c r="D117" s="108"/>
      <c r="E117" s="108"/>
      <c r="F117" s="9"/>
      <c r="G117" s="107"/>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row>
    <row r="118" spans="1:49" s="268" customFormat="1" x14ac:dyDescent="0.25">
      <c r="A118" s="107"/>
      <c r="B118" s="108"/>
      <c r="C118" s="108"/>
      <c r="D118" s="108"/>
      <c r="E118" s="108"/>
      <c r="F118" s="9"/>
      <c r="G118" s="107"/>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row>
    <row r="119" spans="1:49" s="268" customFormat="1" x14ac:dyDescent="0.25">
      <c r="A119" s="107"/>
      <c r="B119" s="108"/>
      <c r="C119" s="108"/>
      <c r="D119" s="108"/>
      <c r="E119" s="108"/>
      <c r="F119" s="9"/>
      <c r="G119" s="107"/>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row>
    <row r="120" spans="1:49" s="268" customFormat="1" x14ac:dyDescent="0.25">
      <c r="A120" s="107"/>
      <c r="B120" s="108"/>
      <c r="C120" s="108"/>
      <c r="D120" s="108"/>
      <c r="E120" s="108"/>
      <c r="F120" s="9"/>
      <c r="G120" s="107"/>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row>
    <row r="121" spans="1:49" s="268" customFormat="1" x14ac:dyDescent="0.25">
      <c r="A121" s="107"/>
      <c r="B121" s="108"/>
      <c r="C121" s="108"/>
      <c r="D121" s="108"/>
      <c r="E121" s="108"/>
      <c r="F121" s="9"/>
      <c r="G121" s="107"/>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row>
    <row r="122" spans="1:49" s="268" customFormat="1" x14ac:dyDescent="0.25">
      <c r="A122" s="107"/>
      <c r="B122" s="108"/>
      <c r="C122" s="108"/>
      <c r="D122" s="108"/>
      <c r="E122" s="108"/>
      <c r="F122" s="9"/>
      <c r="G122" s="107"/>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row>
    <row r="123" spans="1:49" s="268" customFormat="1" x14ac:dyDescent="0.25">
      <c r="A123" s="107"/>
      <c r="B123" s="108"/>
      <c r="C123" s="108"/>
      <c r="D123" s="108"/>
      <c r="E123" s="108"/>
      <c r="F123" s="9"/>
      <c r="G123" s="107"/>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row>
    <row r="124" spans="1:49" s="268" customFormat="1" x14ac:dyDescent="0.25">
      <c r="A124" s="107"/>
      <c r="B124" s="108"/>
      <c r="C124" s="108"/>
      <c r="D124" s="108"/>
      <c r="E124" s="108"/>
      <c r="F124" s="9"/>
      <c r="G124" s="107"/>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row>
    <row r="125" spans="1:49" s="268" customFormat="1" x14ac:dyDescent="0.25">
      <c r="A125" s="107"/>
      <c r="B125" s="108"/>
      <c r="C125" s="108"/>
      <c r="D125" s="108"/>
      <c r="E125" s="108"/>
      <c r="F125" s="9"/>
      <c r="G125" s="107"/>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row>
    <row r="126" spans="1:49" s="268" customFormat="1" x14ac:dyDescent="0.25">
      <c r="A126" s="107"/>
      <c r="B126" s="108"/>
      <c r="C126" s="108"/>
      <c r="D126" s="108"/>
      <c r="E126" s="108"/>
      <c r="F126" s="9"/>
      <c r="G126" s="107"/>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row>
    <row r="127" spans="1:49" s="268" customFormat="1" x14ac:dyDescent="0.25">
      <c r="A127" s="107"/>
      <c r="B127" s="108"/>
      <c r="C127" s="108"/>
      <c r="D127" s="108"/>
      <c r="E127" s="108"/>
      <c r="F127" s="9"/>
      <c r="G127" s="107"/>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row>
    <row r="128" spans="1:49" s="268" customFormat="1" x14ac:dyDescent="0.25">
      <c r="A128" s="107"/>
      <c r="B128" s="108"/>
      <c r="C128" s="108"/>
      <c r="D128" s="108"/>
      <c r="E128" s="108"/>
      <c r="F128" s="9"/>
      <c r="G128" s="107"/>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row>
    <row r="129" spans="1:53" s="268" customFormat="1" x14ac:dyDescent="0.25">
      <c r="A129" s="107"/>
      <c r="B129" s="108"/>
      <c r="C129" s="108"/>
      <c r="D129" s="108"/>
      <c r="E129" s="108"/>
      <c r="F129" s="9"/>
      <c r="G129" s="107"/>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row>
    <row r="130" spans="1:53" s="268" customFormat="1" x14ac:dyDescent="0.25">
      <c r="A130" s="107"/>
      <c r="B130" s="108"/>
      <c r="C130" s="108"/>
      <c r="D130" s="108"/>
      <c r="E130" s="108"/>
      <c r="F130" s="9"/>
      <c r="G130" s="107"/>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row>
    <row r="131" spans="1:53" s="268" customFormat="1" x14ac:dyDescent="0.25">
      <c r="A131" s="107"/>
      <c r="B131" s="108"/>
      <c r="C131" s="108"/>
      <c r="D131" s="108"/>
      <c r="E131" s="108"/>
      <c r="F131" s="9"/>
      <c r="G131" s="107"/>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row>
    <row r="132" spans="1:53" s="268" customFormat="1" x14ac:dyDescent="0.25">
      <c r="A132" s="107"/>
      <c r="B132" s="108"/>
      <c r="C132" s="108"/>
      <c r="D132" s="108"/>
      <c r="E132" s="108"/>
      <c r="F132" s="9"/>
      <c r="G132" s="107"/>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row>
    <row r="133" spans="1:53" s="268" customFormat="1" x14ac:dyDescent="0.25">
      <c r="A133" s="107"/>
      <c r="B133" s="108"/>
      <c r="C133" s="108"/>
      <c r="D133" s="108"/>
      <c r="E133" s="108"/>
      <c r="F133" s="9"/>
      <c r="G133" s="107"/>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row>
    <row r="134" spans="1:53" s="268" customFormat="1" x14ac:dyDescent="0.25">
      <c r="A134" s="107"/>
      <c r="B134" s="108"/>
      <c r="C134" s="108"/>
      <c r="D134" s="108"/>
      <c r="E134" s="108"/>
      <c r="F134" s="9"/>
      <c r="G134" s="107"/>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row>
    <row r="135" spans="1:53" s="268" customFormat="1" x14ac:dyDescent="0.25">
      <c r="A135" s="107"/>
      <c r="B135" s="108"/>
      <c r="C135" s="108"/>
      <c r="D135" s="108"/>
      <c r="E135" s="108"/>
      <c r="F135" s="9"/>
      <c r="G135" s="107"/>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row>
    <row r="136" spans="1:53" s="268" customFormat="1" x14ac:dyDescent="0.25">
      <c r="A136" s="107"/>
      <c r="B136" s="107"/>
      <c r="C136" s="9"/>
      <c r="D136" s="9"/>
      <c r="E136" s="107"/>
      <c r="F136" s="9"/>
      <c r="G136" s="107"/>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row>
    <row r="137" spans="1:53" s="268" customFormat="1" x14ac:dyDescent="0.25">
      <c r="A137" s="107"/>
      <c r="B137" s="107"/>
      <c r="C137" s="9"/>
      <c r="D137" s="9"/>
      <c r="E137" s="107"/>
      <c r="F137" s="9"/>
      <c r="G137" s="107"/>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row>
    <row r="138" spans="1:53" x14ac:dyDescent="0.25">
      <c r="C138" s="9"/>
      <c r="D138" s="9"/>
      <c r="F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107"/>
      <c r="AY138" s="107"/>
      <c r="AZ138" s="107"/>
      <c r="BA138" s="107"/>
    </row>
    <row r="139" spans="1:53" x14ac:dyDescent="0.25">
      <c r="C139" s="9"/>
      <c r="D139" s="9"/>
      <c r="F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107"/>
      <c r="AY139" s="107"/>
      <c r="AZ139" s="107"/>
      <c r="BA139" s="107"/>
    </row>
    <row r="140" spans="1:53" x14ac:dyDescent="0.25">
      <c r="C140" s="9"/>
      <c r="D140" s="9"/>
      <c r="F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107"/>
      <c r="AY140" s="107"/>
      <c r="AZ140" s="107"/>
      <c r="BA140" s="107"/>
    </row>
    <row r="141" spans="1:53" x14ac:dyDescent="0.25">
      <c r="C141" s="9"/>
      <c r="D141" s="9"/>
      <c r="F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107"/>
      <c r="AY141" s="107"/>
      <c r="AZ141" s="107"/>
      <c r="BA141" s="107"/>
    </row>
    <row r="142" spans="1:53" x14ac:dyDescent="0.25">
      <c r="C142" s="9"/>
      <c r="D142" s="9"/>
      <c r="F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107"/>
      <c r="AY142" s="107"/>
      <c r="AZ142" s="107"/>
      <c r="BA142" s="107"/>
    </row>
    <row r="143" spans="1:53" x14ac:dyDescent="0.25">
      <c r="C143" s="9"/>
      <c r="D143" s="9"/>
      <c r="F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107"/>
      <c r="AY143" s="107"/>
      <c r="AZ143" s="107"/>
      <c r="BA143" s="107"/>
    </row>
    <row r="144" spans="1:53" x14ac:dyDescent="0.25">
      <c r="C144" s="9"/>
      <c r="D144" s="9"/>
      <c r="F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107"/>
      <c r="AY144" s="107"/>
      <c r="AZ144" s="107"/>
      <c r="BA144" s="107"/>
    </row>
    <row r="145" spans="3:53" x14ac:dyDescent="0.25">
      <c r="C145" s="9"/>
      <c r="D145" s="9"/>
      <c r="F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107"/>
      <c r="AY145" s="107"/>
      <c r="AZ145" s="107"/>
      <c r="BA145" s="107"/>
    </row>
    <row r="146" spans="3:53" x14ac:dyDescent="0.25">
      <c r="C146" s="9"/>
      <c r="D146" s="9"/>
      <c r="F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107"/>
      <c r="AY146" s="107"/>
      <c r="AZ146" s="107"/>
      <c r="BA146" s="107"/>
    </row>
    <row r="147" spans="3:53" x14ac:dyDescent="0.25">
      <c r="C147" s="9"/>
      <c r="D147" s="9"/>
      <c r="F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107"/>
      <c r="AY147" s="107"/>
      <c r="AZ147" s="107"/>
      <c r="BA147" s="107"/>
    </row>
    <row r="148" spans="3:53" x14ac:dyDescent="0.25">
      <c r="C148" s="9"/>
      <c r="D148" s="9"/>
      <c r="F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107"/>
      <c r="AY148" s="107"/>
      <c r="AZ148" s="107"/>
      <c r="BA148" s="107"/>
    </row>
    <row r="149" spans="3:53" x14ac:dyDescent="0.25">
      <c r="C149" s="9"/>
      <c r="D149" s="9"/>
      <c r="F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107"/>
      <c r="AY149" s="107"/>
      <c r="AZ149" s="107"/>
      <c r="BA149" s="107"/>
    </row>
    <row r="150" spans="3:53" x14ac:dyDescent="0.25">
      <c r="C150" s="9"/>
      <c r="D150" s="9"/>
      <c r="F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107"/>
      <c r="AY150" s="107"/>
      <c r="AZ150" s="107"/>
      <c r="BA150" s="107"/>
    </row>
    <row r="151" spans="3:53" x14ac:dyDescent="0.25">
      <c r="C151" s="9"/>
      <c r="D151" s="9"/>
      <c r="F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107"/>
      <c r="AY151" s="107"/>
      <c r="AZ151" s="107"/>
      <c r="BA151" s="107"/>
    </row>
    <row r="152" spans="3:53" x14ac:dyDescent="0.25">
      <c r="C152" s="9"/>
      <c r="D152" s="9"/>
      <c r="F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107"/>
      <c r="AY152" s="107"/>
      <c r="AZ152" s="107"/>
      <c r="BA152" s="107"/>
    </row>
    <row r="153" spans="3:53" x14ac:dyDescent="0.25">
      <c r="C153" s="9"/>
      <c r="D153" s="9"/>
      <c r="F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107"/>
      <c r="AY153" s="107"/>
      <c r="AZ153" s="107"/>
      <c r="BA153" s="107"/>
    </row>
    <row r="154" spans="3:53" x14ac:dyDescent="0.25">
      <c r="C154" s="9"/>
      <c r="D154" s="9"/>
      <c r="F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107"/>
      <c r="AY154" s="107"/>
      <c r="AZ154" s="107"/>
      <c r="BA154" s="107"/>
    </row>
    <row r="155" spans="3:53" x14ac:dyDescent="0.25">
      <c r="C155" s="9"/>
      <c r="D155" s="9"/>
      <c r="F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107"/>
      <c r="AY155" s="107"/>
      <c r="AZ155" s="107"/>
      <c r="BA155" s="107"/>
    </row>
    <row r="156" spans="3:53" x14ac:dyDescent="0.25">
      <c r="C156" s="9"/>
      <c r="D156" s="9"/>
      <c r="F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107"/>
      <c r="AY156" s="107"/>
      <c r="AZ156" s="107"/>
      <c r="BA156" s="107"/>
    </row>
    <row r="157" spans="3:53" x14ac:dyDescent="0.25">
      <c r="C157" s="9"/>
      <c r="D157" s="9"/>
      <c r="F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107"/>
      <c r="AY157" s="107"/>
      <c r="AZ157" s="107"/>
      <c r="BA157" s="107"/>
    </row>
    <row r="158" spans="3:53" x14ac:dyDescent="0.25">
      <c r="C158" s="9"/>
      <c r="D158" s="9"/>
      <c r="F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107"/>
      <c r="AY158" s="107"/>
      <c r="AZ158" s="107"/>
      <c r="BA158" s="107"/>
    </row>
    <row r="159" spans="3:53" x14ac:dyDescent="0.25">
      <c r="C159" s="9"/>
      <c r="D159" s="9"/>
      <c r="F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107"/>
      <c r="AY159" s="107"/>
      <c r="AZ159" s="107"/>
      <c r="BA159" s="107"/>
    </row>
    <row r="160" spans="3:53" x14ac:dyDescent="0.25">
      <c r="C160" s="9"/>
      <c r="D160" s="9"/>
      <c r="F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107"/>
      <c r="AY160" s="107"/>
      <c r="AZ160" s="107"/>
      <c r="BA160" s="107"/>
    </row>
    <row r="161" spans="1:53" x14ac:dyDescent="0.25">
      <c r="C161" s="9"/>
      <c r="D161" s="9"/>
      <c r="F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107"/>
      <c r="AY161" s="107"/>
      <c r="AZ161" s="107"/>
      <c r="BA161" s="107"/>
    </row>
    <row r="162" spans="1:53" x14ac:dyDescent="0.25">
      <c r="C162" s="9"/>
      <c r="D162" s="9"/>
      <c r="F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107"/>
      <c r="AY162" s="107"/>
      <c r="AZ162" s="107"/>
      <c r="BA162" s="107"/>
    </row>
    <row r="163" spans="1:53" x14ac:dyDescent="0.25">
      <c r="C163" s="9"/>
      <c r="D163" s="9"/>
      <c r="F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107"/>
      <c r="AY163" s="107"/>
      <c r="AZ163" s="107"/>
      <c r="BA163" s="107"/>
    </row>
    <row r="164" spans="1:53" x14ac:dyDescent="0.25">
      <c r="C164" s="9"/>
      <c r="D164" s="9"/>
      <c r="F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107"/>
      <c r="AY164" s="107"/>
      <c r="AZ164" s="107"/>
      <c r="BA164" s="107"/>
    </row>
    <row r="165" spans="1:53" x14ac:dyDescent="0.25">
      <c r="C165" s="9"/>
      <c r="D165" s="9"/>
      <c r="F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107"/>
      <c r="AY165" s="107"/>
      <c r="AZ165" s="107"/>
      <c r="BA165" s="107"/>
    </row>
    <row r="166" spans="1:53" x14ac:dyDescent="0.25">
      <c r="C166" s="9"/>
      <c r="D166" s="9"/>
      <c r="F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107"/>
      <c r="AY166" s="107"/>
      <c r="AZ166" s="107"/>
      <c r="BA166" s="107"/>
    </row>
    <row r="167" spans="1:53" x14ac:dyDescent="0.25">
      <c r="C167" s="9"/>
      <c r="D167" s="9"/>
      <c r="F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107"/>
      <c r="AY167" s="107"/>
      <c r="AZ167" s="107"/>
      <c r="BA167" s="107"/>
    </row>
    <row r="168" spans="1:53" x14ac:dyDescent="0.25">
      <c r="C168" s="9"/>
      <c r="D168" s="9"/>
      <c r="F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107"/>
      <c r="AY168" s="107"/>
      <c r="AZ168" s="107"/>
      <c r="BA168" s="107"/>
    </row>
    <row r="169" spans="1:53" x14ac:dyDescent="0.25">
      <c r="C169" s="9"/>
      <c r="D169" s="9"/>
      <c r="F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107"/>
      <c r="AY169" s="107"/>
      <c r="AZ169" s="107"/>
      <c r="BA169" s="107"/>
    </row>
    <row r="170" spans="1:53" s="268" customFormat="1" x14ac:dyDescent="0.25">
      <c r="A170" s="107"/>
      <c r="B170" s="107"/>
      <c r="C170" s="9"/>
      <c r="D170" s="9"/>
      <c r="E170" s="107"/>
      <c r="F170" s="9"/>
      <c r="G170" s="107"/>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row>
    <row r="171" spans="1:53" s="268" customFormat="1" x14ac:dyDescent="0.25">
      <c r="A171" s="107"/>
      <c r="B171" s="107"/>
      <c r="C171" s="9"/>
      <c r="D171" s="9"/>
      <c r="E171" s="107"/>
      <c r="F171" s="9"/>
      <c r="G171" s="107"/>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row>
    <row r="172" spans="1:53" s="268" customFormat="1" x14ac:dyDescent="0.25">
      <c r="A172" s="107"/>
      <c r="B172" s="107"/>
      <c r="C172" s="9"/>
      <c r="D172" s="9"/>
      <c r="E172" s="107"/>
      <c r="F172" s="9"/>
      <c r="G172" s="107"/>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row>
    <row r="173" spans="1:53" s="268" customFormat="1" x14ac:dyDescent="0.25">
      <c r="A173" s="107"/>
      <c r="B173" s="107"/>
      <c r="C173" s="9"/>
      <c r="D173" s="9"/>
      <c r="E173" s="107"/>
      <c r="F173" s="9"/>
      <c r="G173" s="107"/>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row>
    <row r="174" spans="1:53" s="268" customFormat="1" x14ac:dyDescent="0.25">
      <c r="A174" s="107"/>
      <c r="B174" s="107"/>
      <c r="C174" s="9"/>
      <c r="D174" s="9"/>
      <c r="E174" s="107"/>
      <c r="F174" s="9"/>
      <c r="G174" s="107"/>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row>
    <row r="175" spans="1:53" s="268" customFormat="1" x14ac:dyDescent="0.25">
      <c r="A175" s="107"/>
      <c r="B175" s="107"/>
      <c r="C175" s="9"/>
      <c r="D175" s="9"/>
      <c r="E175" s="107"/>
      <c r="F175" s="9"/>
      <c r="G175" s="107"/>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row>
    <row r="176" spans="1:53" s="268" customFormat="1" x14ac:dyDescent="0.25">
      <c r="A176" s="107"/>
      <c r="B176" s="107"/>
      <c r="C176" s="9"/>
      <c r="D176" s="9"/>
      <c r="E176" s="107"/>
      <c r="F176" s="9"/>
      <c r="G176" s="107"/>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row>
    <row r="177" spans="1:51" s="268" customFormat="1" x14ac:dyDescent="0.25">
      <c r="A177" s="107"/>
      <c r="B177" s="107"/>
      <c r="C177" s="9"/>
      <c r="D177" s="9"/>
      <c r="E177" s="107"/>
      <c r="F177" s="9"/>
      <c r="G177" s="107"/>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row>
    <row r="178" spans="1:51" s="268" customFormat="1" x14ac:dyDescent="0.25">
      <c r="A178" s="107"/>
      <c r="B178" s="107"/>
      <c r="C178" s="9"/>
      <c r="D178" s="9"/>
      <c r="E178" s="107"/>
      <c r="F178" s="9"/>
      <c r="G178" s="107"/>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row>
    <row r="179" spans="1:51" s="268" customFormat="1" x14ac:dyDescent="0.25">
      <c r="A179" s="107"/>
      <c r="B179" s="107"/>
      <c r="C179" s="9"/>
      <c r="D179" s="9"/>
      <c r="E179" s="107"/>
      <c r="F179" s="9"/>
      <c r="G179" s="107"/>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row>
    <row r="180" spans="1:51" s="268" customFormat="1" x14ac:dyDescent="0.25">
      <c r="A180" s="107"/>
      <c r="B180" s="107"/>
      <c r="C180" s="9"/>
      <c r="D180" s="9"/>
      <c r="E180" s="107"/>
      <c r="F180" s="9"/>
      <c r="G180" s="107"/>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row>
    <row r="181" spans="1:51" s="268" customFormat="1" x14ac:dyDescent="0.25">
      <c r="A181" s="107"/>
      <c r="B181" s="107"/>
      <c r="C181" s="9"/>
      <c r="D181" s="9"/>
      <c r="E181" s="107"/>
      <c r="F181" s="9"/>
      <c r="G181" s="107"/>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row>
    <row r="182" spans="1:51" s="268" customFormat="1" x14ac:dyDescent="0.25">
      <c r="A182" s="107"/>
      <c r="B182" s="107"/>
      <c r="C182" s="9"/>
      <c r="D182" s="9"/>
      <c r="E182" s="107"/>
      <c r="F182" s="9"/>
      <c r="G182" s="107"/>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row>
    <row r="183" spans="1:51" s="268" customFormat="1" x14ac:dyDescent="0.25">
      <c r="A183" s="107"/>
      <c r="B183" s="107"/>
      <c r="C183" s="9"/>
      <c r="D183" s="9"/>
      <c r="E183" s="107"/>
      <c r="F183" s="9"/>
      <c r="G183" s="107"/>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row>
    <row r="184" spans="1:51" s="268" customFormat="1" x14ac:dyDescent="0.25">
      <c r="A184" s="107"/>
      <c r="B184" s="107"/>
      <c r="C184" s="9"/>
      <c r="D184" s="9"/>
      <c r="E184" s="107"/>
      <c r="F184" s="7"/>
      <c r="G184" s="10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266"/>
      <c r="AY184" s="266"/>
    </row>
    <row r="185" spans="1:51" s="268" customFormat="1" x14ac:dyDescent="0.25">
      <c r="A185" s="107"/>
      <c r="B185" s="107"/>
      <c r="C185" s="9"/>
      <c r="D185" s="9"/>
      <c r="E185" s="107"/>
      <c r="F185" s="7"/>
      <c r="G185" s="10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266"/>
      <c r="AY185" s="266"/>
    </row>
    <row r="186" spans="1:51" s="268" customFormat="1" x14ac:dyDescent="0.25">
      <c r="A186" s="107"/>
      <c r="B186" s="107"/>
      <c r="C186" s="9"/>
      <c r="D186" s="9"/>
      <c r="E186" s="107"/>
      <c r="F186" s="7"/>
      <c r="G186" s="10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266"/>
      <c r="AY186" s="266"/>
    </row>
    <row r="187" spans="1:51" s="268" customFormat="1" x14ac:dyDescent="0.25">
      <c r="A187" s="107"/>
      <c r="B187" s="107"/>
      <c r="C187" s="9"/>
      <c r="D187" s="9"/>
      <c r="E187" s="107"/>
      <c r="F187" s="7"/>
      <c r="G187" s="10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266"/>
      <c r="AY187" s="266"/>
    </row>
    <row r="188" spans="1:51" s="268" customFormat="1" x14ac:dyDescent="0.25">
      <c r="A188" s="107"/>
      <c r="B188" s="107"/>
      <c r="C188" s="9"/>
      <c r="D188" s="9"/>
      <c r="E188" s="107"/>
      <c r="F188" s="7"/>
      <c r="G188" s="10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266"/>
      <c r="AY188" s="266"/>
    </row>
    <row r="189" spans="1:51" s="268" customFormat="1" x14ac:dyDescent="0.25">
      <c r="A189" s="107"/>
      <c r="B189" s="107"/>
      <c r="C189" s="9"/>
      <c r="D189" s="9"/>
      <c r="E189" s="107"/>
      <c r="F189" s="7"/>
      <c r="G189" s="10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266"/>
      <c r="AY189" s="266"/>
    </row>
    <row r="190" spans="1:51" s="268" customFormat="1" x14ac:dyDescent="0.25">
      <c r="A190" s="107"/>
      <c r="B190" s="107"/>
      <c r="C190" s="9"/>
      <c r="D190" s="9"/>
      <c r="E190" s="107"/>
      <c r="F190" s="7"/>
      <c r="G190" s="10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266"/>
      <c r="AY190" s="266"/>
    </row>
    <row r="191" spans="1:51" s="268" customFormat="1" x14ac:dyDescent="0.25">
      <c r="A191" s="107"/>
      <c r="B191" s="107"/>
      <c r="C191" s="9"/>
      <c r="D191" s="9"/>
      <c r="E191" s="107"/>
      <c r="F191" s="7"/>
      <c r="G191" s="10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266"/>
      <c r="AY191" s="266"/>
    </row>
    <row r="192" spans="1:51" s="268" customFormat="1" x14ac:dyDescent="0.25">
      <c r="A192" s="107"/>
      <c r="B192" s="107"/>
      <c r="C192" s="9"/>
      <c r="D192" s="9"/>
      <c r="E192" s="107"/>
      <c r="F192" s="7"/>
      <c r="G192" s="10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266"/>
      <c r="AY192" s="266"/>
    </row>
    <row r="193" spans="1:51" s="268" customFormat="1" x14ac:dyDescent="0.25">
      <c r="A193" s="107"/>
      <c r="B193" s="107"/>
      <c r="C193" s="9"/>
      <c r="D193" s="9"/>
      <c r="E193" s="107"/>
      <c r="F193" s="7"/>
      <c r="G193" s="10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266"/>
      <c r="AY193" s="266"/>
    </row>
    <row r="194" spans="1:51" s="268" customFormat="1" x14ac:dyDescent="0.25">
      <c r="A194" s="107"/>
      <c r="B194" s="107"/>
      <c r="C194" s="9"/>
      <c r="D194" s="9"/>
      <c r="E194" s="107"/>
      <c r="F194" s="7"/>
      <c r="G194" s="10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266"/>
      <c r="AY194" s="266"/>
    </row>
    <row r="195" spans="1:51" s="268" customFormat="1" x14ac:dyDescent="0.25">
      <c r="A195" s="107"/>
      <c r="B195" s="107"/>
      <c r="C195" s="9"/>
      <c r="D195" s="9"/>
      <c r="E195" s="107"/>
      <c r="F195" s="7"/>
      <c r="G195" s="10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266"/>
      <c r="AY195" s="266"/>
    </row>
    <row r="196" spans="1:51" s="268" customFormat="1" x14ac:dyDescent="0.25">
      <c r="A196" s="107"/>
      <c r="B196" s="107"/>
      <c r="C196" s="9"/>
      <c r="D196" s="9"/>
      <c r="E196" s="107"/>
      <c r="F196" s="7"/>
      <c r="G196" s="10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266"/>
      <c r="AY196" s="266"/>
    </row>
    <row r="197" spans="1:51" s="268" customFormat="1" x14ac:dyDescent="0.25">
      <c r="A197" s="107"/>
      <c r="B197" s="107"/>
      <c r="C197" s="9"/>
      <c r="D197" s="9"/>
      <c r="E197" s="107"/>
      <c r="F197" s="7"/>
      <c r="G197" s="10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266"/>
      <c r="AY197" s="266"/>
    </row>
    <row r="198" spans="1:51" s="268" customFormat="1" x14ac:dyDescent="0.25">
      <c r="A198" s="107"/>
      <c r="B198" s="107"/>
      <c r="C198" s="9"/>
      <c r="D198" s="9"/>
      <c r="E198" s="107"/>
      <c r="F198" s="7"/>
      <c r="G198" s="10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266"/>
      <c r="AY198" s="266"/>
    </row>
    <row r="199" spans="1:51" s="268" customFormat="1" x14ac:dyDescent="0.25">
      <c r="A199" s="107"/>
      <c r="B199" s="107"/>
      <c r="C199" s="9"/>
      <c r="D199" s="9"/>
      <c r="E199" s="107"/>
      <c r="F199" s="7"/>
      <c r="G199" s="10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266"/>
      <c r="AY199" s="266"/>
    </row>
    <row r="200" spans="1:51" s="268" customFormat="1" x14ac:dyDescent="0.25">
      <c r="A200" s="107"/>
      <c r="B200" s="107"/>
      <c r="C200" s="9"/>
      <c r="D200" s="9"/>
      <c r="E200" s="107"/>
      <c r="F200" s="7"/>
      <c r="G200" s="10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266"/>
      <c r="AY200" s="266"/>
    </row>
    <row r="201" spans="1:51" s="268" customFormat="1" x14ac:dyDescent="0.25">
      <c r="A201" s="107"/>
      <c r="B201" s="107"/>
      <c r="C201" s="9"/>
      <c r="D201" s="9"/>
      <c r="E201" s="107"/>
      <c r="F201" s="7"/>
      <c r="G201" s="10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266"/>
      <c r="AY201" s="266"/>
    </row>
    <row r="202" spans="1:51" s="268" customFormat="1" x14ac:dyDescent="0.25">
      <c r="A202" s="107"/>
      <c r="B202" s="107"/>
      <c r="C202" s="9"/>
      <c r="D202" s="9"/>
      <c r="E202" s="107"/>
      <c r="F202" s="7"/>
      <c r="G202" s="10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266"/>
      <c r="AY202" s="266"/>
    </row>
    <row r="203" spans="1:51" s="268" customFormat="1" x14ac:dyDescent="0.25">
      <c r="A203" s="107"/>
      <c r="B203" s="107"/>
      <c r="C203" s="9"/>
      <c r="D203" s="9"/>
      <c r="E203" s="107"/>
      <c r="F203" s="7"/>
      <c r="G203" s="10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266"/>
      <c r="AY203" s="266"/>
    </row>
    <row r="204" spans="1:51" s="268" customFormat="1" x14ac:dyDescent="0.25">
      <c r="A204" s="107"/>
      <c r="B204" s="107"/>
      <c r="C204" s="9"/>
      <c r="D204" s="9"/>
      <c r="E204" s="107"/>
      <c r="F204" s="7"/>
      <c r="G204" s="10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266"/>
      <c r="AY204" s="266"/>
    </row>
    <row r="205" spans="1:51" s="268" customFormat="1" x14ac:dyDescent="0.25">
      <c r="A205" s="107"/>
      <c r="B205" s="107"/>
      <c r="C205" s="9"/>
      <c r="D205" s="9"/>
      <c r="E205" s="107"/>
      <c r="F205" s="7"/>
      <c r="G205" s="10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266"/>
      <c r="AY205" s="266"/>
    </row>
    <row r="206" spans="1:51" s="268" customFormat="1" x14ac:dyDescent="0.25">
      <c r="A206" s="107"/>
      <c r="B206" s="107"/>
      <c r="C206" s="9"/>
      <c r="D206" s="9"/>
      <c r="E206" s="107"/>
      <c r="F206" s="7"/>
      <c r="G206" s="10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266"/>
      <c r="AY206" s="266"/>
    </row>
    <row r="207" spans="1:51" s="268" customFormat="1" x14ac:dyDescent="0.25">
      <c r="A207" s="107"/>
      <c r="B207" s="107"/>
      <c r="C207" s="9"/>
      <c r="D207" s="9"/>
      <c r="E207" s="107"/>
      <c r="F207" s="7"/>
      <c r="G207" s="10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266"/>
      <c r="AY207" s="266"/>
    </row>
    <row r="208" spans="1:51" s="268" customFormat="1" x14ac:dyDescent="0.25">
      <c r="A208" s="107"/>
      <c r="B208" s="107"/>
      <c r="C208" s="9"/>
      <c r="D208" s="9"/>
      <c r="E208" s="107"/>
      <c r="F208" s="7"/>
      <c r="G208" s="10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266"/>
      <c r="AY208" s="266"/>
    </row>
    <row r="209" spans="1:51" s="268" customFormat="1" x14ac:dyDescent="0.25">
      <c r="A209" s="107"/>
      <c r="B209" s="107"/>
      <c r="C209" s="7"/>
      <c r="D209" s="7"/>
      <c r="E209" s="10"/>
      <c r="F209" s="7"/>
      <c r="G209" s="10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266"/>
      <c r="AY209" s="266"/>
    </row>
    <row r="210" spans="1:51" s="268" customFormat="1" x14ac:dyDescent="0.25">
      <c r="A210" s="107"/>
      <c r="B210" s="107"/>
      <c r="C210" s="7"/>
      <c r="D210" s="7"/>
      <c r="E210" s="10"/>
      <c r="F210" s="7"/>
      <c r="G210" s="10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266"/>
      <c r="AY210" s="266"/>
    </row>
    <row r="211" spans="1:51" s="268" customFormat="1" x14ac:dyDescent="0.25">
      <c r="A211" s="107"/>
      <c r="B211" s="107"/>
      <c r="C211" s="7"/>
      <c r="D211" s="7"/>
      <c r="E211" s="10"/>
      <c r="F211" s="7"/>
      <c r="G211" s="10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266"/>
      <c r="AY211" s="266"/>
    </row>
    <row r="212" spans="1:51" s="268" customFormat="1" x14ac:dyDescent="0.25">
      <c r="A212" s="107"/>
      <c r="B212" s="107"/>
      <c r="C212" s="7"/>
      <c r="D212" s="7"/>
      <c r="E212" s="10"/>
      <c r="F212" s="7"/>
      <c r="G212" s="10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266"/>
      <c r="AY212" s="266"/>
    </row>
    <row r="213" spans="1:51" s="268" customFormat="1" x14ac:dyDescent="0.25">
      <c r="A213" s="107"/>
      <c r="B213" s="107"/>
      <c r="C213" s="7"/>
      <c r="D213" s="7"/>
      <c r="E213" s="10"/>
      <c r="F213" s="7"/>
      <c r="G213" s="10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266"/>
      <c r="AY213" s="266"/>
    </row>
    <row r="214" spans="1:51" s="268" customFormat="1" x14ac:dyDescent="0.25">
      <c r="A214" s="107"/>
      <c r="B214" s="107"/>
      <c r="C214" s="7"/>
      <c r="D214" s="7"/>
      <c r="E214" s="10"/>
      <c r="F214" s="7"/>
      <c r="G214" s="10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266"/>
      <c r="AY214" s="266"/>
    </row>
    <row r="215" spans="1:51" s="268" customFormat="1" x14ac:dyDescent="0.25">
      <c r="A215" s="107"/>
      <c r="B215" s="107"/>
      <c r="C215" s="7"/>
      <c r="D215" s="7"/>
      <c r="E215" s="10"/>
      <c r="F215" s="7"/>
      <c r="G215" s="10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266"/>
      <c r="AY215" s="266"/>
    </row>
    <row r="216" spans="1:51" s="268" customFormat="1" x14ac:dyDescent="0.25">
      <c r="A216" s="107"/>
      <c r="B216" s="107"/>
      <c r="C216" s="7"/>
      <c r="D216" s="7"/>
      <c r="E216" s="10"/>
      <c r="F216" s="7"/>
      <c r="G216" s="10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266"/>
      <c r="AY216" s="266"/>
    </row>
    <row r="217" spans="1:51" s="268" customFormat="1" x14ac:dyDescent="0.25">
      <c r="A217" s="107"/>
      <c r="B217" s="107"/>
      <c r="C217" s="7"/>
      <c r="D217" s="7"/>
      <c r="E217" s="10"/>
      <c r="F217" s="7"/>
      <c r="G217" s="10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266"/>
      <c r="AY217" s="266"/>
    </row>
    <row r="218" spans="1:51" s="268" customFormat="1" x14ac:dyDescent="0.25">
      <c r="A218" s="107"/>
      <c r="B218" s="107"/>
      <c r="C218" s="7"/>
      <c r="D218" s="7"/>
      <c r="E218" s="10"/>
      <c r="F218" s="7"/>
      <c r="G218" s="10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266"/>
      <c r="AY218" s="266"/>
    </row>
    <row r="219" spans="1:51" s="268" customFormat="1" x14ac:dyDescent="0.25">
      <c r="A219" s="107"/>
      <c r="B219" s="107"/>
      <c r="C219" s="7"/>
      <c r="D219" s="7"/>
      <c r="E219" s="10"/>
      <c r="F219" s="7"/>
      <c r="G219" s="10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266"/>
      <c r="AY219" s="266"/>
    </row>
    <row r="220" spans="1:51" s="268" customFormat="1" x14ac:dyDescent="0.25">
      <c r="A220" s="107"/>
      <c r="B220" s="107"/>
      <c r="C220" s="7"/>
      <c r="D220" s="7"/>
      <c r="E220" s="10"/>
      <c r="F220" s="7"/>
      <c r="G220" s="10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266"/>
      <c r="AY220" s="266"/>
    </row>
    <row r="221" spans="1:51" s="268" customFormat="1" x14ac:dyDescent="0.25">
      <c r="A221" s="107"/>
      <c r="B221" s="107"/>
      <c r="C221" s="7"/>
      <c r="D221" s="7"/>
      <c r="E221" s="10"/>
      <c r="F221" s="7"/>
      <c r="G221" s="10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266"/>
      <c r="AY221" s="266"/>
    </row>
    <row r="222" spans="1:51" s="268" customFormat="1" x14ac:dyDescent="0.25">
      <c r="A222" s="107"/>
      <c r="B222" s="107"/>
      <c r="C222" s="7"/>
      <c r="D222" s="7"/>
      <c r="E222" s="10"/>
      <c r="F222" s="7"/>
      <c r="G222" s="10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266"/>
      <c r="AY222" s="266"/>
    </row>
    <row r="223" spans="1:51" s="268" customFormat="1" x14ac:dyDescent="0.25">
      <c r="A223" s="107"/>
      <c r="B223" s="107"/>
      <c r="C223" s="7"/>
      <c r="D223" s="7"/>
      <c r="E223" s="10"/>
      <c r="F223" s="7"/>
      <c r="G223" s="10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266"/>
      <c r="AY223" s="266"/>
    </row>
    <row r="224" spans="1:51" s="268" customFormat="1" x14ac:dyDescent="0.25">
      <c r="A224" s="107"/>
      <c r="B224" s="107"/>
      <c r="C224" s="7"/>
      <c r="D224" s="7"/>
      <c r="E224" s="10"/>
      <c r="F224" s="7"/>
      <c r="G224" s="10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266"/>
      <c r="AY224" s="266"/>
    </row>
    <row r="225" spans="1:51" s="268" customFormat="1" x14ac:dyDescent="0.25">
      <c r="A225" s="107"/>
      <c r="B225" s="107"/>
      <c r="C225" s="7"/>
      <c r="D225" s="7"/>
      <c r="E225" s="10"/>
      <c r="F225" s="7"/>
      <c r="G225" s="10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266"/>
      <c r="AY225" s="266"/>
    </row>
    <row r="226" spans="1:51" s="268" customFormat="1" x14ac:dyDescent="0.25">
      <c r="A226" s="107"/>
      <c r="B226" s="107"/>
      <c r="C226" s="7"/>
      <c r="D226" s="7"/>
      <c r="E226" s="10"/>
      <c r="F226" s="7"/>
      <c r="G226" s="10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266"/>
      <c r="AY226" s="266"/>
    </row>
    <row r="227" spans="1:51" s="268" customFormat="1" x14ac:dyDescent="0.25">
      <c r="A227" s="107"/>
      <c r="B227" s="107"/>
      <c r="C227" s="7"/>
      <c r="D227" s="7"/>
      <c r="E227" s="10"/>
      <c r="F227" s="7"/>
      <c r="G227" s="10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266"/>
      <c r="AY227" s="266"/>
    </row>
    <row r="228" spans="1:51" s="268" customFormat="1" x14ac:dyDescent="0.25">
      <c r="A228" s="107"/>
      <c r="B228" s="107"/>
      <c r="C228" s="7"/>
      <c r="D228" s="7"/>
      <c r="E228" s="10"/>
      <c r="F228" s="7"/>
      <c r="G228" s="10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266"/>
      <c r="AY228" s="266"/>
    </row>
    <row r="229" spans="1:51" s="268" customFormat="1" x14ac:dyDescent="0.25">
      <c r="A229" s="107"/>
      <c r="B229" s="107"/>
      <c r="C229" s="7"/>
      <c r="D229" s="7"/>
      <c r="E229" s="10"/>
      <c r="F229" s="7"/>
      <c r="G229" s="10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266"/>
      <c r="AY229" s="266"/>
    </row>
    <row r="230" spans="1:51" s="268" customFormat="1" x14ac:dyDescent="0.25">
      <c r="A230" s="107"/>
      <c r="B230" s="107"/>
      <c r="C230" s="7"/>
      <c r="D230" s="7"/>
      <c r="E230" s="10"/>
      <c r="F230" s="7"/>
      <c r="G230" s="10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266"/>
      <c r="AY230" s="266"/>
    </row>
    <row r="231" spans="1:51" s="268" customFormat="1" x14ac:dyDescent="0.25">
      <c r="A231" s="107"/>
      <c r="B231" s="107"/>
      <c r="C231" s="7"/>
      <c r="D231" s="7"/>
      <c r="E231" s="10"/>
      <c r="F231" s="7"/>
      <c r="G231" s="10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266"/>
      <c r="AY231" s="266"/>
    </row>
    <row r="232" spans="1:51" s="268" customFormat="1" x14ac:dyDescent="0.25">
      <c r="A232" s="107"/>
      <c r="B232" s="107"/>
      <c r="C232" s="7"/>
      <c r="D232" s="7"/>
      <c r="E232" s="10"/>
      <c r="F232" s="7"/>
      <c r="G232" s="10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266"/>
      <c r="AY232" s="266"/>
    </row>
    <row r="233" spans="1:51" s="268" customFormat="1" x14ac:dyDescent="0.25">
      <c r="A233" s="107"/>
      <c r="B233" s="107"/>
      <c r="C233" s="7"/>
      <c r="D233" s="7"/>
      <c r="E233" s="10"/>
      <c r="F233" s="7"/>
      <c r="G233" s="10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266"/>
      <c r="AY233" s="266"/>
    </row>
    <row r="234" spans="1:51" s="268" customFormat="1" x14ac:dyDescent="0.25">
      <c r="A234" s="107"/>
      <c r="B234" s="107"/>
      <c r="C234" s="7"/>
      <c r="D234" s="7"/>
      <c r="E234" s="10"/>
      <c r="F234" s="7"/>
      <c r="G234" s="10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266"/>
      <c r="AY234" s="266"/>
    </row>
    <row r="235" spans="1:51" s="268" customFormat="1" x14ac:dyDescent="0.25">
      <c r="A235" s="107"/>
      <c r="B235" s="107"/>
      <c r="C235" s="7"/>
      <c r="D235" s="7"/>
      <c r="E235" s="10"/>
      <c r="F235" s="7"/>
      <c r="G235" s="10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266"/>
      <c r="AY235" s="266"/>
    </row>
    <row r="236" spans="1:51" s="268" customFormat="1" x14ac:dyDescent="0.25">
      <c r="A236" s="107"/>
      <c r="B236" s="107"/>
      <c r="C236" s="7"/>
      <c r="D236" s="7"/>
      <c r="E236" s="10"/>
      <c r="F236" s="7"/>
      <c r="G236" s="10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266"/>
      <c r="AY236" s="266"/>
    </row>
    <row r="237" spans="1:51" s="268" customFormat="1" x14ac:dyDescent="0.25">
      <c r="A237" s="107"/>
      <c r="B237" s="107"/>
      <c r="C237" s="7"/>
      <c r="D237" s="7"/>
      <c r="E237" s="10"/>
      <c r="F237" s="7"/>
      <c r="G237" s="10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266"/>
      <c r="AY237" s="266"/>
    </row>
    <row r="238" spans="1:51" s="268" customFormat="1" x14ac:dyDescent="0.25">
      <c r="A238" s="107"/>
      <c r="B238" s="107"/>
      <c r="C238" s="7"/>
      <c r="D238" s="7"/>
      <c r="E238" s="10"/>
      <c r="F238" s="7"/>
      <c r="G238" s="10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266"/>
      <c r="AY238" s="266"/>
    </row>
    <row r="239" spans="1:51" s="268" customFormat="1" x14ac:dyDescent="0.25">
      <c r="A239" s="107"/>
      <c r="B239" s="107"/>
      <c r="C239" s="7"/>
      <c r="D239" s="7"/>
      <c r="E239" s="10"/>
      <c r="F239" s="7"/>
      <c r="G239" s="10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266"/>
      <c r="AY239" s="266"/>
    </row>
    <row r="240" spans="1:51" s="268" customFormat="1" x14ac:dyDescent="0.25">
      <c r="A240" s="107"/>
      <c r="B240" s="107"/>
      <c r="C240" s="7"/>
      <c r="D240" s="7"/>
      <c r="E240" s="10"/>
      <c r="F240" s="7"/>
      <c r="G240" s="10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266"/>
      <c r="AY240" s="266"/>
    </row>
    <row r="241" spans="1:51" s="268" customFormat="1" x14ac:dyDescent="0.25">
      <c r="A241" s="107"/>
      <c r="B241" s="107"/>
      <c r="C241" s="7"/>
      <c r="D241" s="7"/>
      <c r="E241" s="10"/>
      <c r="F241" s="7"/>
      <c r="G241" s="10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266"/>
      <c r="AY241" s="266"/>
    </row>
    <row r="242" spans="1:51" s="268" customFormat="1" x14ac:dyDescent="0.25">
      <c r="A242" s="107"/>
      <c r="B242" s="107"/>
      <c r="C242" s="7"/>
      <c r="D242" s="7"/>
      <c r="E242" s="10"/>
      <c r="F242" s="7"/>
      <c r="G242" s="10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266"/>
      <c r="AY242" s="266"/>
    </row>
    <row r="243" spans="1:51" s="268" customFormat="1" x14ac:dyDescent="0.25">
      <c r="A243" s="107"/>
      <c r="B243" s="107"/>
      <c r="C243" s="7"/>
      <c r="D243" s="7"/>
      <c r="E243" s="10"/>
      <c r="F243" s="7"/>
      <c r="G243" s="10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266"/>
      <c r="AY243" s="266"/>
    </row>
    <row r="244" spans="1:51" s="268" customFormat="1" x14ac:dyDescent="0.25">
      <c r="A244" s="107"/>
      <c r="B244" s="107"/>
      <c r="C244" s="7"/>
      <c r="D244" s="7"/>
      <c r="E244" s="10"/>
      <c r="F244" s="7"/>
      <c r="G244" s="10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266"/>
      <c r="AY244" s="266"/>
    </row>
    <row r="245" spans="1:51" s="268" customFormat="1" x14ac:dyDescent="0.25">
      <c r="A245" s="107"/>
      <c r="B245" s="107"/>
      <c r="C245" s="7"/>
      <c r="D245" s="7"/>
      <c r="E245" s="10"/>
      <c r="F245" s="7"/>
      <c r="G245" s="10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266"/>
      <c r="AY245" s="266"/>
    </row>
    <row r="246" spans="1:51" s="268" customFormat="1" x14ac:dyDescent="0.25">
      <c r="A246" s="107"/>
      <c r="B246" s="107"/>
      <c r="C246" s="7"/>
      <c r="D246" s="7"/>
      <c r="E246" s="10"/>
      <c r="F246" s="7"/>
      <c r="G246" s="10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266"/>
      <c r="AY246" s="266"/>
    </row>
    <row r="247" spans="1:51" s="268" customFormat="1" x14ac:dyDescent="0.25">
      <c r="A247" s="107"/>
      <c r="B247" s="107"/>
      <c r="C247" s="7"/>
      <c r="D247" s="7"/>
      <c r="E247" s="10"/>
      <c r="F247" s="7"/>
      <c r="G247" s="10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266"/>
      <c r="AY247" s="266"/>
    </row>
    <row r="248" spans="1:51" s="268" customFormat="1" x14ac:dyDescent="0.25">
      <c r="A248" s="107"/>
      <c r="B248" s="107"/>
      <c r="C248" s="7"/>
      <c r="D248" s="7"/>
      <c r="E248" s="10"/>
      <c r="F248" s="7"/>
      <c r="G248" s="10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266"/>
      <c r="AY248" s="266"/>
    </row>
    <row r="249" spans="1:51" s="268" customFormat="1" x14ac:dyDescent="0.25">
      <c r="A249" s="107"/>
      <c r="B249" s="107"/>
      <c r="C249" s="7"/>
      <c r="D249" s="7"/>
      <c r="E249" s="10"/>
      <c r="F249" s="7"/>
      <c r="G249" s="10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266"/>
      <c r="AY249" s="266"/>
    </row>
    <row r="250" spans="1:51" s="268" customFormat="1" x14ac:dyDescent="0.25">
      <c r="A250" s="107"/>
      <c r="B250" s="107"/>
      <c r="C250" s="7"/>
      <c r="D250" s="7"/>
      <c r="E250" s="10"/>
      <c r="F250" s="108"/>
      <c r="G250" s="107"/>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c r="AD250" s="108"/>
      <c r="AE250" s="108"/>
      <c r="AF250" s="108"/>
      <c r="AG250" s="108"/>
      <c r="AH250" s="108"/>
      <c r="AI250" s="108"/>
      <c r="AJ250" s="108"/>
      <c r="AK250" s="108"/>
      <c r="AL250" s="108"/>
      <c r="AM250" s="108"/>
      <c r="AN250" s="108"/>
      <c r="AO250" s="108"/>
      <c r="AP250" s="108"/>
      <c r="AQ250" s="108"/>
      <c r="AR250" s="108"/>
      <c r="AS250" s="108"/>
      <c r="AT250" s="108"/>
      <c r="AU250" s="108"/>
      <c r="AV250" s="108"/>
      <c r="AW250" s="108"/>
      <c r="AX250" s="270"/>
      <c r="AY250" s="270"/>
    </row>
    <row r="251" spans="1:51" s="268" customFormat="1" x14ac:dyDescent="0.25">
      <c r="A251" s="107"/>
      <c r="B251" s="107"/>
      <c r="C251" s="7"/>
      <c r="D251" s="7"/>
      <c r="E251" s="10"/>
      <c r="F251" s="108"/>
      <c r="G251" s="107"/>
      <c r="H251" s="108"/>
      <c r="I251" s="108"/>
      <c r="J251" s="108"/>
      <c r="K251" s="108"/>
      <c r="L251" s="108"/>
      <c r="M251" s="108"/>
      <c r="N251" s="108"/>
      <c r="O251" s="108"/>
      <c r="P251" s="108"/>
      <c r="Q251" s="108"/>
      <c r="R251" s="108"/>
      <c r="S251" s="108"/>
      <c r="T251" s="108"/>
      <c r="U251" s="108"/>
      <c r="V251" s="108"/>
      <c r="W251" s="108"/>
      <c r="X251" s="108"/>
      <c r="Y251" s="108"/>
      <c r="Z251" s="108"/>
      <c r="AA251" s="108"/>
      <c r="AB251" s="108"/>
      <c r="AC251" s="108"/>
      <c r="AD251" s="108"/>
      <c r="AE251" s="108"/>
      <c r="AF251" s="108"/>
      <c r="AG251" s="108"/>
      <c r="AH251" s="108"/>
      <c r="AI251" s="108"/>
      <c r="AJ251" s="108"/>
      <c r="AK251" s="108"/>
      <c r="AL251" s="108"/>
      <c r="AM251" s="108"/>
      <c r="AN251" s="108"/>
      <c r="AO251" s="108"/>
      <c r="AP251" s="108"/>
      <c r="AQ251" s="108"/>
      <c r="AR251" s="108"/>
      <c r="AS251" s="108"/>
      <c r="AT251" s="108"/>
      <c r="AU251" s="108"/>
      <c r="AV251" s="108"/>
      <c r="AW251" s="108"/>
      <c r="AX251" s="270"/>
      <c r="AY251" s="270"/>
    </row>
    <row r="252" spans="1:51" s="268" customFormat="1" x14ac:dyDescent="0.25">
      <c r="A252" s="107"/>
      <c r="B252" s="107"/>
      <c r="C252" s="7"/>
      <c r="D252" s="7"/>
      <c r="E252" s="10"/>
      <c r="F252" s="108"/>
      <c r="G252" s="107"/>
      <c r="H252" s="108"/>
      <c r="I252" s="108"/>
      <c r="J252" s="108"/>
      <c r="K252" s="108"/>
      <c r="L252" s="108"/>
      <c r="M252" s="108"/>
      <c r="N252" s="108"/>
      <c r="O252" s="108"/>
      <c r="P252" s="108"/>
      <c r="Q252" s="108"/>
      <c r="R252" s="108"/>
      <c r="S252" s="108"/>
      <c r="T252" s="108"/>
      <c r="U252" s="108"/>
      <c r="V252" s="108"/>
      <c r="W252" s="108"/>
      <c r="X252" s="108"/>
      <c r="Y252" s="108"/>
      <c r="Z252" s="108"/>
      <c r="AA252" s="108"/>
      <c r="AB252" s="108"/>
      <c r="AC252" s="108"/>
      <c r="AD252" s="108"/>
      <c r="AE252" s="108"/>
      <c r="AF252" s="108"/>
      <c r="AG252" s="108"/>
      <c r="AH252" s="108"/>
      <c r="AI252" s="108"/>
      <c r="AJ252" s="108"/>
      <c r="AK252" s="108"/>
      <c r="AL252" s="108"/>
      <c r="AM252" s="108"/>
      <c r="AN252" s="108"/>
      <c r="AO252" s="108"/>
      <c r="AP252" s="108"/>
      <c r="AQ252" s="108"/>
      <c r="AR252" s="108"/>
      <c r="AS252" s="108"/>
      <c r="AT252" s="108"/>
      <c r="AU252" s="108"/>
      <c r="AV252" s="108"/>
      <c r="AW252" s="108"/>
      <c r="AX252" s="270"/>
      <c r="AY252" s="270"/>
    </row>
    <row r="253" spans="1:51" s="268" customFormat="1" x14ac:dyDescent="0.25">
      <c r="A253" s="107"/>
      <c r="B253" s="107"/>
      <c r="C253" s="7"/>
      <c r="D253" s="7"/>
      <c r="E253" s="10"/>
      <c r="F253" s="108"/>
      <c r="G253" s="107"/>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c r="AD253" s="108"/>
      <c r="AE253" s="108"/>
      <c r="AF253" s="108"/>
      <c r="AG253" s="108"/>
      <c r="AH253" s="108"/>
      <c r="AI253" s="108"/>
      <c r="AJ253" s="108"/>
      <c r="AK253" s="108"/>
      <c r="AL253" s="108"/>
      <c r="AM253" s="108"/>
      <c r="AN253" s="108"/>
      <c r="AO253" s="108"/>
      <c r="AP253" s="108"/>
      <c r="AQ253" s="108"/>
      <c r="AR253" s="108"/>
      <c r="AS253" s="108"/>
      <c r="AT253" s="108"/>
      <c r="AU253" s="108"/>
      <c r="AV253" s="108"/>
      <c r="AW253" s="108"/>
      <c r="AX253" s="270"/>
      <c r="AY253" s="270"/>
    </row>
    <row r="254" spans="1:51" s="268" customFormat="1" x14ac:dyDescent="0.25">
      <c r="A254" s="107"/>
      <c r="B254" s="107"/>
      <c r="C254" s="7"/>
      <c r="D254" s="7"/>
      <c r="E254" s="10"/>
      <c r="F254" s="108"/>
      <c r="G254" s="107"/>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c r="AM254" s="108"/>
      <c r="AN254" s="108"/>
      <c r="AO254" s="108"/>
      <c r="AP254" s="108"/>
      <c r="AQ254" s="108"/>
      <c r="AR254" s="108"/>
      <c r="AS254" s="108"/>
      <c r="AT254" s="108"/>
      <c r="AU254" s="108"/>
      <c r="AV254" s="108"/>
      <c r="AW254" s="108"/>
      <c r="AX254" s="270"/>
      <c r="AY254" s="270"/>
    </row>
    <row r="255" spans="1:51" s="268" customFormat="1" x14ac:dyDescent="0.25">
      <c r="A255" s="107"/>
      <c r="B255" s="107"/>
      <c r="C255" s="7"/>
      <c r="D255" s="7"/>
      <c r="E255" s="10"/>
      <c r="F255" s="108"/>
      <c r="G255" s="107"/>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270"/>
      <c r="AY255" s="270"/>
    </row>
    <row r="256" spans="1:51" s="268" customFormat="1" x14ac:dyDescent="0.25">
      <c r="A256" s="107"/>
      <c r="B256" s="107"/>
      <c r="C256" s="7"/>
      <c r="D256" s="7"/>
      <c r="E256" s="10"/>
      <c r="F256" s="108"/>
      <c r="G256" s="107"/>
      <c r="H256" s="108"/>
      <c r="I256" s="108"/>
      <c r="J256" s="108"/>
      <c r="K256" s="108"/>
      <c r="L256" s="108"/>
      <c r="M256" s="108"/>
      <c r="N256" s="108"/>
      <c r="O256" s="108"/>
      <c r="P256" s="108"/>
      <c r="Q256" s="108"/>
      <c r="R256" s="108"/>
      <c r="S256" s="108"/>
      <c r="T256" s="108"/>
      <c r="U256" s="108"/>
      <c r="V256" s="108"/>
      <c r="W256" s="108"/>
      <c r="X256" s="108"/>
      <c r="Y256" s="108"/>
      <c r="Z256" s="108"/>
      <c r="AA256" s="108"/>
      <c r="AB256" s="108"/>
      <c r="AC256" s="108"/>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270"/>
      <c r="AY256" s="270"/>
    </row>
    <row r="257" spans="1:51" s="268" customFormat="1" x14ac:dyDescent="0.25">
      <c r="A257" s="107"/>
      <c r="B257" s="107"/>
      <c r="C257" s="7"/>
      <c r="D257" s="7"/>
      <c r="E257" s="10"/>
      <c r="F257" s="108"/>
      <c r="G257" s="107"/>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270"/>
      <c r="AY257" s="270"/>
    </row>
    <row r="258" spans="1:51" s="268" customFormat="1" x14ac:dyDescent="0.25">
      <c r="A258" s="107"/>
      <c r="B258" s="107"/>
      <c r="C258" s="7"/>
      <c r="D258" s="7"/>
      <c r="E258" s="10"/>
      <c r="F258" s="108"/>
      <c r="G258" s="107"/>
      <c r="H258" s="108"/>
      <c r="I258" s="108"/>
      <c r="J258" s="108"/>
      <c r="K258" s="108"/>
      <c r="L258" s="108"/>
      <c r="M258" s="108"/>
      <c r="N258" s="108"/>
      <c r="O258" s="108"/>
      <c r="P258" s="108"/>
      <c r="Q258" s="108"/>
      <c r="R258" s="108"/>
      <c r="S258" s="108"/>
      <c r="T258" s="108"/>
      <c r="U258" s="108"/>
      <c r="V258" s="108"/>
      <c r="W258" s="108"/>
      <c r="X258" s="108"/>
      <c r="Y258" s="108"/>
      <c r="Z258" s="108"/>
      <c r="AA258" s="108"/>
      <c r="AB258" s="108"/>
      <c r="AC258" s="108"/>
      <c r="AD258" s="108"/>
      <c r="AE258" s="108"/>
      <c r="AF258" s="108"/>
      <c r="AG258" s="108"/>
      <c r="AH258" s="108"/>
      <c r="AI258" s="108"/>
      <c r="AJ258" s="108"/>
      <c r="AK258" s="108"/>
      <c r="AL258" s="108"/>
      <c r="AM258" s="108"/>
      <c r="AN258" s="108"/>
      <c r="AO258" s="108"/>
      <c r="AP258" s="108"/>
      <c r="AQ258" s="108"/>
      <c r="AR258" s="108"/>
      <c r="AS258" s="108"/>
      <c r="AT258" s="108"/>
      <c r="AU258" s="108"/>
      <c r="AV258" s="108"/>
      <c r="AW258" s="108"/>
      <c r="AX258" s="270"/>
      <c r="AY258" s="270"/>
    </row>
    <row r="259" spans="1:51" s="268" customFormat="1" x14ac:dyDescent="0.25">
      <c r="A259" s="107"/>
      <c r="B259" s="107"/>
      <c r="C259" s="7"/>
      <c r="D259" s="7"/>
      <c r="E259" s="10"/>
      <c r="F259" s="108"/>
      <c r="G259" s="107"/>
      <c r="H259" s="108"/>
      <c r="I259" s="108"/>
      <c r="J259" s="108"/>
      <c r="K259" s="108"/>
      <c r="L259" s="108"/>
      <c r="M259" s="108"/>
      <c r="N259" s="108"/>
      <c r="O259" s="108"/>
      <c r="P259" s="108"/>
      <c r="Q259" s="108"/>
      <c r="R259" s="108"/>
      <c r="S259" s="108"/>
      <c r="T259" s="108"/>
      <c r="U259" s="108"/>
      <c r="V259" s="108"/>
      <c r="W259" s="108"/>
      <c r="X259" s="108"/>
      <c r="Y259" s="108"/>
      <c r="Z259" s="108"/>
      <c r="AA259" s="108"/>
      <c r="AB259" s="108"/>
      <c r="AC259" s="108"/>
      <c r="AD259" s="108"/>
      <c r="AE259" s="108"/>
      <c r="AF259" s="108"/>
      <c r="AG259" s="108"/>
      <c r="AH259" s="108"/>
      <c r="AI259" s="108"/>
      <c r="AJ259" s="108"/>
      <c r="AK259" s="108"/>
      <c r="AL259" s="108"/>
      <c r="AM259" s="108"/>
      <c r="AN259" s="108"/>
      <c r="AO259" s="108"/>
      <c r="AP259" s="108"/>
      <c r="AQ259" s="108"/>
      <c r="AR259" s="108"/>
      <c r="AS259" s="108"/>
      <c r="AT259" s="108"/>
      <c r="AU259" s="108"/>
      <c r="AV259" s="108"/>
      <c r="AW259" s="108"/>
      <c r="AX259" s="270"/>
      <c r="AY259" s="270"/>
    </row>
    <row r="260" spans="1:51" s="268" customFormat="1" x14ac:dyDescent="0.25">
      <c r="A260" s="107"/>
      <c r="B260" s="107"/>
      <c r="C260" s="7"/>
      <c r="D260" s="7"/>
      <c r="E260" s="10"/>
      <c r="F260" s="108"/>
      <c r="G260" s="107"/>
      <c r="H260" s="108"/>
      <c r="I260" s="108"/>
      <c r="J260" s="108"/>
      <c r="K260" s="108"/>
      <c r="L260" s="108"/>
      <c r="M260" s="108"/>
      <c r="N260" s="108"/>
      <c r="O260" s="108"/>
      <c r="P260" s="108"/>
      <c r="Q260" s="108"/>
      <c r="R260" s="108"/>
      <c r="S260" s="108"/>
      <c r="T260" s="108"/>
      <c r="U260" s="108"/>
      <c r="V260" s="108"/>
      <c r="W260" s="108"/>
      <c r="X260" s="108"/>
      <c r="Y260" s="108"/>
      <c r="Z260" s="108"/>
      <c r="AA260" s="108"/>
      <c r="AB260" s="108"/>
      <c r="AC260" s="108"/>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270"/>
      <c r="AY260" s="270"/>
    </row>
    <row r="261" spans="1:51" s="268" customFormat="1" x14ac:dyDescent="0.25">
      <c r="A261" s="107"/>
      <c r="B261" s="107"/>
      <c r="C261" s="7"/>
      <c r="D261" s="7"/>
      <c r="E261" s="10"/>
      <c r="F261" s="108"/>
      <c r="G261" s="107"/>
      <c r="H261" s="108"/>
      <c r="I261" s="108"/>
      <c r="J261" s="108"/>
      <c r="K261" s="108"/>
      <c r="L261" s="108"/>
      <c r="M261" s="108"/>
      <c r="N261" s="108"/>
      <c r="O261" s="108"/>
      <c r="P261" s="108"/>
      <c r="Q261" s="108"/>
      <c r="R261" s="108"/>
      <c r="S261" s="108"/>
      <c r="T261" s="108"/>
      <c r="U261" s="108"/>
      <c r="V261" s="108"/>
      <c r="W261" s="108"/>
      <c r="X261" s="108"/>
      <c r="Y261" s="108"/>
      <c r="Z261" s="108"/>
      <c r="AA261" s="108"/>
      <c r="AB261" s="108"/>
      <c r="AC261" s="108"/>
      <c r="AD261" s="108"/>
      <c r="AE261" s="108"/>
      <c r="AF261" s="108"/>
      <c r="AG261" s="108"/>
      <c r="AH261" s="108"/>
      <c r="AI261" s="108"/>
      <c r="AJ261" s="108"/>
      <c r="AK261" s="108"/>
      <c r="AL261" s="108"/>
      <c r="AM261" s="108"/>
      <c r="AN261" s="108"/>
      <c r="AO261" s="108"/>
      <c r="AP261" s="108"/>
      <c r="AQ261" s="108"/>
      <c r="AR261" s="108"/>
      <c r="AS261" s="108"/>
      <c r="AT261" s="108"/>
      <c r="AU261" s="108"/>
      <c r="AV261" s="108"/>
      <c r="AW261" s="108"/>
      <c r="AX261" s="270"/>
      <c r="AY261" s="270"/>
    </row>
    <row r="262" spans="1:51" s="268" customFormat="1" x14ac:dyDescent="0.25">
      <c r="A262" s="107"/>
      <c r="B262" s="107"/>
      <c r="C262" s="7"/>
      <c r="D262" s="7"/>
      <c r="E262" s="10"/>
      <c r="F262" s="108"/>
      <c r="G262" s="107"/>
      <c r="H262" s="108"/>
      <c r="I262" s="108"/>
      <c r="J262" s="108"/>
      <c r="K262" s="108"/>
      <c r="L262" s="108"/>
      <c r="M262" s="108"/>
      <c r="N262" s="108"/>
      <c r="O262" s="108"/>
      <c r="P262" s="108"/>
      <c r="Q262" s="108"/>
      <c r="R262" s="108"/>
      <c r="S262" s="108"/>
      <c r="T262" s="108"/>
      <c r="U262" s="108"/>
      <c r="V262" s="108"/>
      <c r="W262" s="108"/>
      <c r="X262" s="108"/>
      <c r="Y262" s="108"/>
      <c r="Z262" s="108"/>
      <c r="AA262" s="108"/>
      <c r="AB262" s="108"/>
      <c r="AC262" s="108"/>
      <c r="AD262" s="108"/>
      <c r="AE262" s="108"/>
      <c r="AF262" s="108"/>
      <c r="AG262" s="108"/>
      <c r="AH262" s="108"/>
      <c r="AI262" s="108"/>
      <c r="AJ262" s="108"/>
      <c r="AK262" s="108"/>
      <c r="AL262" s="108"/>
      <c r="AM262" s="108"/>
      <c r="AN262" s="108"/>
      <c r="AO262" s="108"/>
      <c r="AP262" s="108"/>
      <c r="AQ262" s="108"/>
      <c r="AR262" s="108"/>
      <c r="AS262" s="108"/>
      <c r="AT262" s="108"/>
      <c r="AU262" s="108"/>
      <c r="AV262" s="108"/>
      <c r="AW262" s="108"/>
      <c r="AX262" s="270"/>
      <c r="AY262" s="270"/>
    </row>
    <row r="263" spans="1:51" s="268" customFormat="1" x14ac:dyDescent="0.25">
      <c r="A263" s="107"/>
      <c r="B263" s="107"/>
      <c r="C263" s="7"/>
      <c r="D263" s="7"/>
      <c r="E263" s="10"/>
      <c r="F263" s="7"/>
      <c r="G263" s="10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266"/>
      <c r="AY263" s="266"/>
    </row>
    <row r="264" spans="1:51" s="268" customFormat="1" x14ac:dyDescent="0.25">
      <c r="A264" s="107"/>
      <c r="B264" s="107"/>
      <c r="C264" s="7"/>
      <c r="D264" s="7"/>
      <c r="E264" s="10"/>
      <c r="F264" s="7"/>
      <c r="G264" s="10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266"/>
      <c r="AY264" s="266"/>
    </row>
    <row r="265" spans="1:51" s="268" customFormat="1" x14ac:dyDescent="0.25">
      <c r="A265" s="107"/>
      <c r="B265" s="107"/>
      <c r="C265" s="7"/>
      <c r="D265" s="7"/>
      <c r="E265" s="10"/>
      <c r="F265" s="7"/>
      <c r="G265" s="10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266"/>
      <c r="AY265" s="266"/>
    </row>
    <row r="266" spans="1:51" s="268" customFormat="1" x14ac:dyDescent="0.25">
      <c r="A266" s="107"/>
      <c r="B266" s="107"/>
      <c r="C266" s="7"/>
      <c r="D266" s="7"/>
      <c r="E266" s="10"/>
      <c r="F266" s="7"/>
      <c r="G266" s="10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266"/>
      <c r="AY266" s="266"/>
    </row>
    <row r="267" spans="1:51" s="268" customFormat="1" x14ac:dyDescent="0.25">
      <c r="A267" s="107"/>
      <c r="B267" s="107"/>
      <c r="C267" s="7"/>
      <c r="D267" s="7"/>
      <c r="E267" s="10"/>
      <c r="F267" s="7"/>
      <c r="G267" s="10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266"/>
      <c r="AY267" s="266"/>
    </row>
    <row r="268" spans="1:51" s="268" customFormat="1" x14ac:dyDescent="0.25">
      <c r="A268" s="107"/>
      <c r="B268" s="107"/>
      <c r="C268" s="7"/>
      <c r="D268" s="7"/>
      <c r="E268" s="10"/>
      <c r="F268" s="7"/>
      <c r="G268" s="10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266"/>
      <c r="AY268" s="266"/>
    </row>
    <row r="269" spans="1:51" s="268" customFormat="1" x14ac:dyDescent="0.25">
      <c r="A269" s="107"/>
      <c r="B269" s="107"/>
      <c r="C269" s="7"/>
      <c r="D269" s="7"/>
      <c r="E269" s="10"/>
      <c r="F269" s="7"/>
      <c r="G269" s="10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266"/>
      <c r="AY269" s="266"/>
    </row>
    <row r="270" spans="1:51" s="268" customFormat="1" x14ac:dyDescent="0.25">
      <c r="A270" s="107"/>
      <c r="B270" s="107"/>
      <c r="C270" s="7"/>
      <c r="D270" s="7"/>
      <c r="E270" s="10"/>
      <c r="F270" s="7"/>
      <c r="G270" s="10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266"/>
      <c r="AY270" s="266"/>
    </row>
    <row r="271" spans="1:51" s="268" customFormat="1" x14ac:dyDescent="0.25">
      <c r="A271" s="107"/>
      <c r="B271" s="107"/>
      <c r="C271" s="7"/>
      <c r="D271" s="7"/>
      <c r="E271" s="10"/>
      <c r="F271" s="7"/>
      <c r="G271" s="10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266"/>
      <c r="AY271" s="266"/>
    </row>
    <row r="272" spans="1:51" s="268" customFormat="1" x14ac:dyDescent="0.25">
      <c r="A272" s="107"/>
      <c r="B272" s="107"/>
      <c r="C272" s="7"/>
      <c r="D272" s="7"/>
      <c r="E272" s="10"/>
      <c r="F272" s="7"/>
      <c r="G272" s="10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266"/>
      <c r="AY272" s="266"/>
    </row>
    <row r="273" spans="1:51" s="268" customFormat="1" x14ac:dyDescent="0.25">
      <c r="A273" s="107"/>
      <c r="B273" s="107"/>
      <c r="C273" s="7"/>
      <c r="D273" s="7"/>
      <c r="E273" s="10"/>
      <c r="F273" s="7"/>
      <c r="G273" s="10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266"/>
      <c r="AY273" s="266"/>
    </row>
    <row r="274" spans="1:51" s="268" customFormat="1" x14ac:dyDescent="0.25">
      <c r="A274" s="107"/>
      <c r="B274" s="107"/>
      <c r="C274" s="7"/>
      <c r="D274" s="7"/>
      <c r="E274" s="10"/>
      <c r="F274" s="7"/>
      <c r="G274" s="10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266"/>
      <c r="AY274" s="266"/>
    </row>
    <row r="275" spans="1:51" s="268" customFormat="1" x14ac:dyDescent="0.25">
      <c r="A275" s="107"/>
      <c r="B275" s="107"/>
      <c r="C275" s="108"/>
      <c r="D275" s="108"/>
      <c r="E275" s="11"/>
      <c r="F275" s="7"/>
      <c r="G275" s="10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266"/>
      <c r="AY275" s="266"/>
    </row>
    <row r="276" spans="1:51" s="268" customFormat="1" x14ac:dyDescent="0.25">
      <c r="A276" s="107"/>
      <c r="B276" s="107"/>
      <c r="C276" s="108"/>
      <c r="D276" s="108"/>
      <c r="E276" s="11"/>
      <c r="F276" s="7"/>
      <c r="G276" s="10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266"/>
      <c r="AY276" s="266"/>
    </row>
    <row r="277" spans="1:51" s="268" customFormat="1" x14ac:dyDescent="0.25">
      <c r="A277" s="107"/>
      <c r="B277" s="107"/>
      <c r="C277" s="108"/>
      <c r="D277" s="108"/>
      <c r="E277" s="11"/>
      <c r="F277" s="7"/>
      <c r="G277" s="10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266"/>
      <c r="AY277" s="266"/>
    </row>
    <row r="278" spans="1:51" s="268" customFormat="1" x14ac:dyDescent="0.25">
      <c r="A278" s="107"/>
      <c r="B278" s="107"/>
      <c r="C278" s="108"/>
      <c r="D278" s="108"/>
      <c r="E278" s="11"/>
      <c r="F278" s="7"/>
      <c r="G278" s="10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266"/>
      <c r="AY278" s="266"/>
    </row>
    <row r="279" spans="1:51" s="268" customFormat="1" x14ac:dyDescent="0.25">
      <c r="A279" s="107"/>
      <c r="B279" s="107"/>
      <c r="C279" s="108"/>
      <c r="D279" s="108"/>
      <c r="E279" s="11"/>
      <c r="F279" s="7"/>
      <c r="G279" s="10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266"/>
      <c r="AY279" s="266"/>
    </row>
    <row r="280" spans="1:51" s="268" customFormat="1" x14ac:dyDescent="0.25">
      <c r="A280" s="107"/>
      <c r="B280" s="107"/>
      <c r="C280" s="108"/>
      <c r="D280" s="108"/>
      <c r="E280" s="11"/>
      <c r="F280" s="7"/>
      <c r="G280" s="10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266"/>
      <c r="AY280" s="266"/>
    </row>
    <row r="281" spans="1:51" s="268" customFormat="1" x14ac:dyDescent="0.25">
      <c r="A281" s="107"/>
      <c r="B281" s="107"/>
      <c r="C281" s="108"/>
      <c r="D281" s="108"/>
      <c r="E281" s="11"/>
      <c r="F281" s="7"/>
      <c r="G281" s="10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266"/>
      <c r="AY281" s="266"/>
    </row>
    <row r="282" spans="1:51" s="268" customFormat="1" x14ac:dyDescent="0.25">
      <c r="A282" s="107"/>
      <c r="B282" s="107"/>
      <c r="C282" s="108"/>
      <c r="D282" s="108"/>
      <c r="E282" s="11"/>
      <c r="F282" s="7"/>
      <c r="G282" s="10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266"/>
      <c r="AY282" s="266"/>
    </row>
    <row r="283" spans="1:51" s="268" customFormat="1" x14ac:dyDescent="0.25">
      <c r="A283" s="107"/>
      <c r="B283" s="107"/>
      <c r="C283" s="108"/>
      <c r="D283" s="108"/>
      <c r="E283" s="11"/>
      <c r="F283" s="7"/>
      <c r="G283" s="10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266"/>
      <c r="AY283" s="266"/>
    </row>
    <row r="284" spans="1:51" s="268" customFormat="1" x14ac:dyDescent="0.25">
      <c r="A284" s="107"/>
      <c r="B284" s="107"/>
      <c r="C284" s="108"/>
      <c r="D284" s="108"/>
      <c r="E284" s="11"/>
      <c r="F284" s="7"/>
      <c r="G284" s="10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266"/>
      <c r="AY284" s="266"/>
    </row>
    <row r="285" spans="1:51" s="268" customFormat="1" x14ac:dyDescent="0.25">
      <c r="A285" s="107"/>
      <c r="B285" s="107"/>
      <c r="C285" s="108"/>
      <c r="D285" s="108"/>
      <c r="E285" s="11"/>
      <c r="F285" s="7"/>
      <c r="G285" s="10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266"/>
      <c r="AY285" s="266"/>
    </row>
    <row r="286" spans="1:51" s="268" customFormat="1" x14ac:dyDescent="0.25">
      <c r="A286" s="107"/>
      <c r="B286" s="107"/>
      <c r="C286" s="108"/>
      <c r="D286" s="108"/>
      <c r="E286" s="11"/>
      <c r="F286" s="7"/>
      <c r="G286" s="10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266"/>
      <c r="AY286" s="266"/>
    </row>
    <row r="287" spans="1:51" s="268" customFormat="1" x14ac:dyDescent="0.25">
      <c r="A287" s="107"/>
      <c r="B287" s="107"/>
      <c r="C287" s="108"/>
      <c r="D287" s="108"/>
      <c r="E287" s="11"/>
      <c r="F287" s="7"/>
      <c r="G287" s="10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266"/>
      <c r="AY287" s="266"/>
    </row>
    <row r="288" spans="1:51" s="268" customFormat="1" x14ac:dyDescent="0.25">
      <c r="A288" s="107"/>
      <c r="B288" s="107"/>
      <c r="C288" s="7"/>
      <c r="D288" s="7"/>
      <c r="E288" s="10"/>
      <c r="F288" s="7"/>
      <c r="G288" s="10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266"/>
      <c r="AY288" s="266"/>
    </row>
    <row r="289" spans="1:51" s="268" customFormat="1" x14ac:dyDescent="0.25">
      <c r="A289" s="107"/>
      <c r="B289" s="107"/>
      <c r="C289" s="7"/>
      <c r="D289" s="7"/>
      <c r="E289" s="10"/>
      <c r="F289" s="7"/>
      <c r="G289" s="10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266"/>
      <c r="AY289" s="266"/>
    </row>
    <row r="290" spans="1:51" s="268" customFormat="1" x14ac:dyDescent="0.25">
      <c r="A290" s="107"/>
      <c r="B290" s="107"/>
      <c r="C290" s="7"/>
      <c r="D290" s="7"/>
      <c r="E290" s="10"/>
      <c r="F290" s="7"/>
      <c r="G290" s="10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266"/>
      <c r="AY290" s="266"/>
    </row>
    <row r="291" spans="1:51" s="268" customFormat="1" x14ac:dyDescent="0.25">
      <c r="A291" s="107"/>
      <c r="B291" s="107"/>
      <c r="C291" s="7"/>
      <c r="D291" s="7"/>
      <c r="E291" s="10"/>
      <c r="F291" s="7"/>
      <c r="G291" s="10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266"/>
      <c r="AY291" s="266"/>
    </row>
    <row r="292" spans="1:51" s="268" customFormat="1" x14ac:dyDescent="0.25">
      <c r="A292" s="107"/>
      <c r="B292" s="107"/>
      <c r="C292" s="7"/>
      <c r="D292" s="7"/>
      <c r="E292" s="10"/>
      <c r="F292" s="7"/>
      <c r="G292" s="10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266"/>
      <c r="AY292" s="266"/>
    </row>
    <row r="293" spans="1:51" s="268" customFormat="1" x14ac:dyDescent="0.25">
      <c r="A293" s="107"/>
      <c r="B293" s="107"/>
      <c r="C293" s="7"/>
      <c r="D293" s="7"/>
      <c r="E293" s="10"/>
      <c r="F293" s="7"/>
      <c r="G293" s="10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266"/>
      <c r="AY293" s="266"/>
    </row>
    <row r="294" spans="1:51" s="268" customFormat="1" x14ac:dyDescent="0.25">
      <c r="A294" s="107"/>
      <c r="B294" s="107"/>
      <c r="C294" s="7"/>
      <c r="D294" s="7"/>
      <c r="E294" s="10"/>
      <c r="F294" s="7"/>
      <c r="G294" s="10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266"/>
      <c r="AY294" s="266"/>
    </row>
    <row r="295" spans="1:51" s="268" customFormat="1" x14ac:dyDescent="0.25">
      <c r="A295" s="107"/>
      <c r="B295" s="107"/>
      <c r="C295" s="7"/>
      <c r="D295" s="7"/>
      <c r="E295" s="10"/>
      <c r="F295" s="7"/>
      <c r="G295" s="10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266"/>
      <c r="AY295" s="266"/>
    </row>
    <row r="296" spans="1:51" s="268" customFormat="1" x14ac:dyDescent="0.25">
      <c r="A296" s="107"/>
      <c r="B296" s="107"/>
      <c r="C296" s="7"/>
      <c r="D296" s="7"/>
      <c r="E296" s="10"/>
      <c r="F296" s="7"/>
      <c r="G296" s="10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266"/>
      <c r="AY296" s="266"/>
    </row>
    <row r="297" spans="1:51" s="268" customFormat="1" x14ac:dyDescent="0.25">
      <c r="A297" s="107"/>
      <c r="B297" s="107"/>
      <c r="C297" s="7"/>
      <c r="D297" s="7"/>
      <c r="E297" s="10"/>
      <c r="F297" s="7"/>
      <c r="G297" s="10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266"/>
      <c r="AY297" s="266"/>
    </row>
    <row r="298" spans="1:51" s="268" customFormat="1" x14ac:dyDescent="0.25">
      <c r="A298" s="107"/>
      <c r="B298" s="107"/>
      <c r="C298" s="7"/>
      <c r="D298" s="7"/>
      <c r="E298" s="10"/>
      <c r="F298" s="7"/>
      <c r="G298" s="10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266"/>
      <c r="AY298" s="266"/>
    </row>
    <row r="299" spans="1:51" s="268" customFormat="1" x14ac:dyDescent="0.25">
      <c r="A299" s="107"/>
      <c r="B299" s="107"/>
      <c r="C299" s="7"/>
      <c r="D299" s="7"/>
      <c r="E299" s="10"/>
      <c r="F299" s="7"/>
      <c r="G299" s="10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266"/>
      <c r="AY299" s="266"/>
    </row>
    <row r="300" spans="1:51" s="268" customFormat="1" x14ac:dyDescent="0.25">
      <c r="A300" s="107"/>
      <c r="B300" s="107"/>
      <c r="C300" s="7"/>
      <c r="D300" s="7"/>
      <c r="E300" s="10"/>
      <c r="F300" s="7"/>
      <c r="G300" s="10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266"/>
      <c r="AY300" s="266"/>
    </row>
    <row r="301" spans="1:51" s="268" customFormat="1" x14ac:dyDescent="0.25">
      <c r="A301" s="107"/>
      <c r="B301" s="107"/>
      <c r="C301" s="7"/>
      <c r="D301" s="7"/>
      <c r="E301" s="10"/>
      <c r="F301" s="7"/>
      <c r="G301" s="10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266"/>
      <c r="AY301" s="266"/>
    </row>
    <row r="302" spans="1:51" s="268" customFormat="1" x14ac:dyDescent="0.25">
      <c r="A302" s="107"/>
      <c r="B302" s="107"/>
      <c r="C302" s="7"/>
      <c r="D302" s="7"/>
      <c r="E302" s="10"/>
      <c r="F302" s="7"/>
      <c r="G302" s="10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266"/>
      <c r="AY302" s="266"/>
    </row>
    <row r="303" spans="1:51" s="268" customFormat="1" x14ac:dyDescent="0.25">
      <c r="A303" s="107"/>
      <c r="B303" s="107"/>
      <c r="C303" s="7"/>
      <c r="D303" s="7"/>
      <c r="E303" s="10"/>
      <c r="F303" s="7"/>
      <c r="G303" s="10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266"/>
      <c r="AY303" s="266"/>
    </row>
    <row r="304" spans="1:51" s="268" customFormat="1" x14ac:dyDescent="0.25">
      <c r="A304" s="107"/>
      <c r="B304" s="107"/>
      <c r="C304" s="7"/>
      <c r="D304" s="7"/>
      <c r="E304" s="10"/>
      <c r="F304" s="7"/>
      <c r="G304" s="10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266"/>
      <c r="AY304" s="266"/>
    </row>
    <row r="305" spans="1:51" s="268" customFormat="1" x14ac:dyDescent="0.25">
      <c r="A305" s="107"/>
      <c r="B305" s="107"/>
      <c r="C305" s="7"/>
      <c r="D305" s="7"/>
      <c r="E305" s="10"/>
      <c r="F305" s="7"/>
      <c r="G305" s="10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266"/>
      <c r="AY305" s="266"/>
    </row>
    <row r="306" spans="1:51" s="268" customFormat="1" x14ac:dyDescent="0.25">
      <c r="A306" s="107"/>
      <c r="B306" s="107"/>
      <c r="C306" s="7"/>
      <c r="D306" s="7"/>
      <c r="E306" s="10"/>
      <c r="F306" s="7"/>
      <c r="G306" s="10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266"/>
      <c r="AY306" s="266"/>
    </row>
    <row r="307" spans="1:51" s="268" customFormat="1" x14ac:dyDescent="0.25">
      <c r="A307" s="107"/>
      <c r="B307" s="107"/>
      <c r="C307" s="7"/>
      <c r="D307" s="7"/>
      <c r="E307" s="10"/>
      <c r="F307" s="7"/>
      <c r="G307" s="10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266"/>
      <c r="AY307" s="266"/>
    </row>
    <row r="308" spans="1:51" s="268" customFormat="1" x14ac:dyDescent="0.25">
      <c r="A308" s="107"/>
      <c r="B308" s="107"/>
      <c r="C308" s="7"/>
      <c r="D308" s="7"/>
      <c r="E308" s="10"/>
      <c r="F308" s="7"/>
      <c r="G308" s="10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266"/>
      <c r="AY308" s="266"/>
    </row>
    <row r="309" spans="1:51" s="268" customFormat="1" x14ac:dyDescent="0.25">
      <c r="A309" s="107"/>
      <c r="B309" s="107"/>
      <c r="C309" s="7"/>
      <c r="D309" s="7"/>
      <c r="E309" s="10"/>
      <c r="F309" s="7"/>
      <c r="G309" s="10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266"/>
      <c r="AY309" s="266"/>
    </row>
    <row r="310" spans="1:51" s="268" customFormat="1" x14ac:dyDescent="0.25">
      <c r="A310" s="107"/>
      <c r="B310" s="107"/>
      <c r="C310" s="7"/>
      <c r="D310" s="7"/>
      <c r="E310" s="10"/>
      <c r="F310" s="7"/>
      <c r="G310" s="10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266"/>
      <c r="AY310" s="266"/>
    </row>
    <row r="311" spans="1:51" s="268" customFormat="1" x14ac:dyDescent="0.25">
      <c r="A311" s="107"/>
      <c r="B311" s="107"/>
      <c r="C311" s="7"/>
      <c r="D311" s="7"/>
      <c r="E311" s="10"/>
      <c r="F311" s="7"/>
      <c r="G311" s="10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266"/>
      <c r="AY311" s="266"/>
    </row>
    <row r="312" spans="1:51" s="268" customFormat="1" x14ac:dyDescent="0.25">
      <c r="A312" s="107"/>
      <c r="B312" s="107"/>
      <c r="C312" s="7"/>
      <c r="D312" s="7"/>
      <c r="E312" s="10"/>
      <c r="F312" s="7"/>
      <c r="G312" s="10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266"/>
      <c r="AY312" s="266"/>
    </row>
    <row r="313" spans="1:51" s="268" customFormat="1" x14ac:dyDescent="0.25">
      <c r="A313" s="107"/>
      <c r="B313" s="107"/>
      <c r="C313" s="7"/>
      <c r="D313" s="7"/>
      <c r="E313" s="10"/>
      <c r="F313" s="7"/>
      <c r="G313" s="10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266"/>
      <c r="AY313" s="266"/>
    </row>
    <row r="314" spans="1:51" s="268" customFormat="1" x14ac:dyDescent="0.25">
      <c r="A314" s="107"/>
      <c r="B314" s="107"/>
      <c r="C314" s="7"/>
      <c r="D314" s="7"/>
      <c r="E314" s="10"/>
      <c r="F314" s="7"/>
      <c r="G314" s="10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266"/>
      <c r="AY314" s="266"/>
    </row>
    <row r="315" spans="1:51" s="268" customFormat="1" x14ac:dyDescent="0.25">
      <c r="A315" s="107"/>
      <c r="B315" s="107"/>
      <c r="C315" s="7"/>
      <c r="D315" s="7"/>
      <c r="E315" s="10"/>
      <c r="F315" s="7"/>
      <c r="G315" s="10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266"/>
      <c r="AY315" s="266"/>
    </row>
    <row r="316" spans="1:51" s="268" customFormat="1" x14ac:dyDescent="0.25">
      <c r="A316" s="107"/>
      <c r="B316" s="107"/>
      <c r="C316" s="7"/>
      <c r="D316" s="7"/>
      <c r="E316" s="10"/>
      <c r="F316" s="7"/>
      <c r="G316" s="10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266"/>
      <c r="AY316" s="266"/>
    </row>
    <row r="317" spans="1:51" s="268" customFormat="1" x14ac:dyDescent="0.25">
      <c r="A317" s="107"/>
      <c r="B317" s="107"/>
      <c r="C317" s="7"/>
      <c r="D317" s="7"/>
      <c r="E317" s="10"/>
      <c r="F317" s="7"/>
      <c r="G317" s="10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266"/>
      <c r="AY317" s="266"/>
    </row>
    <row r="318" spans="1:51" s="268" customFormat="1" x14ac:dyDescent="0.25">
      <c r="A318" s="107"/>
      <c r="B318" s="107"/>
      <c r="C318" s="7"/>
      <c r="D318" s="7"/>
      <c r="E318" s="10"/>
      <c r="F318" s="7"/>
      <c r="G318" s="10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266"/>
      <c r="AY318" s="266"/>
    </row>
    <row r="319" spans="1:51" s="268" customFormat="1" x14ac:dyDescent="0.25">
      <c r="A319" s="107"/>
      <c r="B319" s="107"/>
      <c r="C319" s="7"/>
      <c r="D319" s="7"/>
      <c r="E319" s="10"/>
      <c r="F319" s="7"/>
      <c r="G319" s="10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266"/>
      <c r="AY319" s="266"/>
    </row>
    <row r="320" spans="1:51" s="268" customFormat="1" x14ac:dyDescent="0.25">
      <c r="A320" s="107"/>
      <c r="B320" s="107"/>
      <c r="C320" s="7"/>
      <c r="D320" s="7"/>
      <c r="E320" s="10"/>
      <c r="F320" s="7"/>
      <c r="G320" s="10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266"/>
      <c r="AY320" s="266"/>
    </row>
    <row r="321" spans="1:51" s="268" customFormat="1" x14ac:dyDescent="0.25">
      <c r="A321" s="107"/>
      <c r="B321" s="107"/>
      <c r="C321" s="7"/>
      <c r="D321" s="7"/>
      <c r="E321" s="10"/>
      <c r="F321" s="7"/>
      <c r="G321" s="10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266"/>
      <c r="AY321" s="266"/>
    </row>
    <row r="322" spans="1:51" s="268" customFormat="1" x14ac:dyDescent="0.25">
      <c r="A322" s="107"/>
      <c r="B322" s="107"/>
      <c r="C322" s="7"/>
      <c r="D322" s="7"/>
      <c r="E322" s="10"/>
      <c r="F322" s="7"/>
      <c r="G322" s="10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266"/>
      <c r="AY322" s="266"/>
    </row>
    <row r="323" spans="1:51" s="268" customFormat="1" x14ac:dyDescent="0.25">
      <c r="A323" s="107"/>
      <c r="B323" s="107"/>
      <c r="C323" s="7"/>
      <c r="D323" s="7"/>
      <c r="E323" s="10"/>
      <c r="F323" s="7"/>
      <c r="G323" s="10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266"/>
      <c r="AY323" s="266"/>
    </row>
    <row r="324" spans="1:51" s="268" customFormat="1" x14ac:dyDescent="0.25">
      <c r="A324" s="107"/>
      <c r="B324" s="107"/>
      <c r="C324" s="7"/>
      <c r="D324" s="7"/>
      <c r="E324" s="10"/>
      <c r="F324" s="7"/>
      <c r="G324" s="10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266"/>
      <c r="AY324" s="266"/>
    </row>
    <row r="325" spans="1:51" s="268" customFormat="1" x14ac:dyDescent="0.25">
      <c r="A325" s="107"/>
      <c r="B325" s="107"/>
      <c r="C325" s="7"/>
      <c r="D325" s="7"/>
      <c r="E325" s="10"/>
      <c r="F325" s="7"/>
      <c r="G325" s="10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266"/>
      <c r="AY325" s="266"/>
    </row>
    <row r="326" spans="1:51" s="268" customFormat="1" x14ac:dyDescent="0.25">
      <c r="A326" s="107"/>
      <c r="B326" s="107"/>
      <c r="C326" s="7"/>
      <c r="D326" s="7"/>
      <c r="E326" s="10"/>
      <c r="F326" s="7"/>
      <c r="G326" s="10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266"/>
      <c r="AY326" s="266"/>
    </row>
    <row r="327" spans="1:51" s="268" customFormat="1" x14ac:dyDescent="0.25">
      <c r="A327" s="107"/>
      <c r="B327" s="107"/>
      <c r="C327" s="7"/>
      <c r="D327" s="7"/>
      <c r="E327" s="10"/>
      <c r="F327" s="7"/>
      <c r="G327" s="10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266"/>
      <c r="AY327" s="266"/>
    </row>
    <row r="328" spans="1:51" s="268" customFormat="1" x14ac:dyDescent="0.25">
      <c r="A328" s="107"/>
      <c r="B328" s="107"/>
      <c r="C328" s="7"/>
      <c r="D328" s="7"/>
      <c r="E328" s="10"/>
      <c r="F328" s="7"/>
      <c r="G328" s="10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266"/>
      <c r="AY328" s="266"/>
    </row>
    <row r="329" spans="1:51" s="268" customFormat="1" x14ac:dyDescent="0.25">
      <c r="A329" s="107"/>
      <c r="B329" s="107"/>
      <c r="C329" s="7"/>
      <c r="D329" s="7"/>
      <c r="E329" s="10"/>
      <c r="F329" s="108"/>
      <c r="G329" s="107"/>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c r="AD329" s="108"/>
      <c r="AE329" s="108"/>
      <c r="AF329" s="108"/>
      <c r="AG329" s="108"/>
      <c r="AH329" s="108"/>
      <c r="AI329" s="108"/>
      <c r="AJ329" s="108"/>
      <c r="AK329" s="108"/>
      <c r="AL329" s="108"/>
      <c r="AM329" s="108"/>
      <c r="AN329" s="108"/>
      <c r="AO329" s="108"/>
      <c r="AP329" s="108"/>
      <c r="AQ329" s="108"/>
      <c r="AR329" s="108"/>
      <c r="AS329" s="108"/>
      <c r="AT329" s="108"/>
      <c r="AU329" s="108"/>
      <c r="AV329" s="108"/>
      <c r="AW329" s="108"/>
      <c r="AX329" s="270"/>
      <c r="AY329" s="270"/>
    </row>
    <row r="330" spans="1:51" s="268" customFormat="1" x14ac:dyDescent="0.25">
      <c r="A330" s="107"/>
      <c r="B330" s="107"/>
      <c r="C330" s="7"/>
      <c r="D330" s="7"/>
      <c r="E330" s="10"/>
      <c r="F330" s="108"/>
      <c r="G330" s="107"/>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c r="AD330" s="108"/>
      <c r="AE330" s="108"/>
      <c r="AF330" s="108"/>
      <c r="AG330" s="108"/>
      <c r="AH330" s="108"/>
      <c r="AI330" s="108"/>
      <c r="AJ330" s="108"/>
      <c r="AK330" s="108"/>
      <c r="AL330" s="108"/>
      <c r="AM330" s="108"/>
      <c r="AN330" s="108"/>
      <c r="AO330" s="108"/>
      <c r="AP330" s="108"/>
      <c r="AQ330" s="108"/>
      <c r="AR330" s="108"/>
      <c r="AS330" s="108"/>
      <c r="AT330" s="108"/>
      <c r="AU330" s="108"/>
      <c r="AV330" s="108"/>
      <c r="AW330" s="108"/>
      <c r="AX330" s="270"/>
      <c r="AY330" s="270"/>
    </row>
    <row r="331" spans="1:51" s="268" customFormat="1" x14ac:dyDescent="0.25">
      <c r="A331" s="107"/>
      <c r="B331" s="107"/>
      <c r="C331" s="7"/>
      <c r="D331" s="7"/>
      <c r="E331" s="10"/>
      <c r="F331" s="108"/>
      <c r="G331" s="107"/>
      <c r="H331" s="108"/>
      <c r="I331" s="108"/>
      <c r="J331" s="108"/>
      <c r="K331" s="108"/>
      <c r="L331" s="108"/>
      <c r="M331" s="108"/>
      <c r="N331" s="108"/>
      <c r="O331" s="108"/>
      <c r="P331" s="108"/>
      <c r="Q331" s="108"/>
      <c r="R331" s="108"/>
      <c r="S331" s="108"/>
      <c r="T331" s="108"/>
      <c r="U331" s="108"/>
      <c r="V331" s="108"/>
      <c r="W331" s="108"/>
      <c r="X331" s="108"/>
      <c r="Y331" s="108"/>
      <c r="Z331" s="108"/>
      <c r="AA331" s="108"/>
      <c r="AB331" s="108"/>
      <c r="AC331" s="108"/>
      <c r="AD331" s="108"/>
      <c r="AE331" s="108"/>
      <c r="AF331" s="108"/>
      <c r="AG331" s="108"/>
      <c r="AH331" s="108"/>
      <c r="AI331" s="108"/>
      <c r="AJ331" s="108"/>
      <c r="AK331" s="108"/>
      <c r="AL331" s="108"/>
      <c r="AM331" s="108"/>
      <c r="AN331" s="108"/>
      <c r="AO331" s="108"/>
      <c r="AP331" s="108"/>
      <c r="AQ331" s="108"/>
      <c r="AR331" s="108"/>
      <c r="AS331" s="108"/>
      <c r="AT331" s="108"/>
      <c r="AU331" s="108"/>
      <c r="AV331" s="108"/>
      <c r="AW331" s="108"/>
      <c r="AX331" s="270"/>
      <c r="AY331" s="270"/>
    </row>
    <row r="332" spans="1:51" s="268" customFormat="1" x14ac:dyDescent="0.25">
      <c r="A332" s="107"/>
      <c r="B332" s="107"/>
      <c r="C332" s="7"/>
      <c r="D332" s="7"/>
      <c r="E332" s="10"/>
      <c r="F332" s="108"/>
      <c r="G332" s="107"/>
      <c r="H332" s="108"/>
      <c r="I332" s="108"/>
      <c r="J332" s="108"/>
      <c r="K332" s="108"/>
      <c r="L332" s="108"/>
      <c r="M332" s="108"/>
      <c r="N332" s="108"/>
      <c r="O332" s="108"/>
      <c r="P332" s="108"/>
      <c r="Q332" s="108"/>
      <c r="R332" s="108"/>
      <c r="S332" s="108"/>
      <c r="T332" s="108"/>
      <c r="U332" s="108"/>
      <c r="V332" s="108"/>
      <c r="W332" s="108"/>
      <c r="X332" s="108"/>
      <c r="Y332" s="108"/>
      <c r="Z332" s="108"/>
      <c r="AA332" s="108"/>
      <c r="AB332" s="108"/>
      <c r="AC332" s="108"/>
      <c r="AD332" s="108"/>
      <c r="AE332" s="108"/>
      <c r="AF332" s="108"/>
      <c r="AG332" s="108"/>
      <c r="AH332" s="108"/>
      <c r="AI332" s="108"/>
      <c r="AJ332" s="108"/>
      <c r="AK332" s="108"/>
      <c r="AL332" s="108"/>
      <c r="AM332" s="108"/>
      <c r="AN332" s="108"/>
      <c r="AO332" s="108"/>
      <c r="AP332" s="108"/>
      <c r="AQ332" s="108"/>
      <c r="AR332" s="108"/>
      <c r="AS332" s="108"/>
      <c r="AT332" s="108"/>
      <c r="AU332" s="108"/>
      <c r="AV332" s="108"/>
      <c r="AW332" s="108"/>
      <c r="AX332" s="270"/>
      <c r="AY332" s="270"/>
    </row>
    <row r="333" spans="1:51" s="268" customFormat="1" x14ac:dyDescent="0.25">
      <c r="A333" s="107"/>
      <c r="B333" s="107"/>
      <c r="C333" s="7"/>
      <c r="D333" s="7"/>
      <c r="E333" s="10"/>
      <c r="F333" s="108"/>
      <c r="G333" s="107"/>
      <c r="H333" s="108"/>
      <c r="I333" s="108"/>
      <c r="J333" s="108"/>
      <c r="K333" s="108"/>
      <c r="L333" s="108"/>
      <c r="M333" s="108"/>
      <c r="N333" s="108"/>
      <c r="O333" s="108"/>
      <c r="P333" s="108"/>
      <c r="Q333" s="108"/>
      <c r="R333" s="108"/>
      <c r="S333" s="108"/>
      <c r="T333" s="108"/>
      <c r="U333" s="108"/>
      <c r="V333" s="108"/>
      <c r="W333" s="108"/>
      <c r="X333" s="108"/>
      <c r="Y333" s="108"/>
      <c r="Z333" s="108"/>
      <c r="AA333" s="108"/>
      <c r="AB333" s="108"/>
      <c r="AC333" s="108"/>
      <c r="AD333" s="108"/>
      <c r="AE333" s="108"/>
      <c r="AF333" s="108"/>
      <c r="AG333" s="108"/>
      <c r="AH333" s="108"/>
      <c r="AI333" s="108"/>
      <c r="AJ333" s="108"/>
      <c r="AK333" s="108"/>
      <c r="AL333" s="108"/>
      <c r="AM333" s="108"/>
      <c r="AN333" s="108"/>
      <c r="AO333" s="108"/>
      <c r="AP333" s="108"/>
      <c r="AQ333" s="108"/>
      <c r="AR333" s="108"/>
      <c r="AS333" s="108"/>
      <c r="AT333" s="108"/>
      <c r="AU333" s="108"/>
      <c r="AV333" s="108"/>
      <c r="AW333" s="108"/>
      <c r="AX333" s="270"/>
      <c r="AY333" s="270"/>
    </row>
    <row r="334" spans="1:51" s="268" customFormat="1" x14ac:dyDescent="0.25">
      <c r="A334" s="107"/>
      <c r="B334" s="107"/>
      <c r="C334" s="7"/>
      <c r="D334" s="7"/>
      <c r="E334" s="10"/>
      <c r="F334" s="108"/>
      <c r="G334" s="107"/>
      <c r="H334" s="108"/>
      <c r="I334" s="108"/>
      <c r="J334" s="108"/>
      <c r="K334" s="108"/>
      <c r="L334" s="108"/>
      <c r="M334" s="108"/>
      <c r="N334" s="108"/>
      <c r="O334" s="108"/>
      <c r="P334" s="108"/>
      <c r="Q334" s="108"/>
      <c r="R334" s="108"/>
      <c r="S334" s="108"/>
      <c r="T334" s="108"/>
      <c r="U334" s="108"/>
      <c r="V334" s="108"/>
      <c r="W334" s="108"/>
      <c r="X334" s="108"/>
      <c r="Y334" s="108"/>
      <c r="Z334" s="108"/>
      <c r="AA334" s="108"/>
      <c r="AB334" s="108"/>
      <c r="AC334" s="108"/>
      <c r="AD334" s="108"/>
      <c r="AE334" s="108"/>
      <c r="AF334" s="108"/>
      <c r="AG334" s="108"/>
      <c r="AH334" s="108"/>
      <c r="AI334" s="108"/>
      <c r="AJ334" s="108"/>
      <c r="AK334" s="108"/>
      <c r="AL334" s="108"/>
      <c r="AM334" s="108"/>
      <c r="AN334" s="108"/>
      <c r="AO334" s="108"/>
      <c r="AP334" s="108"/>
      <c r="AQ334" s="108"/>
      <c r="AR334" s="108"/>
      <c r="AS334" s="108"/>
      <c r="AT334" s="108"/>
      <c r="AU334" s="108"/>
      <c r="AV334" s="108"/>
      <c r="AW334" s="108"/>
      <c r="AX334" s="270"/>
      <c r="AY334" s="270"/>
    </row>
    <row r="335" spans="1:51" s="268" customFormat="1" x14ac:dyDescent="0.25">
      <c r="A335" s="107"/>
      <c r="B335" s="107"/>
      <c r="C335" s="7"/>
      <c r="D335" s="7"/>
      <c r="E335" s="10"/>
      <c r="F335" s="108"/>
      <c r="G335" s="107"/>
      <c r="H335" s="108"/>
      <c r="I335" s="108"/>
      <c r="J335" s="108"/>
      <c r="K335" s="108"/>
      <c r="L335" s="108"/>
      <c r="M335" s="108"/>
      <c r="N335" s="108"/>
      <c r="O335" s="108"/>
      <c r="P335" s="108"/>
      <c r="Q335" s="108"/>
      <c r="R335" s="108"/>
      <c r="S335" s="108"/>
      <c r="T335" s="108"/>
      <c r="U335" s="108"/>
      <c r="V335" s="108"/>
      <c r="W335" s="108"/>
      <c r="X335" s="108"/>
      <c r="Y335" s="108"/>
      <c r="Z335" s="108"/>
      <c r="AA335" s="108"/>
      <c r="AB335" s="108"/>
      <c r="AC335" s="108"/>
      <c r="AD335" s="108"/>
      <c r="AE335" s="108"/>
      <c r="AF335" s="108"/>
      <c r="AG335" s="108"/>
      <c r="AH335" s="108"/>
      <c r="AI335" s="108"/>
      <c r="AJ335" s="108"/>
      <c r="AK335" s="108"/>
      <c r="AL335" s="108"/>
      <c r="AM335" s="108"/>
      <c r="AN335" s="108"/>
      <c r="AO335" s="108"/>
      <c r="AP335" s="108"/>
      <c r="AQ335" s="108"/>
      <c r="AR335" s="108"/>
      <c r="AS335" s="108"/>
      <c r="AT335" s="108"/>
      <c r="AU335" s="108"/>
      <c r="AV335" s="108"/>
      <c r="AW335" s="108"/>
      <c r="AX335" s="270"/>
      <c r="AY335" s="270"/>
    </row>
    <row r="336" spans="1:51" s="268" customFormat="1" x14ac:dyDescent="0.25">
      <c r="A336" s="107"/>
      <c r="B336" s="107"/>
      <c r="C336" s="7"/>
      <c r="D336" s="7"/>
      <c r="E336" s="10"/>
      <c r="F336" s="108"/>
      <c r="G336" s="107"/>
      <c r="H336" s="108"/>
      <c r="I336" s="108"/>
      <c r="J336" s="108"/>
      <c r="K336" s="108"/>
      <c r="L336" s="108"/>
      <c r="M336" s="108"/>
      <c r="N336" s="108"/>
      <c r="O336" s="108"/>
      <c r="P336" s="108"/>
      <c r="Q336" s="108"/>
      <c r="R336" s="108"/>
      <c r="S336" s="108"/>
      <c r="T336" s="108"/>
      <c r="U336" s="108"/>
      <c r="V336" s="108"/>
      <c r="W336" s="108"/>
      <c r="X336" s="108"/>
      <c r="Y336" s="108"/>
      <c r="Z336" s="108"/>
      <c r="AA336" s="108"/>
      <c r="AB336" s="108"/>
      <c r="AC336" s="108"/>
      <c r="AD336" s="108"/>
      <c r="AE336" s="108"/>
      <c r="AF336" s="108"/>
      <c r="AG336" s="108"/>
      <c r="AH336" s="108"/>
      <c r="AI336" s="108"/>
      <c r="AJ336" s="108"/>
      <c r="AK336" s="108"/>
      <c r="AL336" s="108"/>
      <c r="AM336" s="108"/>
      <c r="AN336" s="108"/>
      <c r="AO336" s="108"/>
      <c r="AP336" s="108"/>
      <c r="AQ336" s="108"/>
      <c r="AR336" s="108"/>
      <c r="AS336" s="108"/>
      <c r="AT336" s="108"/>
      <c r="AU336" s="108"/>
      <c r="AV336" s="108"/>
      <c r="AW336" s="108"/>
      <c r="AX336" s="270"/>
      <c r="AY336" s="270"/>
    </row>
    <row r="337" spans="1:54" s="268" customFormat="1" x14ac:dyDescent="0.25">
      <c r="A337" s="107"/>
      <c r="B337" s="107"/>
      <c r="C337" s="7"/>
      <c r="D337" s="7"/>
      <c r="E337" s="10"/>
      <c r="F337" s="108"/>
      <c r="G337" s="107"/>
      <c r="H337" s="108"/>
      <c r="I337" s="108"/>
      <c r="J337" s="108"/>
      <c r="K337" s="108"/>
      <c r="L337" s="108"/>
      <c r="M337" s="108"/>
      <c r="N337" s="108"/>
      <c r="O337" s="108"/>
      <c r="P337" s="108"/>
      <c r="Q337" s="108"/>
      <c r="R337" s="108"/>
      <c r="S337" s="108"/>
      <c r="T337" s="108"/>
      <c r="U337" s="108"/>
      <c r="V337" s="108"/>
      <c r="W337" s="108"/>
      <c r="X337" s="108"/>
      <c r="Y337" s="108"/>
      <c r="Z337" s="108"/>
      <c r="AA337" s="108"/>
      <c r="AB337" s="108"/>
      <c r="AC337" s="108"/>
      <c r="AD337" s="108"/>
      <c r="AE337" s="108"/>
      <c r="AF337" s="108"/>
      <c r="AG337" s="108"/>
      <c r="AH337" s="108"/>
      <c r="AI337" s="108"/>
      <c r="AJ337" s="108"/>
      <c r="AK337" s="108"/>
      <c r="AL337" s="108"/>
      <c r="AM337" s="108"/>
      <c r="AN337" s="108"/>
      <c r="AO337" s="108"/>
      <c r="AP337" s="108"/>
      <c r="AQ337" s="108"/>
      <c r="AR337" s="108"/>
      <c r="AS337" s="108"/>
      <c r="AT337" s="108"/>
      <c r="AU337" s="108"/>
      <c r="AV337" s="108"/>
      <c r="AW337" s="108"/>
      <c r="AX337" s="270"/>
      <c r="AY337" s="270"/>
    </row>
    <row r="338" spans="1:54" s="268" customFormat="1" x14ac:dyDescent="0.25">
      <c r="A338" s="107"/>
      <c r="B338" s="107"/>
      <c r="C338" s="7"/>
      <c r="D338" s="7"/>
      <c r="E338" s="10"/>
      <c r="F338" s="108"/>
      <c r="G338" s="107"/>
      <c r="H338" s="108"/>
      <c r="I338" s="108"/>
      <c r="J338" s="108"/>
      <c r="K338" s="108"/>
      <c r="L338" s="108"/>
      <c r="M338" s="108"/>
      <c r="N338" s="108"/>
      <c r="O338" s="108"/>
      <c r="P338" s="108"/>
      <c r="Q338" s="108"/>
      <c r="R338" s="108"/>
      <c r="S338" s="108"/>
      <c r="T338" s="108"/>
      <c r="U338" s="108"/>
      <c r="V338" s="108"/>
      <c r="W338" s="108"/>
      <c r="X338" s="108"/>
      <c r="Y338" s="108"/>
      <c r="Z338" s="108"/>
      <c r="AA338" s="108"/>
      <c r="AB338" s="108"/>
      <c r="AC338" s="108"/>
      <c r="AD338" s="108"/>
      <c r="AE338" s="108"/>
      <c r="AF338" s="108"/>
      <c r="AG338" s="108"/>
      <c r="AH338" s="108"/>
      <c r="AI338" s="108"/>
      <c r="AJ338" s="108"/>
      <c r="AK338" s="108"/>
      <c r="AL338" s="108"/>
      <c r="AM338" s="108"/>
      <c r="AN338" s="108"/>
      <c r="AO338" s="108"/>
      <c r="AP338" s="108"/>
      <c r="AQ338" s="108"/>
      <c r="AR338" s="108"/>
      <c r="AS338" s="108"/>
      <c r="AT338" s="108"/>
      <c r="AU338" s="108"/>
      <c r="AV338" s="108"/>
      <c r="AW338" s="108"/>
      <c r="AX338" s="270"/>
      <c r="AY338" s="270"/>
    </row>
    <row r="339" spans="1:54" s="268" customFormat="1" x14ac:dyDescent="0.25">
      <c r="A339" s="107"/>
      <c r="B339" s="107"/>
      <c r="C339" s="7"/>
      <c r="D339" s="7"/>
      <c r="E339" s="10"/>
      <c r="F339" s="108"/>
      <c r="G339" s="107"/>
      <c r="H339" s="108"/>
      <c r="I339" s="108"/>
      <c r="J339" s="108"/>
      <c r="K339" s="108"/>
      <c r="L339" s="108"/>
      <c r="M339" s="108"/>
      <c r="N339" s="108"/>
      <c r="O339" s="108"/>
      <c r="P339" s="108"/>
      <c r="Q339" s="108"/>
      <c r="R339" s="108"/>
      <c r="S339" s="108"/>
      <c r="T339" s="108"/>
      <c r="U339" s="108"/>
      <c r="V339" s="108"/>
      <c r="W339" s="108"/>
      <c r="X339" s="108"/>
      <c r="Y339" s="108"/>
      <c r="Z339" s="108"/>
      <c r="AA339" s="108"/>
      <c r="AB339" s="108"/>
      <c r="AC339" s="108"/>
      <c r="AD339" s="108"/>
      <c r="AE339" s="108"/>
      <c r="AF339" s="108"/>
      <c r="AG339" s="108"/>
      <c r="AH339" s="108"/>
      <c r="AI339" s="108"/>
      <c r="AJ339" s="108"/>
      <c r="AK339" s="108"/>
      <c r="AL339" s="108"/>
      <c r="AM339" s="108"/>
      <c r="AN339" s="108"/>
      <c r="AO339" s="108"/>
      <c r="AP339" s="108"/>
      <c r="AQ339" s="108"/>
      <c r="AR339" s="108"/>
      <c r="AS339" s="108"/>
      <c r="AT339" s="108"/>
      <c r="AU339" s="108"/>
      <c r="AV339" s="108"/>
      <c r="AW339" s="108"/>
      <c r="AX339" s="270"/>
      <c r="AY339" s="270"/>
    </row>
    <row r="340" spans="1:54" s="268" customFormat="1" x14ac:dyDescent="0.25">
      <c r="A340" s="107"/>
      <c r="B340" s="107"/>
      <c r="C340" s="7"/>
      <c r="D340" s="7"/>
      <c r="E340" s="10"/>
      <c r="F340" s="108"/>
      <c r="G340" s="107"/>
      <c r="H340" s="108"/>
      <c r="I340" s="108"/>
      <c r="J340" s="108"/>
      <c r="K340" s="108"/>
      <c r="L340" s="108"/>
      <c r="M340" s="108"/>
      <c r="N340" s="108"/>
      <c r="O340" s="108"/>
      <c r="P340" s="108"/>
      <c r="Q340" s="108"/>
      <c r="R340" s="108"/>
      <c r="S340" s="108"/>
      <c r="T340" s="108"/>
      <c r="U340" s="108"/>
      <c r="V340" s="108"/>
      <c r="W340" s="108"/>
      <c r="X340" s="108"/>
      <c r="Y340" s="108"/>
      <c r="Z340" s="108"/>
      <c r="AA340" s="108"/>
      <c r="AB340" s="108"/>
      <c r="AC340" s="108"/>
      <c r="AD340" s="108"/>
      <c r="AE340" s="108"/>
      <c r="AF340" s="108"/>
      <c r="AG340" s="108"/>
      <c r="AH340" s="108"/>
      <c r="AI340" s="108"/>
      <c r="AJ340" s="108"/>
      <c r="AK340" s="108"/>
      <c r="AL340" s="108"/>
      <c r="AM340" s="108"/>
      <c r="AN340" s="108"/>
      <c r="AO340" s="108"/>
      <c r="AP340" s="108"/>
      <c r="AQ340" s="108"/>
      <c r="AR340" s="108"/>
      <c r="AS340" s="108"/>
      <c r="AT340" s="108"/>
      <c r="AU340" s="108"/>
      <c r="AV340" s="108"/>
      <c r="AW340" s="108"/>
      <c r="AX340" s="270"/>
      <c r="AY340" s="270"/>
    </row>
    <row r="341" spans="1:54" s="268" customFormat="1" x14ac:dyDescent="0.25">
      <c r="A341" s="107"/>
      <c r="B341" s="107"/>
      <c r="C341" s="7"/>
      <c r="D341" s="7"/>
      <c r="E341" s="10"/>
      <c r="F341" s="108"/>
      <c r="G341" s="107"/>
      <c r="H341" s="108"/>
      <c r="I341" s="108"/>
      <c r="J341" s="108"/>
      <c r="K341" s="108"/>
      <c r="L341" s="108"/>
      <c r="M341" s="108"/>
      <c r="N341" s="108"/>
      <c r="O341" s="108"/>
      <c r="P341" s="108"/>
      <c r="Q341" s="108"/>
      <c r="R341" s="108"/>
      <c r="S341" s="108"/>
      <c r="T341" s="108"/>
      <c r="U341" s="108"/>
      <c r="V341" s="108"/>
      <c r="W341" s="108"/>
      <c r="X341" s="108"/>
      <c r="Y341" s="108"/>
      <c r="Z341" s="108"/>
      <c r="AA341" s="108"/>
      <c r="AB341" s="108"/>
      <c r="AC341" s="108"/>
      <c r="AD341" s="108"/>
      <c r="AE341" s="108"/>
      <c r="AF341" s="108"/>
      <c r="AG341" s="108"/>
      <c r="AH341" s="108"/>
      <c r="AI341" s="108"/>
      <c r="AJ341" s="108"/>
      <c r="AK341" s="108"/>
      <c r="AL341" s="108"/>
      <c r="AM341" s="108"/>
      <c r="AN341" s="108"/>
      <c r="AO341" s="108"/>
      <c r="AP341" s="108"/>
      <c r="AQ341" s="108"/>
      <c r="AR341" s="108"/>
      <c r="AS341" s="108"/>
      <c r="AT341" s="108"/>
      <c r="AU341" s="108"/>
      <c r="AV341" s="108"/>
      <c r="AW341" s="108"/>
      <c r="AX341" s="270"/>
      <c r="AY341" s="270"/>
    </row>
    <row r="342" spans="1:54" s="268" customFormat="1" x14ac:dyDescent="0.25">
      <c r="A342" s="107"/>
      <c r="B342" s="107"/>
      <c r="C342" s="7"/>
      <c r="D342" s="7"/>
      <c r="E342" s="10"/>
      <c r="F342" s="108"/>
      <c r="G342" s="107"/>
      <c r="H342" s="108"/>
      <c r="I342" s="108"/>
      <c r="J342" s="108"/>
      <c r="K342" s="108"/>
      <c r="L342" s="108"/>
      <c r="M342" s="108"/>
      <c r="N342" s="108"/>
      <c r="O342" s="108"/>
      <c r="P342" s="108"/>
      <c r="Q342" s="108"/>
      <c r="R342" s="108"/>
      <c r="S342" s="108"/>
      <c r="T342" s="108"/>
      <c r="U342" s="108"/>
      <c r="V342" s="108"/>
      <c r="W342" s="108"/>
      <c r="X342" s="108"/>
      <c r="Y342" s="108"/>
      <c r="Z342" s="108"/>
      <c r="AA342" s="108"/>
      <c r="AB342" s="108"/>
      <c r="AC342" s="108"/>
      <c r="AD342" s="108"/>
      <c r="AE342" s="108"/>
      <c r="AF342" s="108"/>
      <c r="AG342" s="108"/>
      <c r="AH342" s="108"/>
      <c r="AI342" s="108"/>
      <c r="AJ342" s="108"/>
      <c r="AK342" s="108"/>
      <c r="AL342" s="108"/>
      <c r="AM342" s="108"/>
      <c r="AN342" s="108"/>
      <c r="AO342" s="108"/>
      <c r="AP342" s="108"/>
      <c r="AQ342" s="108"/>
      <c r="AR342" s="108"/>
      <c r="AS342" s="108"/>
      <c r="AT342" s="108"/>
      <c r="AU342" s="108"/>
      <c r="AV342" s="108"/>
      <c r="AW342" s="108"/>
      <c r="AX342" s="270"/>
      <c r="AY342" s="270"/>
    </row>
    <row r="343" spans="1:54" s="268" customFormat="1" x14ac:dyDescent="0.25">
      <c r="A343" s="107"/>
      <c r="B343" s="107"/>
      <c r="C343" s="7"/>
      <c r="D343" s="7"/>
      <c r="E343" s="10"/>
      <c r="F343" s="108"/>
      <c r="G343" s="107"/>
      <c r="H343" s="108"/>
      <c r="I343" s="108"/>
      <c r="J343" s="108"/>
      <c r="K343" s="108"/>
      <c r="L343" s="108"/>
      <c r="M343" s="108"/>
      <c r="N343" s="108"/>
      <c r="O343" s="108"/>
      <c r="P343" s="108"/>
      <c r="Q343" s="108"/>
      <c r="R343" s="108"/>
      <c r="S343" s="108"/>
      <c r="T343" s="108"/>
      <c r="U343" s="108"/>
      <c r="V343" s="108"/>
      <c r="W343" s="108"/>
      <c r="X343" s="108"/>
      <c r="Y343" s="108"/>
      <c r="Z343" s="108"/>
      <c r="AA343" s="108"/>
      <c r="AB343" s="108"/>
      <c r="AC343" s="108"/>
      <c r="AD343" s="108"/>
      <c r="AE343" s="108"/>
      <c r="AF343" s="108"/>
      <c r="AG343" s="108"/>
      <c r="AH343" s="108"/>
      <c r="AI343" s="108"/>
      <c r="AJ343" s="108"/>
      <c r="AK343" s="108"/>
      <c r="AL343" s="108"/>
      <c r="AM343" s="108"/>
      <c r="AN343" s="108"/>
      <c r="AO343" s="108"/>
      <c r="AP343" s="108"/>
      <c r="AQ343" s="108"/>
      <c r="AR343" s="108"/>
      <c r="AS343" s="108"/>
      <c r="AT343" s="108"/>
      <c r="AU343" s="108"/>
      <c r="AV343" s="108"/>
      <c r="AW343" s="108"/>
      <c r="AX343" s="270"/>
      <c r="AY343" s="270"/>
    </row>
    <row r="344" spans="1:54" s="268" customFormat="1" x14ac:dyDescent="0.25">
      <c r="A344" s="107"/>
      <c r="B344" s="107"/>
      <c r="C344" s="7"/>
      <c r="D344" s="7"/>
      <c r="E344" s="10"/>
      <c r="F344" s="107"/>
      <c r="G344" s="107"/>
      <c r="H344" s="107"/>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BB344" s="107"/>
    </row>
    <row r="345" spans="1:54" s="268" customFormat="1" x14ac:dyDescent="0.25">
      <c r="A345" s="107"/>
      <c r="B345" s="107"/>
      <c r="C345" s="7"/>
      <c r="D345" s="7"/>
      <c r="E345" s="10"/>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BB345" s="107"/>
    </row>
    <row r="346" spans="1:54" s="268" customFormat="1" x14ac:dyDescent="0.25">
      <c r="A346" s="107"/>
      <c r="B346" s="107"/>
      <c r="C346" s="7"/>
      <c r="D346" s="7"/>
      <c r="E346" s="10"/>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BB346" s="107"/>
    </row>
    <row r="347" spans="1:54" s="268" customFormat="1" x14ac:dyDescent="0.25">
      <c r="A347" s="107"/>
      <c r="B347" s="107"/>
      <c r="C347" s="7"/>
      <c r="D347" s="7"/>
      <c r="E347" s="10"/>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BB347" s="107"/>
    </row>
    <row r="348" spans="1:54" s="268" customFormat="1" x14ac:dyDescent="0.25">
      <c r="A348" s="107"/>
      <c r="B348" s="107"/>
      <c r="C348" s="7"/>
      <c r="D348" s="7"/>
      <c r="E348" s="10"/>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BB348" s="107"/>
    </row>
    <row r="349" spans="1:54" s="268" customFormat="1" x14ac:dyDescent="0.25">
      <c r="A349" s="107"/>
      <c r="B349" s="107"/>
      <c r="C349" s="7"/>
      <c r="D349" s="7"/>
      <c r="E349" s="10"/>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BB349" s="107"/>
    </row>
    <row r="350" spans="1:54" s="268" customFormat="1" x14ac:dyDescent="0.25">
      <c r="A350" s="107"/>
      <c r="B350" s="107"/>
      <c r="C350" s="7"/>
      <c r="D350" s="7"/>
      <c r="E350" s="10"/>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c r="AS350" s="107"/>
      <c r="AT350" s="107"/>
      <c r="AU350" s="107"/>
      <c r="AV350" s="107"/>
      <c r="AW350" s="107"/>
      <c r="BB350" s="107"/>
    </row>
    <row r="351" spans="1:54" s="268" customFormat="1" x14ac:dyDescent="0.25">
      <c r="A351" s="107"/>
      <c r="B351" s="107"/>
      <c r="C351" s="7"/>
      <c r="D351" s="7"/>
      <c r="E351" s="10"/>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P351" s="107"/>
      <c r="AQ351" s="107"/>
      <c r="AR351" s="107"/>
      <c r="AS351" s="107"/>
      <c r="AT351" s="107"/>
      <c r="AU351" s="107"/>
      <c r="AV351" s="107"/>
      <c r="AW351" s="107"/>
      <c r="BB351" s="107"/>
    </row>
    <row r="352" spans="1:54" s="268" customFormat="1" x14ac:dyDescent="0.25">
      <c r="A352" s="107"/>
      <c r="B352" s="107"/>
      <c r="C352" s="7"/>
      <c r="D352" s="7"/>
      <c r="E352" s="10"/>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c r="AW352" s="107"/>
      <c r="BB352" s="107"/>
    </row>
    <row r="353" spans="1:54" s="268" customFormat="1" x14ac:dyDescent="0.25">
      <c r="A353" s="107"/>
      <c r="B353" s="107"/>
      <c r="C353" s="7"/>
      <c r="D353" s="7"/>
      <c r="E353" s="10"/>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c r="AW353" s="107"/>
      <c r="BB353" s="107"/>
    </row>
    <row r="354" spans="1:54" s="268" customFormat="1" x14ac:dyDescent="0.25">
      <c r="A354" s="107"/>
      <c r="B354" s="107"/>
      <c r="C354" s="108"/>
      <c r="D354" s="108"/>
      <c r="E354" s="11"/>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BB354" s="107"/>
    </row>
    <row r="355" spans="1:54" s="268" customFormat="1" x14ac:dyDescent="0.25">
      <c r="A355" s="107"/>
      <c r="B355" s="107"/>
      <c r="C355" s="108"/>
      <c r="D355" s="108"/>
      <c r="E355" s="11"/>
      <c r="F355" s="107"/>
      <c r="G355" s="107"/>
      <c r="H355" s="107"/>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BB355" s="107"/>
    </row>
    <row r="356" spans="1:54" x14ac:dyDescent="0.25">
      <c r="C356" s="108"/>
      <c r="D356" s="108"/>
      <c r="E356" s="11"/>
    </row>
    <row r="357" spans="1:54" x14ac:dyDescent="0.25">
      <c r="C357" s="108"/>
      <c r="D357" s="108"/>
      <c r="E357" s="11"/>
    </row>
    <row r="358" spans="1:54" x14ac:dyDescent="0.25">
      <c r="C358" s="108"/>
      <c r="D358" s="108"/>
      <c r="E358" s="11"/>
    </row>
    <row r="359" spans="1:54" x14ac:dyDescent="0.25">
      <c r="C359" s="108"/>
      <c r="D359" s="108"/>
      <c r="E359" s="11"/>
    </row>
    <row r="360" spans="1:54" x14ac:dyDescent="0.25">
      <c r="C360" s="108"/>
      <c r="D360" s="108"/>
      <c r="E360" s="11"/>
    </row>
    <row r="361" spans="1:54" x14ac:dyDescent="0.25">
      <c r="C361" s="108"/>
      <c r="D361" s="108"/>
      <c r="E361" s="11"/>
    </row>
    <row r="362" spans="1:54" x14ac:dyDescent="0.25">
      <c r="C362" s="108"/>
      <c r="D362" s="108"/>
      <c r="E362" s="11"/>
    </row>
    <row r="363" spans="1:54" x14ac:dyDescent="0.25">
      <c r="C363" s="108"/>
      <c r="D363" s="108"/>
      <c r="E363" s="11"/>
    </row>
    <row r="364" spans="1:54" x14ac:dyDescent="0.25">
      <c r="C364" s="108"/>
      <c r="D364" s="108"/>
      <c r="E364" s="11"/>
    </row>
    <row r="365" spans="1:54" x14ac:dyDescent="0.25">
      <c r="C365" s="108"/>
      <c r="D365" s="108"/>
      <c r="E365" s="11"/>
    </row>
    <row r="366" spans="1:54" x14ac:dyDescent="0.25">
      <c r="C366" s="108"/>
      <c r="D366" s="108"/>
      <c r="E366" s="11"/>
    </row>
    <row r="367" spans="1:54" x14ac:dyDescent="0.25">
      <c r="C367" s="108"/>
      <c r="D367" s="108"/>
      <c r="E367" s="11"/>
    </row>
    <row r="368" spans="1:54" x14ac:dyDescent="0.25">
      <c r="C368" s="108"/>
      <c r="D368" s="108"/>
      <c r="E368" s="11"/>
    </row>
  </sheetData>
  <mergeCells count="44">
    <mergeCell ref="AU4:AU5"/>
    <mergeCell ref="AT4:AT5"/>
    <mergeCell ref="I3:Q3"/>
    <mergeCell ref="R3:AU3"/>
    <mergeCell ref="AN4:AN5"/>
    <mergeCell ref="AO4:AO5"/>
    <mergeCell ref="AP4:AP5"/>
    <mergeCell ref="AQ4:AQ5"/>
    <mergeCell ref="AR4:AR5"/>
    <mergeCell ref="AS4:AS5"/>
    <mergeCell ref="AD4:AH4"/>
    <mergeCell ref="AI4:AI5"/>
    <mergeCell ref="AJ4:AJ5"/>
    <mergeCell ref="AK4:AK5"/>
    <mergeCell ref="AL4:AL5"/>
    <mergeCell ref="AM4:AM5"/>
    <mergeCell ref="AB4:AC4"/>
    <mergeCell ref="J4:J5"/>
    <mergeCell ref="K4:K5"/>
    <mergeCell ref="L4:L5"/>
    <mergeCell ref="M4:M5"/>
    <mergeCell ref="N4:N5"/>
    <mergeCell ref="O4:O5"/>
    <mergeCell ref="P4:P5"/>
    <mergeCell ref="Q4:Q5"/>
    <mergeCell ref="V4:W4"/>
    <mergeCell ref="X4:Z4"/>
    <mergeCell ref="AA4:AA5"/>
    <mergeCell ref="B1:AW1"/>
    <mergeCell ref="B2:C3"/>
    <mergeCell ref="D2:D5"/>
    <mergeCell ref="E2:E5"/>
    <mergeCell ref="F2:F3"/>
    <mergeCell ref="G2:G5"/>
    <mergeCell ref="H2:H5"/>
    <mergeCell ref="I2:AU2"/>
    <mergeCell ref="AV2:AW2"/>
    <mergeCell ref="AV3:AW4"/>
    <mergeCell ref="B4:B5"/>
    <mergeCell ref="C4:C5"/>
    <mergeCell ref="F4:F5"/>
    <mergeCell ref="I4:I5"/>
    <mergeCell ref="R4:S4"/>
    <mergeCell ref="T4:U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1FE9D-CE32-40E6-A720-0E152273D538}">
  <dimension ref="A1:FU369"/>
  <sheetViews>
    <sheetView topLeftCell="AR1" zoomScale="70" zoomScaleNormal="70" workbookViewId="0">
      <pane ySplit="5" topLeftCell="A6" activePane="bottomLeft" state="frozen"/>
      <selection activeCell="T1" sqref="T1"/>
      <selection pane="bottomLeft" activeCell="AS16" sqref="AS16"/>
    </sheetView>
  </sheetViews>
  <sheetFormatPr baseColWidth="10" defaultRowHeight="15" x14ac:dyDescent="0.25"/>
  <cols>
    <col min="1" max="1" width="6.140625" style="107" customWidth="1"/>
    <col min="2" max="5" width="5.28515625" style="107" customWidth="1"/>
    <col min="6" max="6" width="9.5703125" style="107" customWidth="1"/>
    <col min="7" max="13" width="5.7109375" style="107" customWidth="1"/>
    <col min="14" max="14" width="7.140625" style="107" customWidth="1"/>
    <col min="15" max="15" width="7" style="107" customWidth="1"/>
    <col min="16" max="16" width="12.7109375" style="107" bestFit="1" customWidth="1"/>
    <col min="17" max="21" width="5.7109375" style="107" customWidth="1"/>
    <col min="22" max="24" width="6.7109375" style="107" customWidth="1"/>
    <col min="25" max="25" width="11.42578125" style="107" bestFit="1" customWidth="1"/>
    <col min="26" max="26" width="6.42578125" style="107" bestFit="1" customWidth="1"/>
    <col min="27" max="27" width="13.7109375" style="107" customWidth="1"/>
    <col min="28" max="29" width="6.7109375" style="107" customWidth="1"/>
    <col min="30" max="33" width="5.7109375" style="107" customWidth="1"/>
    <col min="34" max="39" width="10" style="107" customWidth="1"/>
    <col min="40" max="41" width="5.7109375" style="107" customWidth="1"/>
    <col min="42" max="42" width="57.42578125" style="268" bestFit="1" customWidth="1"/>
    <col min="43" max="43" width="200.85546875" style="268" customWidth="1"/>
    <col min="44" max="44" width="150.7109375" style="268" bestFit="1" customWidth="1"/>
    <col min="45" max="45" width="103.7109375" style="268" bestFit="1" customWidth="1"/>
    <col min="46" max="16384" width="11.42578125" style="107"/>
  </cols>
  <sheetData>
    <row r="1" spans="1:177" s="12" customFormat="1" ht="23.25" customHeight="1" thickTop="1" x14ac:dyDescent="0.25">
      <c r="B1" s="634" t="s">
        <v>1173</v>
      </c>
      <c r="C1" s="634"/>
      <c r="D1" s="634"/>
      <c r="E1" s="634"/>
      <c r="F1" s="634"/>
      <c r="G1" s="634"/>
      <c r="H1" s="634"/>
      <c r="I1" s="634"/>
      <c r="J1" s="634"/>
      <c r="K1" s="634"/>
      <c r="L1" s="634"/>
      <c r="M1" s="634"/>
      <c r="N1" s="634"/>
      <c r="O1" s="634"/>
      <c r="P1" s="634"/>
      <c r="Q1" s="634"/>
      <c r="R1" s="634"/>
      <c r="S1" s="634"/>
      <c r="T1" s="634"/>
      <c r="U1" s="634"/>
      <c r="V1" s="634"/>
      <c r="W1" s="634"/>
      <c r="X1" s="634"/>
      <c r="Y1" s="634"/>
      <c r="Z1" s="634"/>
      <c r="AA1" s="634"/>
      <c r="AB1" s="634"/>
      <c r="AC1" s="634"/>
      <c r="AD1" s="634"/>
      <c r="AE1" s="634"/>
      <c r="AF1" s="634"/>
      <c r="AG1" s="634"/>
      <c r="AH1" s="634"/>
      <c r="AI1" s="634"/>
      <c r="AJ1" s="634"/>
      <c r="AK1" s="634"/>
      <c r="AL1" s="634"/>
      <c r="AM1" s="634"/>
      <c r="AN1" s="634"/>
      <c r="AO1" s="635"/>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59"/>
      <c r="CT1" s="459"/>
      <c r="CU1" s="459"/>
      <c r="CV1" s="459"/>
      <c r="CW1" s="459"/>
      <c r="CX1" s="459"/>
      <c r="CY1" s="459"/>
      <c r="CZ1" s="459"/>
      <c r="DA1" s="459"/>
      <c r="DB1" s="459"/>
      <c r="DC1" s="459"/>
      <c r="DD1" s="459"/>
      <c r="DE1" s="459"/>
      <c r="DF1" s="459"/>
      <c r="DG1" s="459"/>
      <c r="DH1" s="459"/>
      <c r="DI1" s="459"/>
      <c r="DJ1" s="459"/>
      <c r="DK1" s="459"/>
      <c r="DL1" s="459"/>
      <c r="DM1" s="459"/>
      <c r="DN1" s="459"/>
      <c r="DO1" s="459"/>
      <c r="DP1" s="459"/>
      <c r="DQ1" s="460"/>
      <c r="DR1" s="359"/>
      <c r="DS1" s="362"/>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8"/>
      <c r="FR1" s="263"/>
      <c r="FS1" s="264"/>
      <c r="FT1" s="264"/>
      <c r="FU1" s="264"/>
    </row>
    <row r="2" spans="1:177" s="12" customFormat="1" ht="30" customHeight="1" x14ac:dyDescent="0.25">
      <c r="B2" s="640" t="s">
        <v>554</v>
      </c>
      <c r="C2" s="543"/>
      <c r="D2" s="598" t="s">
        <v>456</v>
      </c>
      <c r="E2" s="598" t="s">
        <v>933</v>
      </c>
      <c r="F2" s="542" t="s">
        <v>658</v>
      </c>
      <c r="G2" s="560"/>
      <c r="H2" s="560"/>
      <c r="I2" s="560"/>
      <c r="J2" s="560"/>
      <c r="K2" s="560"/>
      <c r="L2" s="560"/>
      <c r="M2" s="543"/>
      <c r="N2" s="637" t="s">
        <v>1007</v>
      </c>
      <c r="O2" s="637" t="s">
        <v>1191</v>
      </c>
      <c r="P2" s="480" t="s">
        <v>1206</v>
      </c>
      <c r="Q2" s="481"/>
      <c r="R2" s="481"/>
      <c r="S2" s="481"/>
      <c r="T2" s="481"/>
      <c r="U2" s="481"/>
      <c r="V2" s="481"/>
      <c r="W2" s="481"/>
      <c r="X2" s="481"/>
      <c r="Y2" s="481"/>
      <c r="Z2" s="481"/>
      <c r="AA2" s="481"/>
      <c r="AB2" s="481"/>
      <c r="AC2" s="481"/>
      <c r="AD2" s="481"/>
      <c r="AE2" s="481"/>
      <c r="AF2" s="481"/>
      <c r="AG2" s="481"/>
      <c r="AH2" s="481"/>
      <c r="AI2" s="481"/>
      <c r="AJ2" s="481"/>
      <c r="AK2" s="481"/>
      <c r="AL2" s="481"/>
      <c r="AM2" s="481"/>
      <c r="AN2" s="481"/>
      <c r="AO2" s="485"/>
      <c r="AP2" s="263"/>
      <c r="AQ2" s="264"/>
      <c r="AR2" s="263"/>
      <c r="AS2" s="264"/>
    </row>
    <row r="3" spans="1:177" s="12" customFormat="1" ht="30" customHeight="1" x14ac:dyDescent="0.25">
      <c r="B3" s="641"/>
      <c r="C3" s="535"/>
      <c r="D3" s="636"/>
      <c r="E3" s="636"/>
      <c r="F3" s="533"/>
      <c r="G3" s="534"/>
      <c r="H3" s="534"/>
      <c r="I3" s="534"/>
      <c r="J3" s="534"/>
      <c r="K3" s="534"/>
      <c r="L3" s="534"/>
      <c r="M3" s="535"/>
      <c r="N3" s="638"/>
      <c r="O3" s="638"/>
      <c r="P3" s="515" t="s">
        <v>206</v>
      </c>
      <c r="Q3" s="524"/>
      <c r="R3" s="524"/>
      <c r="S3" s="524"/>
      <c r="T3" s="524"/>
      <c r="U3" s="524"/>
      <c r="V3" s="524"/>
      <c r="W3" s="524"/>
      <c r="X3" s="524"/>
      <c r="Y3" s="524"/>
      <c r="Z3" s="524"/>
      <c r="AA3" s="524"/>
      <c r="AB3" s="524"/>
      <c r="AC3" s="516"/>
      <c r="AD3" s="515" t="s">
        <v>1184</v>
      </c>
      <c r="AE3" s="524"/>
      <c r="AF3" s="524"/>
      <c r="AG3" s="524"/>
      <c r="AH3" s="524"/>
      <c r="AI3" s="524"/>
      <c r="AJ3" s="524"/>
      <c r="AK3" s="524"/>
      <c r="AL3" s="524"/>
      <c r="AM3" s="516"/>
      <c r="AN3" s="560" t="s">
        <v>554</v>
      </c>
      <c r="AO3" s="642"/>
      <c r="AP3" s="263"/>
      <c r="AQ3" s="264"/>
      <c r="AR3" s="263"/>
      <c r="AS3" s="264"/>
    </row>
    <row r="4" spans="1:177" s="12" customFormat="1" ht="26.25" customHeight="1" x14ac:dyDescent="0.25">
      <c r="B4" s="614" t="s">
        <v>986</v>
      </c>
      <c r="C4" s="631" t="s">
        <v>335</v>
      </c>
      <c r="D4" s="636"/>
      <c r="E4" s="636"/>
      <c r="F4" s="513" t="s">
        <v>1174</v>
      </c>
      <c r="G4" s="515" t="s">
        <v>1175</v>
      </c>
      <c r="H4" s="524"/>
      <c r="I4" s="516"/>
      <c r="J4" s="515" t="s">
        <v>1176</v>
      </c>
      <c r="K4" s="524"/>
      <c r="L4" s="524"/>
      <c r="M4" s="524"/>
      <c r="N4" s="638"/>
      <c r="O4" s="638"/>
      <c r="P4" s="513" t="s">
        <v>995</v>
      </c>
      <c r="Q4" s="524" t="s">
        <v>86</v>
      </c>
      <c r="R4" s="516"/>
      <c r="S4" s="515" t="s">
        <v>1176</v>
      </c>
      <c r="T4" s="524"/>
      <c r="U4" s="524"/>
      <c r="V4" s="598" t="s">
        <v>1178</v>
      </c>
      <c r="W4" s="515" t="s">
        <v>1179</v>
      </c>
      <c r="X4" s="524"/>
      <c r="Y4" s="480" t="s">
        <v>1182</v>
      </c>
      <c r="Z4" s="481"/>
      <c r="AA4" s="484"/>
      <c r="AB4" s="515" t="s">
        <v>1179</v>
      </c>
      <c r="AC4" s="524"/>
      <c r="AD4" s="515" t="s">
        <v>91</v>
      </c>
      <c r="AE4" s="524"/>
      <c r="AF4" s="524"/>
      <c r="AG4" s="524"/>
      <c r="AH4" s="513" t="s">
        <v>1185</v>
      </c>
      <c r="AI4" s="513" t="s">
        <v>1186</v>
      </c>
      <c r="AJ4" s="513" t="s">
        <v>1187</v>
      </c>
      <c r="AK4" s="513" t="s">
        <v>1188</v>
      </c>
      <c r="AL4" s="513" t="s">
        <v>1189</v>
      </c>
      <c r="AM4" s="513" t="s">
        <v>1190</v>
      </c>
      <c r="AN4" s="534"/>
      <c r="AO4" s="643"/>
      <c r="AP4" s="263"/>
      <c r="AQ4" s="264"/>
      <c r="AR4" s="263"/>
      <c r="AS4" s="264"/>
    </row>
    <row r="5" spans="1:177" s="12" customFormat="1" ht="78.75" customHeight="1" x14ac:dyDescent="0.25">
      <c r="B5" s="615"/>
      <c r="C5" s="632"/>
      <c r="D5" s="599"/>
      <c r="E5" s="599"/>
      <c r="F5" s="514"/>
      <c r="G5" s="366" t="s">
        <v>507</v>
      </c>
      <c r="H5" s="366" t="s">
        <v>545</v>
      </c>
      <c r="I5" s="469" t="s">
        <v>546</v>
      </c>
      <c r="J5" s="366" t="s">
        <v>507</v>
      </c>
      <c r="K5" s="366" t="s">
        <v>552</v>
      </c>
      <c r="L5" s="366" t="s">
        <v>553</v>
      </c>
      <c r="M5" s="469" t="s">
        <v>1177</v>
      </c>
      <c r="N5" s="639"/>
      <c r="O5" s="639"/>
      <c r="P5" s="514"/>
      <c r="Q5" s="366" t="s">
        <v>545</v>
      </c>
      <c r="R5" s="469" t="s">
        <v>546</v>
      </c>
      <c r="S5" s="366" t="s">
        <v>552</v>
      </c>
      <c r="T5" s="366" t="s">
        <v>553</v>
      </c>
      <c r="U5" s="388" t="s">
        <v>1177</v>
      </c>
      <c r="V5" s="599"/>
      <c r="W5" s="455" t="s">
        <v>1180</v>
      </c>
      <c r="X5" s="482" t="s">
        <v>1181</v>
      </c>
      <c r="Y5" s="483" t="s">
        <v>198</v>
      </c>
      <c r="Z5" s="483" t="s">
        <v>828</v>
      </c>
      <c r="AA5" s="470" t="s">
        <v>1183</v>
      </c>
      <c r="AB5" s="455" t="s">
        <v>920</v>
      </c>
      <c r="AC5" s="482" t="s">
        <v>355</v>
      </c>
      <c r="AD5" s="366" t="s">
        <v>102</v>
      </c>
      <c r="AE5" s="366" t="s">
        <v>103</v>
      </c>
      <c r="AF5" s="469" t="s">
        <v>568</v>
      </c>
      <c r="AG5" s="470" t="s">
        <v>234</v>
      </c>
      <c r="AH5" s="514"/>
      <c r="AI5" s="514"/>
      <c r="AJ5" s="514"/>
      <c r="AK5" s="514"/>
      <c r="AL5" s="514"/>
      <c r="AM5" s="514"/>
      <c r="AN5" s="455" t="s">
        <v>668</v>
      </c>
      <c r="AO5" s="477" t="s">
        <v>355</v>
      </c>
      <c r="AP5" s="263" t="s">
        <v>549</v>
      </c>
      <c r="AQ5" s="264" t="s">
        <v>548</v>
      </c>
      <c r="AR5" s="264" t="s">
        <v>7</v>
      </c>
      <c r="AS5" s="265" t="s">
        <v>8</v>
      </c>
    </row>
    <row r="6" spans="1:177" s="109" customFormat="1" ht="15" customHeight="1" x14ac:dyDescent="0.25">
      <c r="A6" s="23"/>
      <c r="B6" s="20"/>
      <c r="C6" s="13"/>
      <c r="D6" s="13"/>
      <c r="E6" s="13">
        <v>1</v>
      </c>
      <c r="F6" s="289"/>
      <c r="G6" s="289">
        <v>1</v>
      </c>
      <c r="H6" s="289"/>
      <c r="I6" s="289"/>
      <c r="J6" s="289">
        <v>1</v>
      </c>
      <c r="K6" s="289"/>
      <c r="L6" s="289"/>
      <c r="M6" s="289"/>
      <c r="N6" s="111"/>
      <c r="O6" s="13"/>
      <c r="P6" s="289"/>
      <c r="Q6" s="289"/>
      <c r="R6" s="289"/>
      <c r="S6" s="289"/>
      <c r="T6" s="289"/>
      <c r="U6" s="289"/>
      <c r="V6" s="289"/>
      <c r="W6" s="289"/>
      <c r="X6" s="289"/>
      <c r="Y6" s="289"/>
      <c r="Z6" s="289"/>
      <c r="AA6" s="289"/>
      <c r="AB6" s="289"/>
      <c r="AC6" s="111"/>
      <c r="AD6" s="289"/>
      <c r="AE6" s="289"/>
      <c r="AF6" s="289"/>
      <c r="AG6" s="289"/>
      <c r="AH6" s="289"/>
      <c r="AI6" s="289"/>
      <c r="AJ6" s="289"/>
      <c r="AK6" s="289"/>
      <c r="AL6" s="289"/>
      <c r="AM6" s="289"/>
      <c r="AN6" s="289"/>
      <c r="AO6" s="453"/>
      <c r="AP6" s="266" t="s">
        <v>1192</v>
      </c>
      <c r="AQ6" s="267" t="str">
        <f>CONCATENATE(" Acceder al sistema Gemma con usuario y perfil activo para la funcionalidad modulo Maestro - Producto Credito, hacer clic en"," ",IF(B6=1,"Modificar registro","")," ",IF(C6=1,"Eliminar registro","")," ",IF(D6=1,"Agregar un nuevo registro","")," ",IF(E6=1,"Exportar excel","")," sin seleccionar Credito Nombre en el filtro",)</f>
        <v xml:space="preserve"> Acceder al sistema Gemma con usuario y perfil activo para la funcionalidad modulo Maestro - Producto Credito, hacer clic en    Exportar excel sin seleccionar Credito Nombre en el filtro</v>
      </c>
      <c r="AR6" s="266" t="str">
        <f xml:space="preserve"> CONCATENATE("Validar funcionalidad Maestro Producto Credito seleccionando la opcion,"," ",IF(B6=1,"Modificar un registro","")," ",IF(C6=1,"Eliminar un registro","")," ",IF(D6=1,"Agregar un nuevo registro",""), " ",IF(E6=1,"Exportar Documento Excel","")," sin seleccionar un Credito Nombre",)</f>
        <v>Validar funcionalidad Maestro Producto Credito seleccionando la opcion,    Exportar Documento Excel sin seleccionar un Credito Nombre</v>
      </c>
      <c r="AS6" s="267" t="s">
        <v>1008</v>
      </c>
    </row>
    <row r="7" spans="1:177" s="109" customFormat="1" ht="15" customHeight="1" x14ac:dyDescent="0.25">
      <c r="A7" s="23"/>
      <c r="B7" s="20"/>
      <c r="C7" s="13"/>
      <c r="D7" s="13">
        <v>1</v>
      </c>
      <c r="E7" s="103"/>
      <c r="F7" s="289"/>
      <c r="G7" s="289"/>
      <c r="H7" s="289"/>
      <c r="I7" s="289"/>
      <c r="J7" s="289"/>
      <c r="K7" s="289"/>
      <c r="L7" s="289"/>
      <c r="M7" s="289"/>
      <c r="N7" s="111"/>
      <c r="O7" s="13"/>
      <c r="P7" s="289">
        <v>1</v>
      </c>
      <c r="Q7" s="289">
        <v>1</v>
      </c>
      <c r="R7" s="289"/>
      <c r="S7" s="289">
        <v>1</v>
      </c>
      <c r="T7" s="289"/>
      <c r="U7" s="289"/>
      <c r="V7" s="289"/>
      <c r="W7" s="289"/>
      <c r="X7" s="289"/>
      <c r="Y7" s="289"/>
      <c r="Z7" s="289"/>
      <c r="AA7" s="289"/>
      <c r="AB7" s="289"/>
      <c r="AC7" s="111"/>
      <c r="AD7" s="289">
        <v>1</v>
      </c>
      <c r="AE7" s="289"/>
      <c r="AF7" s="289"/>
      <c r="AG7" s="289"/>
      <c r="AH7" s="289">
        <v>1</v>
      </c>
      <c r="AI7" s="289">
        <v>1</v>
      </c>
      <c r="AJ7" s="289">
        <v>1</v>
      </c>
      <c r="AK7" s="289">
        <v>1</v>
      </c>
      <c r="AL7" s="289">
        <v>1</v>
      </c>
      <c r="AM7" s="289">
        <v>1</v>
      </c>
      <c r="AN7" s="289">
        <v>1</v>
      </c>
      <c r="AO7" s="453"/>
      <c r="AP7" s="266" t="s">
        <v>1193</v>
      </c>
      <c r="AQ7" s="267" t="str">
        <f>CONCATENATE("Acceder al sistema Gemma con usuario y perfil activo para la funcionalidad modulo Maestro - Producto Credito, hacer clic en el boton "," ",IF(B7=1,"Modificar registro","")," ",IF(C7=1,"Eliminar registro","")," ",IF(D7=1,"Agregar un nuevo registro","")," ",IF(E7=1,"Exportar excel","")," seleccionado campos obligatorios, luego presionar Confirmar",)</f>
        <v>Acceder al sistema Gemma con usuario y perfil activo para la funcionalidad modulo Maestro - Producto Credito, hacer clic en el boton    Agregar un nuevo registro  seleccionado campos obligatorios, luego presionar Confirmar</v>
      </c>
      <c r="AR7" s="266" t="str">
        <f xml:space="preserve"> CONCATENATE("Validar funcionalidad Maestro Producto Credito seleccionando la opcion,"," ",IF(B7=1,"Modificar un registro","")," ",IF(C7=1,"Eliminar un registro","")," ",IF(D7=1,"Agregar un nuevo registro",""), " ",IF(E7=1,"Exportar Documento Excel",""),"con los campos obligatorios",)</f>
        <v>Validar funcionalidad Maestro Producto Credito seleccionando la opcion,   Agregar un nuevo registro con los campos obligatorios</v>
      </c>
      <c r="AS7" s="267" t="s">
        <v>982</v>
      </c>
    </row>
    <row r="8" spans="1:177" s="109" customFormat="1" ht="15" customHeight="1" x14ac:dyDescent="0.25">
      <c r="A8" s="23"/>
      <c r="B8" s="20"/>
      <c r="C8" s="13"/>
      <c r="D8" s="13">
        <v>1</v>
      </c>
      <c r="E8" s="103"/>
      <c r="F8" s="289"/>
      <c r="G8" s="289"/>
      <c r="H8" s="289"/>
      <c r="I8" s="289"/>
      <c r="J8" s="289"/>
      <c r="K8" s="289"/>
      <c r="L8" s="289"/>
      <c r="M8" s="289"/>
      <c r="N8" s="111"/>
      <c r="O8" s="13"/>
      <c r="P8" s="289">
        <v>1</v>
      </c>
      <c r="Q8" s="289"/>
      <c r="R8" s="289">
        <v>1</v>
      </c>
      <c r="S8" s="289"/>
      <c r="T8" s="289">
        <v>1</v>
      </c>
      <c r="U8" s="289"/>
      <c r="V8" s="289">
        <v>1</v>
      </c>
      <c r="W8" s="289">
        <v>1</v>
      </c>
      <c r="X8" s="289"/>
      <c r="Y8" s="289">
        <v>1</v>
      </c>
      <c r="Z8" s="289">
        <v>1</v>
      </c>
      <c r="AA8" s="289">
        <v>1</v>
      </c>
      <c r="AB8" s="289">
        <v>1</v>
      </c>
      <c r="AC8" s="111"/>
      <c r="AD8" s="289">
        <v>1</v>
      </c>
      <c r="AE8" s="289">
        <v>1</v>
      </c>
      <c r="AF8" s="289">
        <v>1</v>
      </c>
      <c r="AG8" s="289">
        <v>1</v>
      </c>
      <c r="AH8" s="289">
        <v>1</v>
      </c>
      <c r="AI8" s="289">
        <v>1</v>
      </c>
      <c r="AJ8" s="289">
        <v>1</v>
      </c>
      <c r="AK8" s="289">
        <v>1</v>
      </c>
      <c r="AL8" s="289"/>
      <c r="AM8" s="289">
        <v>1</v>
      </c>
      <c r="AN8" s="289">
        <v>1</v>
      </c>
      <c r="AO8" s="453"/>
      <c r="AP8" s="266" t="s">
        <v>1198</v>
      </c>
      <c r="AQ8" s="267" t="str">
        <f>CONCATENATE("Acceder al sistema Gemma con usuario y perfil activo para la funcionalidad modulo Maestro - Producto Credito, hacer clic en el boton "," ",IF(B8=1,"Modificar registro","")," ",IF(C8=1,"Eliminar registro","")," ",IF(D8=1,"Agregar un nuevo registro","")," campos obligatorios, luego",IF(E8=1,"Exportar excel","")," hacer clic en el boton "," ",IF(V8=1,"Asignar Distribuidores",""),"y presionar Confirmar")</f>
        <v>Acceder al sistema Gemma con usuario y perfil activo para la funcionalidad modulo Maestro - Producto Credito, hacer clic en el boton    Agregar un nuevo registro campos obligatorios, luego hacer clic en el boton  Asignar Distribuidoresy presionar Confirmar</v>
      </c>
      <c r="AR8" s="266" t="str">
        <f xml:space="preserve"> CONCATENATE("Validar funcionalidad Maestro Producto Credito seleccionando la opcion,"," ",IF(B8=1,"Modificar un registro","")," ",IF(C8=1,"Eliminar un registro","")," ",IF(D8=1,"Agregar un nuevo registro",""), " ",IF(E8=1,"Exportar Documento Excel",""),"con todos los datos y Asignar Distribuidores ",)</f>
        <v xml:space="preserve">Validar funcionalidad Maestro Producto Credito seleccionando la opcion,   Agregar un nuevo registro con todos los datos y Asignar Distribuidores </v>
      </c>
      <c r="AS8" s="267" t="s">
        <v>982</v>
      </c>
    </row>
    <row r="9" spans="1:177" s="109" customFormat="1" ht="15" customHeight="1" x14ac:dyDescent="0.25">
      <c r="A9" s="23"/>
      <c r="B9" s="20">
        <v>1</v>
      </c>
      <c r="C9" s="13"/>
      <c r="D9" s="13"/>
      <c r="E9" s="103"/>
      <c r="F9" s="289">
        <v>1</v>
      </c>
      <c r="G9" s="289"/>
      <c r="H9" s="289">
        <v>1</v>
      </c>
      <c r="I9" s="289"/>
      <c r="J9" s="289"/>
      <c r="K9" s="289"/>
      <c r="L9" s="289"/>
      <c r="M9" s="289">
        <v>1</v>
      </c>
      <c r="N9" s="111"/>
      <c r="O9" s="13"/>
      <c r="P9" s="289"/>
      <c r="Q9" s="289">
        <v>1</v>
      </c>
      <c r="R9" s="289"/>
      <c r="S9" s="289"/>
      <c r="T9" s="289"/>
      <c r="U9" s="289">
        <v>1</v>
      </c>
      <c r="V9" s="289">
        <v>1</v>
      </c>
      <c r="W9" s="289">
        <v>1</v>
      </c>
      <c r="X9" s="289"/>
      <c r="Y9" s="289">
        <v>1</v>
      </c>
      <c r="Z9" s="289">
        <v>1</v>
      </c>
      <c r="AA9" s="289">
        <v>1</v>
      </c>
      <c r="AB9" s="289">
        <v>1</v>
      </c>
      <c r="AC9" s="111"/>
      <c r="AD9" s="289">
        <v>1</v>
      </c>
      <c r="AE9" s="289">
        <v>1</v>
      </c>
      <c r="AF9" s="289"/>
      <c r="AG9" s="289"/>
      <c r="AH9" s="289">
        <v>1</v>
      </c>
      <c r="AI9" s="289"/>
      <c r="AJ9" s="289"/>
      <c r="AK9" s="289"/>
      <c r="AL9" s="289"/>
      <c r="AM9" s="289"/>
      <c r="AN9" s="289">
        <v>1</v>
      </c>
      <c r="AO9" s="453"/>
      <c r="AP9" s="266" t="s">
        <v>1194</v>
      </c>
      <c r="AQ9" s="267" t="str">
        <f>CONCATENATE("Acceder al sistema Gemma con usuario y perfil activo para la funcionalidad modulo Maestro - Producto Credito, seleccionando Credito Nombre en el filtro, hacer clic en el boton"," ",IF(B9=1,"Modificar ","")," ",IF(C9=1,"Eliminar registro","")," ",IF(D9=1,"Agregar un nuevo registro","")," ",IF(E9=1,"Exportar excel","")," y luego presionar Confirmar.",)</f>
        <v>Acceder al sistema Gemma con usuario y perfil activo para la funcionalidad modulo Maestro - Producto Credito, seleccionando Credito Nombre en el filtro, hacer clic en el boton Modificar     y luego presionar Confirmar.</v>
      </c>
      <c r="AR9" s="266" t="str">
        <f xml:space="preserve"> CONCATENATE("Validar funcionalidad Maestro Producto Credito seleccionando la opcion,"," ",IF(B9=1,"Modificar un registro","")," ",IF(C9=1,"Eliminar un registro","")," ",IF(D9=1,"Agregar un nuevo registro",""), " ",IF(E9=1,"Exportar Documento Excel","")," seleccionando Credito Nombre en el filtro ",)</f>
        <v xml:space="preserve">Validar funcionalidad Maestro Producto Credito seleccionando la opcion, Modificar un registro    seleccionando Credito Nombre en el filtro </v>
      </c>
      <c r="AS9" s="267" t="s">
        <v>1009</v>
      </c>
    </row>
    <row r="10" spans="1:177" s="109" customFormat="1" ht="15" customHeight="1" x14ac:dyDescent="0.25">
      <c r="A10" s="23"/>
      <c r="B10" s="20">
        <v>1</v>
      </c>
      <c r="C10" s="13"/>
      <c r="D10" s="13"/>
      <c r="E10" s="103"/>
      <c r="F10" s="289"/>
      <c r="G10" s="289"/>
      <c r="H10" s="289"/>
      <c r="I10" s="289"/>
      <c r="J10" s="289"/>
      <c r="K10" s="289"/>
      <c r="L10" s="289"/>
      <c r="M10" s="289"/>
      <c r="N10" s="111"/>
      <c r="O10" s="13"/>
      <c r="P10" s="289">
        <v>1</v>
      </c>
      <c r="Q10" s="289">
        <v>1</v>
      </c>
      <c r="R10" s="289"/>
      <c r="S10" s="289"/>
      <c r="T10" s="289"/>
      <c r="U10" s="289">
        <v>1</v>
      </c>
      <c r="V10" s="289"/>
      <c r="W10" s="289"/>
      <c r="X10" s="289"/>
      <c r="Y10" s="289"/>
      <c r="Z10" s="289"/>
      <c r="AA10" s="289"/>
      <c r="AB10" s="289"/>
      <c r="AC10" s="111"/>
      <c r="AD10" s="289"/>
      <c r="AE10" s="289"/>
      <c r="AF10" s="289">
        <v>1</v>
      </c>
      <c r="AG10" s="289">
        <v>1</v>
      </c>
      <c r="AH10" s="289"/>
      <c r="AI10" s="289"/>
      <c r="AJ10" s="289"/>
      <c r="AK10" s="289"/>
      <c r="AL10" s="289"/>
      <c r="AM10" s="289">
        <v>1</v>
      </c>
      <c r="AN10" s="289">
        <v>1</v>
      </c>
      <c r="AO10" s="453"/>
      <c r="AP10" s="266" t="s">
        <v>1195</v>
      </c>
      <c r="AQ10" s="267" t="str">
        <f>CONCATENATE("Acceder al sistema Gemma con usuario y perfil activo para la funcionalidad modulo Maestro - Producto Credito, tomando un Credito Nombre de la tabla consulta, hacer clic en el boton"," ",IF(B10=1,"Modificar registro","")," ",IF(C10=1,"Eliminar registro","")," ",IF(D10=1,"Agregar un nuevo registro","")," ",IF(E10=1,"Exportar excel","")," y luego presionar Confirmar.",)</f>
        <v>Acceder al sistema Gemma con usuario y perfil activo para la funcionalidad modulo Maestro - Producto Credito, tomando un Credito Nombre de la tabla consulta, hacer clic en el boton Modificar registro    y luego presionar Confirmar.</v>
      </c>
      <c r="AR10" s="266" t="str">
        <f xml:space="preserve"> CONCATENATE("Validar funcionalidad Maestro Producto Credito seleccionando la opcion,"," ",IF(B10=1,"Modificar un registro","")," ",IF(C10=1,"Eliminar un registro","")," ",IF(D10=1,"Agregar un nuevo registro",""), " ",IF(E10=1,"Exportar Documento Excel","")," tomando un Credito Nombre de la tabla consulta",)</f>
        <v>Validar funcionalidad Maestro Producto Credito seleccionando la opcion, Modificar un registro    tomando un Credito Nombre de la tabla consulta</v>
      </c>
      <c r="AS10" s="267" t="s">
        <v>1010</v>
      </c>
    </row>
    <row r="11" spans="1:177" s="109" customFormat="1" ht="15" customHeight="1" x14ac:dyDescent="0.25">
      <c r="A11" s="23"/>
      <c r="B11" s="20"/>
      <c r="C11" s="13">
        <v>1</v>
      </c>
      <c r="D11" s="13"/>
      <c r="E11" s="103"/>
      <c r="F11" s="289">
        <v>1</v>
      </c>
      <c r="G11" s="289"/>
      <c r="H11" s="289"/>
      <c r="I11" s="289">
        <v>1</v>
      </c>
      <c r="J11" s="289"/>
      <c r="K11" s="289"/>
      <c r="L11" s="289"/>
      <c r="M11" s="289">
        <v>1</v>
      </c>
      <c r="N11" s="111"/>
      <c r="O11" s="13"/>
      <c r="P11" s="289"/>
      <c r="Q11" s="289"/>
      <c r="R11" s="289"/>
      <c r="S11" s="289"/>
      <c r="T11" s="289"/>
      <c r="U11" s="289"/>
      <c r="V11" s="289"/>
      <c r="W11" s="289"/>
      <c r="X11" s="289"/>
      <c r="Y11" s="289"/>
      <c r="Z11" s="289"/>
      <c r="AA11" s="289"/>
      <c r="AB11" s="289"/>
      <c r="AC11" s="111"/>
      <c r="AD11" s="289"/>
      <c r="AE11" s="289"/>
      <c r="AF11" s="289"/>
      <c r="AG11" s="289"/>
      <c r="AH11" s="289"/>
      <c r="AI11" s="289"/>
      <c r="AJ11" s="289"/>
      <c r="AK11" s="289"/>
      <c r="AL11" s="289"/>
      <c r="AM11" s="289"/>
      <c r="AN11" s="289">
        <v>1</v>
      </c>
      <c r="AO11" s="453"/>
      <c r="AP11" s="266" t="s">
        <v>1196</v>
      </c>
      <c r="AQ11" s="267" t="str">
        <f>CONCATENATE("Acceder al sistema Gemma con usuario y perfil activo para la funcionalidad modulo Maestro - Producto Credito, seleccionando Credito Nombre en el filtro, hacer clic en el boton"," ",IF(B11=1,"Modificar ","")," ",IF(C11=1,"Eliminar registro","")," ",IF(D11=1,"Agregar un nuevo registro","")," ",IF(E11=1,"Exportar excel","")," y luego presionar Confirmar.",)</f>
        <v>Acceder al sistema Gemma con usuario y perfil activo para la funcionalidad modulo Maestro - Producto Credito, seleccionando Credito Nombre en el filtro, hacer clic en el boton  Eliminar registro   y luego presionar Confirmar.</v>
      </c>
      <c r="AR11" s="266" t="str">
        <f xml:space="preserve"> CONCATENATE("Validar funcionalidad Maestro Producto Credito seleccionando la opcion,"," ",IF(B11=1,"Modificar un registro","")," ",IF(C11=1,"Eliminar un registro","")," ",IF(D11=1,"Agregar un nuevo registro",""), " ",IF(E11=1,"Exportar Documento Excel","")," seleccionando Credito Nombre en el filtro ",)</f>
        <v xml:space="preserve">Validar funcionalidad Maestro Producto Credito seleccionando la opcion,  Eliminar un registro   seleccionando Credito Nombre en el filtro </v>
      </c>
      <c r="AS11" s="267" t="s">
        <v>1011</v>
      </c>
    </row>
    <row r="12" spans="1:177" s="109" customFormat="1" ht="15" customHeight="1" x14ac:dyDescent="0.25">
      <c r="A12" s="23"/>
      <c r="B12" s="20"/>
      <c r="C12" s="13">
        <v>1</v>
      </c>
      <c r="D12" s="13"/>
      <c r="E12" s="103"/>
      <c r="F12" s="289"/>
      <c r="G12" s="289"/>
      <c r="H12" s="289"/>
      <c r="I12" s="289"/>
      <c r="J12" s="289"/>
      <c r="K12" s="289"/>
      <c r="L12" s="289"/>
      <c r="M12" s="289"/>
      <c r="N12" s="111"/>
      <c r="O12" s="13"/>
      <c r="P12" s="289"/>
      <c r="Q12" s="289"/>
      <c r="R12" s="289"/>
      <c r="S12" s="289"/>
      <c r="T12" s="289"/>
      <c r="U12" s="289"/>
      <c r="V12" s="289"/>
      <c r="W12" s="289"/>
      <c r="X12" s="289"/>
      <c r="Y12" s="289"/>
      <c r="Z12" s="289"/>
      <c r="AA12" s="289"/>
      <c r="AB12" s="289"/>
      <c r="AC12" s="111"/>
      <c r="AD12" s="289"/>
      <c r="AE12" s="289"/>
      <c r="AF12" s="289"/>
      <c r="AG12" s="289"/>
      <c r="AH12" s="289"/>
      <c r="AI12" s="289"/>
      <c r="AJ12" s="289"/>
      <c r="AK12" s="289"/>
      <c r="AL12" s="289"/>
      <c r="AM12" s="289"/>
      <c r="AN12" s="289">
        <v>1</v>
      </c>
      <c r="AO12" s="453"/>
      <c r="AP12" s="266" t="s">
        <v>1197</v>
      </c>
      <c r="AQ12" s="267" t="str">
        <f>CONCATENATE("Acceder al sistema Gemma con usuario y perfil activo para la funcionalidad modulo Maestro - Producto Credito, tomando un Credito Nombre de la tabla consulta, hacer clic en el boton"," ",IF(B12=1,"Modificar registro","")," ",IF(C12=1,"Eliminar registro","")," ",IF(D12=1,"Agregar un nuevo registro","")," ",IF(E12=1,"Exportar excel","")," y luego presionar Confirmar.",)</f>
        <v>Acceder al sistema Gemma con usuario y perfil activo para la funcionalidad modulo Maestro - Producto Credito, tomando un Credito Nombre de la tabla consulta, hacer clic en el boton  Eliminar registro   y luego presionar Confirmar.</v>
      </c>
      <c r="AR12" s="266" t="str">
        <f xml:space="preserve"> CONCATENATE("Validar funcionalidad Maestro Producto Credito seleccionando la opcion,"," ",IF(B12=1,"Modificar un registro","")," ",IF(C12=1,"Eliminar un registro","")," ",IF(D12=1,"Agregar un nuevo registro",""), " ",IF(E12=1,"Exportar Documento Excel","")," tomando un Credito Nombre de la tabla consulta",)</f>
        <v>Validar funcionalidad Maestro Producto Credito seleccionando la opcion,  Eliminar un registro   tomando un Credito Nombre de la tabla consulta</v>
      </c>
      <c r="AS12" s="267" t="s">
        <v>1012</v>
      </c>
    </row>
    <row r="13" spans="1:177" s="109" customFormat="1" ht="15" customHeight="1" x14ac:dyDescent="0.25">
      <c r="A13" s="23"/>
      <c r="B13" s="20">
        <v>1</v>
      </c>
      <c r="C13" s="13"/>
      <c r="D13" s="13"/>
      <c r="E13" s="103"/>
      <c r="F13" s="289">
        <v>1</v>
      </c>
      <c r="G13" s="289"/>
      <c r="H13" s="289">
        <v>1</v>
      </c>
      <c r="I13" s="289"/>
      <c r="J13" s="289"/>
      <c r="K13" s="289"/>
      <c r="L13" s="289">
        <v>1</v>
      </c>
      <c r="M13" s="289"/>
      <c r="N13" s="450">
        <v>1</v>
      </c>
      <c r="O13" s="13"/>
      <c r="P13" s="289"/>
      <c r="Q13" s="289">
        <v>1</v>
      </c>
      <c r="R13" s="289"/>
      <c r="S13" s="289"/>
      <c r="T13" s="289">
        <v>1</v>
      </c>
      <c r="U13" s="289"/>
      <c r="V13" s="289"/>
      <c r="W13" s="289"/>
      <c r="X13" s="289"/>
      <c r="Y13" s="289"/>
      <c r="Z13" s="289"/>
      <c r="AA13" s="289"/>
      <c r="AB13" s="289"/>
      <c r="AC13" s="111"/>
      <c r="AD13" s="289"/>
      <c r="AE13" s="289">
        <v>1</v>
      </c>
      <c r="AF13" s="289">
        <v>1</v>
      </c>
      <c r="AG13" s="289"/>
      <c r="AH13" s="289"/>
      <c r="AI13" s="289">
        <v>1</v>
      </c>
      <c r="AJ13" s="289">
        <v>1</v>
      </c>
      <c r="AK13" s="289"/>
      <c r="AL13" s="289"/>
      <c r="AM13" s="289"/>
      <c r="AN13" s="289">
        <v>1</v>
      </c>
      <c r="AO13" s="453"/>
      <c r="AP13" s="266" t="s">
        <v>1199</v>
      </c>
      <c r="AQ13" s="267" t="str">
        <f>CONCATENATE("Acceder al sistema Gemma con usuario y perfil activo para la funcionalidad modulo Maestro - Producto Credito, seleccionando Credito Nombre en el filtro, "," presionar ",IF(N13=1,$N$2,""),", hacer clic ",IF(B13=1,"Modificar","")," ",IF(C13=1,"Eliminar registro","")," ",IF(D13=1,"Agregar un nuevo registro","")," ",IF(E13=1,"Exportar excel",""),"y luego Confirmar",)</f>
        <v>Acceder al sistema Gemma con usuario y perfil activo para la funcionalidad modulo Maestro - Producto Credito, seleccionando Credito Nombre en el filtro,  presionar Link Descripción, hacer clic Modificar   y luego Confirmar</v>
      </c>
      <c r="AR13" s="266" t="str">
        <f xml:space="preserve"> CONCATENATE("Validar funcionalidad Maestro Producto Credito seleccionando la opcion,"," ",IF(B13=1,"Modificar un registro","")," ",IF(C13=1,"Eliminar un registro","")," ",IF(D13=1,"Agregar un nuevo registro",""), " ",IF(E13=1,"Exportar Documento Excel","")," seleccionando Credito Nombre en el filtro, mediante el link Descripcion ",)</f>
        <v xml:space="preserve">Validar funcionalidad Maestro Producto Credito seleccionando la opcion, Modificar un registro    seleccionando Credito Nombre en el filtro, mediante el link Descripcion </v>
      </c>
      <c r="AS13" s="267" t="s">
        <v>1203</v>
      </c>
    </row>
    <row r="14" spans="1:177" s="109" customFormat="1" ht="15" customHeight="1" thickBot="1" x14ac:dyDescent="0.3">
      <c r="A14" s="23"/>
      <c r="B14" s="20"/>
      <c r="C14" s="13">
        <v>1</v>
      </c>
      <c r="D14" s="13"/>
      <c r="E14" s="103"/>
      <c r="F14" s="13"/>
      <c r="G14" s="289">
        <v>1</v>
      </c>
      <c r="H14" s="289"/>
      <c r="I14" s="289"/>
      <c r="J14" s="289">
        <v>1</v>
      </c>
      <c r="K14" s="289"/>
      <c r="L14" s="289"/>
      <c r="M14" s="289"/>
      <c r="N14" s="273">
        <v>1</v>
      </c>
      <c r="O14" s="272"/>
      <c r="P14" s="13"/>
      <c r="Q14" s="289"/>
      <c r="R14" s="289"/>
      <c r="S14" s="289"/>
      <c r="T14" s="289"/>
      <c r="U14" s="289"/>
      <c r="V14" s="289"/>
      <c r="W14" s="13"/>
      <c r="X14" s="103"/>
      <c r="Y14" s="13"/>
      <c r="Z14" s="13"/>
      <c r="AA14" s="13"/>
      <c r="AB14" s="13"/>
      <c r="AC14" s="450"/>
      <c r="AD14" s="13"/>
      <c r="AE14" s="13"/>
      <c r="AF14" s="103"/>
      <c r="AG14" s="103"/>
      <c r="AH14" s="13"/>
      <c r="AI14" s="13"/>
      <c r="AJ14" s="13"/>
      <c r="AK14" s="13"/>
      <c r="AL14" s="13"/>
      <c r="AM14" s="13"/>
      <c r="AN14" s="13">
        <v>1</v>
      </c>
      <c r="AO14" s="278"/>
      <c r="AP14" s="266" t="s">
        <v>1200</v>
      </c>
      <c r="AQ14" s="267" t="str">
        <f>CONCATENATE("Acceder al sistema Gemma con usuario y perfil activo para la funcionalidad modulo Maestro - Producto Credito, tomando un Credito Nombre de la tabla consulta, "," presionar ",IF(N14=1,$N$2,""),", hacer clic ",IF(B14=1,"Modificar","")," ",IF(C14=1,"Eliminar registro","")," ",IF(D14=1,"Agregar un nuevo registro","")," ",IF(E14=1,"Exportar excel",""),"y luego Confirmar",)</f>
        <v>Acceder al sistema Gemma con usuario y perfil activo para la funcionalidad modulo Maestro - Producto Credito, tomando un Credito Nombre de la tabla consulta,  presionar Link Descripción, hacer clic  Eliminar registro  y luego Confirmar</v>
      </c>
      <c r="AR14" s="266" t="str">
        <f xml:space="preserve"> CONCATENATE("Validar funcionalidad Maestro Producto Credito seleccionando la opcion,"," ",IF(B14=1,"Modificar un registro","")," ",IF(C14=1,"Eliminar un registro","")," ",IF(D14=1,"Agregar un nuevo registro",""), " ",IF(E14=1,"Exportar Documento Excel","")," tomando un Credito Nombre de la tabla consulta, mediante el link Descripcion",)</f>
        <v>Validar funcionalidad Maestro Producto Credito seleccionando la opcion,  Eliminar un registro   tomando un Credito Nombre de la tabla consulta, mediante el link Descripcion</v>
      </c>
      <c r="AS14" s="267" t="s">
        <v>1204</v>
      </c>
    </row>
    <row r="15" spans="1:177" s="109" customFormat="1" ht="15" customHeight="1" thickTop="1" x14ac:dyDescent="0.25">
      <c r="A15" s="23"/>
      <c r="B15" s="292"/>
      <c r="C15" s="293">
        <v>1</v>
      </c>
      <c r="D15" s="293"/>
      <c r="E15" s="293"/>
      <c r="F15" s="398"/>
      <c r="G15" s="398"/>
      <c r="H15" s="398"/>
      <c r="I15" s="398"/>
      <c r="J15" s="398"/>
      <c r="K15" s="398"/>
      <c r="L15" s="398"/>
      <c r="M15" s="398"/>
      <c r="N15" s="106"/>
      <c r="O15" s="293"/>
      <c r="P15" s="398"/>
      <c r="Q15" s="398"/>
      <c r="R15" s="398"/>
      <c r="S15" s="398"/>
      <c r="T15" s="398"/>
      <c r="U15" s="398"/>
      <c r="V15" s="398"/>
      <c r="W15" s="398"/>
      <c r="X15" s="398"/>
      <c r="Y15" s="398"/>
      <c r="Z15" s="398"/>
      <c r="AA15" s="398"/>
      <c r="AB15" s="398"/>
      <c r="AC15" s="106"/>
      <c r="AD15" s="398"/>
      <c r="AE15" s="398"/>
      <c r="AF15" s="398"/>
      <c r="AG15" s="398"/>
      <c r="AH15" s="398"/>
      <c r="AI15" s="398"/>
      <c r="AJ15" s="398"/>
      <c r="AK15" s="398"/>
      <c r="AL15" s="398"/>
      <c r="AM15" s="398"/>
      <c r="AN15" s="398"/>
      <c r="AO15" s="458"/>
      <c r="AP15" s="266" t="s">
        <v>1553</v>
      </c>
      <c r="AQ15" s="267" t="str">
        <f>CONCATENATE("Acceder al sistema Gemma con usuario y perfil activo para la funcionalidad modulo Maestro - Producto Credito, tomando un Credito Nombre de la tabla consulta, "," ",IF(N15=1,$N$2,""),", hacer clic ",IF(B15=1,"Modificar","")," ",IF(C15=1,"Eliminar registro","")," ",IF(D15=1,"Agregar un nuevo registro","")," ",IF(E15=1,"Exportar excel",""),"y luego Confirmar",)</f>
        <v>Acceder al sistema Gemma con usuario y perfil activo para la funcionalidad modulo Maestro - Producto Credito, tomando un Credito Nombre de la tabla consulta,  , hacer clic  Eliminar registro  y luego Confirmar</v>
      </c>
      <c r="AR15" s="266" t="str">
        <f xml:space="preserve"> CONCATENATE("Validar funcionalidad Maestro Producto Credito seleccionando la opcion,"," ",IF(B15=1,"Modificar un registro","")," ",IF(C15=1,"Eliminar un registro","")," ",IF(D15=1,"Agregar un nuevo registro",""), " ",IF(E15=1,"Exportar Documento Excel","")," que se encuentra en uso ",)</f>
        <v xml:space="preserve">Validar funcionalidad Maestro Producto Credito seleccionando la opcion,  Eliminar un registro   que se encuentra en uso </v>
      </c>
      <c r="AS15" s="267" t="s">
        <v>1555</v>
      </c>
    </row>
    <row r="16" spans="1:177" s="109" customFormat="1" ht="15" customHeight="1" x14ac:dyDescent="0.25">
      <c r="A16" s="23"/>
      <c r="B16" s="20"/>
      <c r="C16" s="13"/>
      <c r="D16" s="13"/>
      <c r="E16" s="13"/>
      <c r="F16" s="111" t="s">
        <v>1201</v>
      </c>
      <c r="G16" s="451">
        <v>1</v>
      </c>
      <c r="H16" s="289"/>
      <c r="I16" s="289"/>
      <c r="J16" s="451">
        <v>1</v>
      </c>
      <c r="K16" s="451"/>
      <c r="L16" s="289"/>
      <c r="M16" s="451"/>
      <c r="N16" s="450">
        <v>1</v>
      </c>
      <c r="O16" s="111">
        <v>1</v>
      </c>
      <c r="P16" s="451"/>
      <c r="Q16" s="289"/>
      <c r="R16" s="289"/>
      <c r="S16" s="451"/>
      <c r="T16" s="289"/>
      <c r="U16" s="451"/>
      <c r="V16" s="451"/>
      <c r="W16" s="451"/>
      <c r="X16" s="451"/>
      <c r="Y16" s="451"/>
      <c r="Z16" s="289"/>
      <c r="AA16" s="289"/>
      <c r="AB16" s="451"/>
      <c r="AC16" s="450"/>
      <c r="AD16" s="451"/>
      <c r="AE16" s="289"/>
      <c r="AF16" s="451"/>
      <c r="AG16" s="451"/>
      <c r="AH16" s="451"/>
      <c r="AI16" s="451"/>
      <c r="AJ16" s="451"/>
      <c r="AK16" s="451"/>
      <c r="AL16" s="451"/>
      <c r="AM16" s="451"/>
      <c r="AN16" s="289"/>
      <c r="AO16" s="453"/>
      <c r="AP16" s="266" t="s">
        <v>1202</v>
      </c>
      <c r="AQ16" s="267" t="str">
        <f>CONCATENATE("Acceder al sistema Gemma con usuario y perfil activo para la funcionalidad modulo Maestro - Producto Credito, buscar un Credito Nombre Invalido en el filtro., "," ",)</f>
        <v xml:space="preserve">Acceder al sistema Gemma con usuario y perfil activo para la funcionalidad modulo Maestro - Producto Credito, buscar un Credito Nombre Invalido en el filtro.,  </v>
      </c>
      <c r="AR16" s="266" t="str">
        <f xml:space="preserve"> CONCATENATE("Validar funcionalidad Maestro Producto Credito seleccionando la opcion,"," ",IF(B16=1,"Modificar un registro","")," ",IF(C16=1,"Eliminar un registro","")," ",IF(D16=1,"Agregar un nuevo registro",""), " buscar un Credito Nombre invalido ",IF(E16=1,"Exportar Documento Excel","")," ",)</f>
        <v xml:space="preserve">Validar funcionalidad Maestro Producto Credito seleccionando la opcion,    buscar un Credito Nombre invalido  </v>
      </c>
      <c r="AS16" s="267" t="s">
        <v>1205</v>
      </c>
    </row>
    <row r="17" spans="2:45" s="109" customFormat="1" x14ac:dyDescent="0.25">
      <c r="B17" s="14"/>
      <c r="C17" s="110"/>
      <c r="D17" s="110"/>
      <c r="E17" s="110"/>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278"/>
    </row>
    <row r="18" spans="2:45" s="109" customFormat="1" x14ac:dyDescent="0.25">
      <c r="B18" s="14"/>
      <c r="C18" s="110"/>
      <c r="D18" s="110"/>
      <c r="E18" s="110"/>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278"/>
      <c r="AP18" s="266"/>
      <c r="AQ18" s="267"/>
      <c r="AR18" s="266"/>
      <c r="AS18" s="267"/>
    </row>
    <row r="19" spans="2:45" s="109" customFormat="1" x14ac:dyDescent="0.25">
      <c r="B19" s="14"/>
      <c r="C19" s="110"/>
      <c r="D19" s="110"/>
      <c r="E19" s="110"/>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278"/>
      <c r="AP19" s="266"/>
      <c r="AQ19" s="267"/>
      <c r="AR19" s="266"/>
      <c r="AS19" s="267"/>
    </row>
    <row r="20" spans="2:45" s="109" customFormat="1" x14ac:dyDescent="0.25">
      <c r="B20" s="14"/>
      <c r="C20" s="110"/>
      <c r="D20" s="110"/>
      <c r="E20" s="110"/>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278"/>
      <c r="AP20" s="266"/>
      <c r="AQ20" s="267"/>
      <c r="AR20" s="266"/>
      <c r="AS20" s="267"/>
    </row>
    <row r="21" spans="2:45" s="109" customFormat="1" x14ac:dyDescent="0.25">
      <c r="B21" s="14"/>
      <c r="C21" s="110"/>
      <c r="D21" s="110"/>
      <c r="E21" s="110"/>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278"/>
      <c r="AP21" s="266"/>
      <c r="AQ21" s="267"/>
      <c r="AR21" s="266"/>
      <c r="AS21" s="267"/>
    </row>
    <row r="22" spans="2:45" s="109" customFormat="1" x14ac:dyDescent="0.25">
      <c r="B22" s="14"/>
      <c r="C22" s="110"/>
      <c r="D22" s="110"/>
      <c r="E22" s="110"/>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278"/>
      <c r="AP22" s="266"/>
      <c r="AQ22" s="267"/>
      <c r="AR22" s="266"/>
      <c r="AS22" s="267"/>
    </row>
    <row r="23" spans="2:45" s="109" customFormat="1" x14ac:dyDescent="0.25">
      <c r="B23" s="14"/>
      <c r="C23" s="110"/>
      <c r="D23" s="110"/>
      <c r="E23" s="110"/>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278"/>
      <c r="AP23" s="266"/>
      <c r="AQ23" s="267"/>
      <c r="AR23" s="266"/>
      <c r="AS23" s="267"/>
    </row>
    <row r="24" spans="2:45" s="109" customFormat="1" x14ac:dyDescent="0.25">
      <c r="B24" s="14"/>
      <c r="C24" s="110"/>
      <c r="D24" s="110"/>
      <c r="E24" s="110"/>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278"/>
      <c r="AP24" s="266"/>
      <c r="AQ24" s="267"/>
      <c r="AR24" s="266"/>
      <c r="AS24" s="267"/>
    </row>
    <row r="25" spans="2:45" s="109" customFormat="1" x14ac:dyDescent="0.25">
      <c r="B25" s="14"/>
      <c r="C25" s="110"/>
      <c r="D25" s="110"/>
      <c r="E25" s="110"/>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278"/>
      <c r="AP25" s="266"/>
      <c r="AQ25" s="267"/>
      <c r="AR25" s="266"/>
      <c r="AS25" s="267"/>
    </row>
    <row r="26" spans="2:45" s="109" customFormat="1" x14ac:dyDescent="0.25">
      <c r="B26" s="14"/>
      <c r="C26" s="110"/>
      <c r="D26" s="110"/>
      <c r="E26" s="110"/>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278"/>
      <c r="AP26" s="266"/>
      <c r="AQ26" s="267"/>
      <c r="AR26" s="266"/>
      <c r="AS26" s="267"/>
    </row>
    <row r="27" spans="2:45" s="109" customFormat="1" x14ac:dyDescent="0.25">
      <c r="B27" s="14"/>
      <c r="C27" s="110"/>
      <c r="D27" s="110"/>
      <c r="E27" s="110"/>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278"/>
      <c r="AP27" s="266"/>
      <c r="AQ27" s="267"/>
      <c r="AR27" s="266"/>
      <c r="AS27" s="267"/>
    </row>
    <row r="28" spans="2:45" s="109" customFormat="1" x14ac:dyDescent="0.25">
      <c r="B28" s="18"/>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278"/>
      <c r="AP28" s="266"/>
      <c r="AQ28" s="267"/>
      <c r="AR28" s="266"/>
      <c r="AS28" s="267"/>
    </row>
    <row r="29" spans="2:45" s="109" customFormat="1" x14ac:dyDescent="0.25">
      <c r="B29" s="18"/>
      <c r="C29" s="13"/>
      <c r="D29" s="13"/>
      <c r="E29" s="13"/>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c r="AM29" s="110"/>
      <c r="AN29" s="110"/>
      <c r="AO29" s="17"/>
      <c r="AP29" s="270"/>
      <c r="AQ29" s="267"/>
      <c r="AR29" s="270"/>
      <c r="AS29" s="267"/>
    </row>
    <row r="30" spans="2:45" s="109" customFormat="1" x14ac:dyDescent="0.25">
      <c r="B30" s="18"/>
      <c r="C30" s="13"/>
      <c r="D30" s="13"/>
      <c r="E30" s="13"/>
      <c r="F30" s="110"/>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17"/>
      <c r="AP30" s="270"/>
      <c r="AQ30" s="267"/>
      <c r="AR30" s="270"/>
      <c r="AS30" s="267"/>
    </row>
    <row r="31" spans="2:45" s="109" customFormat="1" x14ac:dyDescent="0.25">
      <c r="B31" s="18"/>
      <c r="C31" s="13"/>
      <c r="D31" s="13"/>
      <c r="E31" s="13"/>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7"/>
      <c r="AP31" s="270"/>
      <c r="AQ31" s="267"/>
      <c r="AR31" s="270"/>
      <c r="AS31" s="267"/>
    </row>
    <row r="32" spans="2:45" s="109" customFormat="1" x14ac:dyDescent="0.25">
      <c r="B32" s="18"/>
      <c r="C32" s="13"/>
      <c r="D32" s="13"/>
      <c r="E32" s="13"/>
      <c r="F32" s="110"/>
      <c r="G32" s="110"/>
      <c r="H32" s="110"/>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110"/>
      <c r="AO32" s="17"/>
      <c r="AP32" s="270"/>
      <c r="AQ32" s="267"/>
      <c r="AR32" s="270"/>
      <c r="AS32" s="267"/>
    </row>
    <row r="33" spans="2:45" s="109" customFormat="1" x14ac:dyDescent="0.25">
      <c r="B33" s="18"/>
      <c r="C33" s="13"/>
      <c r="D33" s="13"/>
      <c r="E33" s="13"/>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110"/>
      <c r="AO33" s="17"/>
      <c r="AP33" s="270"/>
      <c r="AQ33" s="267"/>
      <c r="AR33" s="270"/>
      <c r="AS33" s="267"/>
    </row>
    <row r="34" spans="2:45" s="109" customFormat="1" x14ac:dyDescent="0.25">
      <c r="B34" s="18"/>
      <c r="C34" s="13"/>
      <c r="D34" s="13"/>
      <c r="E34" s="13"/>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0"/>
      <c r="AO34" s="17"/>
      <c r="AP34" s="270"/>
      <c r="AQ34" s="267"/>
      <c r="AR34" s="270"/>
      <c r="AS34" s="267"/>
    </row>
    <row r="35" spans="2:45" s="109" customFormat="1" x14ac:dyDescent="0.25">
      <c r="B35" s="18"/>
      <c r="C35" s="13"/>
      <c r="D35" s="13"/>
      <c r="E35" s="13"/>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110"/>
      <c r="AO35" s="17"/>
      <c r="AP35" s="270"/>
      <c r="AQ35" s="267"/>
      <c r="AR35" s="270"/>
      <c r="AS35" s="267"/>
    </row>
    <row r="36" spans="2:45" s="109" customFormat="1" x14ac:dyDescent="0.25">
      <c r="B36" s="18"/>
      <c r="C36" s="13"/>
      <c r="D36" s="13"/>
      <c r="E36" s="13"/>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110"/>
      <c r="AO36" s="17"/>
      <c r="AP36" s="270"/>
      <c r="AQ36" s="267"/>
      <c r="AR36" s="270"/>
      <c r="AS36" s="267"/>
    </row>
    <row r="37" spans="2:45" s="109" customFormat="1" x14ac:dyDescent="0.25">
      <c r="B37" s="18"/>
      <c r="C37" s="13"/>
      <c r="D37" s="13"/>
      <c r="E37" s="13"/>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110"/>
      <c r="AO37" s="17"/>
      <c r="AP37" s="270"/>
      <c r="AQ37" s="267"/>
      <c r="AR37" s="270"/>
      <c r="AS37" s="267"/>
    </row>
    <row r="38" spans="2:45" s="109" customFormat="1" x14ac:dyDescent="0.25">
      <c r="B38" s="18"/>
      <c r="C38" s="13"/>
      <c r="D38" s="13"/>
      <c r="E38" s="13"/>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7"/>
      <c r="AP38" s="270"/>
      <c r="AQ38" s="267"/>
      <c r="AR38" s="270"/>
      <c r="AS38" s="267"/>
    </row>
    <row r="39" spans="2:45" s="109" customFormat="1" x14ac:dyDescent="0.25">
      <c r="B39" s="18"/>
      <c r="C39" s="13"/>
      <c r="D39" s="13"/>
      <c r="E39" s="13"/>
      <c r="F39" s="110"/>
      <c r="G39" s="110"/>
      <c r="H39" s="110"/>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c r="AM39" s="110"/>
      <c r="AN39" s="110"/>
      <c r="AO39" s="17"/>
      <c r="AP39" s="270"/>
      <c r="AQ39" s="267"/>
      <c r="AR39" s="270"/>
      <c r="AS39" s="267"/>
    </row>
    <row r="40" spans="2:45" s="109" customFormat="1" x14ac:dyDescent="0.25">
      <c r="B40" s="18"/>
      <c r="C40" s="13"/>
      <c r="D40" s="13"/>
      <c r="E40" s="13"/>
      <c r="F40" s="110"/>
      <c r="G40" s="110"/>
      <c r="H40" s="110"/>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c r="AM40" s="110"/>
      <c r="AN40" s="110"/>
      <c r="AO40" s="17"/>
      <c r="AP40" s="270"/>
      <c r="AQ40" s="267"/>
      <c r="AR40" s="270"/>
      <c r="AS40" s="267"/>
    </row>
    <row r="41" spans="2:45" s="109" customFormat="1" x14ac:dyDescent="0.25">
      <c r="B41" s="18"/>
      <c r="C41" s="13"/>
      <c r="D41" s="13"/>
      <c r="E41" s="13"/>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7"/>
      <c r="AP41" s="270"/>
      <c r="AQ41" s="267"/>
      <c r="AR41" s="270"/>
      <c r="AS41" s="267"/>
    </row>
    <row r="42" spans="2:45" s="109" customFormat="1" x14ac:dyDescent="0.25">
      <c r="B42" s="18"/>
      <c r="C42" s="13"/>
      <c r="D42" s="13"/>
      <c r="E42" s="13"/>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110"/>
      <c r="AO42" s="17"/>
      <c r="AP42" s="270"/>
      <c r="AQ42" s="267"/>
      <c r="AR42" s="270"/>
      <c r="AS42" s="267"/>
    </row>
    <row r="43" spans="2:45" s="109" customFormat="1" x14ac:dyDescent="0.25">
      <c r="B43" s="18"/>
      <c r="C43" s="13"/>
      <c r="D43" s="13"/>
      <c r="E43" s="13"/>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7"/>
      <c r="AP43" s="270"/>
      <c r="AQ43" s="267"/>
      <c r="AR43" s="270"/>
      <c r="AS43" s="267"/>
    </row>
    <row r="44" spans="2:45" s="109" customFormat="1" x14ac:dyDescent="0.25">
      <c r="B44" s="18"/>
      <c r="C44" s="13"/>
      <c r="D44" s="13"/>
      <c r="E44" s="13"/>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7"/>
      <c r="AP44" s="270"/>
      <c r="AQ44" s="267"/>
      <c r="AR44" s="270"/>
      <c r="AS44" s="267"/>
    </row>
    <row r="45" spans="2:45" s="109" customFormat="1" x14ac:dyDescent="0.25">
      <c r="B45" s="18"/>
      <c r="C45" s="13"/>
      <c r="D45" s="13"/>
      <c r="E45" s="13"/>
      <c r="F45" s="110"/>
      <c r="G45" s="110"/>
      <c r="H45" s="110"/>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7"/>
      <c r="AP45" s="270"/>
      <c r="AQ45" s="267"/>
      <c r="AR45" s="270"/>
      <c r="AS45" s="267"/>
    </row>
    <row r="46" spans="2:45" s="109" customFormat="1" x14ac:dyDescent="0.25">
      <c r="B46" s="18"/>
      <c r="C46" s="13"/>
      <c r="D46" s="13"/>
      <c r="E46" s="13"/>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110"/>
      <c r="AO46" s="17"/>
      <c r="AP46" s="270"/>
      <c r="AQ46" s="267"/>
      <c r="AR46" s="270"/>
      <c r="AS46" s="267"/>
    </row>
    <row r="47" spans="2:45" s="109" customFormat="1" x14ac:dyDescent="0.25">
      <c r="B47" s="18"/>
      <c r="C47" s="13"/>
      <c r="D47" s="13"/>
      <c r="E47" s="1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7"/>
      <c r="AP47" s="270"/>
      <c r="AQ47" s="267"/>
      <c r="AR47" s="270"/>
      <c r="AS47" s="267"/>
    </row>
    <row r="48" spans="2:45" s="109" customFormat="1" x14ac:dyDescent="0.25">
      <c r="B48" s="18"/>
      <c r="C48" s="13"/>
      <c r="D48" s="13"/>
      <c r="E48" s="13"/>
      <c r="F48" s="110"/>
      <c r="G48" s="110"/>
      <c r="H48" s="110"/>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c r="AM48" s="110"/>
      <c r="AN48" s="110"/>
      <c r="AO48" s="17"/>
      <c r="AP48" s="270"/>
      <c r="AQ48" s="267"/>
      <c r="AR48" s="270"/>
      <c r="AS48" s="267"/>
    </row>
    <row r="49" spans="2:45" s="109" customFormat="1" x14ac:dyDescent="0.25">
      <c r="B49" s="18"/>
      <c r="C49" s="13"/>
      <c r="D49" s="13"/>
      <c r="E49" s="1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7"/>
      <c r="AP49" s="270"/>
      <c r="AQ49" s="267"/>
      <c r="AR49" s="270"/>
      <c r="AS49" s="267"/>
    </row>
    <row r="50" spans="2:45" s="109" customFormat="1" x14ac:dyDescent="0.25">
      <c r="B50" s="18"/>
      <c r="C50" s="13"/>
      <c r="D50" s="13"/>
      <c r="E50" s="13"/>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7"/>
      <c r="AP50" s="270"/>
      <c r="AQ50" s="267"/>
      <c r="AR50" s="270"/>
      <c r="AS50" s="267"/>
    </row>
    <row r="51" spans="2:45" s="109" customFormat="1" x14ac:dyDescent="0.25">
      <c r="B51" s="18"/>
      <c r="C51" s="13"/>
      <c r="D51" s="13"/>
      <c r="E51" s="13"/>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7"/>
      <c r="AP51" s="270"/>
      <c r="AQ51" s="267"/>
      <c r="AR51" s="270"/>
      <c r="AS51" s="267"/>
    </row>
    <row r="52" spans="2:45" s="109" customFormat="1" x14ac:dyDescent="0.25">
      <c r="B52" s="18"/>
      <c r="C52" s="13"/>
      <c r="D52" s="13"/>
      <c r="E52" s="13"/>
      <c r="F52" s="110"/>
      <c r="G52" s="110"/>
      <c r="H52" s="110"/>
      <c r="I52" s="110"/>
      <c r="J52" s="110"/>
      <c r="K52" s="110"/>
      <c r="L52" s="110"/>
      <c r="M52" s="110"/>
      <c r="N52" s="110"/>
      <c r="O52" s="110"/>
      <c r="P52" s="110"/>
      <c r="Q52" s="110"/>
      <c r="R52" s="110"/>
      <c r="S52" s="110"/>
      <c r="T52" s="110"/>
      <c r="U52" s="110"/>
      <c r="V52" s="110"/>
      <c r="W52" s="110"/>
      <c r="X52" s="110"/>
      <c r="Y52" s="110"/>
      <c r="Z52" s="110"/>
      <c r="AA52" s="110"/>
      <c r="AB52" s="110"/>
      <c r="AC52" s="110"/>
      <c r="AD52" s="110"/>
      <c r="AE52" s="110"/>
      <c r="AF52" s="110"/>
      <c r="AG52" s="110"/>
      <c r="AH52" s="110"/>
      <c r="AI52" s="110"/>
      <c r="AJ52" s="110"/>
      <c r="AK52" s="110"/>
      <c r="AL52" s="110"/>
      <c r="AM52" s="110"/>
      <c r="AN52" s="110"/>
      <c r="AO52" s="17"/>
      <c r="AP52" s="270"/>
      <c r="AQ52" s="267"/>
      <c r="AR52" s="270"/>
      <c r="AS52" s="267"/>
    </row>
    <row r="53" spans="2:45" s="109" customFormat="1" ht="15.75" thickBot="1" x14ac:dyDescent="0.3">
      <c r="B53" s="323"/>
      <c r="C53" s="281"/>
      <c r="D53" s="281"/>
      <c r="E53" s="281"/>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38"/>
      <c r="AP53" s="270"/>
      <c r="AQ53" s="267"/>
      <c r="AR53" s="270"/>
      <c r="AS53" s="267"/>
    </row>
    <row r="54" spans="2:45" s="109" customFormat="1" ht="15.75" thickTop="1" x14ac:dyDescent="0.2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108"/>
      <c r="AP54" s="270"/>
      <c r="AQ54" s="267"/>
      <c r="AR54" s="270"/>
      <c r="AS54" s="267"/>
    </row>
    <row r="55" spans="2:45" s="109" customFormat="1" x14ac:dyDescent="0.2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270"/>
      <c r="AQ55" s="267"/>
      <c r="AR55" s="270"/>
      <c r="AS55" s="267"/>
    </row>
    <row r="56" spans="2:45" s="109" customFormat="1" x14ac:dyDescent="0.2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108"/>
      <c r="AP56" s="270"/>
      <c r="AQ56" s="267"/>
      <c r="AR56" s="270"/>
      <c r="AS56" s="267"/>
    </row>
    <row r="57" spans="2:45" s="109" customFormat="1" x14ac:dyDescent="0.2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270"/>
      <c r="AQ57" s="267"/>
      <c r="AR57" s="270"/>
      <c r="AS57" s="267"/>
    </row>
    <row r="58" spans="2:45" s="109" customFormat="1" x14ac:dyDescent="0.2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270"/>
      <c r="AQ58" s="267"/>
      <c r="AR58" s="270"/>
      <c r="AS58" s="267"/>
    </row>
    <row r="59" spans="2:45" s="109" customFormat="1" x14ac:dyDescent="0.2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108"/>
      <c r="AP59" s="270"/>
      <c r="AQ59" s="267"/>
      <c r="AR59" s="270"/>
      <c r="AS59" s="267"/>
    </row>
    <row r="60" spans="2:45" s="109" customFormat="1" x14ac:dyDescent="0.2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270"/>
      <c r="AQ60" s="267"/>
      <c r="AR60" s="270"/>
      <c r="AS60" s="267"/>
    </row>
    <row r="61" spans="2:45" s="109" customFormat="1" x14ac:dyDescent="0.2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270"/>
      <c r="AQ61" s="267"/>
      <c r="AR61" s="270"/>
      <c r="AS61" s="267"/>
    </row>
    <row r="62" spans="2:45" s="109" customFormat="1" x14ac:dyDescent="0.2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108"/>
      <c r="AP62" s="270"/>
      <c r="AQ62" s="267"/>
      <c r="AR62" s="270"/>
      <c r="AS62" s="267"/>
    </row>
    <row r="63" spans="2:45" s="109" customFormat="1" x14ac:dyDescent="0.2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108"/>
      <c r="AP63" s="270"/>
      <c r="AQ63" s="267"/>
      <c r="AR63" s="270"/>
      <c r="AS63" s="267"/>
    </row>
    <row r="64" spans="2:45" s="109" customFormat="1" x14ac:dyDescent="0.2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108"/>
      <c r="AM64" s="108"/>
      <c r="AN64" s="108"/>
      <c r="AO64" s="108"/>
      <c r="AP64" s="270"/>
      <c r="AQ64" s="267"/>
      <c r="AR64" s="270"/>
      <c r="AS64" s="267"/>
    </row>
    <row r="65" spans="2:45" s="109" customFormat="1" x14ac:dyDescent="0.2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8"/>
      <c r="AO65" s="108"/>
      <c r="AP65" s="270"/>
      <c r="AQ65" s="267"/>
      <c r="AR65" s="270"/>
      <c r="AS65" s="267"/>
    </row>
    <row r="66" spans="2:45" s="109" customFormat="1" x14ac:dyDescent="0.2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270"/>
      <c r="AQ66" s="267"/>
      <c r="AR66" s="270"/>
      <c r="AS66" s="267"/>
    </row>
    <row r="67" spans="2:45" s="109" customFormat="1" x14ac:dyDescent="0.2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108"/>
      <c r="AM67" s="108"/>
      <c r="AN67" s="108"/>
      <c r="AO67" s="108"/>
      <c r="AP67" s="270"/>
      <c r="AQ67" s="267"/>
      <c r="AR67" s="270"/>
      <c r="AS67" s="267"/>
    </row>
    <row r="68" spans="2:45" s="109" customFormat="1" x14ac:dyDescent="0.2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270"/>
      <c r="AQ68" s="267"/>
      <c r="AR68" s="270"/>
      <c r="AS68" s="267"/>
    </row>
    <row r="69" spans="2:45" s="109" customFormat="1" x14ac:dyDescent="0.2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108"/>
      <c r="AM69" s="108"/>
      <c r="AN69" s="108"/>
      <c r="AO69" s="108"/>
      <c r="AP69" s="270"/>
      <c r="AQ69" s="267"/>
      <c r="AR69" s="270"/>
      <c r="AS69" s="267"/>
    </row>
    <row r="70" spans="2:45" s="109" customFormat="1" x14ac:dyDescent="0.2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108"/>
      <c r="AM70" s="108"/>
      <c r="AN70" s="108"/>
      <c r="AO70" s="108"/>
      <c r="AP70" s="270"/>
      <c r="AQ70" s="267"/>
      <c r="AR70" s="270"/>
      <c r="AS70" s="267"/>
    </row>
    <row r="71" spans="2:45" s="109" customFormat="1" x14ac:dyDescent="0.2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c r="AM71" s="108"/>
      <c r="AN71" s="108"/>
      <c r="AO71" s="108"/>
      <c r="AP71" s="270"/>
      <c r="AQ71" s="267"/>
      <c r="AR71" s="270"/>
      <c r="AS71" s="267"/>
    </row>
    <row r="72" spans="2:45" s="109" customFormat="1" x14ac:dyDescent="0.2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270"/>
      <c r="AQ72" s="267"/>
      <c r="AR72" s="270"/>
      <c r="AS72" s="267"/>
    </row>
    <row r="73" spans="2:45" s="109" customFormat="1" x14ac:dyDescent="0.2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270"/>
      <c r="AQ73" s="267"/>
      <c r="AR73" s="270"/>
      <c r="AS73" s="267"/>
    </row>
    <row r="74" spans="2:45" s="109" customFormat="1" x14ac:dyDescent="0.2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270"/>
      <c r="AQ74" s="267"/>
      <c r="AR74" s="270"/>
      <c r="AS74" s="267"/>
    </row>
    <row r="75" spans="2:45" s="109" customFormat="1" x14ac:dyDescent="0.2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270"/>
      <c r="AQ75" s="267"/>
      <c r="AR75" s="270"/>
      <c r="AS75" s="267"/>
    </row>
    <row r="76" spans="2:45" s="109" customFormat="1" x14ac:dyDescent="0.2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270"/>
      <c r="AQ76" s="267"/>
      <c r="AR76" s="270"/>
      <c r="AS76" s="267"/>
    </row>
    <row r="77" spans="2:45" s="109" customFormat="1" x14ac:dyDescent="0.2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108"/>
      <c r="AP77" s="270"/>
      <c r="AQ77" s="267"/>
      <c r="AR77" s="270"/>
      <c r="AS77" s="267"/>
    </row>
    <row r="78" spans="2:45" s="109" customFormat="1" x14ac:dyDescent="0.2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108"/>
      <c r="AP78" s="270"/>
      <c r="AQ78" s="267"/>
      <c r="AR78" s="270"/>
      <c r="AS78" s="267"/>
    </row>
    <row r="79" spans="2:45" s="109" customFormat="1" x14ac:dyDescent="0.2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270"/>
      <c r="AQ79" s="267"/>
      <c r="AR79" s="270"/>
      <c r="AS79" s="267"/>
    </row>
    <row r="80" spans="2:45" s="109" customFormat="1" x14ac:dyDescent="0.2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270"/>
      <c r="AQ80" s="267"/>
      <c r="AR80" s="270"/>
      <c r="AS80" s="267"/>
    </row>
    <row r="81" spans="2:45" s="109" customFormat="1" x14ac:dyDescent="0.2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108"/>
      <c r="AP81" s="270"/>
      <c r="AQ81" s="267"/>
      <c r="AR81" s="270"/>
      <c r="AS81" s="267"/>
    </row>
    <row r="82" spans="2:45" s="109" customFormat="1" x14ac:dyDescent="0.25">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108"/>
      <c r="AM82" s="108"/>
      <c r="AN82" s="108"/>
      <c r="AO82" s="108"/>
      <c r="AP82" s="270"/>
      <c r="AQ82" s="267"/>
      <c r="AR82" s="270"/>
      <c r="AS82" s="267"/>
    </row>
    <row r="83" spans="2:45" s="109" customFormat="1" x14ac:dyDescent="0.25">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108"/>
      <c r="AM83" s="108"/>
      <c r="AN83" s="108"/>
      <c r="AO83" s="108"/>
      <c r="AP83" s="270"/>
      <c r="AQ83" s="267"/>
      <c r="AR83" s="270"/>
      <c r="AS83" s="267"/>
    </row>
    <row r="84" spans="2:45" s="109" customFormat="1" x14ac:dyDescent="0.2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270"/>
      <c r="AQ84" s="267"/>
      <c r="AR84" s="270"/>
      <c r="AS84" s="267"/>
    </row>
    <row r="85" spans="2:45" s="109" customFormat="1" x14ac:dyDescent="0.2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270"/>
      <c r="AQ85" s="267"/>
      <c r="AR85" s="270"/>
      <c r="AS85" s="267"/>
    </row>
    <row r="86" spans="2:45" s="109" customFormat="1" x14ac:dyDescent="0.2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270"/>
      <c r="AQ86" s="267"/>
      <c r="AR86" s="270"/>
      <c r="AS86" s="267"/>
    </row>
    <row r="87" spans="2:45" s="109" customFormat="1" x14ac:dyDescent="0.2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270"/>
      <c r="AQ87" s="267"/>
      <c r="AR87" s="270"/>
      <c r="AS87" s="267"/>
    </row>
    <row r="88" spans="2:45" s="109" customFormat="1" x14ac:dyDescent="0.2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270"/>
      <c r="AQ88" s="267"/>
      <c r="AR88" s="270"/>
      <c r="AS88" s="267"/>
    </row>
    <row r="89" spans="2:45" s="109" customFormat="1" x14ac:dyDescent="0.2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270"/>
      <c r="AQ89" s="267"/>
      <c r="AR89" s="270"/>
      <c r="AS89" s="267"/>
    </row>
    <row r="90" spans="2:45" s="109" customFormat="1" x14ac:dyDescent="0.2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270"/>
      <c r="AQ90" s="267"/>
      <c r="AR90" s="270"/>
      <c r="AS90" s="267"/>
    </row>
    <row r="91" spans="2:45" s="109" customFormat="1" x14ac:dyDescent="0.2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270"/>
      <c r="AQ91" s="267"/>
      <c r="AR91" s="270"/>
      <c r="AS91" s="267"/>
    </row>
    <row r="92" spans="2:45" s="109" customFormat="1" x14ac:dyDescent="0.2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270"/>
      <c r="AQ92" s="267"/>
      <c r="AR92" s="270"/>
      <c r="AS92" s="267"/>
    </row>
    <row r="93" spans="2:45" s="109" customFormat="1" x14ac:dyDescent="0.2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108"/>
      <c r="AP93" s="270"/>
      <c r="AQ93" s="267"/>
      <c r="AR93" s="270"/>
      <c r="AS93" s="267"/>
    </row>
    <row r="94" spans="2:45" s="109" customFormat="1" x14ac:dyDescent="0.2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108"/>
      <c r="AP94" s="270"/>
      <c r="AQ94" s="267"/>
      <c r="AR94" s="270"/>
      <c r="AS94" s="267"/>
    </row>
    <row r="95" spans="2:45" s="109" customFormat="1" x14ac:dyDescent="0.2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270"/>
      <c r="AQ95" s="268"/>
      <c r="AR95" s="270"/>
      <c r="AS95" s="267"/>
    </row>
    <row r="96" spans="2:45" x14ac:dyDescent="0.2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108"/>
      <c r="AP96" s="270"/>
      <c r="AR96" s="270"/>
    </row>
    <row r="97" spans="1:46" x14ac:dyDescent="0.25">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108"/>
      <c r="AP97" s="270"/>
      <c r="AR97" s="270"/>
    </row>
    <row r="98" spans="1:46" x14ac:dyDescent="0.25">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270"/>
      <c r="AR98" s="270"/>
    </row>
    <row r="99" spans="1:46"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108"/>
      <c r="AP99" s="270"/>
      <c r="AR99" s="270"/>
      <c r="AT99" s="107"/>
    </row>
    <row r="100" spans="1:46"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270"/>
      <c r="AR100" s="270"/>
      <c r="AT100" s="107"/>
    </row>
    <row r="101" spans="1:46"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270"/>
      <c r="AR101" s="270"/>
      <c r="AT101" s="107"/>
    </row>
    <row r="102" spans="1:46"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270"/>
      <c r="AR102" s="270"/>
      <c r="AT102" s="107"/>
    </row>
    <row r="103" spans="1:46"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108"/>
      <c r="AP103" s="270"/>
      <c r="AR103" s="270"/>
      <c r="AT103" s="107"/>
    </row>
    <row r="104" spans="1:46"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270"/>
      <c r="AR104" s="270"/>
      <c r="AT104" s="107"/>
    </row>
    <row r="105" spans="1:46" s="268" customFormat="1" x14ac:dyDescent="0.2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270"/>
      <c r="AR105" s="270"/>
      <c r="AT105" s="107"/>
    </row>
    <row r="106" spans="1:46" s="268" customFormat="1" x14ac:dyDescent="0.25">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270"/>
      <c r="AR106" s="270"/>
      <c r="AT106" s="107"/>
    </row>
    <row r="107" spans="1:46" s="268" customFormat="1" x14ac:dyDescent="0.25">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108"/>
      <c r="AP107" s="270"/>
      <c r="AR107" s="270"/>
    </row>
    <row r="108" spans="1:46" s="268" customFormat="1" x14ac:dyDescent="0.25">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270"/>
      <c r="AR108" s="270"/>
    </row>
    <row r="109" spans="1:46" s="268" customFormat="1" x14ac:dyDescent="0.25">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270"/>
      <c r="AR109" s="270"/>
    </row>
    <row r="110" spans="1:46" s="268" customFormat="1" x14ac:dyDescent="0.25">
      <c r="A110" s="107"/>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270"/>
      <c r="AR110" s="270"/>
    </row>
    <row r="111" spans="1:46" s="268" customFormat="1" x14ac:dyDescent="0.25">
      <c r="A111" s="107"/>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8"/>
      <c r="AD111" s="108"/>
      <c r="AE111" s="108"/>
      <c r="AF111" s="108"/>
      <c r="AG111" s="108"/>
      <c r="AH111" s="108"/>
      <c r="AI111" s="108"/>
      <c r="AJ111" s="108"/>
      <c r="AK111" s="108"/>
      <c r="AL111" s="108"/>
      <c r="AM111" s="108"/>
      <c r="AN111" s="108"/>
      <c r="AO111" s="108"/>
      <c r="AP111" s="270"/>
      <c r="AR111" s="270"/>
    </row>
    <row r="112" spans="1:46" s="268" customFormat="1" x14ac:dyDescent="0.25">
      <c r="A112" s="107"/>
      <c r="B112" s="108"/>
      <c r="C112" s="108"/>
      <c r="D112" s="108"/>
      <c r="E112" s="108"/>
      <c r="F112" s="9"/>
      <c r="G112" s="9"/>
      <c r="H112" s="9"/>
      <c r="I112" s="9"/>
      <c r="J112" s="9"/>
      <c r="K112" s="9"/>
      <c r="L112" s="9"/>
      <c r="M112" s="107"/>
      <c r="N112" s="107"/>
      <c r="O112" s="9"/>
      <c r="P112" s="9"/>
      <c r="Q112" s="9"/>
      <c r="R112" s="9"/>
      <c r="S112" s="9"/>
      <c r="T112" s="9"/>
      <c r="U112" s="107"/>
      <c r="V112" s="107"/>
      <c r="W112" s="9"/>
      <c r="X112" s="107"/>
      <c r="Y112" s="9"/>
      <c r="Z112" s="9"/>
      <c r="AA112" s="9"/>
      <c r="AB112" s="9"/>
      <c r="AC112" s="107"/>
      <c r="AD112" s="9"/>
      <c r="AE112" s="9"/>
      <c r="AF112" s="107"/>
      <c r="AG112" s="107"/>
      <c r="AH112" s="9"/>
      <c r="AI112" s="9"/>
      <c r="AJ112" s="9"/>
      <c r="AK112" s="9"/>
      <c r="AL112" s="9"/>
      <c r="AM112" s="9"/>
      <c r="AN112" s="9"/>
      <c r="AO112" s="9"/>
    </row>
    <row r="113" spans="1:41" s="268" customFormat="1" x14ac:dyDescent="0.25">
      <c r="A113" s="107"/>
      <c r="B113" s="108"/>
      <c r="C113" s="108"/>
      <c r="D113" s="108"/>
      <c r="E113" s="108"/>
      <c r="F113" s="9"/>
      <c r="G113" s="9"/>
      <c r="H113" s="9"/>
      <c r="I113" s="9"/>
      <c r="J113" s="9"/>
      <c r="K113" s="9"/>
      <c r="L113" s="9"/>
      <c r="M113" s="107"/>
      <c r="N113" s="107"/>
      <c r="O113" s="9"/>
      <c r="P113" s="9"/>
      <c r="Q113" s="9"/>
      <c r="R113" s="9"/>
      <c r="S113" s="9"/>
      <c r="T113" s="9"/>
      <c r="U113" s="107"/>
      <c r="V113" s="107"/>
      <c r="W113" s="9"/>
      <c r="X113" s="107"/>
      <c r="Y113" s="9"/>
      <c r="Z113" s="9"/>
      <c r="AA113" s="9"/>
      <c r="AB113" s="9"/>
      <c r="AC113" s="107"/>
      <c r="AD113" s="9"/>
      <c r="AE113" s="9"/>
      <c r="AF113" s="107"/>
      <c r="AG113" s="107"/>
      <c r="AH113" s="9"/>
      <c r="AI113" s="9"/>
      <c r="AJ113" s="9"/>
      <c r="AK113" s="9"/>
      <c r="AL113" s="9"/>
      <c r="AM113" s="9"/>
      <c r="AN113" s="9"/>
      <c r="AO113" s="9"/>
    </row>
    <row r="114" spans="1:41" s="268" customFormat="1" x14ac:dyDescent="0.25">
      <c r="A114" s="107"/>
      <c r="B114" s="108"/>
      <c r="C114" s="108"/>
      <c r="D114" s="108"/>
      <c r="E114" s="108"/>
      <c r="F114" s="9"/>
      <c r="G114" s="9"/>
      <c r="H114" s="9"/>
      <c r="I114" s="9"/>
      <c r="J114" s="9"/>
      <c r="K114" s="9"/>
      <c r="L114" s="9"/>
      <c r="M114" s="107"/>
      <c r="N114" s="107"/>
      <c r="O114" s="9"/>
      <c r="P114" s="9"/>
      <c r="Q114" s="9"/>
      <c r="R114" s="9"/>
      <c r="S114" s="9"/>
      <c r="T114" s="9"/>
      <c r="U114" s="107"/>
      <c r="V114" s="107"/>
      <c r="W114" s="9"/>
      <c r="X114" s="107"/>
      <c r="Y114" s="9"/>
      <c r="Z114" s="9"/>
      <c r="AA114" s="9"/>
      <c r="AB114" s="9"/>
      <c r="AC114" s="107"/>
      <c r="AD114" s="9"/>
      <c r="AE114" s="9"/>
      <c r="AF114" s="107"/>
      <c r="AG114" s="107"/>
      <c r="AH114" s="9"/>
      <c r="AI114" s="9"/>
      <c r="AJ114" s="9"/>
      <c r="AK114" s="9"/>
      <c r="AL114" s="9"/>
      <c r="AM114" s="9"/>
      <c r="AN114" s="9"/>
      <c r="AO114" s="9"/>
    </row>
    <row r="115" spans="1:41" s="268" customFormat="1" x14ac:dyDescent="0.25">
      <c r="A115" s="107"/>
      <c r="B115" s="108"/>
      <c r="C115" s="108"/>
      <c r="D115" s="108"/>
      <c r="E115" s="108"/>
      <c r="F115" s="9"/>
      <c r="G115" s="9"/>
      <c r="H115" s="9"/>
      <c r="I115" s="9"/>
      <c r="J115" s="9"/>
      <c r="K115" s="9"/>
      <c r="L115" s="9"/>
      <c r="M115" s="107"/>
      <c r="N115" s="107"/>
      <c r="O115" s="9"/>
      <c r="P115" s="9"/>
      <c r="Q115" s="9"/>
      <c r="R115" s="9"/>
      <c r="S115" s="9"/>
      <c r="T115" s="9"/>
      <c r="U115" s="107"/>
      <c r="V115" s="107"/>
      <c r="W115" s="9"/>
      <c r="X115" s="107"/>
      <c r="Y115" s="9"/>
      <c r="Z115" s="9"/>
      <c r="AA115" s="9"/>
      <c r="AB115" s="9"/>
      <c r="AC115" s="107"/>
      <c r="AD115" s="9"/>
      <c r="AE115" s="9"/>
      <c r="AF115" s="107"/>
      <c r="AG115" s="107"/>
      <c r="AH115" s="9"/>
      <c r="AI115" s="9"/>
      <c r="AJ115" s="9"/>
      <c r="AK115" s="9"/>
      <c r="AL115" s="9"/>
      <c r="AM115" s="9"/>
      <c r="AN115" s="9"/>
      <c r="AO115" s="9"/>
    </row>
    <row r="116" spans="1:41" s="268" customFormat="1" x14ac:dyDescent="0.25">
      <c r="A116" s="107"/>
      <c r="B116" s="108"/>
      <c r="C116" s="108"/>
      <c r="D116" s="108"/>
      <c r="E116" s="108"/>
      <c r="F116" s="9"/>
      <c r="G116" s="9"/>
      <c r="H116" s="9"/>
      <c r="I116" s="9"/>
      <c r="J116" s="9"/>
      <c r="K116" s="9"/>
      <c r="L116" s="9"/>
      <c r="M116" s="107"/>
      <c r="N116" s="107"/>
      <c r="O116" s="9"/>
      <c r="P116" s="9"/>
      <c r="Q116" s="9"/>
      <c r="R116" s="9"/>
      <c r="S116" s="9"/>
      <c r="T116" s="9"/>
      <c r="U116" s="107"/>
      <c r="V116" s="107"/>
      <c r="W116" s="9"/>
      <c r="X116" s="107"/>
      <c r="Y116" s="9"/>
      <c r="Z116" s="9"/>
      <c r="AA116" s="9"/>
      <c r="AB116" s="9"/>
      <c r="AC116" s="107"/>
      <c r="AD116" s="9"/>
      <c r="AE116" s="9"/>
      <c r="AF116" s="107"/>
      <c r="AG116" s="107"/>
      <c r="AH116" s="9"/>
      <c r="AI116" s="9"/>
      <c r="AJ116" s="9"/>
      <c r="AK116" s="9"/>
      <c r="AL116" s="9"/>
      <c r="AM116" s="9"/>
      <c r="AN116" s="9"/>
      <c r="AO116" s="9"/>
    </row>
    <row r="117" spans="1:41" s="268" customFormat="1" x14ac:dyDescent="0.25">
      <c r="A117" s="107"/>
      <c r="B117" s="108"/>
      <c r="C117" s="108"/>
      <c r="D117" s="108"/>
      <c r="E117" s="108"/>
      <c r="F117" s="9"/>
      <c r="G117" s="9"/>
      <c r="H117" s="9"/>
      <c r="I117" s="9"/>
      <c r="J117" s="9"/>
      <c r="K117" s="9"/>
      <c r="L117" s="9"/>
      <c r="M117" s="107"/>
      <c r="N117" s="107"/>
      <c r="O117" s="9"/>
      <c r="P117" s="9"/>
      <c r="Q117" s="9"/>
      <c r="R117" s="9"/>
      <c r="S117" s="9"/>
      <c r="T117" s="9"/>
      <c r="U117" s="107"/>
      <c r="V117" s="107"/>
      <c r="W117" s="9"/>
      <c r="X117" s="107"/>
      <c r="Y117" s="9"/>
      <c r="Z117" s="9"/>
      <c r="AA117" s="9"/>
      <c r="AB117" s="9"/>
      <c r="AC117" s="107"/>
      <c r="AD117" s="9"/>
      <c r="AE117" s="9"/>
      <c r="AF117" s="107"/>
      <c r="AG117" s="107"/>
      <c r="AH117" s="9"/>
      <c r="AI117" s="9"/>
      <c r="AJ117" s="9"/>
      <c r="AK117" s="9"/>
      <c r="AL117" s="9"/>
      <c r="AM117" s="9"/>
      <c r="AN117" s="9"/>
      <c r="AO117" s="9"/>
    </row>
    <row r="118" spans="1:41" s="268" customFormat="1" x14ac:dyDescent="0.25">
      <c r="A118" s="107"/>
      <c r="B118" s="108"/>
      <c r="C118" s="108"/>
      <c r="D118" s="108"/>
      <c r="E118" s="108"/>
      <c r="F118" s="9"/>
      <c r="G118" s="9"/>
      <c r="H118" s="9"/>
      <c r="I118" s="9"/>
      <c r="J118" s="9"/>
      <c r="K118" s="9"/>
      <c r="L118" s="9"/>
      <c r="M118" s="107"/>
      <c r="N118" s="107"/>
      <c r="O118" s="9"/>
      <c r="P118" s="9"/>
      <c r="Q118" s="9"/>
      <c r="R118" s="9"/>
      <c r="S118" s="9"/>
      <c r="T118" s="9"/>
      <c r="U118" s="107"/>
      <c r="V118" s="107"/>
      <c r="W118" s="9"/>
      <c r="X118" s="107"/>
      <c r="Y118" s="9"/>
      <c r="Z118" s="9"/>
      <c r="AA118" s="9"/>
      <c r="AB118" s="9"/>
      <c r="AC118" s="107"/>
      <c r="AD118" s="9"/>
      <c r="AE118" s="9"/>
      <c r="AF118" s="107"/>
      <c r="AG118" s="107"/>
      <c r="AH118" s="9"/>
      <c r="AI118" s="9"/>
      <c r="AJ118" s="9"/>
      <c r="AK118" s="9"/>
      <c r="AL118" s="9"/>
      <c r="AM118" s="9"/>
      <c r="AN118" s="9"/>
      <c r="AO118" s="9"/>
    </row>
    <row r="119" spans="1:41" s="268" customFormat="1" x14ac:dyDescent="0.25">
      <c r="A119" s="107"/>
      <c r="B119" s="108"/>
      <c r="C119" s="108"/>
      <c r="D119" s="108"/>
      <c r="E119" s="108"/>
      <c r="F119" s="9"/>
      <c r="G119" s="9"/>
      <c r="H119" s="9"/>
      <c r="I119" s="9"/>
      <c r="J119" s="9"/>
      <c r="K119" s="9"/>
      <c r="L119" s="9"/>
      <c r="M119" s="107"/>
      <c r="N119" s="107"/>
      <c r="O119" s="9"/>
      <c r="P119" s="9"/>
      <c r="Q119" s="9"/>
      <c r="R119" s="9"/>
      <c r="S119" s="9"/>
      <c r="T119" s="9"/>
      <c r="U119" s="107"/>
      <c r="V119" s="107"/>
      <c r="W119" s="9"/>
      <c r="X119" s="107"/>
      <c r="Y119" s="9"/>
      <c r="Z119" s="9"/>
      <c r="AA119" s="9"/>
      <c r="AB119" s="9"/>
      <c r="AC119" s="107"/>
      <c r="AD119" s="9"/>
      <c r="AE119" s="9"/>
      <c r="AF119" s="107"/>
      <c r="AG119" s="107"/>
      <c r="AH119" s="9"/>
      <c r="AI119" s="9"/>
      <c r="AJ119" s="9"/>
      <c r="AK119" s="9"/>
      <c r="AL119" s="9"/>
      <c r="AM119" s="9"/>
      <c r="AN119" s="9"/>
      <c r="AO119" s="9"/>
    </row>
    <row r="120" spans="1:41" s="268" customFormat="1" x14ac:dyDescent="0.25">
      <c r="A120" s="107"/>
      <c r="B120" s="108"/>
      <c r="C120" s="108"/>
      <c r="D120" s="108"/>
      <c r="E120" s="108"/>
      <c r="F120" s="9"/>
      <c r="G120" s="9"/>
      <c r="H120" s="9"/>
      <c r="I120" s="9"/>
      <c r="J120" s="9"/>
      <c r="K120" s="9"/>
      <c r="L120" s="9"/>
      <c r="M120" s="107"/>
      <c r="N120" s="107"/>
      <c r="O120" s="9"/>
      <c r="P120" s="9"/>
      <c r="Q120" s="9"/>
      <c r="R120" s="9"/>
      <c r="S120" s="9"/>
      <c r="T120" s="9"/>
      <c r="U120" s="107"/>
      <c r="V120" s="107"/>
      <c r="W120" s="9"/>
      <c r="X120" s="107"/>
      <c r="Y120" s="9"/>
      <c r="Z120" s="9"/>
      <c r="AA120" s="9"/>
      <c r="AB120" s="9"/>
      <c r="AC120" s="107"/>
      <c r="AD120" s="9"/>
      <c r="AE120" s="9"/>
      <c r="AF120" s="107"/>
      <c r="AG120" s="107"/>
      <c r="AH120" s="9"/>
      <c r="AI120" s="9"/>
      <c r="AJ120" s="9"/>
      <c r="AK120" s="9"/>
      <c r="AL120" s="9"/>
      <c r="AM120" s="9"/>
      <c r="AN120" s="9"/>
      <c r="AO120" s="9"/>
    </row>
    <row r="121" spans="1:41" s="268" customFormat="1" x14ac:dyDescent="0.25">
      <c r="A121" s="107"/>
      <c r="B121" s="108"/>
      <c r="C121" s="108"/>
      <c r="D121" s="108"/>
      <c r="E121" s="108"/>
      <c r="F121" s="9"/>
      <c r="G121" s="9"/>
      <c r="H121" s="9"/>
      <c r="I121" s="9"/>
      <c r="J121" s="9"/>
      <c r="K121" s="9"/>
      <c r="L121" s="9"/>
      <c r="M121" s="107"/>
      <c r="N121" s="107"/>
      <c r="O121" s="9"/>
      <c r="P121" s="9"/>
      <c r="Q121" s="9"/>
      <c r="R121" s="9"/>
      <c r="S121" s="9"/>
      <c r="T121" s="9"/>
      <c r="U121" s="107"/>
      <c r="V121" s="107"/>
      <c r="W121" s="9"/>
      <c r="X121" s="107"/>
      <c r="Y121" s="9"/>
      <c r="Z121" s="9"/>
      <c r="AA121" s="9"/>
      <c r="AB121" s="9"/>
      <c r="AC121" s="107"/>
      <c r="AD121" s="9"/>
      <c r="AE121" s="9"/>
      <c r="AF121" s="107"/>
      <c r="AG121" s="107"/>
      <c r="AH121" s="9"/>
      <c r="AI121" s="9"/>
      <c r="AJ121" s="9"/>
      <c r="AK121" s="9"/>
      <c r="AL121" s="9"/>
      <c r="AM121" s="9"/>
      <c r="AN121" s="9"/>
      <c r="AO121" s="9"/>
    </row>
    <row r="122" spans="1:41" s="268" customFormat="1" x14ac:dyDescent="0.25">
      <c r="A122" s="107"/>
      <c r="B122" s="108"/>
      <c r="C122" s="108"/>
      <c r="D122" s="108"/>
      <c r="E122" s="108"/>
      <c r="F122" s="9"/>
      <c r="G122" s="9"/>
      <c r="H122" s="9"/>
      <c r="I122" s="9"/>
      <c r="J122" s="9"/>
      <c r="K122" s="9"/>
      <c r="L122" s="9"/>
      <c r="M122" s="107"/>
      <c r="N122" s="107"/>
      <c r="O122" s="9"/>
      <c r="P122" s="9"/>
      <c r="Q122" s="9"/>
      <c r="R122" s="9"/>
      <c r="S122" s="9"/>
      <c r="T122" s="9"/>
      <c r="U122" s="107"/>
      <c r="V122" s="107"/>
      <c r="W122" s="9"/>
      <c r="X122" s="107"/>
      <c r="Y122" s="9"/>
      <c r="Z122" s="9"/>
      <c r="AA122" s="9"/>
      <c r="AB122" s="9"/>
      <c r="AC122" s="107"/>
      <c r="AD122" s="9"/>
      <c r="AE122" s="9"/>
      <c r="AF122" s="107"/>
      <c r="AG122" s="107"/>
      <c r="AH122" s="9"/>
      <c r="AI122" s="9"/>
      <c r="AJ122" s="9"/>
      <c r="AK122" s="9"/>
      <c r="AL122" s="9"/>
      <c r="AM122" s="9"/>
      <c r="AN122" s="9"/>
      <c r="AO122" s="9"/>
    </row>
    <row r="123" spans="1:41" s="268" customFormat="1" x14ac:dyDescent="0.25">
      <c r="A123" s="107"/>
      <c r="B123" s="108"/>
      <c r="C123" s="108"/>
      <c r="D123" s="108"/>
      <c r="E123" s="108"/>
      <c r="F123" s="9"/>
      <c r="G123" s="9"/>
      <c r="H123" s="9"/>
      <c r="I123" s="9"/>
      <c r="J123" s="9"/>
      <c r="K123" s="9"/>
      <c r="L123" s="9"/>
      <c r="M123" s="107"/>
      <c r="N123" s="107"/>
      <c r="O123" s="9"/>
      <c r="P123" s="9"/>
      <c r="Q123" s="9"/>
      <c r="R123" s="9"/>
      <c r="S123" s="9"/>
      <c r="T123" s="9"/>
      <c r="U123" s="107"/>
      <c r="V123" s="107"/>
      <c r="W123" s="9"/>
      <c r="X123" s="107"/>
      <c r="Y123" s="9"/>
      <c r="Z123" s="9"/>
      <c r="AA123" s="9"/>
      <c r="AB123" s="9"/>
      <c r="AC123" s="107"/>
      <c r="AD123" s="9"/>
      <c r="AE123" s="9"/>
      <c r="AF123" s="107"/>
      <c r="AG123" s="107"/>
      <c r="AH123" s="9"/>
      <c r="AI123" s="9"/>
      <c r="AJ123" s="9"/>
      <c r="AK123" s="9"/>
      <c r="AL123" s="9"/>
      <c r="AM123" s="9"/>
      <c r="AN123" s="9"/>
      <c r="AO123" s="9"/>
    </row>
    <row r="124" spans="1:41" s="268" customFormat="1" x14ac:dyDescent="0.25">
      <c r="A124" s="107"/>
      <c r="B124" s="108"/>
      <c r="C124" s="108"/>
      <c r="D124" s="108"/>
      <c r="E124" s="108"/>
      <c r="F124" s="9"/>
      <c r="G124" s="9"/>
      <c r="H124" s="9"/>
      <c r="I124" s="9"/>
      <c r="J124" s="9"/>
      <c r="K124" s="9"/>
      <c r="L124" s="9"/>
      <c r="M124" s="107"/>
      <c r="N124" s="107"/>
      <c r="O124" s="9"/>
      <c r="P124" s="9"/>
      <c r="Q124" s="9"/>
      <c r="R124" s="9"/>
      <c r="S124" s="9"/>
      <c r="T124" s="9"/>
      <c r="U124" s="107"/>
      <c r="V124" s="107"/>
      <c r="W124" s="9"/>
      <c r="X124" s="107"/>
      <c r="Y124" s="9"/>
      <c r="Z124" s="9"/>
      <c r="AA124" s="9"/>
      <c r="AB124" s="9"/>
      <c r="AC124" s="107"/>
      <c r="AD124" s="9"/>
      <c r="AE124" s="9"/>
      <c r="AF124" s="107"/>
      <c r="AG124" s="107"/>
      <c r="AH124" s="9"/>
      <c r="AI124" s="9"/>
      <c r="AJ124" s="9"/>
      <c r="AK124" s="9"/>
      <c r="AL124" s="9"/>
      <c r="AM124" s="9"/>
      <c r="AN124" s="9"/>
      <c r="AO124" s="9"/>
    </row>
    <row r="125" spans="1:41" s="268" customFormat="1" x14ac:dyDescent="0.25">
      <c r="A125" s="107"/>
      <c r="B125" s="108"/>
      <c r="C125" s="108"/>
      <c r="D125" s="108"/>
      <c r="E125" s="108"/>
      <c r="F125" s="9"/>
      <c r="G125" s="9"/>
      <c r="H125" s="9"/>
      <c r="I125" s="9"/>
      <c r="J125" s="9"/>
      <c r="K125" s="9"/>
      <c r="L125" s="9"/>
      <c r="M125" s="107"/>
      <c r="N125" s="107"/>
      <c r="O125" s="9"/>
      <c r="P125" s="9"/>
      <c r="Q125" s="9"/>
      <c r="R125" s="9"/>
      <c r="S125" s="9"/>
      <c r="T125" s="9"/>
      <c r="U125" s="107"/>
      <c r="V125" s="107"/>
      <c r="W125" s="9"/>
      <c r="X125" s="107"/>
      <c r="Y125" s="9"/>
      <c r="Z125" s="9"/>
      <c r="AA125" s="9"/>
      <c r="AB125" s="9"/>
      <c r="AC125" s="107"/>
      <c r="AD125" s="9"/>
      <c r="AE125" s="9"/>
      <c r="AF125" s="107"/>
      <c r="AG125" s="107"/>
      <c r="AH125" s="9"/>
      <c r="AI125" s="9"/>
      <c r="AJ125" s="9"/>
      <c r="AK125" s="9"/>
      <c r="AL125" s="9"/>
      <c r="AM125" s="9"/>
      <c r="AN125" s="9"/>
      <c r="AO125" s="9"/>
    </row>
    <row r="126" spans="1:41" s="268" customFormat="1" x14ac:dyDescent="0.25">
      <c r="A126" s="107"/>
      <c r="B126" s="108"/>
      <c r="C126" s="108"/>
      <c r="D126" s="108"/>
      <c r="E126" s="108"/>
      <c r="F126" s="9"/>
      <c r="G126" s="9"/>
      <c r="H126" s="9"/>
      <c r="I126" s="9"/>
      <c r="J126" s="9"/>
      <c r="K126" s="9"/>
      <c r="L126" s="9"/>
      <c r="M126" s="107"/>
      <c r="N126" s="107"/>
      <c r="O126" s="9"/>
      <c r="P126" s="9"/>
      <c r="Q126" s="9"/>
      <c r="R126" s="9"/>
      <c r="S126" s="9"/>
      <c r="T126" s="9"/>
      <c r="U126" s="107"/>
      <c r="V126" s="107"/>
      <c r="W126" s="9"/>
      <c r="X126" s="107"/>
      <c r="Y126" s="9"/>
      <c r="Z126" s="9"/>
      <c r="AA126" s="9"/>
      <c r="AB126" s="9"/>
      <c r="AC126" s="107"/>
      <c r="AD126" s="9"/>
      <c r="AE126" s="9"/>
      <c r="AF126" s="107"/>
      <c r="AG126" s="107"/>
      <c r="AH126" s="9"/>
      <c r="AI126" s="9"/>
      <c r="AJ126" s="9"/>
      <c r="AK126" s="9"/>
      <c r="AL126" s="9"/>
      <c r="AM126" s="9"/>
      <c r="AN126" s="9"/>
      <c r="AO126" s="9"/>
    </row>
    <row r="127" spans="1:41" s="268" customFormat="1" x14ac:dyDescent="0.25">
      <c r="A127" s="107"/>
      <c r="B127" s="108"/>
      <c r="C127" s="108"/>
      <c r="D127" s="108"/>
      <c r="E127" s="108"/>
      <c r="F127" s="9"/>
      <c r="G127" s="9"/>
      <c r="H127" s="9"/>
      <c r="I127" s="9"/>
      <c r="J127" s="9"/>
      <c r="K127" s="9"/>
      <c r="L127" s="9"/>
      <c r="M127" s="107"/>
      <c r="N127" s="107"/>
      <c r="O127" s="9"/>
      <c r="P127" s="9"/>
      <c r="Q127" s="9"/>
      <c r="R127" s="9"/>
      <c r="S127" s="9"/>
      <c r="T127" s="9"/>
      <c r="U127" s="107"/>
      <c r="V127" s="107"/>
      <c r="W127" s="9"/>
      <c r="X127" s="107"/>
      <c r="Y127" s="9"/>
      <c r="Z127" s="9"/>
      <c r="AA127" s="9"/>
      <c r="AB127" s="9"/>
      <c r="AC127" s="107"/>
      <c r="AD127" s="9"/>
      <c r="AE127" s="9"/>
      <c r="AF127" s="107"/>
      <c r="AG127" s="107"/>
      <c r="AH127" s="9"/>
      <c r="AI127" s="9"/>
      <c r="AJ127" s="9"/>
      <c r="AK127" s="9"/>
      <c r="AL127" s="9"/>
      <c r="AM127" s="9"/>
      <c r="AN127" s="9"/>
      <c r="AO127" s="9"/>
    </row>
    <row r="128" spans="1:41" s="268" customFormat="1" x14ac:dyDescent="0.25">
      <c r="A128" s="107"/>
      <c r="B128" s="108"/>
      <c r="C128" s="108"/>
      <c r="D128" s="108"/>
      <c r="E128" s="108"/>
      <c r="F128" s="9"/>
      <c r="G128" s="9"/>
      <c r="H128" s="9"/>
      <c r="I128" s="9"/>
      <c r="J128" s="9"/>
      <c r="K128" s="9"/>
      <c r="L128" s="9"/>
      <c r="M128" s="107"/>
      <c r="N128" s="107"/>
      <c r="O128" s="9"/>
      <c r="P128" s="9"/>
      <c r="Q128" s="9"/>
      <c r="R128" s="9"/>
      <c r="S128" s="9"/>
      <c r="T128" s="9"/>
      <c r="U128" s="107"/>
      <c r="V128" s="107"/>
      <c r="W128" s="9"/>
      <c r="X128" s="107"/>
      <c r="Y128" s="9"/>
      <c r="Z128" s="9"/>
      <c r="AA128" s="9"/>
      <c r="AB128" s="9"/>
      <c r="AC128" s="107"/>
      <c r="AD128" s="9"/>
      <c r="AE128" s="9"/>
      <c r="AF128" s="107"/>
      <c r="AG128" s="107"/>
      <c r="AH128" s="9"/>
      <c r="AI128" s="9"/>
      <c r="AJ128" s="9"/>
      <c r="AK128" s="9"/>
      <c r="AL128" s="9"/>
      <c r="AM128" s="9"/>
      <c r="AN128" s="9"/>
      <c r="AO128" s="9"/>
    </row>
    <row r="129" spans="1:45" s="268" customFormat="1" x14ac:dyDescent="0.25">
      <c r="A129" s="107"/>
      <c r="B129" s="108"/>
      <c r="C129" s="108"/>
      <c r="D129" s="108"/>
      <c r="E129" s="108"/>
      <c r="F129" s="9"/>
      <c r="G129" s="9"/>
      <c r="H129" s="9"/>
      <c r="I129" s="9"/>
      <c r="J129" s="9"/>
      <c r="K129" s="9"/>
      <c r="L129" s="9"/>
      <c r="M129" s="107"/>
      <c r="N129" s="107"/>
      <c r="O129" s="9"/>
      <c r="P129" s="9"/>
      <c r="Q129" s="9"/>
      <c r="R129" s="9"/>
      <c r="S129" s="9"/>
      <c r="T129" s="9"/>
      <c r="U129" s="107"/>
      <c r="V129" s="107"/>
      <c r="W129" s="9"/>
      <c r="X129" s="107"/>
      <c r="Y129" s="9"/>
      <c r="Z129" s="9"/>
      <c r="AA129" s="9"/>
      <c r="AB129" s="9"/>
      <c r="AC129" s="107"/>
      <c r="AD129" s="9"/>
      <c r="AE129" s="9"/>
      <c r="AF129" s="107"/>
      <c r="AG129" s="107"/>
      <c r="AH129" s="9"/>
      <c r="AI129" s="9"/>
      <c r="AJ129" s="9"/>
      <c r="AK129" s="9"/>
      <c r="AL129" s="9"/>
      <c r="AM129" s="9"/>
      <c r="AN129" s="9"/>
      <c r="AO129" s="9"/>
    </row>
    <row r="130" spans="1:45" s="268" customFormat="1" x14ac:dyDescent="0.25">
      <c r="A130" s="107"/>
      <c r="B130" s="108"/>
      <c r="C130" s="108"/>
      <c r="D130" s="108"/>
      <c r="E130" s="108"/>
      <c r="F130" s="9"/>
      <c r="G130" s="9"/>
      <c r="H130" s="9"/>
      <c r="I130" s="9"/>
      <c r="J130" s="9"/>
      <c r="K130" s="9"/>
      <c r="L130" s="9"/>
      <c r="M130" s="107"/>
      <c r="N130" s="107"/>
      <c r="O130" s="9"/>
      <c r="P130" s="9"/>
      <c r="Q130" s="9"/>
      <c r="R130" s="9"/>
      <c r="S130" s="9"/>
      <c r="T130" s="9"/>
      <c r="U130" s="107"/>
      <c r="V130" s="107"/>
      <c r="W130" s="9"/>
      <c r="X130" s="107"/>
      <c r="Y130" s="9"/>
      <c r="Z130" s="9"/>
      <c r="AA130" s="9"/>
      <c r="AB130" s="9"/>
      <c r="AC130" s="107"/>
      <c r="AD130" s="9"/>
      <c r="AE130" s="9"/>
      <c r="AF130" s="107"/>
      <c r="AG130" s="107"/>
      <c r="AH130" s="9"/>
      <c r="AI130" s="9"/>
      <c r="AJ130" s="9"/>
      <c r="AK130" s="9"/>
      <c r="AL130" s="9"/>
      <c r="AM130" s="9"/>
      <c r="AN130" s="9"/>
      <c r="AO130" s="9"/>
    </row>
    <row r="131" spans="1:45" s="268" customFormat="1" x14ac:dyDescent="0.25">
      <c r="A131" s="107"/>
      <c r="B131" s="108"/>
      <c r="C131" s="108"/>
      <c r="D131" s="108"/>
      <c r="E131" s="108"/>
      <c r="F131" s="9"/>
      <c r="G131" s="9"/>
      <c r="H131" s="9"/>
      <c r="I131" s="9"/>
      <c r="J131" s="9"/>
      <c r="K131" s="9"/>
      <c r="L131" s="9"/>
      <c r="M131" s="107"/>
      <c r="N131" s="107"/>
      <c r="O131" s="9"/>
      <c r="P131" s="9"/>
      <c r="Q131" s="9"/>
      <c r="R131" s="9"/>
      <c r="S131" s="9"/>
      <c r="T131" s="9"/>
      <c r="U131" s="107"/>
      <c r="V131" s="107"/>
      <c r="W131" s="9"/>
      <c r="X131" s="107"/>
      <c r="Y131" s="9"/>
      <c r="Z131" s="9"/>
      <c r="AA131" s="9"/>
      <c r="AB131" s="9"/>
      <c r="AC131" s="107"/>
      <c r="AD131" s="9"/>
      <c r="AE131" s="9"/>
      <c r="AF131" s="107"/>
      <c r="AG131" s="107"/>
      <c r="AH131" s="9"/>
      <c r="AI131" s="9"/>
      <c r="AJ131" s="9"/>
      <c r="AK131" s="9"/>
      <c r="AL131" s="9"/>
      <c r="AM131" s="9"/>
      <c r="AN131" s="9"/>
      <c r="AO131" s="9"/>
    </row>
    <row r="132" spans="1:45" s="268" customFormat="1" x14ac:dyDescent="0.25">
      <c r="A132" s="107"/>
      <c r="B132" s="108"/>
      <c r="C132" s="108"/>
      <c r="D132" s="108"/>
      <c r="E132" s="108"/>
      <c r="F132" s="9"/>
      <c r="G132" s="9"/>
      <c r="H132" s="9"/>
      <c r="I132" s="9"/>
      <c r="J132" s="9"/>
      <c r="K132" s="9"/>
      <c r="L132" s="9"/>
      <c r="M132" s="107"/>
      <c r="N132" s="107"/>
      <c r="O132" s="9"/>
      <c r="P132" s="9"/>
      <c r="Q132" s="9"/>
      <c r="R132" s="9"/>
      <c r="S132" s="9"/>
      <c r="T132" s="9"/>
      <c r="U132" s="107"/>
      <c r="V132" s="107"/>
      <c r="W132" s="9"/>
      <c r="X132" s="107"/>
      <c r="Y132" s="9"/>
      <c r="Z132" s="9"/>
      <c r="AA132" s="9"/>
      <c r="AB132" s="9"/>
      <c r="AC132" s="107"/>
      <c r="AD132" s="9"/>
      <c r="AE132" s="9"/>
      <c r="AF132" s="107"/>
      <c r="AG132" s="107"/>
      <c r="AH132" s="9"/>
      <c r="AI132" s="9"/>
      <c r="AJ132" s="9"/>
      <c r="AK132" s="9"/>
      <c r="AL132" s="9"/>
      <c r="AM132" s="9"/>
      <c r="AN132" s="9"/>
      <c r="AO132" s="9"/>
    </row>
    <row r="133" spans="1:45" s="268" customFormat="1" x14ac:dyDescent="0.25">
      <c r="A133" s="107"/>
      <c r="B133" s="108"/>
      <c r="C133" s="108"/>
      <c r="D133" s="108"/>
      <c r="E133" s="108"/>
      <c r="F133" s="9"/>
      <c r="G133" s="9"/>
      <c r="H133" s="9"/>
      <c r="I133" s="9"/>
      <c r="J133" s="9"/>
      <c r="K133" s="9"/>
      <c r="L133" s="9"/>
      <c r="M133" s="107"/>
      <c r="N133" s="107"/>
      <c r="O133" s="9"/>
      <c r="P133" s="9"/>
      <c r="Q133" s="9"/>
      <c r="R133" s="9"/>
      <c r="S133" s="9"/>
      <c r="T133" s="9"/>
      <c r="U133" s="107"/>
      <c r="V133" s="107"/>
      <c r="W133" s="9"/>
      <c r="X133" s="107"/>
      <c r="Y133" s="9"/>
      <c r="Z133" s="9"/>
      <c r="AA133" s="9"/>
      <c r="AB133" s="9"/>
      <c r="AC133" s="107"/>
      <c r="AD133" s="9"/>
      <c r="AE133" s="9"/>
      <c r="AF133" s="107"/>
      <c r="AG133" s="107"/>
      <c r="AH133" s="9"/>
      <c r="AI133" s="9"/>
      <c r="AJ133" s="9"/>
      <c r="AK133" s="9"/>
      <c r="AL133" s="9"/>
      <c r="AM133" s="9"/>
      <c r="AN133" s="9"/>
      <c r="AO133" s="9"/>
    </row>
    <row r="134" spans="1:45" s="268" customFormat="1" x14ac:dyDescent="0.25">
      <c r="A134" s="107"/>
      <c r="B134" s="108"/>
      <c r="C134" s="108"/>
      <c r="D134" s="108"/>
      <c r="E134" s="108"/>
      <c r="F134" s="9"/>
      <c r="G134" s="9"/>
      <c r="H134" s="9"/>
      <c r="I134" s="9"/>
      <c r="J134" s="9"/>
      <c r="K134" s="9"/>
      <c r="L134" s="9"/>
      <c r="M134" s="107"/>
      <c r="N134" s="107"/>
      <c r="O134" s="9"/>
      <c r="P134" s="9"/>
      <c r="Q134" s="9"/>
      <c r="R134" s="9"/>
      <c r="S134" s="9"/>
      <c r="T134" s="9"/>
      <c r="U134" s="107"/>
      <c r="V134" s="107"/>
      <c r="W134" s="9"/>
      <c r="X134" s="107"/>
      <c r="Y134" s="9"/>
      <c r="Z134" s="9"/>
      <c r="AA134" s="9"/>
      <c r="AB134" s="9"/>
      <c r="AC134" s="107"/>
      <c r="AD134" s="9"/>
      <c r="AE134" s="9"/>
      <c r="AF134" s="107"/>
      <c r="AG134" s="107"/>
      <c r="AH134" s="9"/>
      <c r="AI134" s="9"/>
      <c r="AJ134" s="9"/>
      <c r="AK134" s="9"/>
      <c r="AL134" s="9"/>
      <c r="AM134" s="9"/>
      <c r="AN134" s="9"/>
      <c r="AO134" s="9"/>
    </row>
    <row r="135" spans="1:45" s="268" customFormat="1" x14ac:dyDescent="0.25">
      <c r="A135" s="107"/>
      <c r="B135" s="108"/>
      <c r="C135" s="108"/>
      <c r="D135" s="108"/>
      <c r="E135" s="108"/>
      <c r="F135" s="9"/>
      <c r="G135" s="9"/>
      <c r="H135" s="9"/>
      <c r="I135" s="9"/>
      <c r="J135" s="9"/>
      <c r="K135" s="9"/>
      <c r="L135" s="9"/>
      <c r="M135" s="107"/>
      <c r="N135" s="107"/>
      <c r="O135" s="9"/>
      <c r="P135" s="9"/>
      <c r="Q135" s="9"/>
      <c r="R135" s="9"/>
      <c r="S135" s="9"/>
      <c r="T135" s="9"/>
      <c r="U135" s="107"/>
      <c r="V135" s="107"/>
      <c r="W135" s="9"/>
      <c r="X135" s="107"/>
      <c r="Y135" s="9"/>
      <c r="Z135" s="9"/>
      <c r="AA135" s="9"/>
      <c r="AB135" s="9"/>
      <c r="AC135" s="107"/>
      <c r="AD135" s="9"/>
      <c r="AE135" s="9"/>
      <c r="AF135" s="107"/>
      <c r="AG135" s="107"/>
      <c r="AH135" s="9"/>
      <c r="AI135" s="9"/>
      <c r="AJ135" s="9"/>
      <c r="AK135" s="9"/>
      <c r="AL135" s="9"/>
      <c r="AM135" s="9"/>
      <c r="AN135" s="9"/>
      <c r="AO135" s="9"/>
    </row>
    <row r="136" spans="1:45" s="268" customFormat="1" x14ac:dyDescent="0.25">
      <c r="A136" s="107"/>
      <c r="B136" s="108"/>
      <c r="C136" s="108"/>
      <c r="D136" s="108"/>
      <c r="E136" s="108"/>
      <c r="F136" s="9"/>
      <c r="G136" s="9"/>
      <c r="H136" s="9"/>
      <c r="I136" s="9"/>
      <c r="J136" s="9"/>
      <c r="K136" s="9"/>
      <c r="L136" s="9"/>
      <c r="M136" s="107"/>
      <c r="N136" s="107"/>
      <c r="O136" s="9"/>
      <c r="P136" s="9"/>
      <c r="Q136" s="9"/>
      <c r="R136" s="9"/>
      <c r="S136" s="9"/>
      <c r="T136" s="9"/>
      <c r="U136" s="107"/>
      <c r="V136" s="107"/>
      <c r="W136" s="9"/>
      <c r="X136" s="107"/>
      <c r="Y136" s="9"/>
      <c r="Z136" s="9"/>
      <c r="AA136" s="9"/>
      <c r="AB136" s="9"/>
      <c r="AC136" s="107"/>
      <c r="AD136" s="9"/>
      <c r="AE136" s="9"/>
      <c r="AF136" s="107"/>
      <c r="AG136" s="107"/>
      <c r="AH136" s="9"/>
      <c r="AI136" s="9"/>
      <c r="AJ136" s="9"/>
      <c r="AK136" s="9"/>
      <c r="AL136" s="9"/>
      <c r="AM136" s="9"/>
      <c r="AN136" s="9"/>
      <c r="AO136" s="9"/>
    </row>
    <row r="137" spans="1:45" s="268" customFormat="1" x14ac:dyDescent="0.25">
      <c r="A137" s="107"/>
      <c r="B137" s="107"/>
      <c r="C137" s="9"/>
      <c r="D137" s="9"/>
      <c r="E137" s="107"/>
      <c r="F137" s="9"/>
      <c r="G137" s="9"/>
      <c r="H137" s="9"/>
      <c r="I137" s="9"/>
      <c r="J137" s="9"/>
      <c r="K137" s="9"/>
      <c r="L137" s="9"/>
      <c r="M137" s="107"/>
      <c r="N137" s="107"/>
      <c r="O137" s="9"/>
      <c r="P137" s="9"/>
      <c r="Q137" s="9"/>
      <c r="R137" s="9"/>
      <c r="S137" s="9"/>
      <c r="T137" s="9"/>
      <c r="U137" s="107"/>
      <c r="V137" s="107"/>
      <c r="W137" s="9"/>
      <c r="X137" s="107"/>
      <c r="Y137" s="9"/>
      <c r="Z137" s="9"/>
      <c r="AA137" s="9"/>
      <c r="AB137" s="9"/>
      <c r="AC137" s="107"/>
      <c r="AD137" s="9"/>
      <c r="AE137" s="9"/>
      <c r="AF137" s="107"/>
      <c r="AG137" s="107"/>
      <c r="AH137" s="9"/>
      <c r="AI137" s="9"/>
      <c r="AJ137" s="9"/>
      <c r="AK137" s="9"/>
      <c r="AL137" s="9"/>
      <c r="AM137" s="9"/>
      <c r="AN137" s="9"/>
      <c r="AO137" s="9"/>
    </row>
    <row r="138" spans="1:45" s="268" customFormat="1" x14ac:dyDescent="0.25">
      <c r="A138" s="107"/>
      <c r="B138" s="107"/>
      <c r="C138" s="9"/>
      <c r="D138" s="9"/>
      <c r="E138" s="107"/>
      <c r="F138" s="9"/>
      <c r="G138" s="9"/>
      <c r="H138" s="9"/>
      <c r="I138" s="9"/>
      <c r="J138" s="9"/>
      <c r="K138" s="9"/>
      <c r="L138" s="9"/>
      <c r="M138" s="107"/>
      <c r="N138" s="107"/>
      <c r="O138" s="9"/>
      <c r="P138" s="9"/>
      <c r="Q138" s="9"/>
      <c r="R138" s="9"/>
      <c r="S138" s="9"/>
      <c r="T138" s="9"/>
      <c r="U138" s="107"/>
      <c r="V138" s="107"/>
      <c r="W138" s="9"/>
      <c r="X138" s="107"/>
      <c r="Y138" s="9"/>
      <c r="Z138" s="9"/>
      <c r="AA138" s="9"/>
      <c r="AB138" s="9"/>
      <c r="AC138" s="107"/>
      <c r="AD138" s="9"/>
      <c r="AE138" s="9"/>
      <c r="AF138" s="107"/>
      <c r="AG138" s="107"/>
      <c r="AH138" s="9"/>
      <c r="AI138" s="9"/>
      <c r="AJ138" s="9"/>
      <c r="AK138" s="9"/>
      <c r="AL138" s="9"/>
      <c r="AM138" s="9"/>
      <c r="AN138" s="9"/>
      <c r="AO138" s="9"/>
    </row>
    <row r="139" spans="1:45" x14ac:dyDescent="0.25">
      <c r="C139" s="9"/>
      <c r="D139" s="9"/>
      <c r="F139" s="9"/>
      <c r="G139" s="9"/>
      <c r="H139" s="9"/>
      <c r="I139" s="9"/>
      <c r="J139" s="9"/>
      <c r="K139" s="9"/>
      <c r="L139" s="9"/>
      <c r="O139" s="9"/>
      <c r="P139" s="9"/>
      <c r="Q139" s="9"/>
      <c r="R139" s="9"/>
      <c r="S139" s="9"/>
      <c r="T139" s="9"/>
      <c r="W139" s="9"/>
      <c r="Y139" s="9"/>
      <c r="Z139" s="9"/>
      <c r="AA139" s="9"/>
      <c r="AB139" s="9"/>
      <c r="AD139" s="9"/>
      <c r="AE139" s="9"/>
      <c r="AH139" s="9"/>
      <c r="AI139" s="9"/>
      <c r="AJ139" s="9"/>
      <c r="AK139" s="9"/>
      <c r="AL139" s="9"/>
      <c r="AM139" s="9"/>
      <c r="AN139" s="9"/>
      <c r="AO139" s="9"/>
      <c r="AP139" s="107"/>
      <c r="AQ139" s="107"/>
      <c r="AR139" s="107"/>
      <c r="AS139" s="107"/>
    </row>
    <row r="140" spans="1:45" x14ac:dyDescent="0.25">
      <c r="C140" s="9"/>
      <c r="D140" s="9"/>
      <c r="F140" s="9"/>
      <c r="G140" s="9"/>
      <c r="H140" s="9"/>
      <c r="I140" s="9"/>
      <c r="J140" s="9"/>
      <c r="K140" s="9"/>
      <c r="L140" s="9"/>
      <c r="O140" s="9"/>
      <c r="P140" s="9"/>
      <c r="Q140" s="9"/>
      <c r="R140" s="9"/>
      <c r="S140" s="9"/>
      <c r="T140" s="9"/>
      <c r="W140" s="9"/>
      <c r="Y140" s="9"/>
      <c r="Z140" s="9"/>
      <c r="AA140" s="9"/>
      <c r="AB140" s="9"/>
      <c r="AD140" s="9"/>
      <c r="AE140" s="9"/>
      <c r="AH140" s="9"/>
      <c r="AI140" s="9"/>
      <c r="AJ140" s="9"/>
      <c r="AK140" s="9"/>
      <c r="AL140" s="9"/>
      <c r="AM140" s="9"/>
      <c r="AN140" s="9"/>
      <c r="AO140" s="9"/>
      <c r="AP140" s="107"/>
      <c r="AQ140" s="107"/>
      <c r="AR140" s="107"/>
      <c r="AS140" s="107"/>
    </row>
    <row r="141" spans="1:45" x14ac:dyDescent="0.25">
      <c r="C141" s="9"/>
      <c r="D141" s="9"/>
      <c r="F141" s="9"/>
      <c r="G141" s="9"/>
      <c r="H141" s="9"/>
      <c r="I141" s="9"/>
      <c r="J141" s="9"/>
      <c r="K141" s="9"/>
      <c r="L141" s="9"/>
      <c r="O141" s="9"/>
      <c r="P141" s="9"/>
      <c r="Q141" s="9"/>
      <c r="R141" s="9"/>
      <c r="S141" s="9"/>
      <c r="T141" s="9"/>
      <c r="W141" s="9"/>
      <c r="Y141" s="9"/>
      <c r="Z141" s="9"/>
      <c r="AA141" s="9"/>
      <c r="AB141" s="9"/>
      <c r="AD141" s="9"/>
      <c r="AE141" s="9"/>
      <c r="AH141" s="9"/>
      <c r="AI141" s="9"/>
      <c r="AJ141" s="9"/>
      <c r="AK141" s="9"/>
      <c r="AL141" s="9"/>
      <c r="AM141" s="9"/>
      <c r="AN141" s="9"/>
      <c r="AO141" s="9"/>
      <c r="AP141" s="107"/>
      <c r="AQ141" s="107"/>
      <c r="AR141" s="107"/>
      <c r="AS141" s="107"/>
    </row>
    <row r="142" spans="1:45" x14ac:dyDescent="0.25">
      <c r="C142" s="9"/>
      <c r="D142" s="9"/>
      <c r="F142" s="9"/>
      <c r="G142" s="9"/>
      <c r="H142" s="9"/>
      <c r="I142" s="9"/>
      <c r="J142" s="9"/>
      <c r="K142" s="9"/>
      <c r="L142" s="9"/>
      <c r="O142" s="9"/>
      <c r="P142" s="9"/>
      <c r="Q142" s="9"/>
      <c r="R142" s="9"/>
      <c r="S142" s="9"/>
      <c r="T142" s="9"/>
      <c r="W142" s="9"/>
      <c r="Y142" s="9"/>
      <c r="Z142" s="9"/>
      <c r="AA142" s="9"/>
      <c r="AB142" s="9"/>
      <c r="AD142" s="9"/>
      <c r="AE142" s="9"/>
      <c r="AH142" s="9"/>
      <c r="AI142" s="9"/>
      <c r="AJ142" s="9"/>
      <c r="AK142" s="9"/>
      <c r="AL142" s="9"/>
      <c r="AM142" s="9"/>
      <c r="AN142" s="9"/>
      <c r="AO142" s="9"/>
      <c r="AP142" s="107"/>
      <c r="AQ142" s="107"/>
      <c r="AR142" s="107"/>
      <c r="AS142" s="107"/>
    </row>
    <row r="143" spans="1:45" x14ac:dyDescent="0.25">
      <c r="C143" s="9"/>
      <c r="D143" s="9"/>
      <c r="F143" s="9"/>
      <c r="G143" s="9"/>
      <c r="H143" s="9"/>
      <c r="I143" s="9"/>
      <c r="J143" s="9"/>
      <c r="K143" s="9"/>
      <c r="L143" s="9"/>
      <c r="O143" s="9"/>
      <c r="P143" s="9"/>
      <c r="Q143" s="9"/>
      <c r="R143" s="9"/>
      <c r="S143" s="9"/>
      <c r="T143" s="9"/>
      <c r="W143" s="9"/>
      <c r="Y143" s="9"/>
      <c r="Z143" s="9"/>
      <c r="AA143" s="9"/>
      <c r="AB143" s="9"/>
      <c r="AD143" s="9"/>
      <c r="AE143" s="9"/>
      <c r="AH143" s="9"/>
      <c r="AI143" s="9"/>
      <c r="AJ143" s="9"/>
      <c r="AK143" s="9"/>
      <c r="AL143" s="9"/>
      <c r="AM143" s="9"/>
      <c r="AN143" s="9"/>
      <c r="AO143" s="9"/>
      <c r="AP143" s="107"/>
      <c r="AQ143" s="107"/>
      <c r="AR143" s="107"/>
      <c r="AS143" s="107"/>
    </row>
    <row r="144" spans="1:45" x14ac:dyDescent="0.25">
      <c r="C144" s="9"/>
      <c r="D144" s="9"/>
      <c r="F144" s="9"/>
      <c r="G144" s="9"/>
      <c r="H144" s="9"/>
      <c r="I144" s="9"/>
      <c r="J144" s="9"/>
      <c r="K144" s="9"/>
      <c r="L144" s="9"/>
      <c r="O144" s="9"/>
      <c r="P144" s="9"/>
      <c r="Q144" s="9"/>
      <c r="R144" s="9"/>
      <c r="S144" s="9"/>
      <c r="T144" s="9"/>
      <c r="W144" s="9"/>
      <c r="Y144" s="9"/>
      <c r="Z144" s="9"/>
      <c r="AA144" s="9"/>
      <c r="AB144" s="9"/>
      <c r="AD144" s="9"/>
      <c r="AE144" s="9"/>
      <c r="AH144" s="9"/>
      <c r="AI144" s="9"/>
      <c r="AJ144" s="9"/>
      <c r="AK144" s="9"/>
      <c r="AL144" s="9"/>
      <c r="AM144" s="9"/>
      <c r="AN144" s="9"/>
      <c r="AO144" s="9"/>
      <c r="AP144" s="107"/>
      <c r="AQ144" s="107"/>
      <c r="AR144" s="107"/>
      <c r="AS144" s="107"/>
    </row>
    <row r="145" spans="3:45" x14ac:dyDescent="0.25">
      <c r="C145" s="9"/>
      <c r="D145" s="9"/>
      <c r="F145" s="9"/>
      <c r="G145" s="9"/>
      <c r="H145" s="9"/>
      <c r="I145" s="9"/>
      <c r="J145" s="9"/>
      <c r="K145" s="9"/>
      <c r="L145" s="9"/>
      <c r="O145" s="9"/>
      <c r="P145" s="9"/>
      <c r="Q145" s="9"/>
      <c r="R145" s="9"/>
      <c r="S145" s="9"/>
      <c r="T145" s="9"/>
      <c r="W145" s="9"/>
      <c r="Y145" s="9"/>
      <c r="Z145" s="9"/>
      <c r="AA145" s="9"/>
      <c r="AB145" s="9"/>
      <c r="AD145" s="9"/>
      <c r="AE145" s="9"/>
      <c r="AH145" s="9"/>
      <c r="AI145" s="9"/>
      <c r="AJ145" s="9"/>
      <c r="AK145" s="9"/>
      <c r="AL145" s="9"/>
      <c r="AM145" s="9"/>
      <c r="AN145" s="9"/>
      <c r="AO145" s="9"/>
      <c r="AP145" s="107"/>
      <c r="AQ145" s="107"/>
      <c r="AR145" s="107"/>
      <c r="AS145" s="107"/>
    </row>
    <row r="146" spans="3:45" x14ac:dyDescent="0.25">
      <c r="C146" s="9"/>
      <c r="D146" s="9"/>
      <c r="F146" s="9"/>
      <c r="G146" s="9"/>
      <c r="H146" s="9"/>
      <c r="I146" s="9"/>
      <c r="J146" s="9"/>
      <c r="K146" s="9"/>
      <c r="L146" s="9"/>
      <c r="O146" s="9"/>
      <c r="P146" s="9"/>
      <c r="Q146" s="9"/>
      <c r="R146" s="9"/>
      <c r="S146" s="9"/>
      <c r="T146" s="9"/>
      <c r="W146" s="9"/>
      <c r="Y146" s="9"/>
      <c r="Z146" s="9"/>
      <c r="AA146" s="9"/>
      <c r="AB146" s="9"/>
      <c r="AD146" s="9"/>
      <c r="AE146" s="9"/>
      <c r="AH146" s="9"/>
      <c r="AI146" s="9"/>
      <c r="AJ146" s="9"/>
      <c r="AK146" s="9"/>
      <c r="AL146" s="9"/>
      <c r="AM146" s="9"/>
      <c r="AN146" s="9"/>
      <c r="AO146" s="9"/>
      <c r="AP146" s="107"/>
      <c r="AQ146" s="107"/>
      <c r="AR146" s="107"/>
      <c r="AS146" s="107"/>
    </row>
    <row r="147" spans="3:45" x14ac:dyDescent="0.25">
      <c r="C147" s="9"/>
      <c r="D147" s="9"/>
      <c r="F147" s="9"/>
      <c r="G147" s="9"/>
      <c r="H147" s="9"/>
      <c r="I147" s="9"/>
      <c r="J147" s="9"/>
      <c r="K147" s="9"/>
      <c r="L147" s="9"/>
      <c r="O147" s="9"/>
      <c r="P147" s="9"/>
      <c r="Q147" s="9"/>
      <c r="R147" s="9"/>
      <c r="S147" s="9"/>
      <c r="T147" s="9"/>
      <c r="W147" s="9"/>
      <c r="Y147" s="9"/>
      <c r="Z147" s="9"/>
      <c r="AA147" s="9"/>
      <c r="AB147" s="9"/>
      <c r="AD147" s="9"/>
      <c r="AE147" s="9"/>
      <c r="AH147" s="9"/>
      <c r="AI147" s="9"/>
      <c r="AJ147" s="9"/>
      <c r="AK147" s="9"/>
      <c r="AL147" s="9"/>
      <c r="AM147" s="9"/>
      <c r="AN147" s="9"/>
      <c r="AO147" s="9"/>
      <c r="AP147" s="107"/>
      <c r="AQ147" s="107"/>
      <c r="AR147" s="107"/>
      <c r="AS147" s="107"/>
    </row>
    <row r="148" spans="3:45" x14ac:dyDescent="0.25">
      <c r="C148" s="9"/>
      <c r="D148" s="9"/>
      <c r="F148" s="9"/>
      <c r="G148" s="9"/>
      <c r="H148" s="9"/>
      <c r="I148" s="9"/>
      <c r="J148" s="9"/>
      <c r="K148" s="9"/>
      <c r="L148" s="9"/>
      <c r="O148" s="9"/>
      <c r="P148" s="9"/>
      <c r="Q148" s="9"/>
      <c r="R148" s="9"/>
      <c r="S148" s="9"/>
      <c r="T148" s="9"/>
      <c r="W148" s="9"/>
      <c r="Y148" s="9"/>
      <c r="Z148" s="9"/>
      <c r="AA148" s="9"/>
      <c r="AB148" s="9"/>
      <c r="AD148" s="9"/>
      <c r="AE148" s="9"/>
      <c r="AH148" s="9"/>
      <c r="AI148" s="9"/>
      <c r="AJ148" s="9"/>
      <c r="AK148" s="9"/>
      <c r="AL148" s="9"/>
      <c r="AM148" s="9"/>
      <c r="AN148" s="9"/>
      <c r="AO148" s="9"/>
      <c r="AP148" s="107"/>
      <c r="AQ148" s="107"/>
      <c r="AR148" s="107"/>
      <c r="AS148" s="107"/>
    </row>
    <row r="149" spans="3:45" x14ac:dyDescent="0.25">
      <c r="C149" s="9"/>
      <c r="D149" s="9"/>
      <c r="F149" s="9"/>
      <c r="G149" s="9"/>
      <c r="H149" s="9"/>
      <c r="I149" s="9"/>
      <c r="J149" s="9"/>
      <c r="K149" s="9"/>
      <c r="L149" s="9"/>
      <c r="O149" s="9"/>
      <c r="P149" s="9"/>
      <c r="Q149" s="9"/>
      <c r="R149" s="9"/>
      <c r="S149" s="9"/>
      <c r="T149" s="9"/>
      <c r="W149" s="9"/>
      <c r="Y149" s="9"/>
      <c r="Z149" s="9"/>
      <c r="AA149" s="9"/>
      <c r="AB149" s="9"/>
      <c r="AD149" s="9"/>
      <c r="AE149" s="9"/>
      <c r="AH149" s="9"/>
      <c r="AI149" s="9"/>
      <c r="AJ149" s="9"/>
      <c r="AK149" s="9"/>
      <c r="AL149" s="9"/>
      <c r="AM149" s="9"/>
      <c r="AN149" s="9"/>
      <c r="AO149" s="9"/>
      <c r="AP149" s="107"/>
      <c r="AQ149" s="107"/>
      <c r="AR149" s="107"/>
      <c r="AS149" s="107"/>
    </row>
    <row r="150" spans="3:45" x14ac:dyDescent="0.25">
      <c r="C150" s="9"/>
      <c r="D150" s="9"/>
      <c r="F150" s="9"/>
      <c r="G150" s="9"/>
      <c r="H150" s="9"/>
      <c r="I150" s="9"/>
      <c r="J150" s="9"/>
      <c r="K150" s="9"/>
      <c r="L150" s="9"/>
      <c r="O150" s="9"/>
      <c r="P150" s="9"/>
      <c r="Q150" s="9"/>
      <c r="R150" s="9"/>
      <c r="S150" s="9"/>
      <c r="T150" s="9"/>
      <c r="W150" s="9"/>
      <c r="Y150" s="9"/>
      <c r="Z150" s="9"/>
      <c r="AA150" s="9"/>
      <c r="AB150" s="9"/>
      <c r="AD150" s="9"/>
      <c r="AE150" s="9"/>
      <c r="AH150" s="9"/>
      <c r="AI150" s="9"/>
      <c r="AJ150" s="9"/>
      <c r="AK150" s="9"/>
      <c r="AL150" s="9"/>
      <c r="AM150" s="9"/>
      <c r="AN150" s="9"/>
      <c r="AO150" s="9"/>
      <c r="AP150" s="107"/>
      <c r="AQ150" s="107"/>
      <c r="AR150" s="107"/>
      <c r="AS150" s="107"/>
    </row>
    <row r="151" spans="3:45" x14ac:dyDescent="0.25">
      <c r="C151" s="9"/>
      <c r="D151" s="9"/>
      <c r="F151" s="9"/>
      <c r="G151" s="9"/>
      <c r="H151" s="9"/>
      <c r="I151" s="9"/>
      <c r="J151" s="9"/>
      <c r="K151" s="9"/>
      <c r="L151" s="9"/>
      <c r="O151" s="9"/>
      <c r="P151" s="9"/>
      <c r="Q151" s="9"/>
      <c r="R151" s="9"/>
      <c r="S151" s="9"/>
      <c r="T151" s="9"/>
      <c r="W151" s="9"/>
      <c r="Y151" s="9"/>
      <c r="Z151" s="9"/>
      <c r="AA151" s="9"/>
      <c r="AB151" s="9"/>
      <c r="AD151" s="9"/>
      <c r="AE151" s="9"/>
      <c r="AH151" s="9"/>
      <c r="AI151" s="9"/>
      <c r="AJ151" s="9"/>
      <c r="AK151" s="9"/>
      <c r="AL151" s="9"/>
      <c r="AM151" s="9"/>
      <c r="AN151" s="9"/>
      <c r="AO151" s="9"/>
      <c r="AP151" s="107"/>
      <c r="AQ151" s="107"/>
      <c r="AR151" s="107"/>
      <c r="AS151" s="107"/>
    </row>
    <row r="152" spans="3:45" x14ac:dyDescent="0.25">
      <c r="C152" s="9"/>
      <c r="D152" s="9"/>
      <c r="F152" s="9"/>
      <c r="G152" s="9"/>
      <c r="H152" s="9"/>
      <c r="I152" s="9"/>
      <c r="J152" s="9"/>
      <c r="K152" s="9"/>
      <c r="L152" s="9"/>
      <c r="O152" s="9"/>
      <c r="P152" s="9"/>
      <c r="Q152" s="9"/>
      <c r="R152" s="9"/>
      <c r="S152" s="9"/>
      <c r="T152" s="9"/>
      <c r="W152" s="9"/>
      <c r="Y152" s="9"/>
      <c r="Z152" s="9"/>
      <c r="AA152" s="9"/>
      <c r="AB152" s="9"/>
      <c r="AD152" s="9"/>
      <c r="AE152" s="9"/>
      <c r="AH152" s="9"/>
      <c r="AI152" s="9"/>
      <c r="AJ152" s="9"/>
      <c r="AK152" s="9"/>
      <c r="AL152" s="9"/>
      <c r="AM152" s="9"/>
      <c r="AN152" s="9"/>
      <c r="AO152" s="9"/>
      <c r="AP152" s="107"/>
      <c r="AQ152" s="107"/>
      <c r="AR152" s="107"/>
      <c r="AS152" s="107"/>
    </row>
    <row r="153" spans="3:45" x14ac:dyDescent="0.25">
      <c r="C153" s="9"/>
      <c r="D153" s="9"/>
      <c r="F153" s="9"/>
      <c r="G153" s="9"/>
      <c r="H153" s="9"/>
      <c r="I153" s="9"/>
      <c r="J153" s="9"/>
      <c r="K153" s="9"/>
      <c r="L153" s="9"/>
      <c r="O153" s="9"/>
      <c r="P153" s="9"/>
      <c r="Q153" s="9"/>
      <c r="R153" s="9"/>
      <c r="S153" s="9"/>
      <c r="T153" s="9"/>
      <c r="W153" s="9"/>
      <c r="Y153" s="9"/>
      <c r="Z153" s="9"/>
      <c r="AA153" s="9"/>
      <c r="AB153" s="9"/>
      <c r="AD153" s="9"/>
      <c r="AE153" s="9"/>
      <c r="AH153" s="9"/>
      <c r="AI153" s="9"/>
      <c r="AJ153" s="9"/>
      <c r="AK153" s="9"/>
      <c r="AL153" s="9"/>
      <c r="AM153" s="9"/>
      <c r="AN153" s="9"/>
      <c r="AO153" s="9"/>
      <c r="AP153" s="107"/>
      <c r="AQ153" s="107"/>
      <c r="AR153" s="107"/>
      <c r="AS153" s="107"/>
    </row>
    <row r="154" spans="3:45" x14ac:dyDescent="0.25">
      <c r="C154" s="9"/>
      <c r="D154" s="9"/>
      <c r="F154" s="9"/>
      <c r="G154" s="9"/>
      <c r="H154" s="9"/>
      <c r="I154" s="9"/>
      <c r="J154" s="9"/>
      <c r="K154" s="9"/>
      <c r="L154" s="9"/>
      <c r="O154" s="9"/>
      <c r="P154" s="9"/>
      <c r="Q154" s="9"/>
      <c r="R154" s="9"/>
      <c r="S154" s="9"/>
      <c r="T154" s="9"/>
      <c r="W154" s="9"/>
      <c r="Y154" s="9"/>
      <c r="Z154" s="9"/>
      <c r="AA154" s="9"/>
      <c r="AB154" s="9"/>
      <c r="AD154" s="9"/>
      <c r="AE154" s="9"/>
      <c r="AH154" s="9"/>
      <c r="AI154" s="9"/>
      <c r="AJ154" s="9"/>
      <c r="AK154" s="9"/>
      <c r="AL154" s="9"/>
      <c r="AM154" s="9"/>
      <c r="AN154" s="9"/>
      <c r="AO154" s="9"/>
      <c r="AP154" s="107"/>
      <c r="AQ154" s="107"/>
      <c r="AR154" s="107"/>
      <c r="AS154" s="107"/>
    </row>
    <row r="155" spans="3:45" x14ac:dyDescent="0.25">
      <c r="C155" s="9"/>
      <c r="D155" s="9"/>
      <c r="F155" s="9"/>
      <c r="G155" s="9"/>
      <c r="H155" s="9"/>
      <c r="I155" s="9"/>
      <c r="J155" s="9"/>
      <c r="K155" s="9"/>
      <c r="L155" s="9"/>
      <c r="O155" s="9"/>
      <c r="P155" s="9"/>
      <c r="Q155" s="9"/>
      <c r="R155" s="9"/>
      <c r="S155" s="9"/>
      <c r="T155" s="9"/>
      <c r="W155" s="9"/>
      <c r="Y155" s="9"/>
      <c r="Z155" s="9"/>
      <c r="AA155" s="9"/>
      <c r="AB155" s="9"/>
      <c r="AD155" s="9"/>
      <c r="AE155" s="9"/>
      <c r="AH155" s="9"/>
      <c r="AI155" s="9"/>
      <c r="AJ155" s="9"/>
      <c r="AK155" s="9"/>
      <c r="AL155" s="9"/>
      <c r="AM155" s="9"/>
      <c r="AN155" s="9"/>
      <c r="AO155" s="9"/>
      <c r="AP155" s="107"/>
      <c r="AQ155" s="107"/>
      <c r="AR155" s="107"/>
      <c r="AS155" s="107"/>
    </row>
    <row r="156" spans="3:45" x14ac:dyDescent="0.25">
      <c r="C156" s="9"/>
      <c r="D156" s="9"/>
      <c r="F156" s="9"/>
      <c r="G156" s="9"/>
      <c r="H156" s="9"/>
      <c r="I156" s="9"/>
      <c r="J156" s="9"/>
      <c r="K156" s="9"/>
      <c r="L156" s="9"/>
      <c r="O156" s="9"/>
      <c r="P156" s="9"/>
      <c r="Q156" s="9"/>
      <c r="R156" s="9"/>
      <c r="S156" s="9"/>
      <c r="T156" s="9"/>
      <c r="W156" s="9"/>
      <c r="Y156" s="9"/>
      <c r="Z156" s="9"/>
      <c r="AA156" s="9"/>
      <c r="AB156" s="9"/>
      <c r="AD156" s="9"/>
      <c r="AE156" s="9"/>
      <c r="AH156" s="9"/>
      <c r="AI156" s="9"/>
      <c r="AJ156" s="9"/>
      <c r="AK156" s="9"/>
      <c r="AL156" s="9"/>
      <c r="AM156" s="9"/>
      <c r="AN156" s="9"/>
      <c r="AO156" s="9"/>
      <c r="AP156" s="107"/>
      <c r="AQ156" s="107"/>
      <c r="AR156" s="107"/>
      <c r="AS156" s="107"/>
    </row>
    <row r="157" spans="3:45" x14ac:dyDescent="0.25">
      <c r="C157" s="9"/>
      <c r="D157" s="9"/>
      <c r="F157" s="9"/>
      <c r="G157" s="9"/>
      <c r="H157" s="9"/>
      <c r="I157" s="9"/>
      <c r="J157" s="9"/>
      <c r="K157" s="9"/>
      <c r="L157" s="9"/>
      <c r="O157" s="9"/>
      <c r="P157" s="9"/>
      <c r="Q157" s="9"/>
      <c r="R157" s="9"/>
      <c r="S157" s="9"/>
      <c r="T157" s="9"/>
      <c r="W157" s="9"/>
      <c r="Y157" s="9"/>
      <c r="Z157" s="9"/>
      <c r="AA157" s="9"/>
      <c r="AB157" s="9"/>
      <c r="AD157" s="9"/>
      <c r="AE157" s="9"/>
      <c r="AH157" s="9"/>
      <c r="AI157" s="9"/>
      <c r="AJ157" s="9"/>
      <c r="AK157" s="9"/>
      <c r="AL157" s="9"/>
      <c r="AM157" s="9"/>
      <c r="AN157" s="9"/>
      <c r="AO157" s="9"/>
      <c r="AP157" s="107"/>
      <c r="AQ157" s="107"/>
      <c r="AR157" s="107"/>
      <c r="AS157" s="107"/>
    </row>
    <row r="158" spans="3:45" x14ac:dyDescent="0.25">
      <c r="C158" s="9"/>
      <c r="D158" s="9"/>
      <c r="F158" s="9"/>
      <c r="G158" s="9"/>
      <c r="H158" s="9"/>
      <c r="I158" s="9"/>
      <c r="J158" s="9"/>
      <c r="K158" s="9"/>
      <c r="L158" s="9"/>
      <c r="O158" s="9"/>
      <c r="P158" s="9"/>
      <c r="Q158" s="9"/>
      <c r="R158" s="9"/>
      <c r="S158" s="9"/>
      <c r="T158" s="9"/>
      <c r="W158" s="9"/>
      <c r="Y158" s="9"/>
      <c r="Z158" s="9"/>
      <c r="AA158" s="9"/>
      <c r="AB158" s="9"/>
      <c r="AD158" s="9"/>
      <c r="AE158" s="9"/>
      <c r="AH158" s="9"/>
      <c r="AI158" s="9"/>
      <c r="AJ158" s="9"/>
      <c r="AK158" s="9"/>
      <c r="AL158" s="9"/>
      <c r="AM158" s="9"/>
      <c r="AN158" s="9"/>
      <c r="AO158" s="9"/>
      <c r="AP158" s="107"/>
      <c r="AQ158" s="107"/>
      <c r="AR158" s="107"/>
      <c r="AS158" s="107"/>
    </row>
    <row r="159" spans="3:45" x14ac:dyDescent="0.25">
      <c r="C159" s="9"/>
      <c r="D159" s="9"/>
      <c r="F159" s="9"/>
      <c r="G159" s="9"/>
      <c r="H159" s="9"/>
      <c r="I159" s="9"/>
      <c r="J159" s="9"/>
      <c r="K159" s="9"/>
      <c r="L159" s="9"/>
      <c r="O159" s="9"/>
      <c r="P159" s="9"/>
      <c r="Q159" s="9"/>
      <c r="R159" s="9"/>
      <c r="S159" s="9"/>
      <c r="T159" s="9"/>
      <c r="W159" s="9"/>
      <c r="Y159" s="9"/>
      <c r="Z159" s="9"/>
      <c r="AA159" s="9"/>
      <c r="AB159" s="9"/>
      <c r="AD159" s="9"/>
      <c r="AE159" s="9"/>
      <c r="AH159" s="9"/>
      <c r="AI159" s="9"/>
      <c r="AJ159" s="9"/>
      <c r="AK159" s="9"/>
      <c r="AL159" s="9"/>
      <c r="AM159" s="9"/>
      <c r="AN159" s="9"/>
      <c r="AO159" s="9"/>
      <c r="AP159" s="107"/>
      <c r="AQ159" s="107"/>
      <c r="AR159" s="107"/>
      <c r="AS159" s="107"/>
    </row>
    <row r="160" spans="3:45" x14ac:dyDescent="0.25">
      <c r="C160" s="9"/>
      <c r="D160" s="9"/>
      <c r="F160" s="9"/>
      <c r="G160" s="9"/>
      <c r="H160" s="9"/>
      <c r="I160" s="9"/>
      <c r="J160" s="9"/>
      <c r="K160" s="9"/>
      <c r="L160" s="9"/>
      <c r="O160" s="9"/>
      <c r="P160" s="9"/>
      <c r="Q160" s="9"/>
      <c r="R160" s="9"/>
      <c r="S160" s="9"/>
      <c r="T160" s="9"/>
      <c r="W160" s="9"/>
      <c r="Y160" s="9"/>
      <c r="Z160" s="9"/>
      <c r="AA160" s="9"/>
      <c r="AB160" s="9"/>
      <c r="AD160" s="9"/>
      <c r="AE160" s="9"/>
      <c r="AH160" s="9"/>
      <c r="AI160" s="9"/>
      <c r="AJ160" s="9"/>
      <c r="AK160" s="9"/>
      <c r="AL160" s="9"/>
      <c r="AM160" s="9"/>
      <c r="AN160" s="9"/>
      <c r="AO160" s="9"/>
      <c r="AP160" s="107"/>
      <c r="AQ160" s="107"/>
      <c r="AR160" s="107"/>
      <c r="AS160" s="107"/>
    </row>
    <row r="161" spans="1:45" x14ac:dyDescent="0.25">
      <c r="C161" s="9"/>
      <c r="D161" s="9"/>
      <c r="F161" s="9"/>
      <c r="G161" s="9"/>
      <c r="H161" s="9"/>
      <c r="I161" s="9"/>
      <c r="J161" s="9"/>
      <c r="K161" s="9"/>
      <c r="L161" s="9"/>
      <c r="O161" s="9"/>
      <c r="P161" s="9"/>
      <c r="Q161" s="9"/>
      <c r="R161" s="9"/>
      <c r="S161" s="9"/>
      <c r="T161" s="9"/>
      <c r="W161" s="9"/>
      <c r="Y161" s="9"/>
      <c r="Z161" s="9"/>
      <c r="AA161" s="9"/>
      <c r="AB161" s="9"/>
      <c r="AD161" s="9"/>
      <c r="AE161" s="9"/>
      <c r="AH161" s="9"/>
      <c r="AI161" s="9"/>
      <c r="AJ161" s="9"/>
      <c r="AK161" s="9"/>
      <c r="AL161" s="9"/>
      <c r="AM161" s="9"/>
      <c r="AN161" s="9"/>
      <c r="AO161" s="9"/>
      <c r="AP161" s="107"/>
      <c r="AQ161" s="107"/>
      <c r="AR161" s="107"/>
      <c r="AS161" s="107"/>
    </row>
    <row r="162" spans="1:45" x14ac:dyDescent="0.25">
      <c r="C162" s="9"/>
      <c r="D162" s="9"/>
      <c r="F162" s="9"/>
      <c r="G162" s="9"/>
      <c r="H162" s="9"/>
      <c r="I162" s="9"/>
      <c r="J162" s="9"/>
      <c r="K162" s="9"/>
      <c r="L162" s="9"/>
      <c r="O162" s="9"/>
      <c r="P162" s="9"/>
      <c r="Q162" s="9"/>
      <c r="R162" s="9"/>
      <c r="S162" s="9"/>
      <c r="T162" s="9"/>
      <c r="W162" s="9"/>
      <c r="Y162" s="9"/>
      <c r="Z162" s="9"/>
      <c r="AA162" s="9"/>
      <c r="AB162" s="9"/>
      <c r="AD162" s="9"/>
      <c r="AE162" s="9"/>
      <c r="AH162" s="9"/>
      <c r="AI162" s="9"/>
      <c r="AJ162" s="9"/>
      <c r="AK162" s="9"/>
      <c r="AL162" s="9"/>
      <c r="AM162" s="9"/>
      <c r="AN162" s="9"/>
      <c r="AO162" s="9"/>
      <c r="AP162" s="107"/>
      <c r="AQ162" s="107"/>
      <c r="AR162" s="107"/>
      <c r="AS162" s="107"/>
    </row>
    <row r="163" spans="1:45" x14ac:dyDescent="0.25">
      <c r="C163" s="9"/>
      <c r="D163" s="9"/>
      <c r="F163" s="9"/>
      <c r="G163" s="9"/>
      <c r="H163" s="9"/>
      <c r="I163" s="9"/>
      <c r="J163" s="9"/>
      <c r="K163" s="9"/>
      <c r="L163" s="9"/>
      <c r="O163" s="9"/>
      <c r="P163" s="9"/>
      <c r="Q163" s="9"/>
      <c r="R163" s="9"/>
      <c r="S163" s="9"/>
      <c r="T163" s="9"/>
      <c r="W163" s="9"/>
      <c r="Y163" s="9"/>
      <c r="Z163" s="9"/>
      <c r="AA163" s="9"/>
      <c r="AB163" s="9"/>
      <c r="AD163" s="9"/>
      <c r="AE163" s="9"/>
      <c r="AH163" s="9"/>
      <c r="AI163" s="9"/>
      <c r="AJ163" s="9"/>
      <c r="AK163" s="9"/>
      <c r="AL163" s="9"/>
      <c r="AM163" s="9"/>
      <c r="AN163" s="9"/>
      <c r="AO163" s="9"/>
      <c r="AP163" s="107"/>
      <c r="AQ163" s="107"/>
      <c r="AR163" s="107"/>
      <c r="AS163" s="107"/>
    </row>
    <row r="164" spans="1:45" x14ac:dyDescent="0.25">
      <c r="C164" s="9"/>
      <c r="D164" s="9"/>
      <c r="F164" s="9"/>
      <c r="G164" s="9"/>
      <c r="H164" s="9"/>
      <c r="I164" s="9"/>
      <c r="J164" s="9"/>
      <c r="K164" s="9"/>
      <c r="L164" s="9"/>
      <c r="O164" s="9"/>
      <c r="P164" s="9"/>
      <c r="Q164" s="9"/>
      <c r="R164" s="9"/>
      <c r="S164" s="9"/>
      <c r="T164" s="9"/>
      <c r="W164" s="9"/>
      <c r="Y164" s="9"/>
      <c r="Z164" s="9"/>
      <c r="AA164" s="9"/>
      <c r="AB164" s="9"/>
      <c r="AD164" s="9"/>
      <c r="AE164" s="9"/>
      <c r="AH164" s="9"/>
      <c r="AI164" s="9"/>
      <c r="AJ164" s="9"/>
      <c r="AK164" s="9"/>
      <c r="AL164" s="9"/>
      <c r="AM164" s="9"/>
      <c r="AN164" s="9"/>
      <c r="AO164" s="9"/>
      <c r="AP164" s="107"/>
      <c r="AQ164" s="107"/>
      <c r="AR164" s="107"/>
      <c r="AS164" s="107"/>
    </row>
    <row r="165" spans="1:45" x14ac:dyDescent="0.25">
      <c r="C165" s="9"/>
      <c r="D165" s="9"/>
      <c r="F165" s="9"/>
      <c r="G165" s="9"/>
      <c r="H165" s="9"/>
      <c r="I165" s="9"/>
      <c r="J165" s="9"/>
      <c r="K165" s="9"/>
      <c r="L165" s="9"/>
      <c r="O165" s="9"/>
      <c r="P165" s="9"/>
      <c r="Q165" s="9"/>
      <c r="R165" s="9"/>
      <c r="S165" s="9"/>
      <c r="T165" s="9"/>
      <c r="W165" s="9"/>
      <c r="Y165" s="9"/>
      <c r="Z165" s="9"/>
      <c r="AA165" s="9"/>
      <c r="AB165" s="9"/>
      <c r="AD165" s="9"/>
      <c r="AE165" s="9"/>
      <c r="AH165" s="9"/>
      <c r="AI165" s="9"/>
      <c r="AJ165" s="9"/>
      <c r="AK165" s="9"/>
      <c r="AL165" s="9"/>
      <c r="AM165" s="9"/>
      <c r="AN165" s="9"/>
      <c r="AO165" s="9"/>
      <c r="AP165" s="107"/>
      <c r="AQ165" s="107"/>
      <c r="AR165" s="107"/>
      <c r="AS165" s="107"/>
    </row>
    <row r="166" spans="1:45" x14ac:dyDescent="0.25">
      <c r="C166" s="9"/>
      <c r="D166" s="9"/>
      <c r="F166" s="9"/>
      <c r="G166" s="9"/>
      <c r="H166" s="9"/>
      <c r="I166" s="9"/>
      <c r="J166" s="9"/>
      <c r="K166" s="9"/>
      <c r="L166" s="9"/>
      <c r="O166" s="9"/>
      <c r="P166" s="9"/>
      <c r="Q166" s="9"/>
      <c r="R166" s="9"/>
      <c r="S166" s="9"/>
      <c r="T166" s="9"/>
      <c r="W166" s="9"/>
      <c r="Y166" s="9"/>
      <c r="Z166" s="9"/>
      <c r="AA166" s="9"/>
      <c r="AB166" s="9"/>
      <c r="AD166" s="9"/>
      <c r="AE166" s="9"/>
      <c r="AH166" s="9"/>
      <c r="AI166" s="9"/>
      <c r="AJ166" s="9"/>
      <c r="AK166" s="9"/>
      <c r="AL166" s="9"/>
      <c r="AM166" s="9"/>
      <c r="AN166" s="9"/>
      <c r="AO166" s="9"/>
      <c r="AP166" s="107"/>
      <c r="AQ166" s="107"/>
      <c r="AR166" s="107"/>
      <c r="AS166" s="107"/>
    </row>
    <row r="167" spans="1:45" x14ac:dyDescent="0.25">
      <c r="C167" s="9"/>
      <c r="D167" s="9"/>
      <c r="F167" s="9"/>
      <c r="G167" s="9"/>
      <c r="H167" s="9"/>
      <c r="I167" s="9"/>
      <c r="J167" s="9"/>
      <c r="K167" s="9"/>
      <c r="L167" s="9"/>
      <c r="O167" s="9"/>
      <c r="P167" s="9"/>
      <c r="Q167" s="9"/>
      <c r="R167" s="9"/>
      <c r="S167" s="9"/>
      <c r="T167" s="9"/>
      <c r="W167" s="9"/>
      <c r="Y167" s="9"/>
      <c r="Z167" s="9"/>
      <c r="AA167" s="9"/>
      <c r="AB167" s="9"/>
      <c r="AD167" s="9"/>
      <c r="AE167" s="9"/>
      <c r="AH167" s="9"/>
      <c r="AI167" s="9"/>
      <c r="AJ167" s="9"/>
      <c r="AK167" s="9"/>
      <c r="AL167" s="9"/>
      <c r="AM167" s="9"/>
      <c r="AN167" s="9"/>
      <c r="AO167" s="9"/>
      <c r="AP167" s="107"/>
      <c r="AQ167" s="107"/>
      <c r="AR167" s="107"/>
      <c r="AS167" s="107"/>
    </row>
    <row r="168" spans="1:45" x14ac:dyDescent="0.25">
      <c r="C168" s="9"/>
      <c r="D168" s="9"/>
      <c r="F168" s="9"/>
      <c r="G168" s="9"/>
      <c r="H168" s="9"/>
      <c r="I168" s="9"/>
      <c r="J168" s="9"/>
      <c r="K168" s="9"/>
      <c r="L168" s="9"/>
      <c r="O168" s="9"/>
      <c r="P168" s="9"/>
      <c r="Q168" s="9"/>
      <c r="R168" s="9"/>
      <c r="S168" s="9"/>
      <c r="T168" s="9"/>
      <c r="W168" s="9"/>
      <c r="Y168" s="9"/>
      <c r="Z168" s="9"/>
      <c r="AA168" s="9"/>
      <c r="AB168" s="9"/>
      <c r="AD168" s="9"/>
      <c r="AE168" s="9"/>
      <c r="AH168" s="9"/>
      <c r="AI168" s="9"/>
      <c r="AJ168" s="9"/>
      <c r="AK168" s="9"/>
      <c r="AL168" s="9"/>
      <c r="AM168" s="9"/>
      <c r="AN168" s="9"/>
      <c r="AO168" s="9"/>
      <c r="AP168" s="107"/>
      <c r="AQ168" s="107"/>
      <c r="AR168" s="107"/>
      <c r="AS168" s="107"/>
    </row>
    <row r="169" spans="1:45" x14ac:dyDescent="0.25">
      <c r="C169" s="9"/>
      <c r="D169" s="9"/>
      <c r="F169" s="9"/>
      <c r="G169" s="9"/>
      <c r="H169" s="9"/>
      <c r="I169" s="9"/>
      <c r="J169" s="9"/>
      <c r="K169" s="9"/>
      <c r="L169" s="9"/>
      <c r="O169" s="9"/>
      <c r="P169" s="9"/>
      <c r="Q169" s="9"/>
      <c r="R169" s="9"/>
      <c r="S169" s="9"/>
      <c r="T169" s="9"/>
      <c r="W169" s="9"/>
      <c r="Y169" s="9"/>
      <c r="Z169" s="9"/>
      <c r="AA169" s="9"/>
      <c r="AB169" s="9"/>
      <c r="AD169" s="9"/>
      <c r="AE169" s="9"/>
      <c r="AH169" s="9"/>
      <c r="AI169" s="9"/>
      <c r="AJ169" s="9"/>
      <c r="AK169" s="9"/>
      <c r="AL169" s="9"/>
      <c r="AM169" s="9"/>
      <c r="AN169" s="9"/>
      <c r="AO169" s="9"/>
      <c r="AP169" s="107"/>
      <c r="AQ169" s="107"/>
      <c r="AR169" s="107"/>
      <c r="AS169" s="107"/>
    </row>
    <row r="170" spans="1:45" x14ac:dyDescent="0.25">
      <c r="C170" s="9"/>
      <c r="D170" s="9"/>
      <c r="F170" s="9"/>
      <c r="G170" s="9"/>
      <c r="H170" s="9"/>
      <c r="I170" s="9"/>
      <c r="J170" s="9"/>
      <c r="K170" s="9"/>
      <c r="L170" s="9"/>
      <c r="O170" s="9"/>
      <c r="P170" s="9"/>
      <c r="Q170" s="9"/>
      <c r="R170" s="9"/>
      <c r="S170" s="9"/>
      <c r="T170" s="9"/>
      <c r="W170" s="9"/>
      <c r="Y170" s="9"/>
      <c r="Z170" s="9"/>
      <c r="AA170" s="9"/>
      <c r="AB170" s="9"/>
      <c r="AD170" s="9"/>
      <c r="AE170" s="9"/>
      <c r="AH170" s="9"/>
      <c r="AI170" s="9"/>
      <c r="AJ170" s="9"/>
      <c r="AK170" s="9"/>
      <c r="AL170" s="9"/>
      <c r="AM170" s="9"/>
      <c r="AN170" s="9"/>
      <c r="AO170" s="9"/>
      <c r="AP170" s="107"/>
      <c r="AQ170" s="107"/>
      <c r="AR170" s="107"/>
      <c r="AS170" s="107"/>
    </row>
    <row r="171" spans="1:45" s="268" customFormat="1" x14ac:dyDescent="0.25">
      <c r="A171" s="107"/>
      <c r="B171" s="107"/>
      <c r="C171" s="9"/>
      <c r="D171" s="9"/>
      <c r="E171" s="107"/>
      <c r="F171" s="9"/>
      <c r="G171" s="9"/>
      <c r="H171" s="9"/>
      <c r="I171" s="9"/>
      <c r="J171" s="9"/>
      <c r="K171" s="9"/>
      <c r="L171" s="9"/>
      <c r="M171" s="107"/>
      <c r="N171" s="107"/>
      <c r="O171" s="9"/>
      <c r="P171" s="9"/>
      <c r="Q171" s="9"/>
      <c r="R171" s="9"/>
      <c r="S171" s="9"/>
      <c r="T171" s="9"/>
      <c r="U171" s="107"/>
      <c r="V171" s="107"/>
      <c r="W171" s="9"/>
      <c r="X171" s="107"/>
      <c r="Y171" s="9"/>
      <c r="Z171" s="9"/>
      <c r="AA171" s="9"/>
      <c r="AB171" s="9"/>
      <c r="AC171" s="107"/>
      <c r="AD171" s="9"/>
      <c r="AE171" s="9"/>
      <c r="AF171" s="107"/>
      <c r="AG171" s="107"/>
      <c r="AH171" s="9"/>
      <c r="AI171" s="9"/>
      <c r="AJ171" s="9"/>
      <c r="AK171" s="9"/>
      <c r="AL171" s="9"/>
      <c r="AM171" s="9"/>
      <c r="AN171" s="9"/>
      <c r="AO171" s="9"/>
    </row>
    <row r="172" spans="1:45" s="268" customFormat="1" x14ac:dyDescent="0.25">
      <c r="A172" s="107"/>
      <c r="B172" s="107"/>
      <c r="C172" s="9"/>
      <c r="D172" s="9"/>
      <c r="E172" s="107"/>
      <c r="F172" s="9"/>
      <c r="G172" s="9"/>
      <c r="H172" s="9"/>
      <c r="I172" s="9"/>
      <c r="J172" s="9"/>
      <c r="K172" s="9"/>
      <c r="L172" s="9"/>
      <c r="M172" s="107"/>
      <c r="N172" s="107"/>
      <c r="O172" s="9"/>
      <c r="P172" s="9"/>
      <c r="Q172" s="9"/>
      <c r="R172" s="9"/>
      <c r="S172" s="9"/>
      <c r="T172" s="9"/>
      <c r="U172" s="107"/>
      <c r="V172" s="107"/>
      <c r="W172" s="9"/>
      <c r="X172" s="107"/>
      <c r="Y172" s="9"/>
      <c r="Z172" s="9"/>
      <c r="AA172" s="9"/>
      <c r="AB172" s="9"/>
      <c r="AC172" s="107"/>
      <c r="AD172" s="9"/>
      <c r="AE172" s="9"/>
      <c r="AF172" s="107"/>
      <c r="AG172" s="107"/>
      <c r="AH172" s="9"/>
      <c r="AI172" s="9"/>
      <c r="AJ172" s="9"/>
      <c r="AK172" s="9"/>
      <c r="AL172" s="9"/>
      <c r="AM172" s="9"/>
      <c r="AN172" s="9"/>
      <c r="AO172" s="9"/>
    </row>
    <row r="173" spans="1:45" s="268" customFormat="1" x14ac:dyDescent="0.25">
      <c r="A173" s="107"/>
      <c r="B173" s="107"/>
      <c r="C173" s="9"/>
      <c r="D173" s="9"/>
      <c r="E173" s="107"/>
      <c r="F173" s="9"/>
      <c r="G173" s="9"/>
      <c r="H173" s="9"/>
      <c r="I173" s="9"/>
      <c r="J173" s="9"/>
      <c r="K173" s="9"/>
      <c r="L173" s="9"/>
      <c r="M173" s="107"/>
      <c r="N173" s="107"/>
      <c r="O173" s="9"/>
      <c r="P173" s="9"/>
      <c r="Q173" s="9"/>
      <c r="R173" s="9"/>
      <c r="S173" s="9"/>
      <c r="T173" s="9"/>
      <c r="U173" s="107"/>
      <c r="V173" s="107"/>
      <c r="W173" s="9"/>
      <c r="X173" s="107"/>
      <c r="Y173" s="9"/>
      <c r="Z173" s="9"/>
      <c r="AA173" s="9"/>
      <c r="AB173" s="9"/>
      <c r="AC173" s="107"/>
      <c r="AD173" s="9"/>
      <c r="AE173" s="9"/>
      <c r="AF173" s="107"/>
      <c r="AG173" s="107"/>
      <c r="AH173" s="9"/>
      <c r="AI173" s="9"/>
      <c r="AJ173" s="9"/>
      <c r="AK173" s="9"/>
      <c r="AL173" s="9"/>
      <c r="AM173" s="9"/>
      <c r="AN173" s="9"/>
      <c r="AO173" s="9"/>
    </row>
    <row r="174" spans="1:45" s="268" customFormat="1" x14ac:dyDescent="0.25">
      <c r="A174" s="107"/>
      <c r="B174" s="107"/>
      <c r="C174" s="9"/>
      <c r="D174" s="9"/>
      <c r="E174" s="107"/>
      <c r="F174" s="9"/>
      <c r="G174" s="9"/>
      <c r="H174" s="9"/>
      <c r="I174" s="9"/>
      <c r="J174" s="9"/>
      <c r="K174" s="9"/>
      <c r="L174" s="9"/>
      <c r="M174" s="107"/>
      <c r="N174" s="107"/>
      <c r="O174" s="9"/>
      <c r="P174" s="9"/>
      <c r="Q174" s="9"/>
      <c r="R174" s="9"/>
      <c r="S174" s="9"/>
      <c r="T174" s="9"/>
      <c r="U174" s="107"/>
      <c r="V174" s="107"/>
      <c r="W174" s="9"/>
      <c r="X174" s="107"/>
      <c r="Y174" s="9"/>
      <c r="Z174" s="9"/>
      <c r="AA174" s="9"/>
      <c r="AB174" s="9"/>
      <c r="AC174" s="107"/>
      <c r="AD174" s="9"/>
      <c r="AE174" s="9"/>
      <c r="AF174" s="107"/>
      <c r="AG174" s="107"/>
      <c r="AH174" s="9"/>
      <c r="AI174" s="9"/>
      <c r="AJ174" s="9"/>
      <c r="AK174" s="9"/>
      <c r="AL174" s="9"/>
      <c r="AM174" s="9"/>
      <c r="AN174" s="9"/>
      <c r="AO174" s="9"/>
    </row>
    <row r="175" spans="1:45" s="268" customFormat="1" x14ac:dyDescent="0.25">
      <c r="A175" s="107"/>
      <c r="B175" s="107"/>
      <c r="C175" s="9"/>
      <c r="D175" s="9"/>
      <c r="E175" s="107"/>
      <c r="F175" s="9"/>
      <c r="G175" s="9"/>
      <c r="H175" s="9"/>
      <c r="I175" s="9"/>
      <c r="J175" s="9"/>
      <c r="K175" s="9"/>
      <c r="L175" s="9"/>
      <c r="M175" s="107"/>
      <c r="N175" s="107"/>
      <c r="O175" s="9"/>
      <c r="P175" s="9"/>
      <c r="Q175" s="9"/>
      <c r="R175" s="9"/>
      <c r="S175" s="9"/>
      <c r="T175" s="9"/>
      <c r="U175" s="107"/>
      <c r="V175" s="107"/>
      <c r="W175" s="9"/>
      <c r="X175" s="107"/>
      <c r="Y175" s="9"/>
      <c r="Z175" s="9"/>
      <c r="AA175" s="9"/>
      <c r="AB175" s="9"/>
      <c r="AC175" s="107"/>
      <c r="AD175" s="9"/>
      <c r="AE175" s="9"/>
      <c r="AF175" s="107"/>
      <c r="AG175" s="107"/>
      <c r="AH175" s="9"/>
      <c r="AI175" s="9"/>
      <c r="AJ175" s="9"/>
      <c r="AK175" s="9"/>
      <c r="AL175" s="9"/>
      <c r="AM175" s="9"/>
      <c r="AN175" s="9"/>
      <c r="AO175" s="9"/>
    </row>
    <row r="176" spans="1:45" s="268" customFormat="1" x14ac:dyDescent="0.25">
      <c r="A176" s="107"/>
      <c r="B176" s="107"/>
      <c r="C176" s="9"/>
      <c r="D176" s="9"/>
      <c r="E176" s="107"/>
      <c r="F176" s="9"/>
      <c r="G176" s="9"/>
      <c r="H176" s="9"/>
      <c r="I176" s="9"/>
      <c r="J176" s="9"/>
      <c r="K176" s="9"/>
      <c r="L176" s="9"/>
      <c r="M176" s="107"/>
      <c r="N176" s="107"/>
      <c r="O176" s="9"/>
      <c r="P176" s="9"/>
      <c r="Q176" s="9"/>
      <c r="R176" s="9"/>
      <c r="S176" s="9"/>
      <c r="T176" s="9"/>
      <c r="U176" s="107"/>
      <c r="V176" s="107"/>
      <c r="W176" s="9"/>
      <c r="X176" s="107"/>
      <c r="Y176" s="9"/>
      <c r="Z176" s="9"/>
      <c r="AA176" s="9"/>
      <c r="AB176" s="9"/>
      <c r="AC176" s="107"/>
      <c r="AD176" s="9"/>
      <c r="AE176" s="9"/>
      <c r="AF176" s="107"/>
      <c r="AG176" s="107"/>
      <c r="AH176" s="9"/>
      <c r="AI176" s="9"/>
      <c r="AJ176" s="9"/>
      <c r="AK176" s="9"/>
      <c r="AL176" s="9"/>
      <c r="AM176" s="9"/>
      <c r="AN176" s="9"/>
      <c r="AO176" s="9"/>
    </row>
    <row r="177" spans="1:44" s="268" customFormat="1" x14ac:dyDescent="0.25">
      <c r="A177" s="107"/>
      <c r="B177" s="107"/>
      <c r="C177" s="9"/>
      <c r="D177" s="9"/>
      <c r="E177" s="107"/>
      <c r="F177" s="9"/>
      <c r="G177" s="9"/>
      <c r="H177" s="9"/>
      <c r="I177" s="9"/>
      <c r="J177" s="9"/>
      <c r="K177" s="9"/>
      <c r="L177" s="9"/>
      <c r="M177" s="107"/>
      <c r="N177" s="107"/>
      <c r="O177" s="9"/>
      <c r="P177" s="9"/>
      <c r="Q177" s="9"/>
      <c r="R177" s="9"/>
      <c r="S177" s="9"/>
      <c r="T177" s="9"/>
      <c r="U177" s="107"/>
      <c r="V177" s="107"/>
      <c r="W177" s="9"/>
      <c r="X177" s="107"/>
      <c r="Y177" s="9"/>
      <c r="Z177" s="9"/>
      <c r="AA177" s="9"/>
      <c r="AB177" s="9"/>
      <c r="AC177" s="107"/>
      <c r="AD177" s="9"/>
      <c r="AE177" s="9"/>
      <c r="AF177" s="107"/>
      <c r="AG177" s="107"/>
      <c r="AH177" s="9"/>
      <c r="AI177" s="9"/>
      <c r="AJ177" s="9"/>
      <c r="AK177" s="9"/>
      <c r="AL177" s="9"/>
      <c r="AM177" s="9"/>
      <c r="AN177" s="9"/>
      <c r="AO177" s="9"/>
    </row>
    <row r="178" spans="1:44" s="268" customFormat="1" x14ac:dyDescent="0.25">
      <c r="A178" s="107"/>
      <c r="B178" s="107"/>
      <c r="C178" s="9"/>
      <c r="D178" s="9"/>
      <c r="E178" s="107"/>
      <c r="F178" s="9"/>
      <c r="G178" s="9"/>
      <c r="H178" s="9"/>
      <c r="I178" s="9"/>
      <c r="J178" s="9"/>
      <c r="K178" s="9"/>
      <c r="L178" s="9"/>
      <c r="M178" s="107"/>
      <c r="N178" s="107"/>
      <c r="O178" s="9"/>
      <c r="P178" s="9"/>
      <c r="Q178" s="9"/>
      <c r="R178" s="9"/>
      <c r="S178" s="9"/>
      <c r="T178" s="9"/>
      <c r="U178" s="107"/>
      <c r="V178" s="107"/>
      <c r="W178" s="9"/>
      <c r="X178" s="107"/>
      <c r="Y178" s="9"/>
      <c r="Z178" s="9"/>
      <c r="AA178" s="9"/>
      <c r="AB178" s="9"/>
      <c r="AC178" s="107"/>
      <c r="AD178" s="9"/>
      <c r="AE178" s="9"/>
      <c r="AF178" s="107"/>
      <c r="AG178" s="107"/>
      <c r="AH178" s="9"/>
      <c r="AI178" s="9"/>
      <c r="AJ178" s="9"/>
      <c r="AK178" s="9"/>
      <c r="AL178" s="9"/>
      <c r="AM178" s="9"/>
      <c r="AN178" s="9"/>
      <c r="AO178" s="9"/>
    </row>
    <row r="179" spans="1:44" s="268" customFormat="1" x14ac:dyDescent="0.25">
      <c r="A179" s="107"/>
      <c r="B179" s="107"/>
      <c r="C179" s="9"/>
      <c r="D179" s="9"/>
      <c r="E179" s="107"/>
      <c r="F179" s="9"/>
      <c r="G179" s="9"/>
      <c r="H179" s="9"/>
      <c r="I179" s="9"/>
      <c r="J179" s="9"/>
      <c r="K179" s="9"/>
      <c r="L179" s="9"/>
      <c r="M179" s="107"/>
      <c r="N179" s="107"/>
      <c r="O179" s="9"/>
      <c r="P179" s="9"/>
      <c r="Q179" s="9"/>
      <c r="R179" s="9"/>
      <c r="S179" s="9"/>
      <c r="T179" s="9"/>
      <c r="U179" s="107"/>
      <c r="V179" s="107"/>
      <c r="W179" s="9"/>
      <c r="X179" s="107"/>
      <c r="Y179" s="9"/>
      <c r="Z179" s="9"/>
      <c r="AA179" s="9"/>
      <c r="AB179" s="9"/>
      <c r="AC179" s="107"/>
      <c r="AD179" s="9"/>
      <c r="AE179" s="9"/>
      <c r="AF179" s="107"/>
      <c r="AG179" s="107"/>
      <c r="AH179" s="9"/>
      <c r="AI179" s="9"/>
      <c r="AJ179" s="9"/>
      <c r="AK179" s="9"/>
      <c r="AL179" s="9"/>
      <c r="AM179" s="9"/>
      <c r="AN179" s="9"/>
      <c r="AO179" s="9"/>
    </row>
    <row r="180" spans="1:44" s="268" customFormat="1" x14ac:dyDescent="0.25">
      <c r="A180" s="107"/>
      <c r="B180" s="107"/>
      <c r="C180" s="9"/>
      <c r="D180" s="9"/>
      <c r="E180" s="107"/>
      <c r="F180" s="9"/>
      <c r="G180" s="9"/>
      <c r="H180" s="9"/>
      <c r="I180" s="9"/>
      <c r="J180" s="9"/>
      <c r="K180" s="9"/>
      <c r="L180" s="9"/>
      <c r="M180" s="107"/>
      <c r="N180" s="107"/>
      <c r="O180" s="9"/>
      <c r="P180" s="9"/>
      <c r="Q180" s="9"/>
      <c r="R180" s="9"/>
      <c r="S180" s="9"/>
      <c r="T180" s="9"/>
      <c r="U180" s="107"/>
      <c r="V180" s="107"/>
      <c r="W180" s="9"/>
      <c r="X180" s="107"/>
      <c r="Y180" s="9"/>
      <c r="Z180" s="9"/>
      <c r="AA180" s="9"/>
      <c r="AB180" s="9"/>
      <c r="AC180" s="107"/>
      <c r="AD180" s="9"/>
      <c r="AE180" s="9"/>
      <c r="AF180" s="107"/>
      <c r="AG180" s="107"/>
      <c r="AH180" s="9"/>
      <c r="AI180" s="9"/>
      <c r="AJ180" s="9"/>
      <c r="AK180" s="9"/>
      <c r="AL180" s="9"/>
      <c r="AM180" s="9"/>
      <c r="AN180" s="9"/>
      <c r="AO180" s="9"/>
    </row>
    <row r="181" spans="1:44" s="268" customFormat="1" x14ac:dyDescent="0.25">
      <c r="A181" s="107"/>
      <c r="B181" s="107"/>
      <c r="C181" s="9"/>
      <c r="D181" s="9"/>
      <c r="E181" s="107"/>
      <c r="F181" s="9"/>
      <c r="G181" s="9"/>
      <c r="H181" s="9"/>
      <c r="I181" s="9"/>
      <c r="J181" s="9"/>
      <c r="K181" s="9"/>
      <c r="L181" s="9"/>
      <c r="M181" s="107"/>
      <c r="N181" s="107"/>
      <c r="O181" s="9"/>
      <c r="P181" s="9"/>
      <c r="Q181" s="9"/>
      <c r="R181" s="9"/>
      <c r="S181" s="9"/>
      <c r="T181" s="9"/>
      <c r="U181" s="107"/>
      <c r="V181" s="107"/>
      <c r="W181" s="9"/>
      <c r="X181" s="107"/>
      <c r="Y181" s="9"/>
      <c r="Z181" s="9"/>
      <c r="AA181" s="9"/>
      <c r="AB181" s="9"/>
      <c r="AC181" s="107"/>
      <c r="AD181" s="9"/>
      <c r="AE181" s="9"/>
      <c r="AF181" s="107"/>
      <c r="AG181" s="107"/>
      <c r="AH181" s="9"/>
      <c r="AI181" s="9"/>
      <c r="AJ181" s="9"/>
      <c r="AK181" s="9"/>
      <c r="AL181" s="9"/>
      <c r="AM181" s="9"/>
      <c r="AN181" s="9"/>
      <c r="AO181" s="9"/>
    </row>
    <row r="182" spans="1:44" s="268" customFormat="1" x14ac:dyDescent="0.25">
      <c r="A182" s="107"/>
      <c r="B182" s="107"/>
      <c r="C182" s="9"/>
      <c r="D182" s="9"/>
      <c r="E182" s="107"/>
      <c r="F182" s="9"/>
      <c r="G182" s="9"/>
      <c r="H182" s="9"/>
      <c r="I182" s="9"/>
      <c r="J182" s="9"/>
      <c r="K182" s="9"/>
      <c r="L182" s="9"/>
      <c r="M182" s="107"/>
      <c r="N182" s="107"/>
      <c r="O182" s="9"/>
      <c r="P182" s="9"/>
      <c r="Q182" s="9"/>
      <c r="R182" s="9"/>
      <c r="S182" s="9"/>
      <c r="T182" s="9"/>
      <c r="U182" s="107"/>
      <c r="V182" s="107"/>
      <c r="W182" s="9"/>
      <c r="X182" s="107"/>
      <c r="Y182" s="9"/>
      <c r="Z182" s="9"/>
      <c r="AA182" s="9"/>
      <c r="AB182" s="9"/>
      <c r="AC182" s="107"/>
      <c r="AD182" s="9"/>
      <c r="AE182" s="9"/>
      <c r="AF182" s="107"/>
      <c r="AG182" s="107"/>
      <c r="AH182" s="9"/>
      <c r="AI182" s="9"/>
      <c r="AJ182" s="9"/>
      <c r="AK182" s="9"/>
      <c r="AL182" s="9"/>
      <c r="AM182" s="9"/>
      <c r="AN182" s="9"/>
      <c r="AO182" s="9"/>
    </row>
    <row r="183" spans="1:44" s="268" customFormat="1" x14ac:dyDescent="0.25">
      <c r="A183" s="107"/>
      <c r="B183" s="107"/>
      <c r="C183" s="9"/>
      <c r="D183" s="9"/>
      <c r="E183" s="107"/>
      <c r="F183" s="9"/>
      <c r="G183" s="9"/>
      <c r="H183" s="9"/>
      <c r="I183" s="9"/>
      <c r="J183" s="9"/>
      <c r="K183" s="9"/>
      <c r="L183" s="9"/>
      <c r="M183" s="107"/>
      <c r="N183" s="107"/>
      <c r="O183" s="9"/>
      <c r="P183" s="9"/>
      <c r="Q183" s="9"/>
      <c r="R183" s="9"/>
      <c r="S183" s="9"/>
      <c r="T183" s="9"/>
      <c r="U183" s="107"/>
      <c r="V183" s="107"/>
      <c r="W183" s="9"/>
      <c r="X183" s="107"/>
      <c r="Y183" s="9"/>
      <c r="Z183" s="9"/>
      <c r="AA183" s="9"/>
      <c r="AB183" s="9"/>
      <c r="AC183" s="107"/>
      <c r="AD183" s="9"/>
      <c r="AE183" s="9"/>
      <c r="AF183" s="107"/>
      <c r="AG183" s="107"/>
      <c r="AH183" s="9"/>
      <c r="AI183" s="9"/>
      <c r="AJ183" s="9"/>
      <c r="AK183" s="9"/>
      <c r="AL183" s="9"/>
      <c r="AM183" s="9"/>
      <c r="AN183" s="9"/>
      <c r="AO183" s="9"/>
    </row>
    <row r="184" spans="1:44" s="268" customFormat="1" x14ac:dyDescent="0.25">
      <c r="A184" s="107"/>
      <c r="B184" s="107"/>
      <c r="C184" s="9"/>
      <c r="D184" s="9"/>
      <c r="E184" s="107"/>
      <c r="F184" s="9"/>
      <c r="G184" s="9"/>
      <c r="H184" s="9"/>
      <c r="I184" s="9"/>
      <c r="J184" s="9"/>
      <c r="K184" s="9"/>
      <c r="L184" s="9"/>
      <c r="M184" s="107"/>
      <c r="N184" s="107"/>
      <c r="O184" s="9"/>
      <c r="P184" s="9"/>
      <c r="Q184" s="9"/>
      <c r="R184" s="9"/>
      <c r="S184" s="9"/>
      <c r="T184" s="9"/>
      <c r="U184" s="107"/>
      <c r="V184" s="107"/>
      <c r="W184" s="9"/>
      <c r="X184" s="107"/>
      <c r="Y184" s="9"/>
      <c r="Z184" s="9"/>
      <c r="AA184" s="9"/>
      <c r="AB184" s="9"/>
      <c r="AC184" s="107"/>
      <c r="AD184" s="9"/>
      <c r="AE184" s="9"/>
      <c r="AF184" s="107"/>
      <c r="AG184" s="107"/>
      <c r="AH184" s="9"/>
      <c r="AI184" s="9"/>
      <c r="AJ184" s="9"/>
      <c r="AK184" s="9"/>
      <c r="AL184" s="9"/>
      <c r="AM184" s="9"/>
      <c r="AN184" s="9"/>
      <c r="AO184" s="9"/>
    </row>
    <row r="185" spans="1:44" s="268" customFormat="1" x14ac:dyDescent="0.25">
      <c r="A185" s="107"/>
      <c r="B185" s="107"/>
      <c r="C185" s="9"/>
      <c r="D185" s="9"/>
      <c r="E185" s="107"/>
      <c r="F185" s="7"/>
      <c r="G185" s="7"/>
      <c r="H185" s="7"/>
      <c r="I185" s="7"/>
      <c r="J185" s="7"/>
      <c r="K185" s="7"/>
      <c r="L185" s="7"/>
      <c r="M185" s="10"/>
      <c r="N185" s="107"/>
      <c r="O185" s="7"/>
      <c r="P185" s="7"/>
      <c r="Q185" s="7"/>
      <c r="R185" s="7"/>
      <c r="S185" s="7"/>
      <c r="T185" s="7"/>
      <c r="U185" s="10"/>
      <c r="V185" s="10"/>
      <c r="W185" s="7"/>
      <c r="X185" s="10"/>
      <c r="Y185" s="7"/>
      <c r="Z185" s="7"/>
      <c r="AA185" s="7"/>
      <c r="AB185" s="7"/>
      <c r="AC185" s="107"/>
      <c r="AD185" s="7"/>
      <c r="AE185" s="7"/>
      <c r="AF185" s="10"/>
      <c r="AG185" s="10"/>
      <c r="AH185" s="7"/>
      <c r="AI185" s="7"/>
      <c r="AJ185" s="7"/>
      <c r="AK185" s="7"/>
      <c r="AL185" s="7"/>
      <c r="AM185" s="7"/>
      <c r="AN185" s="7"/>
      <c r="AO185" s="7"/>
      <c r="AP185" s="266"/>
      <c r="AR185" s="266"/>
    </row>
    <row r="186" spans="1:44" s="268" customFormat="1" x14ac:dyDescent="0.25">
      <c r="A186" s="107"/>
      <c r="B186" s="107"/>
      <c r="C186" s="9"/>
      <c r="D186" s="9"/>
      <c r="E186" s="107"/>
      <c r="F186" s="7"/>
      <c r="G186" s="7"/>
      <c r="H186" s="7"/>
      <c r="I186" s="7"/>
      <c r="J186" s="7"/>
      <c r="K186" s="7"/>
      <c r="L186" s="7"/>
      <c r="M186" s="10"/>
      <c r="N186" s="107"/>
      <c r="O186" s="7"/>
      <c r="P186" s="7"/>
      <c r="Q186" s="7"/>
      <c r="R186" s="7"/>
      <c r="S186" s="7"/>
      <c r="T186" s="7"/>
      <c r="U186" s="10"/>
      <c r="V186" s="10"/>
      <c r="W186" s="7"/>
      <c r="X186" s="10"/>
      <c r="Y186" s="7"/>
      <c r="Z186" s="7"/>
      <c r="AA186" s="7"/>
      <c r="AB186" s="7"/>
      <c r="AC186" s="107"/>
      <c r="AD186" s="7"/>
      <c r="AE186" s="7"/>
      <c r="AF186" s="10"/>
      <c r="AG186" s="10"/>
      <c r="AH186" s="7"/>
      <c r="AI186" s="7"/>
      <c r="AJ186" s="7"/>
      <c r="AK186" s="7"/>
      <c r="AL186" s="7"/>
      <c r="AM186" s="7"/>
      <c r="AN186" s="7"/>
      <c r="AO186" s="7"/>
      <c r="AP186" s="266"/>
      <c r="AR186" s="266"/>
    </row>
    <row r="187" spans="1:44" s="268" customFormat="1" x14ac:dyDescent="0.25">
      <c r="A187" s="107"/>
      <c r="B187" s="107"/>
      <c r="C187" s="9"/>
      <c r="D187" s="9"/>
      <c r="E187" s="107"/>
      <c r="F187" s="7"/>
      <c r="G187" s="7"/>
      <c r="H187" s="7"/>
      <c r="I187" s="7"/>
      <c r="J187" s="7"/>
      <c r="K187" s="7"/>
      <c r="L187" s="7"/>
      <c r="M187" s="10"/>
      <c r="N187" s="107"/>
      <c r="O187" s="7"/>
      <c r="P187" s="7"/>
      <c r="Q187" s="7"/>
      <c r="R187" s="7"/>
      <c r="S187" s="7"/>
      <c r="T187" s="7"/>
      <c r="U187" s="10"/>
      <c r="V187" s="10"/>
      <c r="W187" s="7"/>
      <c r="X187" s="10"/>
      <c r="Y187" s="7"/>
      <c r="Z187" s="7"/>
      <c r="AA187" s="7"/>
      <c r="AB187" s="7"/>
      <c r="AC187" s="107"/>
      <c r="AD187" s="7"/>
      <c r="AE187" s="7"/>
      <c r="AF187" s="10"/>
      <c r="AG187" s="10"/>
      <c r="AH187" s="7"/>
      <c r="AI187" s="7"/>
      <c r="AJ187" s="7"/>
      <c r="AK187" s="7"/>
      <c r="AL187" s="7"/>
      <c r="AM187" s="7"/>
      <c r="AN187" s="7"/>
      <c r="AO187" s="7"/>
      <c r="AP187" s="266"/>
      <c r="AR187" s="266"/>
    </row>
    <row r="188" spans="1:44" s="268" customFormat="1" x14ac:dyDescent="0.25">
      <c r="A188" s="107"/>
      <c r="B188" s="107"/>
      <c r="C188" s="9"/>
      <c r="D188" s="9"/>
      <c r="E188" s="107"/>
      <c r="F188" s="7"/>
      <c r="G188" s="7"/>
      <c r="H188" s="7"/>
      <c r="I188" s="7"/>
      <c r="J188" s="7"/>
      <c r="K188" s="7"/>
      <c r="L188" s="7"/>
      <c r="M188" s="10"/>
      <c r="N188" s="107"/>
      <c r="O188" s="7"/>
      <c r="P188" s="7"/>
      <c r="Q188" s="7"/>
      <c r="R188" s="7"/>
      <c r="S188" s="7"/>
      <c r="T188" s="7"/>
      <c r="U188" s="10"/>
      <c r="V188" s="10"/>
      <c r="W188" s="7"/>
      <c r="X188" s="10"/>
      <c r="Y188" s="7"/>
      <c r="Z188" s="7"/>
      <c r="AA188" s="7"/>
      <c r="AB188" s="7"/>
      <c r="AC188" s="107"/>
      <c r="AD188" s="7"/>
      <c r="AE188" s="7"/>
      <c r="AF188" s="10"/>
      <c r="AG188" s="10"/>
      <c r="AH188" s="7"/>
      <c r="AI188" s="7"/>
      <c r="AJ188" s="7"/>
      <c r="AK188" s="7"/>
      <c r="AL188" s="7"/>
      <c r="AM188" s="7"/>
      <c r="AN188" s="7"/>
      <c r="AO188" s="7"/>
      <c r="AP188" s="266"/>
      <c r="AR188" s="266"/>
    </row>
    <row r="189" spans="1:44" s="268" customFormat="1" x14ac:dyDescent="0.25">
      <c r="A189" s="107"/>
      <c r="B189" s="107"/>
      <c r="C189" s="9"/>
      <c r="D189" s="9"/>
      <c r="E189" s="107"/>
      <c r="F189" s="7"/>
      <c r="G189" s="7"/>
      <c r="H189" s="7"/>
      <c r="I189" s="7"/>
      <c r="J189" s="7"/>
      <c r="K189" s="7"/>
      <c r="L189" s="7"/>
      <c r="M189" s="10"/>
      <c r="N189" s="107"/>
      <c r="O189" s="7"/>
      <c r="P189" s="7"/>
      <c r="Q189" s="7"/>
      <c r="R189" s="7"/>
      <c r="S189" s="7"/>
      <c r="T189" s="7"/>
      <c r="U189" s="10"/>
      <c r="V189" s="10"/>
      <c r="W189" s="7"/>
      <c r="X189" s="10"/>
      <c r="Y189" s="7"/>
      <c r="Z189" s="7"/>
      <c r="AA189" s="7"/>
      <c r="AB189" s="7"/>
      <c r="AC189" s="107"/>
      <c r="AD189" s="7"/>
      <c r="AE189" s="7"/>
      <c r="AF189" s="10"/>
      <c r="AG189" s="10"/>
      <c r="AH189" s="7"/>
      <c r="AI189" s="7"/>
      <c r="AJ189" s="7"/>
      <c r="AK189" s="7"/>
      <c r="AL189" s="7"/>
      <c r="AM189" s="7"/>
      <c r="AN189" s="7"/>
      <c r="AO189" s="7"/>
      <c r="AP189" s="266"/>
      <c r="AR189" s="266"/>
    </row>
    <row r="190" spans="1:44" s="268" customFormat="1" x14ac:dyDescent="0.25">
      <c r="A190" s="107"/>
      <c r="B190" s="107"/>
      <c r="C190" s="9"/>
      <c r="D190" s="9"/>
      <c r="E190" s="107"/>
      <c r="F190" s="7"/>
      <c r="G190" s="7"/>
      <c r="H190" s="7"/>
      <c r="I190" s="7"/>
      <c r="J190" s="7"/>
      <c r="K190" s="7"/>
      <c r="L190" s="7"/>
      <c r="M190" s="10"/>
      <c r="N190" s="107"/>
      <c r="O190" s="7"/>
      <c r="P190" s="7"/>
      <c r="Q190" s="7"/>
      <c r="R190" s="7"/>
      <c r="S190" s="7"/>
      <c r="T190" s="7"/>
      <c r="U190" s="10"/>
      <c r="V190" s="10"/>
      <c r="W190" s="7"/>
      <c r="X190" s="10"/>
      <c r="Y190" s="7"/>
      <c r="Z190" s="7"/>
      <c r="AA190" s="7"/>
      <c r="AB190" s="7"/>
      <c r="AC190" s="107"/>
      <c r="AD190" s="7"/>
      <c r="AE190" s="7"/>
      <c r="AF190" s="10"/>
      <c r="AG190" s="10"/>
      <c r="AH190" s="7"/>
      <c r="AI190" s="7"/>
      <c r="AJ190" s="7"/>
      <c r="AK190" s="7"/>
      <c r="AL190" s="7"/>
      <c r="AM190" s="7"/>
      <c r="AN190" s="7"/>
      <c r="AO190" s="7"/>
      <c r="AP190" s="266"/>
      <c r="AR190" s="266"/>
    </row>
    <row r="191" spans="1:44" s="268" customFormat="1" x14ac:dyDescent="0.25">
      <c r="A191" s="107"/>
      <c r="B191" s="107"/>
      <c r="C191" s="9"/>
      <c r="D191" s="9"/>
      <c r="E191" s="107"/>
      <c r="F191" s="7"/>
      <c r="G191" s="7"/>
      <c r="H191" s="7"/>
      <c r="I191" s="7"/>
      <c r="J191" s="7"/>
      <c r="K191" s="7"/>
      <c r="L191" s="7"/>
      <c r="M191" s="10"/>
      <c r="N191" s="107"/>
      <c r="O191" s="7"/>
      <c r="P191" s="7"/>
      <c r="Q191" s="7"/>
      <c r="R191" s="7"/>
      <c r="S191" s="7"/>
      <c r="T191" s="7"/>
      <c r="U191" s="10"/>
      <c r="V191" s="10"/>
      <c r="W191" s="7"/>
      <c r="X191" s="10"/>
      <c r="Y191" s="7"/>
      <c r="Z191" s="7"/>
      <c r="AA191" s="7"/>
      <c r="AB191" s="7"/>
      <c r="AC191" s="107"/>
      <c r="AD191" s="7"/>
      <c r="AE191" s="7"/>
      <c r="AF191" s="10"/>
      <c r="AG191" s="10"/>
      <c r="AH191" s="7"/>
      <c r="AI191" s="7"/>
      <c r="AJ191" s="7"/>
      <c r="AK191" s="7"/>
      <c r="AL191" s="7"/>
      <c r="AM191" s="7"/>
      <c r="AN191" s="7"/>
      <c r="AO191" s="7"/>
      <c r="AP191" s="266"/>
      <c r="AR191" s="266"/>
    </row>
    <row r="192" spans="1:44" s="268" customFormat="1" x14ac:dyDescent="0.25">
      <c r="A192" s="107"/>
      <c r="B192" s="107"/>
      <c r="C192" s="9"/>
      <c r="D192" s="9"/>
      <c r="E192" s="107"/>
      <c r="F192" s="7"/>
      <c r="G192" s="7"/>
      <c r="H192" s="7"/>
      <c r="I192" s="7"/>
      <c r="J192" s="7"/>
      <c r="K192" s="7"/>
      <c r="L192" s="7"/>
      <c r="M192" s="10"/>
      <c r="N192" s="107"/>
      <c r="O192" s="7"/>
      <c r="P192" s="7"/>
      <c r="Q192" s="7"/>
      <c r="R192" s="7"/>
      <c r="S192" s="7"/>
      <c r="T192" s="7"/>
      <c r="U192" s="10"/>
      <c r="V192" s="10"/>
      <c r="W192" s="7"/>
      <c r="X192" s="10"/>
      <c r="Y192" s="7"/>
      <c r="Z192" s="7"/>
      <c r="AA192" s="7"/>
      <c r="AB192" s="7"/>
      <c r="AC192" s="107"/>
      <c r="AD192" s="7"/>
      <c r="AE192" s="7"/>
      <c r="AF192" s="10"/>
      <c r="AG192" s="10"/>
      <c r="AH192" s="7"/>
      <c r="AI192" s="7"/>
      <c r="AJ192" s="7"/>
      <c r="AK192" s="7"/>
      <c r="AL192" s="7"/>
      <c r="AM192" s="7"/>
      <c r="AN192" s="7"/>
      <c r="AO192" s="7"/>
      <c r="AP192" s="266"/>
      <c r="AR192" s="266"/>
    </row>
    <row r="193" spans="1:44" s="268" customFormat="1" x14ac:dyDescent="0.25">
      <c r="A193" s="107"/>
      <c r="B193" s="107"/>
      <c r="C193" s="9"/>
      <c r="D193" s="9"/>
      <c r="E193" s="107"/>
      <c r="F193" s="7"/>
      <c r="G193" s="7"/>
      <c r="H193" s="7"/>
      <c r="I193" s="7"/>
      <c r="J193" s="7"/>
      <c r="K193" s="7"/>
      <c r="L193" s="7"/>
      <c r="M193" s="10"/>
      <c r="N193" s="107"/>
      <c r="O193" s="7"/>
      <c r="P193" s="7"/>
      <c r="Q193" s="7"/>
      <c r="R193" s="7"/>
      <c r="S193" s="7"/>
      <c r="T193" s="7"/>
      <c r="U193" s="10"/>
      <c r="V193" s="10"/>
      <c r="W193" s="7"/>
      <c r="X193" s="10"/>
      <c r="Y193" s="7"/>
      <c r="Z193" s="7"/>
      <c r="AA193" s="7"/>
      <c r="AB193" s="7"/>
      <c r="AC193" s="107"/>
      <c r="AD193" s="7"/>
      <c r="AE193" s="7"/>
      <c r="AF193" s="10"/>
      <c r="AG193" s="10"/>
      <c r="AH193" s="7"/>
      <c r="AI193" s="7"/>
      <c r="AJ193" s="7"/>
      <c r="AK193" s="7"/>
      <c r="AL193" s="7"/>
      <c r="AM193" s="7"/>
      <c r="AN193" s="7"/>
      <c r="AO193" s="7"/>
      <c r="AP193" s="266"/>
      <c r="AR193" s="266"/>
    </row>
    <row r="194" spans="1:44" s="268" customFormat="1" x14ac:dyDescent="0.25">
      <c r="A194" s="107"/>
      <c r="B194" s="107"/>
      <c r="C194" s="9"/>
      <c r="D194" s="9"/>
      <c r="E194" s="107"/>
      <c r="F194" s="7"/>
      <c r="G194" s="7"/>
      <c r="H194" s="7"/>
      <c r="I194" s="7"/>
      <c r="J194" s="7"/>
      <c r="K194" s="7"/>
      <c r="L194" s="7"/>
      <c r="M194" s="10"/>
      <c r="N194" s="107"/>
      <c r="O194" s="7"/>
      <c r="P194" s="7"/>
      <c r="Q194" s="7"/>
      <c r="R194" s="7"/>
      <c r="S194" s="7"/>
      <c r="T194" s="7"/>
      <c r="U194" s="10"/>
      <c r="V194" s="10"/>
      <c r="W194" s="7"/>
      <c r="X194" s="10"/>
      <c r="Y194" s="7"/>
      <c r="Z194" s="7"/>
      <c r="AA194" s="7"/>
      <c r="AB194" s="7"/>
      <c r="AC194" s="107"/>
      <c r="AD194" s="7"/>
      <c r="AE194" s="7"/>
      <c r="AF194" s="10"/>
      <c r="AG194" s="10"/>
      <c r="AH194" s="7"/>
      <c r="AI194" s="7"/>
      <c r="AJ194" s="7"/>
      <c r="AK194" s="7"/>
      <c r="AL194" s="7"/>
      <c r="AM194" s="7"/>
      <c r="AN194" s="7"/>
      <c r="AO194" s="7"/>
      <c r="AP194" s="266"/>
      <c r="AR194" s="266"/>
    </row>
    <row r="195" spans="1:44" s="268" customFormat="1" x14ac:dyDescent="0.25">
      <c r="A195" s="107"/>
      <c r="B195" s="107"/>
      <c r="C195" s="9"/>
      <c r="D195" s="9"/>
      <c r="E195" s="107"/>
      <c r="F195" s="7"/>
      <c r="G195" s="7"/>
      <c r="H195" s="7"/>
      <c r="I195" s="7"/>
      <c r="J195" s="7"/>
      <c r="K195" s="7"/>
      <c r="L195" s="7"/>
      <c r="M195" s="10"/>
      <c r="N195" s="107"/>
      <c r="O195" s="7"/>
      <c r="P195" s="7"/>
      <c r="Q195" s="7"/>
      <c r="R195" s="7"/>
      <c r="S195" s="7"/>
      <c r="T195" s="7"/>
      <c r="U195" s="10"/>
      <c r="V195" s="10"/>
      <c r="W195" s="7"/>
      <c r="X195" s="10"/>
      <c r="Y195" s="7"/>
      <c r="Z195" s="7"/>
      <c r="AA195" s="7"/>
      <c r="AB195" s="7"/>
      <c r="AC195" s="107"/>
      <c r="AD195" s="7"/>
      <c r="AE195" s="7"/>
      <c r="AF195" s="10"/>
      <c r="AG195" s="10"/>
      <c r="AH195" s="7"/>
      <c r="AI195" s="7"/>
      <c r="AJ195" s="7"/>
      <c r="AK195" s="7"/>
      <c r="AL195" s="7"/>
      <c r="AM195" s="7"/>
      <c r="AN195" s="7"/>
      <c r="AO195" s="7"/>
      <c r="AP195" s="266"/>
      <c r="AR195" s="266"/>
    </row>
    <row r="196" spans="1:44" s="268" customFormat="1" x14ac:dyDescent="0.25">
      <c r="A196" s="107"/>
      <c r="B196" s="107"/>
      <c r="C196" s="9"/>
      <c r="D196" s="9"/>
      <c r="E196" s="107"/>
      <c r="F196" s="7"/>
      <c r="G196" s="7"/>
      <c r="H196" s="7"/>
      <c r="I196" s="7"/>
      <c r="J196" s="7"/>
      <c r="K196" s="7"/>
      <c r="L196" s="7"/>
      <c r="M196" s="10"/>
      <c r="N196" s="107"/>
      <c r="O196" s="7"/>
      <c r="P196" s="7"/>
      <c r="Q196" s="7"/>
      <c r="R196" s="7"/>
      <c r="S196" s="7"/>
      <c r="T196" s="7"/>
      <c r="U196" s="10"/>
      <c r="V196" s="10"/>
      <c r="W196" s="7"/>
      <c r="X196" s="10"/>
      <c r="Y196" s="7"/>
      <c r="Z196" s="7"/>
      <c r="AA196" s="7"/>
      <c r="AB196" s="7"/>
      <c r="AC196" s="107"/>
      <c r="AD196" s="7"/>
      <c r="AE196" s="7"/>
      <c r="AF196" s="10"/>
      <c r="AG196" s="10"/>
      <c r="AH196" s="7"/>
      <c r="AI196" s="7"/>
      <c r="AJ196" s="7"/>
      <c r="AK196" s="7"/>
      <c r="AL196" s="7"/>
      <c r="AM196" s="7"/>
      <c r="AN196" s="7"/>
      <c r="AO196" s="7"/>
      <c r="AP196" s="266"/>
      <c r="AR196" s="266"/>
    </row>
    <row r="197" spans="1:44" s="268" customFormat="1" x14ac:dyDescent="0.25">
      <c r="A197" s="107"/>
      <c r="B197" s="107"/>
      <c r="C197" s="9"/>
      <c r="D197" s="9"/>
      <c r="E197" s="107"/>
      <c r="F197" s="7"/>
      <c r="G197" s="7"/>
      <c r="H197" s="7"/>
      <c r="I197" s="7"/>
      <c r="J197" s="7"/>
      <c r="K197" s="7"/>
      <c r="L197" s="7"/>
      <c r="M197" s="10"/>
      <c r="N197" s="107"/>
      <c r="O197" s="7"/>
      <c r="P197" s="7"/>
      <c r="Q197" s="7"/>
      <c r="R197" s="7"/>
      <c r="S197" s="7"/>
      <c r="T197" s="7"/>
      <c r="U197" s="10"/>
      <c r="V197" s="10"/>
      <c r="W197" s="7"/>
      <c r="X197" s="10"/>
      <c r="Y197" s="7"/>
      <c r="Z197" s="7"/>
      <c r="AA197" s="7"/>
      <c r="AB197" s="7"/>
      <c r="AC197" s="107"/>
      <c r="AD197" s="7"/>
      <c r="AE197" s="7"/>
      <c r="AF197" s="10"/>
      <c r="AG197" s="10"/>
      <c r="AH197" s="7"/>
      <c r="AI197" s="7"/>
      <c r="AJ197" s="7"/>
      <c r="AK197" s="7"/>
      <c r="AL197" s="7"/>
      <c r="AM197" s="7"/>
      <c r="AN197" s="7"/>
      <c r="AO197" s="7"/>
      <c r="AP197" s="266"/>
      <c r="AR197" s="266"/>
    </row>
    <row r="198" spans="1:44" s="268" customFormat="1" x14ac:dyDescent="0.25">
      <c r="A198" s="107"/>
      <c r="B198" s="107"/>
      <c r="C198" s="9"/>
      <c r="D198" s="9"/>
      <c r="E198" s="107"/>
      <c r="F198" s="7"/>
      <c r="G198" s="7"/>
      <c r="H198" s="7"/>
      <c r="I198" s="7"/>
      <c r="J198" s="7"/>
      <c r="K198" s="7"/>
      <c r="L198" s="7"/>
      <c r="M198" s="10"/>
      <c r="N198" s="107"/>
      <c r="O198" s="7"/>
      <c r="P198" s="7"/>
      <c r="Q198" s="7"/>
      <c r="R198" s="7"/>
      <c r="S198" s="7"/>
      <c r="T198" s="7"/>
      <c r="U198" s="10"/>
      <c r="V198" s="10"/>
      <c r="W198" s="7"/>
      <c r="X198" s="10"/>
      <c r="Y198" s="7"/>
      <c r="Z198" s="7"/>
      <c r="AA198" s="7"/>
      <c r="AB198" s="7"/>
      <c r="AC198" s="107"/>
      <c r="AD198" s="7"/>
      <c r="AE198" s="7"/>
      <c r="AF198" s="10"/>
      <c r="AG198" s="10"/>
      <c r="AH198" s="7"/>
      <c r="AI198" s="7"/>
      <c r="AJ198" s="7"/>
      <c r="AK198" s="7"/>
      <c r="AL198" s="7"/>
      <c r="AM198" s="7"/>
      <c r="AN198" s="7"/>
      <c r="AO198" s="7"/>
      <c r="AP198" s="266"/>
      <c r="AR198" s="266"/>
    </row>
    <row r="199" spans="1:44" s="268" customFormat="1" x14ac:dyDescent="0.25">
      <c r="A199" s="107"/>
      <c r="B199" s="107"/>
      <c r="C199" s="9"/>
      <c r="D199" s="9"/>
      <c r="E199" s="107"/>
      <c r="F199" s="7"/>
      <c r="G199" s="7"/>
      <c r="H199" s="7"/>
      <c r="I199" s="7"/>
      <c r="J199" s="7"/>
      <c r="K199" s="7"/>
      <c r="L199" s="7"/>
      <c r="M199" s="10"/>
      <c r="N199" s="107"/>
      <c r="O199" s="7"/>
      <c r="P199" s="7"/>
      <c r="Q199" s="7"/>
      <c r="R199" s="7"/>
      <c r="S199" s="7"/>
      <c r="T199" s="7"/>
      <c r="U199" s="10"/>
      <c r="V199" s="10"/>
      <c r="W199" s="7"/>
      <c r="X199" s="10"/>
      <c r="Y199" s="7"/>
      <c r="Z199" s="7"/>
      <c r="AA199" s="7"/>
      <c r="AB199" s="7"/>
      <c r="AC199" s="107"/>
      <c r="AD199" s="7"/>
      <c r="AE199" s="7"/>
      <c r="AF199" s="10"/>
      <c r="AG199" s="10"/>
      <c r="AH199" s="7"/>
      <c r="AI199" s="7"/>
      <c r="AJ199" s="7"/>
      <c r="AK199" s="7"/>
      <c r="AL199" s="7"/>
      <c r="AM199" s="7"/>
      <c r="AN199" s="7"/>
      <c r="AO199" s="7"/>
      <c r="AP199" s="266"/>
      <c r="AR199" s="266"/>
    </row>
    <row r="200" spans="1:44" s="268" customFormat="1" x14ac:dyDescent="0.25">
      <c r="A200" s="107"/>
      <c r="B200" s="107"/>
      <c r="C200" s="9"/>
      <c r="D200" s="9"/>
      <c r="E200" s="107"/>
      <c r="F200" s="7"/>
      <c r="G200" s="7"/>
      <c r="H200" s="7"/>
      <c r="I200" s="7"/>
      <c r="J200" s="7"/>
      <c r="K200" s="7"/>
      <c r="L200" s="7"/>
      <c r="M200" s="10"/>
      <c r="N200" s="107"/>
      <c r="O200" s="7"/>
      <c r="P200" s="7"/>
      <c r="Q200" s="7"/>
      <c r="R200" s="7"/>
      <c r="S200" s="7"/>
      <c r="T200" s="7"/>
      <c r="U200" s="10"/>
      <c r="V200" s="10"/>
      <c r="W200" s="7"/>
      <c r="X200" s="10"/>
      <c r="Y200" s="7"/>
      <c r="Z200" s="7"/>
      <c r="AA200" s="7"/>
      <c r="AB200" s="7"/>
      <c r="AC200" s="107"/>
      <c r="AD200" s="7"/>
      <c r="AE200" s="7"/>
      <c r="AF200" s="10"/>
      <c r="AG200" s="10"/>
      <c r="AH200" s="7"/>
      <c r="AI200" s="7"/>
      <c r="AJ200" s="7"/>
      <c r="AK200" s="7"/>
      <c r="AL200" s="7"/>
      <c r="AM200" s="7"/>
      <c r="AN200" s="7"/>
      <c r="AO200" s="7"/>
      <c r="AP200" s="266"/>
      <c r="AR200" s="266"/>
    </row>
    <row r="201" spans="1:44" s="268" customFormat="1" x14ac:dyDescent="0.25">
      <c r="A201" s="107"/>
      <c r="B201" s="107"/>
      <c r="C201" s="9"/>
      <c r="D201" s="9"/>
      <c r="E201" s="107"/>
      <c r="F201" s="7"/>
      <c r="G201" s="7"/>
      <c r="H201" s="7"/>
      <c r="I201" s="7"/>
      <c r="J201" s="7"/>
      <c r="K201" s="7"/>
      <c r="L201" s="7"/>
      <c r="M201" s="10"/>
      <c r="N201" s="107"/>
      <c r="O201" s="7"/>
      <c r="P201" s="7"/>
      <c r="Q201" s="7"/>
      <c r="R201" s="7"/>
      <c r="S201" s="7"/>
      <c r="T201" s="7"/>
      <c r="U201" s="10"/>
      <c r="V201" s="10"/>
      <c r="W201" s="7"/>
      <c r="X201" s="10"/>
      <c r="Y201" s="7"/>
      <c r="Z201" s="7"/>
      <c r="AA201" s="7"/>
      <c r="AB201" s="7"/>
      <c r="AC201" s="107"/>
      <c r="AD201" s="7"/>
      <c r="AE201" s="7"/>
      <c r="AF201" s="10"/>
      <c r="AG201" s="10"/>
      <c r="AH201" s="7"/>
      <c r="AI201" s="7"/>
      <c r="AJ201" s="7"/>
      <c r="AK201" s="7"/>
      <c r="AL201" s="7"/>
      <c r="AM201" s="7"/>
      <c r="AN201" s="7"/>
      <c r="AO201" s="7"/>
      <c r="AP201" s="266"/>
      <c r="AR201" s="266"/>
    </row>
    <row r="202" spans="1:44" s="268" customFormat="1" x14ac:dyDescent="0.25">
      <c r="A202" s="107"/>
      <c r="B202" s="107"/>
      <c r="C202" s="9"/>
      <c r="D202" s="9"/>
      <c r="E202" s="107"/>
      <c r="F202" s="7"/>
      <c r="G202" s="7"/>
      <c r="H202" s="7"/>
      <c r="I202" s="7"/>
      <c r="J202" s="7"/>
      <c r="K202" s="7"/>
      <c r="L202" s="7"/>
      <c r="M202" s="10"/>
      <c r="N202" s="107"/>
      <c r="O202" s="7"/>
      <c r="P202" s="7"/>
      <c r="Q202" s="7"/>
      <c r="R202" s="7"/>
      <c r="S202" s="7"/>
      <c r="T202" s="7"/>
      <c r="U202" s="10"/>
      <c r="V202" s="10"/>
      <c r="W202" s="7"/>
      <c r="X202" s="10"/>
      <c r="Y202" s="7"/>
      <c r="Z202" s="7"/>
      <c r="AA202" s="7"/>
      <c r="AB202" s="7"/>
      <c r="AC202" s="107"/>
      <c r="AD202" s="7"/>
      <c r="AE202" s="7"/>
      <c r="AF202" s="10"/>
      <c r="AG202" s="10"/>
      <c r="AH202" s="7"/>
      <c r="AI202" s="7"/>
      <c r="AJ202" s="7"/>
      <c r="AK202" s="7"/>
      <c r="AL202" s="7"/>
      <c r="AM202" s="7"/>
      <c r="AN202" s="7"/>
      <c r="AO202" s="7"/>
      <c r="AP202" s="266"/>
      <c r="AR202" s="266"/>
    </row>
    <row r="203" spans="1:44" s="268" customFormat="1" x14ac:dyDescent="0.25">
      <c r="A203" s="107"/>
      <c r="B203" s="107"/>
      <c r="C203" s="9"/>
      <c r="D203" s="9"/>
      <c r="E203" s="107"/>
      <c r="F203" s="7"/>
      <c r="G203" s="7"/>
      <c r="H203" s="7"/>
      <c r="I203" s="7"/>
      <c r="J203" s="7"/>
      <c r="K203" s="7"/>
      <c r="L203" s="7"/>
      <c r="M203" s="10"/>
      <c r="N203" s="107"/>
      <c r="O203" s="7"/>
      <c r="P203" s="7"/>
      <c r="Q203" s="7"/>
      <c r="R203" s="7"/>
      <c r="S203" s="7"/>
      <c r="T203" s="7"/>
      <c r="U203" s="10"/>
      <c r="V203" s="10"/>
      <c r="W203" s="7"/>
      <c r="X203" s="10"/>
      <c r="Y203" s="7"/>
      <c r="Z203" s="7"/>
      <c r="AA203" s="7"/>
      <c r="AB203" s="7"/>
      <c r="AC203" s="107"/>
      <c r="AD203" s="7"/>
      <c r="AE203" s="7"/>
      <c r="AF203" s="10"/>
      <c r="AG203" s="10"/>
      <c r="AH203" s="7"/>
      <c r="AI203" s="7"/>
      <c r="AJ203" s="7"/>
      <c r="AK203" s="7"/>
      <c r="AL203" s="7"/>
      <c r="AM203" s="7"/>
      <c r="AN203" s="7"/>
      <c r="AO203" s="7"/>
      <c r="AP203" s="266"/>
      <c r="AR203" s="266"/>
    </row>
    <row r="204" spans="1:44" s="268" customFormat="1" x14ac:dyDescent="0.25">
      <c r="A204" s="107"/>
      <c r="B204" s="107"/>
      <c r="C204" s="9"/>
      <c r="D204" s="9"/>
      <c r="E204" s="107"/>
      <c r="F204" s="7"/>
      <c r="G204" s="7"/>
      <c r="H204" s="7"/>
      <c r="I204" s="7"/>
      <c r="J204" s="7"/>
      <c r="K204" s="7"/>
      <c r="L204" s="7"/>
      <c r="M204" s="10"/>
      <c r="N204" s="107"/>
      <c r="O204" s="7"/>
      <c r="P204" s="7"/>
      <c r="Q204" s="7"/>
      <c r="R204" s="7"/>
      <c r="S204" s="7"/>
      <c r="T204" s="7"/>
      <c r="U204" s="10"/>
      <c r="V204" s="10"/>
      <c r="W204" s="7"/>
      <c r="X204" s="10"/>
      <c r="Y204" s="7"/>
      <c r="Z204" s="7"/>
      <c r="AA204" s="7"/>
      <c r="AB204" s="7"/>
      <c r="AC204" s="107"/>
      <c r="AD204" s="7"/>
      <c r="AE204" s="7"/>
      <c r="AF204" s="10"/>
      <c r="AG204" s="10"/>
      <c r="AH204" s="7"/>
      <c r="AI204" s="7"/>
      <c r="AJ204" s="7"/>
      <c r="AK204" s="7"/>
      <c r="AL204" s="7"/>
      <c r="AM204" s="7"/>
      <c r="AN204" s="7"/>
      <c r="AO204" s="7"/>
      <c r="AP204" s="266"/>
      <c r="AR204" s="266"/>
    </row>
    <row r="205" spans="1:44" s="268" customFormat="1" x14ac:dyDescent="0.25">
      <c r="A205" s="107"/>
      <c r="B205" s="107"/>
      <c r="C205" s="9"/>
      <c r="D205" s="9"/>
      <c r="E205" s="107"/>
      <c r="F205" s="7"/>
      <c r="G205" s="7"/>
      <c r="H205" s="7"/>
      <c r="I205" s="7"/>
      <c r="J205" s="7"/>
      <c r="K205" s="7"/>
      <c r="L205" s="7"/>
      <c r="M205" s="10"/>
      <c r="N205" s="107"/>
      <c r="O205" s="7"/>
      <c r="P205" s="7"/>
      <c r="Q205" s="7"/>
      <c r="R205" s="7"/>
      <c r="S205" s="7"/>
      <c r="T205" s="7"/>
      <c r="U205" s="10"/>
      <c r="V205" s="10"/>
      <c r="W205" s="7"/>
      <c r="X205" s="10"/>
      <c r="Y205" s="7"/>
      <c r="Z205" s="7"/>
      <c r="AA205" s="7"/>
      <c r="AB205" s="7"/>
      <c r="AC205" s="107"/>
      <c r="AD205" s="7"/>
      <c r="AE205" s="7"/>
      <c r="AF205" s="10"/>
      <c r="AG205" s="10"/>
      <c r="AH205" s="7"/>
      <c r="AI205" s="7"/>
      <c r="AJ205" s="7"/>
      <c r="AK205" s="7"/>
      <c r="AL205" s="7"/>
      <c r="AM205" s="7"/>
      <c r="AN205" s="7"/>
      <c r="AO205" s="7"/>
      <c r="AP205" s="266"/>
      <c r="AR205" s="266"/>
    </row>
    <row r="206" spans="1:44" s="268" customFormat="1" x14ac:dyDescent="0.25">
      <c r="A206" s="107"/>
      <c r="B206" s="107"/>
      <c r="C206" s="9"/>
      <c r="D206" s="9"/>
      <c r="E206" s="107"/>
      <c r="F206" s="7"/>
      <c r="G206" s="7"/>
      <c r="H206" s="7"/>
      <c r="I206" s="7"/>
      <c r="J206" s="7"/>
      <c r="K206" s="7"/>
      <c r="L206" s="7"/>
      <c r="M206" s="10"/>
      <c r="N206" s="107"/>
      <c r="O206" s="7"/>
      <c r="P206" s="7"/>
      <c r="Q206" s="7"/>
      <c r="R206" s="7"/>
      <c r="S206" s="7"/>
      <c r="T206" s="7"/>
      <c r="U206" s="10"/>
      <c r="V206" s="10"/>
      <c r="W206" s="7"/>
      <c r="X206" s="10"/>
      <c r="Y206" s="7"/>
      <c r="Z206" s="7"/>
      <c r="AA206" s="7"/>
      <c r="AB206" s="7"/>
      <c r="AC206" s="107"/>
      <c r="AD206" s="7"/>
      <c r="AE206" s="7"/>
      <c r="AF206" s="10"/>
      <c r="AG206" s="10"/>
      <c r="AH206" s="7"/>
      <c r="AI206" s="7"/>
      <c r="AJ206" s="7"/>
      <c r="AK206" s="7"/>
      <c r="AL206" s="7"/>
      <c r="AM206" s="7"/>
      <c r="AN206" s="7"/>
      <c r="AO206" s="7"/>
      <c r="AP206" s="266"/>
      <c r="AR206" s="266"/>
    </row>
    <row r="207" spans="1:44" s="268" customFormat="1" x14ac:dyDescent="0.25">
      <c r="A207" s="107"/>
      <c r="B207" s="107"/>
      <c r="C207" s="9"/>
      <c r="D207" s="9"/>
      <c r="E207" s="107"/>
      <c r="F207" s="7"/>
      <c r="G207" s="7"/>
      <c r="H207" s="7"/>
      <c r="I207" s="7"/>
      <c r="J207" s="7"/>
      <c r="K207" s="7"/>
      <c r="L207" s="7"/>
      <c r="M207" s="10"/>
      <c r="N207" s="107"/>
      <c r="O207" s="7"/>
      <c r="P207" s="7"/>
      <c r="Q207" s="7"/>
      <c r="R207" s="7"/>
      <c r="S207" s="7"/>
      <c r="T207" s="7"/>
      <c r="U207" s="10"/>
      <c r="V207" s="10"/>
      <c r="W207" s="7"/>
      <c r="X207" s="10"/>
      <c r="Y207" s="7"/>
      <c r="Z207" s="7"/>
      <c r="AA207" s="7"/>
      <c r="AB207" s="7"/>
      <c r="AC207" s="107"/>
      <c r="AD207" s="7"/>
      <c r="AE207" s="7"/>
      <c r="AF207" s="10"/>
      <c r="AG207" s="10"/>
      <c r="AH207" s="7"/>
      <c r="AI207" s="7"/>
      <c r="AJ207" s="7"/>
      <c r="AK207" s="7"/>
      <c r="AL207" s="7"/>
      <c r="AM207" s="7"/>
      <c r="AN207" s="7"/>
      <c r="AO207" s="7"/>
      <c r="AP207" s="266"/>
      <c r="AR207" s="266"/>
    </row>
    <row r="208" spans="1:44" s="268" customFormat="1" x14ac:dyDescent="0.25">
      <c r="A208" s="107"/>
      <c r="B208" s="107"/>
      <c r="C208" s="9"/>
      <c r="D208" s="9"/>
      <c r="E208" s="107"/>
      <c r="F208" s="7"/>
      <c r="G208" s="7"/>
      <c r="H208" s="7"/>
      <c r="I208" s="7"/>
      <c r="J208" s="7"/>
      <c r="K208" s="7"/>
      <c r="L208" s="7"/>
      <c r="M208" s="10"/>
      <c r="N208" s="107"/>
      <c r="O208" s="7"/>
      <c r="P208" s="7"/>
      <c r="Q208" s="7"/>
      <c r="R208" s="7"/>
      <c r="S208" s="7"/>
      <c r="T208" s="7"/>
      <c r="U208" s="10"/>
      <c r="V208" s="10"/>
      <c r="W208" s="7"/>
      <c r="X208" s="10"/>
      <c r="Y208" s="7"/>
      <c r="Z208" s="7"/>
      <c r="AA208" s="7"/>
      <c r="AB208" s="7"/>
      <c r="AC208" s="107"/>
      <c r="AD208" s="7"/>
      <c r="AE208" s="7"/>
      <c r="AF208" s="10"/>
      <c r="AG208" s="10"/>
      <c r="AH208" s="7"/>
      <c r="AI208" s="7"/>
      <c r="AJ208" s="7"/>
      <c r="AK208" s="7"/>
      <c r="AL208" s="7"/>
      <c r="AM208" s="7"/>
      <c r="AN208" s="7"/>
      <c r="AO208" s="7"/>
      <c r="AP208" s="266"/>
      <c r="AR208" s="266"/>
    </row>
    <row r="209" spans="1:44" s="268" customFormat="1" x14ac:dyDescent="0.25">
      <c r="A209" s="107"/>
      <c r="B209" s="107"/>
      <c r="C209" s="9"/>
      <c r="D209" s="9"/>
      <c r="E209" s="107"/>
      <c r="F209" s="7"/>
      <c r="G209" s="7"/>
      <c r="H209" s="7"/>
      <c r="I209" s="7"/>
      <c r="J209" s="7"/>
      <c r="K209" s="7"/>
      <c r="L209" s="7"/>
      <c r="M209" s="10"/>
      <c r="N209" s="107"/>
      <c r="O209" s="7"/>
      <c r="P209" s="7"/>
      <c r="Q209" s="7"/>
      <c r="R209" s="7"/>
      <c r="S209" s="7"/>
      <c r="T209" s="7"/>
      <c r="U209" s="10"/>
      <c r="V209" s="10"/>
      <c r="W209" s="7"/>
      <c r="X209" s="10"/>
      <c r="Y209" s="7"/>
      <c r="Z209" s="7"/>
      <c r="AA209" s="7"/>
      <c r="AB209" s="7"/>
      <c r="AC209" s="107"/>
      <c r="AD209" s="7"/>
      <c r="AE209" s="7"/>
      <c r="AF209" s="10"/>
      <c r="AG209" s="10"/>
      <c r="AH209" s="7"/>
      <c r="AI209" s="7"/>
      <c r="AJ209" s="7"/>
      <c r="AK209" s="7"/>
      <c r="AL209" s="7"/>
      <c r="AM209" s="7"/>
      <c r="AN209" s="7"/>
      <c r="AO209" s="7"/>
      <c r="AP209" s="266"/>
      <c r="AR209" s="266"/>
    </row>
    <row r="210" spans="1:44" s="268" customFormat="1" x14ac:dyDescent="0.25">
      <c r="A210" s="107"/>
      <c r="B210" s="107"/>
      <c r="C210" s="7"/>
      <c r="D210" s="7"/>
      <c r="E210" s="10"/>
      <c r="F210" s="7"/>
      <c r="G210" s="7"/>
      <c r="H210" s="7"/>
      <c r="I210" s="7"/>
      <c r="J210" s="7"/>
      <c r="K210" s="7"/>
      <c r="L210" s="7"/>
      <c r="M210" s="10"/>
      <c r="N210" s="107"/>
      <c r="O210" s="7"/>
      <c r="P210" s="7"/>
      <c r="Q210" s="7"/>
      <c r="R210" s="7"/>
      <c r="S210" s="7"/>
      <c r="T210" s="7"/>
      <c r="U210" s="10"/>
      <c r="V210" s="10"/>
      <c r="W210" s="7"/>
      <c r="X210" s="10"/>
      <c r="Y210" s="7"/>
      <c r="Z210" s="7"/>
      <c r="AA210" s="7"/>
      <c r="AB210" s="7"/>
      <c r="AC210" s="107"/>
      <c r="AD210" s="7"/>
      <c r="AE210" s="7"/>
      <c r="AF210" s="10"/>
      <c r="AG210" s="10"/>
      <c r="AH210" s="7"/>
      <c r="AI210" s="7"/>
      <c r="AJ210" s="7"/>
      <c r="AK210" s="7"/>
      <c r="AL210" s="7"/>
      <c r="AM210" s="7"/>
      <c r="AN210" s="7"/>
      <c r="AO210" s="7"/>
      <c r="AP210" s="266"/>
      <c r="AR210" s="266"/>
    </row>
    <row r="211" spans="1:44" s="268" customFormat="1" x14ac:dyDescent="0.25">
      <c r="A211" s="107"/>
      <c r="B211" s="107"/>
      <c r="C211" s="7"/>
      <c r="D211" s="7"/>
      <c r="E211" s="10"/>
      <c r="F211" s="7"/>
      <c r="G211" s="7"/>
      <c r="H211" s="7"/>
      <c r="I211" s="7"/>
      <c r="J211" s="7"/>
      <c r="K211" s="7"/>
      <c r="L211" s="7"/>
      <c r="M211" s="10"/>
      <c r="N211" s="107"/>
      <c r="O211" s="7"/>
      <c r="P211" s="7"/>
      <c r="Q211" s="7"/>
      <c r="R211" s="7"/>
      <c r="S211" s="7"/>
      <c r="T211" s="7"/>
      <c r="U211" s="10"/>
      <c r="V211" s="10"/>
      <c r="W211" s="7"/>
      <c r="X211" s="10"/>
      <c r="Y211" s="7"/>
      <c r="Z211" s="7"/>
      <c r="AA211" s="7"/>
      <c r="AB211" s="7"/>
      <c r="AC211" s="107"/>
      <c r="AD211" s="7"/>
      <c r="AE211" s="7"/>
      <c r="AF211" s="10"/>
      <c r="AG211" s="10"/>
      <c r="AH211" s="7"/>
      <c r="AI211" s="7"/>
      <c r="AJ211" s="7"/>
      <c r="AK211" s="7"/>
      <c r="AL211" s="7"/>
      <c r="AM211" s="7"/>
      <c r="AN211" s="7"/>
      <c r="AO211" s="7"/>
      <c r="AP211" s="266"/>
      <c r="AR211" s="266"/>
    </row>
    <row r="212" spans="1:44" s="268" customFormat="1" x14ac:dyDescent="0.25">
      <c r="A212" s="107"/>
      <c r="B212" s="107"/>
      <c r="C212" s="7"/>
      <c r="D212" s="7"/>
      <c r="E212" s="10"/>
      <c r="F212" s="7"/>
      <c r="G212" s="7"/>
      <c r="H212" s="7"/>
      <c r="I212" s="7"/>
      <c r="J212" s="7"/>
      <c r="K212" s="7"/>
      <c r="L212" s="7"/>
      <c r="M212" s="10"/>
      <c r="N212" s="107"/>
      <c r="O212" s="7"/>
      <c r="P212" s="7"/>
      <c r="Q212" s="7"/>
      <c r="R212" s="7"/>
      <c r="S212" s="7"/>
      <c r="T212" s="7"/>
      <c r="U212" s="10"/>
      <c r="V212" s="10"/>
      <c r="W212" s="7"/>
      <c r="X212" s="10"/>
      <c r="Y212" s="7"/>
      <c r="Z212" s="7"/>
      <c r="AA212" s="7"/>
      <c r="AB212" s="7"/>
      <c r="AC212" s="107"/>
      <c r="AD212" s="7"/>
      <c r="AE212" s="7"/>
      <c r="AF212" s="10"/>
      <c r="AG212" s="10"/>
      <c r="AH212" s="7"/>
      <c r="AI212" s="7"/>
      <c r="AJ212" s="7"/>
      <c r="AK212" s="7"/>
      <c r="AL212" s="7"/>
      <c r="AM212" s="7"/>
      <c r="AN212" s="7"/>
      <c r="AO212" s="7"/>
      <c r="AP212" s="266"/>
      <c r="AR212" s="266"/>
    </row>
    <row r="213" spans="1:44" s="268" customFormat="1" x14ac:dyDescent="0.25">
      <c r="A213" s="107"/>
      <c r="B213" s="107"/>
      <c r="C213" s="7"/>
      <c r="D213" s="7"/>
      <c r="E213" s="10"/>
      <c r="F213" s="7"/>
      <c r="G213" s="7"/>
      <c r="H213" s="7"/>
      <c r="I213" s="7"/>
      <c r="J213" s="7"/>
      <c r="K213" s="7"/>
      <c r="L213" s="7"/>
      <c r="M213" s="10"/>
      <c r="N213" s="107"/>
      <c r="O213" s="7"/>
      <c r="P213" s="7"/>
      <c r="Q213" s="7"/>
      <c r="R213" s="7"/>
      <c r="S213" s="7"/>
      <c r="T213" s="7"/>
      <c r="U213" s="10"/>
      <c r="V213" s="10"/>
      <c r="W213" s="7"/>
      <c r="X213" s="10"/>
      <c r="Y213" s="7"/>
      <c r="Z213" s="7"/>
      <c r="AA213" s="7"/>
      <c r="AB213" s="7"/>
      <c r="AC213" s="107"/>
      <c r="AD213" s="7"/>
      <c r="AE213" s="7"/>
      <c r="AF213" s="10"/>
      <c r="AG213" s="10"/>
      <c r="AH213" s="7"/>
      <c r="AI213" s="7"/>
      <c r="AJ213" s="7"/>
      <c r="AK213" s="7"/>
      <c r="AL213" s="7"/>
      <c r="AM213" s="7"/>
      <c r="AN213" s="7"/>
      <c r="AO213" s="7"/>
      <c r="AP213" s="266"/>
      <c r="AR213" s="266"/>
    </row>
    <row r="214" spans="1:44" s="268" customFormat="1" x14ac:dyDescent="0.25">
      <c r="A214" s="107"/>
      <c r="B214" s="107"/>
      <c r="C214" s="7"/>
      <c r="D214" s="7"/>
      <c r="E214" s="10"/>
      <c r="F214" s="7"/>
      <c r="G214" s="7"/>
      <c r="H214" s="7"/>
      <c r="I214" s="7"/>
      <c r="J214" s="7"/>
      <c r="K214" s="7"/>
      <c r="L214" s="7"/>
      <c r="M214" s="10"/>
      <c r="N214" s="107"/>
      <c r="O214" s="7"/>
      <c r="P214" s="7"/>
      <c r="Q214" s="7"/>
      <c r="R214" s="7"/>
      <c r="S214" s="7"/>
      <c r="T214" s="7"/>
      <c r="U214" s="10"/>
      <c r="V214" s="10"/>
      <c r="W214" s="7"/>
      <c r="X214" s="10"/>
      <c r="Y214" s="7"/>
      <c r="Z214" s="7"/>
      <c r="AA214" s="7"/>
      <c r="AB214" s="7"/>
      <c r="AC214" s="107"/>
      <c r="AD214" s="7"/>
      <c r="AE214" s="7"/>
      <c r="AF214" s="10"/>
      <c r="AG214" s="10"/>
      <c r="AH214" s="7"/>
      <c r="AI214" s="7"/>
      <c r="AJ214" s="7"/>
      <c r="AK214" s="7"/>
      <c r="AL214" s="7"/>
      <c r="AM214" s="7"/>
      <c r="AN214" s="7"/>
      <c r="AO214" s="7"/>
      <c r="AP214" s="266"/>
      <c r="AR214" s="266"/>
    </row>
    <row r="215" spans="1:44" s="268" customFormat="1" x14ac:dyDescent="0.25">
      <c r="A215" s="107"/>
      <c r="B215" s="107"/>
      <c r="C215" s="7"/>
      <c r="D215" s="7"/>
      <c r="E215" s="10"/>
      <c r="F215" s="7"/>
      <c r="G215" s="7"/>
      <c r="H215" s="7"/>
      <c r="I215" s="7"/>
      <c r="J215" s="7"/>
      <c r="K215" s="7"/>
      <c r="L215" s="7"/>
      <c r="M215" s="10"/>
      <c r="N215" s="107"/>
      <c r="O215" s="7"/>
      <c r="P215" s="7"/>
      <c r="Q215" s="7"/>
      <c r="R215" s="7"/>
      <c r="S215" s="7"/>
      <c r="T215" s="7"/>
      <c r="U215" s="10"/>
      <c r="V215" s="10"/>
      <c r="W215" s="7"/>
      <c r="X215" s="10"/>
      <c r="Y215" s="7"/>
      <c r="Z215" s="7"/>
      <c r="AA215" s="7"/>
      <c r="AB215" s="7"/>
      <c r="AC215" s="107"/>
      <c r="AD215" s="7"/>
      <c r="AE215" s="7"/>
      <c r="AF215" s="10"/>
      <c r="AG215" s="10"/>
      <c r="AH215" s="7"/>
      <c r="AI215" s="7"/>
      <c r="AJ215" s="7"/>
      <c r="AK215" s="7"/>
      <c r="AL215" s="7"/>
      <c r="AM215" s="7"/>
      <c r="AN215" s="7"/>
      <c r="AO215" s="7"/>
      <c r="AP215" s="266"/>
      <c r="AR215" s="266"/>
    </row>
    <row r="216" spans="1:44" s="268" customFormat="1" x14ac:dyDescent="0.25">
      <c r="A216" s="107"/>
      <c r="B216" s="107"/>
      <c r="C216" s="7"/>
      <c r="D216" s="7"/>
      <c r="E216" s="10"/>
      <c r="F216" s="7"/>
      <c r="G216" s="7"/>
      <c r="H216" s="7"/>
      <c r="I216" s="7"/>
      <c r="J216" s="7"/>
      <c r="K216" s="7"/>
      <c r="L216" s="7"/>
      <c r="M216" s="10"/>
      <c r="N216" s="107"/>
      <c r="O216" s="7"/>
      <c r="P216" s="7"/>
      <c r="Q216" s="7"/>
      <c r="R216" s="7"/>
      <c r="S216" s="7"/>
      <c r="T216" s="7"/>
      <c r="U216" s="10"/>
      <c r="V216" s="10"/>
      <c r="W216" s="7"/>
      <c r="X216" s="10"/>
      <c r="Y216" s="7"/>
      <c r="Z216" s="7"/>
      <c r="AA216" s="7"/>
      <c r="AB216" s="7"/>
      <c r="AC216" s="107"/>
      <c r="AD216" s="7"/>
      <c r="AE216" s="7"/>
      <c r="AF216" s="10"/>
      <c r="AG216" s="10"/>
      <c r="AH216" s="7"/>
      <c r="AI216" s="7"/>
      <c r="AJ216" s="7"/>
      <c r="AK216" s="7"/>
      <c r="AL216" s="7"/>
      <c r="AM216" s="7"/>
      <c r="AN216" s="7"/>
      <c r="AO216" s="7"/>
      <c r="AP216" s="266"/>
      <c r="AR216" s="266"/>
    </row>
    <row r="217" spans="1:44" s="268" customFormat="1" x14ac:dyDescent="0.25">
      <c r="A217" s="107"/>
      <c r="B217" s="107"/>
      <c r="C217" s="7"/>
      <c r="D217" s="7"/>
      <c r="E217" s="10"/>
      <c r="F217" s="7"/>
      <c r="G217" s="7"/>
      <c r="H217" s="7"/>
      <c r="I217" s="7"/>
      <c r="J217" s="7"/>
      <c r="K217" s="7"/>
      <c r="L217" s="7"/>
      <c r="M217" s="10"/>
      <c r="N217" s="107"/>
      <c r="O217" s="7"/>
      <c r="P217" s="7"/>
      <c r="Q217" s="7"/>
      <c r="R217" s="7"/>
      <c r="S217" s="7"/>
      <c r="T217" s="7"/>
      <c r="U217" s="10"/>
      <c r="V217" s="10"/>
      <c r="W217" s="7"/>
      <c r="X217" s="10"/>
      <c r="Y217" s="7"/>
      <c r="Z217" s="7"/>
      <c r="AA217" s="7"/>
      <c r="AB217" s="7"/>
      <c r="AC217" s="107"/>
      <c r="AD217" s="7"/>
      <c r="AE217" s="7"/>
      <c r="AF217" s="10"/>
      <c r="AG217" s="10"/>
      <c r="AH217" s="7"/>
      <c r="AI217" s="7"/>
      <c r="AJ217" s="7"/>
      <c r="AK217" s="7"/>
      <c r="AL217" s="7"/>
      <c r="AM217" s="7"/>
      <c r="AN217" s="7"/>
      <c r="AO217" s="7"/>
      <c r="AP217" s="266"/>
      <c r="AR217" s="266"/>
    </row>
    <row r="218" spans="1:44" s="268" customFormat="1" x14ac:dyDescent="0.25">
      <c r="A218" s="107"/>
      <c r="B218" s="107"/>
      <c r="C218" s="7"/>
      <c r="D218" s="7"/>
      <c r="E218" s="10"/>
      <c r="F218" s="7"/>
      <c r="G218" s="7"/>
      <c r="H218" s="7"/>
      <c r="I218" s="7"/>
      <c r="J218" s="7"/>
      <c r="K218" s="7"/>
      <c r="L218" s="7"/>
      <c r="M218" s="10"/>
      <c r="N218" s="107"/>
      <c r="O218" s="7"/>
      <c r="P218" s="7"/>
      <c r="Q218" s="7"/>
      <c r="R218" s="7"/>
      <c r="S218" s="7"/>
      <c r="T218" s="7"/>
      <c r="U218" s="10"/>
      <c r="V218" s="10"/>
      <c r="W218" s="7"/>
      <c r="X218" s="10"/>
      <c r="Y218" s="7"/>
      <c r="Z218" s="7"/>
      <c r="AA218" s="7"/>
      <c r="AB218" s="7"/>
      <c r="AC218" s="107"/>
      <c r="AD218" s="7"/>
      <c r="AE218" s="7"/>
      <c r="AF218" s="10"/>
      <c r="AG218" s="10"/>
      <c r="AH218" s="7"/>
      <c r="AI218" s="7"/>
      <c r="AJ218" s="7"/>
      <c r="AK218" s="7"/>
      <c r="AL218" s="7"/>
      <c r="AM218" s="7"/>
      <c r="AN218" s="7"/>
      <c r="AO218" s="7"/>
      <c r="AP218" s="266"/>
      <c r="AR218" s="266"/>
    </row>
    <row r="219" spans="1:44" s="268" customFormat="1" x14ac:dyDescent="0.25">
      <c r="A219" s="107"/>
      <c r="B219" s="107"/>
      <c r="C219" s="7"/>
      <c r="D219" s="7"/>
      <c r="E219" s="10"/>
      <c r="F219" s="7"/>
      <c r="G219" s="7"/>
      <c r="H219" s="7"/>
      <c r="I219" s="7"/>
      <c r="J219" s="7"/>
      <c r="K219" s="7"/>
      <c r="L219" s="7"/>
      <c r="M219" s="10"/>
      <c r="N219" s="107"/>
      <c r="O219" s="7"/>
      <c r="P219" s="7"/>
      <c r="Q219" s="7"/>
      <c r="R219" s="7"/>
      <c r="S219" s="7"/>
      <c r="T219" s="7"/>
      <c r="U219" s="10"/>
      <c r="V219" s="10"/>
      <c r="W219" s="7"/>
      <c r="X219" s="10"/>
      <c r="Y219" s="7"/>
      <c r="Z219" s="7"/>
      <c r="AA219" s="7"/>
      <c r="AB219" s="7"/>
      <c r="AC219" s="107"/>
      <c r="AD219" s="7"/>
      <c r="AE219" s="7"/>
      <c r="AF219" s="10"/>
      <c r="AG219" s="10"/>
      <c r="AH219" s="7"/>
      <c r="AI219" s="7"/>
      <c r="AJ219" s="7"/>
      <c r="AK219" s="7"/>
      <c r="AL219" s="7"/>
      <c r="AM219" s="7"/>
      <c r="AN219" s="7"/>
      <c r="AO219" s="7"/>
      <c r="AP219" s="266"/>
      <c r="AR219" s="266"/>
    </row>
    <row r="220" spans="1:44" s="268" customFormat="1" x14ac:dyDescent="0.25">
      <c r="A220" s="107"/>
      <c r="B220" s="107"/>
      <c r="C220" s="7"/>
      <c r="D220" s="7"/>
      <c r="E220" s="10"/>
      <c r="F220" s="7"/>
      <c r="G220" s="7"/>
      <c r="H220" s="7"/>
      <c r="I220" s="7"/>
      <c r="J220" s="7"/>
      <c r="K220" s="7"/>
      <c r="L220" s="7"/>
      <c r="M220" s="10"/>
      <c r="N220" s="107"/>
      <c r="O220" s="7"/>
      <c r="P220" s="7"/>
      <c r="Q220" s="7"/>
      <c r="R220" s="7"/>
      <c r="S220" s="7"/>
      <c r="T220" s="7"/>
      <c r="U220" s="10"/>
      <c r="V220" s="10"/>
      <c r="W220" s="7"/>
      <c r="X220" s="10"/>
      <c r="Y220" s="7"/>
      <c r="Z220" s="7"/>
      <c r="AA220" s="7"/>
      <c r="AB220" s="7"/>
      <c r="AC220" s="107"/>
      <c r="AD220" s="7"/>
      <c r="AE220" s="7"/>
      <c r="AF220" s="10"/>
      <c r="AG220" s="10"/>
      <c r="AH220" s="7"/>
      <c r="AI220" s="7"/>
      <c r="AJ220" s="7"/>
      <c r="AK220" s="7"/>
      <c r="AL220" s="7"/>
      <c r="AM220" s="7"/>
      <c r="AN220" s="7"/>
      <c r="AO220" s="7"/>
      <c r="AP220" s="266"/>
      <c r="AR220" s="266"/>
    </row>
    <row r="221" spans="1:44" s="268" customFormat="1" x14ac:dyDescent="0.25">
      <c r="A221" s="107"/>
      <c r="B221" s="107"/>
      <c r="C221" s="7"/>
      <c r="D221" s="7"/>
      <c r="E221" s="10"/>
      <c r="F221" s="7"/>
      <c r="G221" s="7"/>
      <c r="H221" s="7"/>
      <c r="I221" s="7"/>
      <c r="J221" s="7"/>
      <c r="K221" s="7"/>
      <c r="L221" s="7"/>
      <c r="M221" s="10"/>
      <c r="N221" s="107"/>
      <c r="O221" s="7"/>
      <c r="P221" s="7"/>
      <c r="Q221" s="7"/>
      <c r="R221" s="7"/>
      <c r="S221" s="7"/>
      <c r="T221" s="7"/>
      <c r="U221" s="10"/>
      <c r="V221" s="10"/>
      <c r="W221" s="7"/>
      <c r="X221" s="10"/>
      <c r="Y221" s="7"/>
      <c r="Z221" s="7"/>
      <c r="AA221" s="7"/>
      <c r="AB221" s="7"/>
      <c r="AC221" s="107"/>
      <c r="AD221" s="7"/>
      <c r="AE221" s="7"/>
      <c r="AF221" s="10"/>
      <c r="AG221" s="10"/>
      <c r="AH221" s="7"/>
      <c r="AI221" s="7"/>
      <c r="AJ221" s="7"/>
      <c r="AK221" s="7"/>
      <c r="AL221" s="7"/>
      <c r="AM221" s="7"/>
      <c r="AN221" s="7"/>
      <c r="AO221" s="7"/>
      <c r="AP221" s="266"/>
      <c r="AR221" s="266"/>
    </row>
    <row r="222" spans="1:44" s="268" customFormat="1" x14ac:dyDescent="0.25">
      <c r="A222" s="107"/>
      <c r="B222" s="107"/>
      <c r="C222" s="7"/>
      <c r="D222" s="7"/>
      <c r="E222" s="10"/>
      <c r="F222" s="7"/>
      <c r="G222" s="7"/>
      <c r="H222" s="7"/>
      <c r="I222" s="7"/>
      <c r="J222" s="7"/>
      <c r="K222" s="7"/>
      <c r="L222" s="7"/>
      <c r="M222" s="10"/>
      <c r="N222" s="107"/>
      <c r="O222" s="7"/>
      <c r="P222" s="7"/>
      <c r="Q222" s="7"/>
      <c r="R222" s="7"/>
      <c r="S222" s="7"/>
      <c r="T222" s="7"/>
      <c r="U222" s="10"/>
      <c r="V222" s="10"/>
      <c r="W222" s="7"/>
      <c r="X222" s="10"/>
      <c r="Y222" s="7"/>
      <c r="Z222" s="7"/>
      <c r="AA222" s="7"/>
      <c r="AB222" s="7"/>
      <c r="AC222" s="107"/>
      <c r="AD222" s="7"/>
      <c r="AE222" s="7"/>
      <c r="AF222" s="10"/>
      <c r="AG222" s="10"/>
      <c r="AH222" s="7"/>
      <c r="AI222" s="7"/>
      <c r="AJ222" s="7"/>
      <c r="AK222" s="7"/>
      <c r="AL222" s="7"/>
      <c r="AM222" s="7"/>
      <c r="AN222" s="7"/>
      <c r="AO222" s="7"/>
      <c r="AP222" s="266"/>
      <c r="AR222" s="266"/>
    </row>
    <row r="223" spans="1:44" s="268" customFormat="1" x14ac:dyDescent="0.25">
      <c r="A223" s="107"/>
      <c r="B223" s="107"/>
      <c r="C223" s="7"/>
      <c r="D223" s="7"/>
      <c r="E223" s="10"/>
      <c r="F223" s="7"/>
      <c r="G223" s="7"/>
      <c r="H223" s="7"/>
      <c r="I223" s="7"/>
      <c r="J223" s="7"/>
      <c r="K223" s="7"/>
      <c r="L223" s="7"/>
      <c r="M223" s="10"/>
      <c r="N223" s="107"/>
      <c r="O223" s="7"/>
      <c r="P223" s="7"/>
      <c r="Q223" s="7"/>
      <c r="R223" s="7"/>
      <c r="S223" s="7"/>
      <c r="T223" s="7"/>
      <c r="U223" s="10"/>
      <c r="V223" s="10"/>
      <c r="W223" s="7"/>
      <c r="X223" s="10"/>
      <c r="Y223" s="7"/>
      <c r="Z223" s="7"/>
      <c r="AA223" s="7"/>
      <c r="AB223" s="7"/>
      <c r="AC223" s="107"/>
      <c r="AD223" s="7"/>
      <c r="AE223" s="7"/>
      <c r="AF223" s="10"/>
      <c r="AG223" s="10"/>
      <c r="AH223" s="7"/>
      <c r="AI223" s="7"/>
      <c r="AJ223" s="7"/>
      <c r="AK223" s="7"/>
      <c r="AL223" s="7"/>
      <c r="AM223" s="7"/>
      <c r="AN223" s="7"/>
      <c r="AO223" s="7"/>
      <c r="AP223" s="266"/>
      <c r="AR223" s="266"/>
    </row>
    <row r="224" spans="1:44" s="268" customFormat="1" x14ac:dyDescent="0.25">
      <c r="A224" s="107"/>
      <c r="B224" s="107"/>
      <c r="C224" s="7"/>
      <c r="D224" s="7"/>
      <c r="E224" s="10"/>
      <c r="F224" s="7"/>
      <c r="G224" s="7"/>
      <c r="H224" s="7"/>
      <c r="I224" s="7"/>
      <c r="J224" s="7"/>
      <c r="K224" s="7"/>
      <c r="L224" s="7"/>
      <c r="M224" s="10"/>
      <c r="N224" s="107"/>
      <c r="O224" s="7"/>
      <c r="P224" s="7"/>
      <c r="Q224" s="7"/>
      <c r="R224" s="7"/>
      <c r="S224" s="7"/>
      <c r="T224" s="7"/>
      <c r="U224" s="10"/>
      <c r="V224" s="10"/>
      <c r="W224" s="7"/>
      <c r="X224" s="10"/>
      <c r="Y224" s="7"/>
      <c r="Z224" s="7"/>
      <c r="AA224" s="7"/>
      <c r="AB224" s="7"/>
      <c r="AC224" s="107"/>
      <c r="AD224" s="7"/>
      <c r="AE224" s="7"/>
      <c r="AF224" s="10"/>
      <c r="AG224" s="10"/>
      <c r="AH224" s="7"/>
      <c r="AI224" s="7"/>
      <c r="AJ224" s="7"/>
      <c r="AK224" s="7"/>
      <c r="AL224" s="7"/>
      <c r="AM224" s="7"/>
      <c r="AN224" s="7"/>
      <c r="AO224" s="7"/>
      <c r="AP224" s="266"/>
      <c r="AR224" s="266"/>
    </row>
    <row r="225" spans="1:44" s="268" customFormat="1" x14ac:dyDescent="0.25">
      <c r="A225" s="107"/>
      <c r="B225" s="107"/>
      <c r="C225" s="7"/>
      <c r="D225" s="7"/>
      <c r="E225" s="10"/>
      <c r="F225" s="7"/>
      <c r="G225" s="7"/>
      <c r="H225" s="7"/>
      <c r="I225" s="7"/>
      <c r="J225" s="7"/>
      <c r="K225" s="7"/>
      <c r="L225" s="7"/>
      <c r="M225" s="10"/>
      <c r="N225" s="107"/>
      <c r="O225" s="7"/>
      <c r="P225" s="7"/>
      <c r="Q225" s="7"/>
      <c r="R225" s="7"/>
      <c r="S225" s="7"/>
      <c r="T225" s="7"/>
      <c r="U225" s="10"/>
      <c r="V225" s="10"/>
      <c r="W225" s="7"/>
      <c r="X225" s="10"/>
      <c r="Y225" s="7"/>
      <c r="Z225" s="7"/>
      <c r="AA225" s="7"/>
      <c r="AB225" s="7"/>
      <c r="AC225" s="107"/>
      <c r="AD225" s="7"/>
      <c r="AE225" s="7"/>
      <c r="AF225" s="10"/>
      <c r="AG225" s="10"/>
      <c r="AH225" s="7"/>
      <c r="AI225" s="7"/>
      <c r="AJ225" s="7"/>
      <c r="AK225" s="7"/>
      <c r="AL225" s="7"/>
      <c r="AM225" s="7"/>
      <c r="AN225" s="7"/>
      <c r="AO225" s="7"/>
      <c r="AP225" s="266"/>
      <c r="AR225" s="266"/>
    </row>
    <row r="226" spans="1:44" s="268" customFormat="1" x14ac:dyDescent="0.25">
      <c r="A226" s="107"/>
      <c r="B226" s="107"/>
      <c r="C226" s="7"/>
      <c r="D226" s="7"/>
      <c r="E226" s="10"/>
      <c r="F226" s="7"/>
      <c r="G226" s="7"/>
      <c r="H226" s="7"/>
      <c r="I226" s="7"/>
      <c r="J226" s="7"/>
      <c r="K226" s="7"/>
      <c r="L226" s="7"/>
      <c r="M226" s="10"/>
      <c r="N226" s="107"/>
      <c r="O226" s="7"/>
      <c r="P226" s="7"/>
      <c r="Q226" s="7"/>
      <c r="R226" s="7"/>
      <c r="S226" s="7"/>
      <c r="T226" s="7"/>
      <c r="U226" s="10"/>
      <c r="V226" s="10"/>
      <c r="W226" s="7"/>
      <c r="X226" s="10"/>
      <c r="Y226" s="7"/>
      <c r="Z226" s="7"/>
      <c r="AA226" s="7"/>
      <c r="AB226" s="7"/>
      <c r="AC226" s="107"/>
      <c r="AD226" s="7"/>
      <c r="AE226" s="7"/>
      <c r="AF226" s="10"/>
      <c r="AG226" s="10"/>
      <c r="AH226" s="7"/>
      <c r="AI226" s="7"/>
      <c r="AJ226" s="7"/>
      <c r="AK226" s="7"/>
      <c r="AL226" s="7"/>
      <c r="AM226" s="7"/>
      <c r="AN226" s="7"/>
      <c r="AO226" s="7"/>
      <c r="AP226" s="266"/>
      <c r="AR226" s="266"/>
    </row>
    <row r="227" spans="1:44" s="268" customFormat="1" x14ac:dyDescent="0.25">
      <c r="A227" s="107"/>
      <c r="B227" s="107"/>
      <c r="C227" s="7"/>
      <c r="D227" s="7"/>
      <c r="E227" s="10"/>
      <c r="F227" s="7"/>
      <c r="G227" s="7"/>
      <c r="H227" s="7"/>
      <c r="I227" s="7"/>
      <c r="J227" s="7"/>
      <c r="K227" s="7"/>
      <c r="L227" s="7"/>
      <c r="M227" s="10"/>
      <c r="N227" s="107"/>
      <c r="O227" s="7"/>
      <c r="P227" s="7"/>
      <c r="Q227" s="7"/>
      <c r="R227" s="7"/>
      <c r="S227" s="7"/>
      <c r="T227" s="7"/>
      <c r="U227" s="10"/>
      <c r="V227" s="10"/>
      <c r="W227" s="7"/>
      <c r="X227" s="10"/>
      <c r="Y227" s="7"/>
      <c r="Z227" s="7"/>
      <c r="AA227" s="7"/>
      <c r="AB227" s="7"/>
      <c r="AC227" s="107"/>
      <c r="AD227" s="7"/>
      <c r="AE227" s="7"/>
      <c r="AF227" s="10"/>
      <c r="AG227" s="10"/>
      <c r="AH227" s="7"/>
      <c r="AI227" s="7"/>
      <c r="AJ227" s="7"/>
      <c r="AK227" s="7"/>
      <c r="AL227" s="7"/>
      <c r="AM227" s="7"/>
      <c r="AN227" s="7"/>
      <c r="AO227" s="7"/>
      <c r="AP227" s="266"/>
      <c r="AR227" s="266"/>
    </row>
    <row r="228" spans="1:44" s="268" customFormat="1" x14ac:dyDescent="0.25">
      <c r="A228" s="107"/>
      <c r="B228" s="107"/>
      <c r="C228" s="7"/>
      <c r="D228" s="7"/>
      <c r="E228" s="10"/>
      <c r="F228" s="7"/>
      <c r="G228" s="7"/>
      <c r="H228" s="7"/>
      <c r="I228" s="7"/>
      <c r="J228" s="7"/>
      <c r="K228" s="7"/>
      <c r="L228" s="7"/>
      <c r="M228" s="10"/>
      <c r="N228" s="107"/>
      <c r="O228" s="7"/>
      <c r="P228" s="7"/>
      <c r="Q228" s="7"/>
      <c r="R228" s="7"/>
      <c r="S228" s="7"/>
      <c r="T228" s="7"/>
      <c r="U228" s="10"/>
      <c r="V228" s="10"/>
      <c r="W228" s="7"/>
      <c r="X228" s="10"/>
      <c r="Y228" s="7"/>
      <c r="Z228" s="7"/>
      <c r="AA228" s="7"/>
      <c r="AB228" s="7"/>
      <c r="AC228" s="107"/>
      <c r="AD228" s="7"/>
      <c r="AE228" s="7"/>
      <c r="AF228" s="10"/>
      <c r="AG228" s="10"/>
      <c r="AH228" s="7"/>
      <c r="AI228" s="7"/>
      <c r="AJ228" s="7"/>
      <c r="AK228" s="7"/>
      <c r="AL228" s="7"/>
      <c r="AM228" s="7"/>
      <c r="AN228" s="7"/>
      <c r="AO228" s="7"/>
      <c r="AP228" s="266"/>
      <c r="AR228" s="266"/>
    </row>
    <row r="229" spans="1:44" s="268" customFormat="1" x14ac:dyDescent="0.25">
      <c r="A229" s="107"/>
      <c r="B229" s="107"/>
      <c r="C229" s="7"/>
      <c r="D229" s="7"/>
      <c r="E229" s="10"/>
      <c r="F229" s="7"/>
      <c r="G229" s="7"/>
      <c r="H229" s="7"/>
      <c r="I229" s="7"/>
      <c r="J229" s="7"/>
      <c r="K229" s="7"/>
      <c r="L229" s="7"/>
      <c r="M229" s="10"/>
      <c r="N229" s="107"/>
      <c r="O229" s="7"/>
      <c r="P229" s="7"/>
      <c r="Q229" s="7"/>
      <c r="R229" s="7"/>
      <c r="S229" s="7"/>
      <c r="T229" s="7"/>
      <c r="U229" s="10"/>
      <c r="V229" s="10"/>
      <c r="W229" s="7"/>
      <c r="X229" s="10"/>
      <c r="Y229" s="7"/>
      <c r="Z229" s="7"/>
      <c r="AA229" s="7"/>
      <c r="AB229" s="7"/>
      <c r="AC229" s="107"/>
      <c r="AD229" s="7"/>
      <c r="AE229" s="7"/>
      <c r="AF229" s="10"/>
      <c r="AG229" s="10"/>
      <c r="AH229" s="7"/>
      <c r="AI229" s="7"/>
      <c r="AJ229" s="7"/>
      <c r="AK229" s="7"/>
      <c r="AL229" s="7"/>
      <c r="AM229" s="7"/>
      <c r="AN229" s="7"/>
      <c r="AO229" s="7"/>
      <c r="AP229" s="266"/>
      <c r="AR229" s="266"/>
    </row>
    <row r="230" spans="1:44" s="268" customFormat="1" x14ac:dyDescent="0.25">
      <c r="A230" s="107"/>
      <c r="B230" s="107"/>
      <c r="C230" s="7"/>
      <c r="D230" s="7"/>
      <c r="E230" s="10"/>
      <c r="F230" s="7"/>
      <c r="G230" s="7"/>
      <c r="H230" s="7"/>
      <c r="I230" s="7"/>
      <c r="J230" s="7"/>
      <c r="K230" s="7"/>
      <c r="L230" s="7"/>
      <c r="M230" s="10"/>
      <c r="N230" s="107"/>
      <c r="O230" s="7"/>
      <c r="P230" s="7"/>
      <c r="Q230" s="7"/>
      <c r="R230" s="7"/>
      <c r="S230" s="7"/>
      <c r="T230" s="7"/>
      <c r="U230" s="10"/>
      <c r="V230" s="10"/>
      <c r="W230" s="7"/>
      <c r="X230" s="10"/>
      <c r="Y230" s="7"/>
      <c r="Z230" s="7"/>
      <c r="AA230" s="7"/>
      <c r="AB230" s="7"/>
      <c r="AC230" s="107"/>
      <c r="AD230" s="7"/>
      <c r="AE230" s="7"/>
      <c r="AF230" s="10"/>
      <c r="AG230" s="10"/>
      <c r="AH230" s="7"/>
      <c r="AI230" s="7"/>
      <c r="AJ230" s="7"/>
      <c r="AK230" s="7"/>
      <c r="AL230" s="7"/>
      <c r="AM230" s="7"/>
      <c r="AN230" s="7"/>
      <c r="AO230" s="7"/>
      <c r="AP230" s="266"/>
      <c r="AR230" s="266"/>
    </row>
    <row r="231" spans="1:44" s="268" customFormat="1" x14ac:dyDescent="0.25">
      <c r="A231" s="107"/>
      <c r="B231" s="107"/>
      <c r="C231" s="7"/>
      <c r="D231" s="7"/>
      <c r="E231" s="10"/>
      <c r="F231" s="7"/>
      <c r="G231" s="7"/>
      <c r="H231" s="7"/>
      <c r="I231" s="7"/>
      <c r="J231" s="7"/>
      <c r="K231" s="7"/>
      <c r="L231" s="7"/>
      <c r="M231" s="10"/>
      <c r="N231" s="107"/>
      <c r="O231" s="7"/>
      <c r="P231" s="7"/>
      <c r="Q231" s="7"/>
      <c r="R231" s="7"/>
      <c r="S231" s="7"/>
      <c r="T231" s="7"/>
      <c r="U231" s="10"/>
      <c r="V231" s="10"/>
      <c r="W231" s="7"/>
      <c r="X231" s="10"/>
      <c r="Y231" s="7"/>
      <c r="Z231" s="7"/>
      <c r="AA231" s="7"/>
      <c r="AB231" s="7"/>
      <c r="AC231" s="107"/>
      <c r="AD231" s="7"/>
      <c r="AE231" s="7"/>
      <c r="AF231" s="10"/>
      <c r="AG231" s="10"/>
      <c r="AH231" s="7"/>
      <c r="AI231" s="7"/>
      <c r="AJ231" s="7"/>
      <c r="AK231" s="7"/>
      <c r="AL231" s="7"/>
      <c r="AM231" s="7"/>
      <c r="AN231" s="7"/>
      <c r="AO231" s="7"/>
      <c r="AP231" s="266"/>
      <c r="AR231" s="266"/>
    </row>
    <row r="232" spans="1:44" s="268" customFormat="1" x14ac:dyDescent="0.25">
      <c r="A232" s="107"/>
      <c r="B232" s="107"/>
      <c r="C232" s="7"/>
      <c r="D232" s="7"/>
      <c r="E232" s="10"/>
      <c r="F232" s="7"/>
      <c r="G232" s="7"/>
      <c r="H232" s="7"/>
      <c r="I232" s="7"/>
      <c r="J232" s="7"/>
      <c r="K232" s="7"/>
      <c r="L232" s="7"/>
      <c r="M232" s="10"/>
      <c r="N232" s="107"/>
      <c r="O232" s="7"/>
      <c r="P232" s="7"/>
      <c r="Q232" s="7"/>
      <c r="R232" s="7"/>
      <c r="S232" s="7"/>
      <c r="T232" s="7"/>
      <c r="U232" s="10"/>
      <c r="V232" s="10"/>
      <c r="W232" s="7"/>
      <c r="X232" s="10"/>
      <c r="Y232" s="7"/>
      <c r="Z232" s="7"/>
      <c r="AA232" s="7"/>
      <c r="AB232" s="7"/>
      <c r="AC232" s="107"/>
      <c r="AD232" s="7"/>
      <c r="AE232" s="7"/>
      <c r="AF232" s="10"/>
      <c r="AG232" s="10"/>
      <c r="AH232" s="7"/>
      <c r="AI232" s="7"/>
      <c r="AJ232" s="7"/>
      <c r="AK232" s="7"/>
      <c r="AL232" s="7"/>
      <c r="AM232" s="7"/>
      <c r="AN232" s="7"/>
      <c r="AO232" s="7"/>
      <c r="AP232" s="266"/>
      <c r="AR232" s="266"/>
    </row>
    <row r="233" spans="1:44" s="268" customFormat="1" x14ac:dyDescent="0.25">
      <c r="A233" s="107"/>
      <c r="B233" s="107"/>
      <c r="C233" s="7"/>
      <c r="D233" s="7"/>
      <c r="E233" s="10"/>
      <c r="F233" s="7"/>
      <c r="G233" s="7"/>
      <c r="H233" s="7"/>
      <c r="I233" s="7"/>
      <c r="J233" s="7"/>
      <c r="K233" s="7"/>
      <c r="L233" s="7"/>
      <c r="M233" s="10"/>
      <c r="N233" s="107"/>
      <c r="O233" s="7"/>
      <c r="P233" s="7"/>
      <c r="Q233" s="7"/>
      <c r="R233" s="7"/>
      <c r="S233" s="7"/>
      <c r="T233" s="7"/>
      <c r="U233" s="10"/>
      <c r="V233" s="10"/>
      <c r="W233" s="7"/>
      <c r="X233" s="10"/>
      <c r="Y233" s="7"/>
      <c r="Z233" s="7"/>
      <c r="AA233" s="7"/>
      <c r="AB233" s="7"/>
      <c r="AC233" s="107"/>
      <c r="AD233" s="7"/>
      <c r="AE233" s="7"/>
      <c r="AF233" s="10"/>
      <c r="AG233" s="10"/>
      <c r="AH233" s="7"/>
      <c r="AI233" s="7"/>
      <c r="AJ233" s="7"/>
      <c r="AK233" s="7"/>
      <c r="AL233" s="7"/>
      <c r="AM233" s="7"/>
      <c r="AN233" s="7"/>
      <c r="AO233" s="7"/>
      <c r="AP233" s="266"/>
      <c r="AR233" s="266"/>
    </row>
    <row r="234" spans="1:44" s="268" customFormat="1" x14ac:dyDescent="0.25">
      <c r="A234" s="107"/>
      <c r="B234" s="107"/>
      <c r="C234" s="7"/>
      <c r="D234" s="7"/>
      <c r="E234" s="10"/>
      <c r="F234" s="7"/>
      <c r="G234" s="7"/>
      <c r="H234" s="7"/>
      <c r="I234" s="7"/>
      <c r="J234" s="7"/>
      <c r="K234" s="7"/>
      <c r="L234" s="7"/>
      <c r="M234" s="10"/>
      <c r="N234" s="107"/>
      <c r="O234" s="7"/>
      <c r="P234" s="7"/>
      <c r="Q234" s="7"/>
      <c r="R234" s="7"/>
      <c r="S234" s="7"/>
      <c r="T234" s="7"/>
      <c r="U234" s="10"/>
      <c r="V234" s="10"/>
      <c r="W234" s="7"/>
      <c r="X234" s="10"/>
      <c r="Y234" s="7"/>
      <c r="Z234" s="7"/>
      <c r="AA234" s="7"/>
      <c r="AB234" s="7"/>
      <c r="AC234" s="107"/>
      <c r="AD234" s="7"/>
      <c r="AE234" s="7"/>
      <c r="AF234" s="10"/>
      <c r="AG234" s="10"/>
      <c r="AH234" s="7"/>
      <c r="AI234" s="7"/>
      <c r="AJ234" s="7"/>
      <c r="AK234" s="7"/>
      <c r="AL234" s="7"/>
      <c r="AM234" s="7"/>
      <c r="AN234" s="7"/>
      <c r="AO234" s="7"/>
      <c r="AP234" s="266"/>
      <c r="AR234" s="266"/>
    </row>
    <row r="235" spans="1:44" s="268" customFormat="1" x14ac:dyDescent="0.25">
      <c r="A235" s="107"/>
      <c r="B235" s="107"/>
      <c r="C235" s="7"/>
      <c r="D235" s="7"/>
      <c r="E235" s="10"/>
      <c r="F235" s="7"/>
      <c r="G235" s="7"/>
      <c r="H235" s="7"/>
      <c r="I235" s="7"/>
      <c r="J235" s="7"/>
      <c r="K235" s="7"/>
      <c r="L235" s="7"/>
      <c r="M235" s="10"/>
      <c r="N235" s="107"/>
      <c r="O235" s="7"/>
      <c r="P235" s="7"/>
      <c r="Q235" s="7"/>
      <c r="R235" s="7"/>
      <c r="S235" s="7"/>
      <c r="T235" s="7"/>
      <c r="U235" s="10"/>
      <c r="V235" s="10"/>
      <c r="W235" s="7"/>
      <c r="X235" s="10"/>
      <c r="Y235" s="7"/>
      <c r="Z235" s="7"/>
      <c r="AA235" s="7"/>
      <c r="AB235" s="7"/>
      <c r="AC235" s="107"/>
      <c r="AD235" s="7"/>
      <c r="AE235" s="7"/>
      <c r="AF235" s="10"/>
      <c r="AG235" s="10"/>
      <c r="AH235" s="7"/>
      <c r="AI235" s="7"/>
      <c r="AJ235" s="7"/>
      <c r="AK235" s="7"/>
      <c r="AL235" s="7"/>
      <c r="AM235" s="7"/>
      <c r="AN235" s="7"/>
      <c r="AO235" s="7"/>
      <c r="AP235" s="266"/>
      <c r="AR235" s="266"/>
    </row>
    <row r="236" spans="1:44" s="268" customFormat="1" x14ac:dyDescent="0.25">
      <c r="A236" s="107"/>
      <c r="B236" s="107"/>
      <c r="C236" s="7"/>
      <c r="D236" s="7"/>
      <c r="E236" s="10"/>
      <c r="F236" s="7"/>
      <c r="G236" s="7"/>
      <c r="H236" s="7"/>
      <c r="I236" s="7"/>
      <c r="J236" s="7"/>
      <c r="K236" s="7"/>
      <c r="L236" s="7"/>
      <c r="M236" s="10"/>
      <c r="N236" s="107"/>
      <c r="O236" s="7"/>
      <c r="P236" s="7"/>
      <c r="Q236" s="7"/>
      <c r="R236" s="7"/>
      <c r="S236" s="7"/>
      <c r="T236" s="7"/>
      <c r="U236" s="10"/>
      <c r="V236" s="10"/>
      <c r="W236" s="7"/>
      <c r="X236" s="10"/>
      <c r="Y236" s="7"/>
      <c r="Z236" s="7"/>
      <c r="AA236" s="7"/>
      <c r="AB236" s="7"/>
      <c r="AC236" s="107"/>
      <c r="AD236" s="7"/>
      <c r="AE236" s="7"/>
      <c r="AF236" s="10"/>
      <c r="AG236" s="10"/>
      <c r="AH236" s="7"/>
      <c r="AI236" s="7"/>
      <c r="AJ236" s="7"/>
      <c r="AK236" s="7"/>
      <c r="AL236" s="7"/>
      <c r="AM236" s="7"/>
      <c r="AN236" s="7"/>
      <c r="AO236" s="7"/>
      <c r="AP236" s="266"/>
      <c r="AR236" s="266"/>
    </row>
    <row r="237" spans="1:44" s="268" customFormat="1" x14ac:dyDescent="0.25">
      <c r="A237" s="107"/>
      <c r="B237" s="107"/>
      <c r="C237" s="7"/>
      <c r="D237" s="7"/>
      <c r="E237" s="10"/>
      <c r="F237" s="7"/>
      <c r="G237" s="7"/>
      <c r="H237" s="7"/>
      <c r="I237" s="7"/>
      <c r="J237" s="7"/>
      <c r="K237" s="7"/>
      <c r="L237" s="7"/>
      <c r="M237" s="10"/>
      <c r="N237" s="107"/>
      <c r="O237" s="7"/>
      <c r="P237" s="7"/>
      <c r="Q237" s="7"/>
      <c r="R237" s="7"/>
      <c r="S237" s="7"/>
      <c r="T237" s="7"/>
      <c r="U237" s="10"/>
      <c r="V237" s="10"/>
      <c r="W237" s="7"/>
      <c r="X237" s="10"/>
      <c r="Y237" s="7"/>
      <c r="Z237" s="7"/>
      <c r="AA237" s="7"/>
      <c r="AB237" s="7"/>
      <c r="AC237" s="107"/>
      <c r="AD237" s="7"/>
      <c r="AE237" s="7"/>
      <c r="AF237" s="10"/>
      <c r="AG237" s="10"/>
      <c r="AH237" s="7"/>
      <c r="AI237" s="7"/>
      <c r="AJ237" s="7"/>
      <c r="AK237" s="7"/>
      <c r="AL237" s="7"/>
      <c r="AM237" s="7"/>
      <c r="AN237" s="7"/>
      <c r="AO237" s="7"/>
      <c r="AP237" s="266"/>
      <c r="AR237" s="266"/>
    </row>
    <row r="238" spans="1:44" s="268" customFormat="1" x14ac:dyDescent="0.25">
      <c r="A238" s="107"/>
      <c r="B238" s="107"/>
      <c r="C238" s="7"/>
      <c r="D238" s="7"/>
      <c r="E238" s="10"/>
      <c r="F238" s="7"/>
      <c r="G238" s="7"/>
      <c r="H238" s="7"/>
      <c r="I238" s="7"/>
      <c r="J238" s="7"/>
      <c r="K238" s="7"/>
      <c r="L238" s="7"/>
      <c r="M238" s="10"/>
      <c r="N238" s="107"/>
      <c r="O238" s="7"/>
      <c r="P238" s="7"/>
      <c r="Q238" s="7"/>
      <c r="R238" s="7"/>
      <c r="S238" s="7"/>
      <c r="T238" s="7"/>
      <c r="U238" s="10"/>
      <c r="V238" s="10"/>
      <c r="W238" s="7"/>
      <c r="X238" s="10"/>
      <c r="Y238" s="7"/>
      <c r="Z238" s="7"/>
      <c r="AA238" s="7"/>
      <c r="AB238" s="7"/>
      <c r="AC238" s="107"/>
      <c r="AD238" s="7"/>
      <c r="AE238" s="7"/>
      <c r="AF238" s="10"/>
      <c r="AG238" s="10"/>
      <c r="AH238" s="7"/>
      <c r="AI238" s="7"/>
      <c r="AJ238" s="7"/>
      <c r="AK238" s="7"/>
      <c r="AL238" s="7"/>
      <c r="AM238" s="7"/>
      <c r="AN238" s="7"/>
      <c r="AO238" s="7"/>
      <c r="AP238" s="266"/>
      <c r="AR238" s="266"/>
    </row>
    <row r="239" spans="1:44" s="268" customFormat="1" x14ac:dyDescent="0.25">
      <c r="A239" s="107"/>
      <c r="B239" s="107"/>
      <c r="C239" s="7"/>
      <c r="D239" s="7"/>
      <c r="E239" s="10"/>
      <c r="F239" s="7"/>
      <c r="G239" s="7"/>
      <c r="H239" s="7"/>
      <c r="I239" s="7"/>
      <c r="J239" s="7"/>
      <c r="K239" s="7"/>
      <c r="L239" s="7"/>
      <c r="M239" s="10"/>
      <c r="N239" s="107"/>
      <c r="O239" s="7"/>
      <c r="P239" s="7"/>
      <c r="Q239" s="7"/>
      <c r="R239" s="7"/>
      <c r="S239" s="7"/>
      <c r="T239" s="7"/>
      <c r="U239" s="10"/>
      <c r="V239" s="10"/>
      <c r="W239" s="7"/>
      <c r="X239" s="10"/>
      <c r="Y239" s="7"/>
      <c r="Z239" s="7"/>
      <c r="AA239" s="7"/>
      <c r="AB239" s="7"/>
      <c r="AC239" s="107"/>
      <c r="AD239" s="7"/>
      <c r="AE239" s="7"/>
      <c r="AF239" s="10"/>
      <c r="AG239" s="10"/>
      <c r="AH239" s="7"/>
      <c r="AI239" s="7"/>
      <c r="AJ239" s="7"/>
      <c r="AK239" s="7"/>
      <c r="AL239" s="7"/>
      <c r="AM239" s="7"/>
      <c r="AN239" s="7"/>
      <c r="AO239" s="7"/>
      <c r="AP239" s="266"/>
      <c r="AR239" s="266"/>
    </row>
    <row r="240" spans="1:44" s="268" customFormat="1" x14ac:dyDescent="0.25">
      <c r="A240" s="107"/>
      <c r="B240" s="107"/>
      <c r="C240" s="7"/>
      <c r="D240" s="7"/>
      <c r="E240" s="10"/>
      <c r="F240" s="7"/>
      <c r="G240" s="7"/>
      <c r="H240" s="7"/>
      <c r="I240" s="7"/>
      <c r="J240" s="7"/>
      <c r="K240" s="7"/>
      <c r="L240" s="7"/>
      <c r="M240" s="10"/>
      <c r="N240" s="107"/>
      <c r="O240" s="7"/>
      <c r="P240" s="7"/>
      <c r="Q240" s="7"/>
      <c r="R240" s="7"/>
      <c r="S240" s="7"/>
      <c r="T240" s="7"/>
      <c r="U240" s="10"/>
      <c r="V240" s="10"/>
      <c r="W240" s="7"/>
      <c r="X240" s="10"/>
      <c r="Y240" s="7"/>
      <c r="Z240" s="7"/>
      <c r="AA240" s="7"/>
      <c r="AB240" s="7"/>
      <c r="AC240" s="107"/>
      <c r="AD240" s="7"/>
      <c r="AE240" s="7"/>
      <c r="AF240" s="10"/>
      <c r="AG240" s="10"/>
      <c r="AH240" s="7"/>
      <c r="AI240" s="7"/>
      <c r="AJ240" s="7"/>
      <c r="AK240" s="7"/>
      <c r="AL240" s="7"/>
      <c r="AM240" s="7"/>
      <c r="AN240" s="7"/>
      <c r="AO240" s="7"/>
      <c r="AP240" s="266"/>
      <c r="AR240" s="266"/>
    </row>
    <row r="241" spans="1:44" s="268" customFormat="1" x14ac:dyDescent="0.25">
      <c r="A241" s="107"/>
      <c r="B241" s="107"/>
      <c r="C241" s="7"/>
      <c r="D241" s="7"/>
      <c r="E241" s="10"/>
      <c r="F241" s="7"/>
      <c r="G241" s="7"/>
      <c r="H241" s="7"/>
      <c r="I241" s="7"/>
      <c r="J241" s="7"/>
      <c r="K241" s="7"/>
      <c r="L241" s="7"/>
      <c r="M241" s="10"/>
      <c r="N241" s="107"/>
      <c r="O241" s="7"/>
      <c r="P241" s="7"/>
      <c r="Q241" s="7"/>
      <c r="R241" s="7"/>
      <c r="S241" s="7"/>
      <c r="T241" s="7"/>
      <c r="U241" s="10"/>
      <c r="V241" s="10"/>
      <c r="W241" s="7"/>
      <c r="X241" s="10"/>
      <c r="Y241" s="7"/>
      <c r="Z241" s="7"/>
      <c r="AA241" s="7"/>
      <c r="AB241" s="7"/>
      <c r="AC241" s="107"/>
      <c r="AD241" s="7"/>
      <c r="AE241" s="7"/>
      <c r="AF241" s="10"/>
      <c r="AG241" s="10"/>
      <c r="AH241" s="7"/>
      <c r="AI241" s="7"/>
      <c r="AJ241" s="7"/>
      <c r="AK241" s="7"/>
      <c r="AL241" s="7"/>
      <c r="AM241" s="7"/>
      <c r="AN241" s="7"/>
      <c r="AO241" s="7"/>
      <c r="AP241" s="266"/>
      <c r="AR241" s="266"/>
    </row>
    <row r="242" spans="1:44" s="268" customFormat="1" x14ac:dyDescent="0.25">
      <c r="A242" s="107"/>
      <c r="B242" s="107"/>
      <c r="C242" s="7"/>
      <c r="D242" s="7"/>
      <c r="E242" s="10"/>
      <c r="F242" s="7"/>
      <c r="G242" s="7"/>
      <c r="H242" s="7"/>
      <c r="I242" s="7"/>
      <c r="J242" s="7"/>
      <c r="K242" s="7"/>
      <c r="L242" s="7"/>
      <c r="M242" s="10"/>
      <c r="N242" s="107"/>
      <c r="O242" s="7"/>
      <c r="P242" s="7"/>
      <c r="Q242" s="7"/>
      <c r="R242" s="7"/>
      <c r="S242" s="7"/>
      <c r="T242" s="7"/>
      <c r="U242" s="10"/>
      <c r="V242" s="10"/>
      <c r="W242" s="7"/>
      <c r="X242" s="10"/>
      <c r="Y242" s="7"/>
      <c r="Z242" s="7"/>
      <c r="AA242" s="7"/>
      <c r="AB242" s="7"/>
      <c r="AC242" s="107"/>
      <c r="AD242" s="7"/>
      <c r="AE242" s="7"/>
      <c r="AF242" s="10"/>
      <c r="AG242" s="10"/>
      <c r="AH242" s="7"/>
      <c r="AI242" s="7"/>
      <c r="AJ242" s="7"/>
      <c r="AK242" s="7"/>
      <c r="AL242" s="7"/>
      <c r="AM242" s="7"/>
      <c r="AN242" s="7"/>
      <c r="AO242" s="7"/>
      <c r="AP242" s="266"/>
      <c r="AR242" s="266"/>
    </row>
    <row r="243" spans="1:44" s="268" customFormat="1" x14ac:dyDescent="0.25">
      <c r="A243" s="107"/>
      <c r="B243" s="107"/>
      <c r="C243" s="7"/>
      <c r="D243" s="7"/>
      <c r="E243" s="10"/>
      <c r="F243" s="7"/>
      <c r="G243" s="7"/>
      <c r="H243" s="7"/>
      <c r="I243" s="7"/>
      <c r="J243" s="7"/>
      <c r="K243" s="7"/>
      <c r="L243" s="7"/>
      <c r="M243" s="10"/>
      <c r="N243" s="107"/>
      <c r="O243" s="7"/>
      <c r="P243" s="7"/>
      <c r="Q243" s="7"/>
      <c r="R243" s="7"/>
      <c r="S243" s="7"/>
      <c r="T243" s="7"/>
      <c r="U243" s="10"/>
      <c r="V243" s="10"/>
      <c r="W243" s="7"/>
      <c r="X243" s="10"/>
      <c r="Y243" s="7"/>
      <c r="Z243" s="7"/>
      <c r="AA243" s="7"/>
      <c r="AB243" s="7"/>
      <c r="AC243" s="107"/>
      <c r="AD243" s="7"/>
      <c r="AE243" s="7"/>
      <c r="AF243" s="10"/>
      <c r="AG243" s="10"/>
      <c r="AH243" s="7"/>
      <c r="AI243" s="7"/>
      <c r="AJ243" s="7"/>
      <c r="AK243" s="7"/>
      <c r="AL243" s="7"/>
      <c r="AM243" s="7"/>
      <c r="AN243" s="7"/>
      <c r="AO243" s="7"/>
      <c r="AP243" s="266"/>
      <c r="AR243" s="266"/>
    </row>
    <row r="244" spans="1:44" s="268" customFormat="1" x14ac:dyDescent="0.25">
      <c r="A244" s="107"/>
      <c r="B244" s="107"/>
      <c r="C244" s="7"/>
      <c r="D244" s="7"/>
      <c r="E244" s="10"/>
      <c r="F244" s="7"/>
      <c r="G244" s="7"/>
      <c r="H244" s="7"/>
      <c r="I244" s="7"/>
      <c r="J244" s="7"/>
      <c r="K244" s="7"/>
      <c r="L244" s="7"/>
      <c r="M244" s="10"/>
      <c r="N244" s="107"/>
      <c r="O244" s="7"/>
      <c r="P244" s="7"/>
      <c r="Q244" s="7"/>
      <c r="R244" s="7"/>
      <c r="S244" s="7"/>
      <c r="T244" s="7"/>
      <c r="U244" s="10"/>
      <c r="V244" s="10"/>
      <c r="W244" s="7"/>
      <c r="X244" s="10"/>
      <c r="Y244" s="7"/>
      <c r="Z244" s="7"/>
      <c r="AA244" s="7"/>
      <c r="AB244" s="7"/>
      <c r="AC244" s="107"/>
      <c r="AD244" s="7"/>
      <c r="AE244" s="7"/>
      <c r="AF244" s="10"/>
      <c r="AG244" s="10"/>
      <c r="AH244" s="7"/>
      <c r="AI244" s="7"/>
      <c r="AJ244" s="7"/>
      <c r="AK244" s="7"/>
      <c r="AL244" s="7"/>
      <c r="AM244" s="7"/>
      <c r="AN244" s="7"/>
      <c r="AO244" s="7"/>
      <c r="AP244" s="266"/>
      <c r="AR244" s="266"/>
    </row>
    <row r="245" spans="1:44" s="268" customFormat="1" x14ac:dyDescent="0.25">
      <c r="A245" s="107"/>
      <c r="B245" s="107"/>
      <c r="C245" s="7"/>
      <c r="D245" s="7"/>
      <c r="E245" s="10"/>
      <c r="F245" s="7"/>
      <c r="G245" s="7"/>
      <c r="H245" s="7"/>
      <c r="I245" s="7"/>
      <c r="J245" s="7"/>
      <c r="K245" s="7"/>
      <c r="L245" s="7"/>
      <c r="M245" s="10"/>
      <c r="N245" s="107"/>
      <c r="O245" s="7"/>
      <c r="P245" s="7"/>
      <c r="Q245" s="7"/>
      <c r="R245" s="7"/>
      <c r="S245" s="7"/>
      <c r="T245" s="7"/>
      <c r="U245" s="10"/>
      <c r="V245" s="10"/>
      <c r="W245" s="7"/>
      <c r="X245" s="10"/>
      <c r="Y245" s="7"/>
      <c r="Z245" s="7"/>
      <c r="AA245" s="7"/>
      <c r="AB245" s="7"/>
      <c r="AC245" s="107"/>
      <c r="AD245" s="7"/>
      <c r="AE245" s="7"/>
      <c r="AF245" s="10"/>
      <c r="AG245" s="10"/>
      <c r="AH245" s="7"/>
      <c r="AI245" s="7"/>
      <c r="AJ245" s="7"/>
      <c r="AK245" s="7"/>
      <c r="AL245" s="7"/>
      <c r="AM245" s="7"/>
      <c r="AN245" s="7"/>
      <c r="AO245" s="7"/>
      <c r="AP245" s="266"/>
      <c r="AR245" s="266"/>
    </row>
    <row r="246" spans="1:44" s="268" customFormat="1" x14ac:dyDescent="0.25">
      <c r="A246" s="107"/>
      <c r="B246" s="107"/>
      <c r="C246" s="7"/>
      <c r="D246" s="7"/>
      <c r="E246" s="10"/>
      <c r="F246" s="7"/>
      <c r="G246" s="7"/>
      <c r="H246" s="7"/>
      <c r="I246" s="7"/>
      <c r="J246" s="7"/>
      <c r="K246" s="7"/>
      <c r="L246" s="7"/>
      <c r="M246" s="10"/>
      <c r="N246" s="107"/>
      <c r="O246" s="7"/>
      <c r="P246" s="7"/>
      <c r="Q246" s="7"/>
      <c r="R246" s="7"/>
      <c r="S246" s="7"/>
      <c r="T246" s="7"/>
      <c r="U246" s="10"/>
      <c r="V246" s="10"/>
      <c r="W246" s="7"/>
      <c r="X246" s="10"/>
      <c r="Y246" s="7"/>
      <c r="Z246" s="7"/>
      <c r="AA246" s="7"/>
      <c r="AB246" s="7"/>
      <c r="AC246" s="107"/>
      <c r="AD246" s="7"/>
      <c r="AE246" s="7"/>
      <c r="AF246" s="10"/>
      <c r="AG246" s="10"/>
      <c r="AH246" s="7"/>
      <c r="AI246" s="7"/>
      <c r="AJ246" s="7"/>
      <c r="AK246" s="7"/>
      <c r="AL246" s="7"/>
      <c r="AM246" s="7"/>
      <c r="AN246" s="7"/>
      <c r="AO246" s="7"/>
      <c r="AP246" s="266"/>
      <c r="AR246" s="266"/>
    </row>
    <row r="247" spans="1:44" s="268" customFormat="1" x14ac:dyDescent="0.25">
      <c r="A247" s="107"/>
      <c r="B247" s="107"/>
      <c r="C247" s="7"/>
      <c r="D247" s="7"/>
      <c r="E247" s="10"/>
      <c r="F247" s="7"/>
      <c r="G247" s="7"/>
      <c r="H247" s="7"/>
      <c r="I247" s="7"/>
      <c r="J247" s="7"/>
      <c r="K247" s="7"/>
      <c r="L247" s="7"/>
      <c r="M247" s="10"/>
      <c r="N247" s="107"/>
      <c r="O247" s="7"/>
      <c r="P247" s="7"/>
      <c r="Q247" s="7"/>
      <c r="R247" s="7"/>
      <c r="S247" s="7"/>
      <c r="T247" s="7"/>
      <c r="U247" s="10"/>
      <c r="V247" s="10"/>
      <c r="W247" s="7"/>
      <c r="X247" s="10"/>
      <c r="Y247" s="7"/>
      <c r="Z247" s="7"/>
      <c r="AA247" s="7"/>
      <c r="AB247" s="7"/>
      <c r="AC247" s="107"/>
      <c r="AD247" s="7"/>
      <c r="AE247" s="7"/>
      <c r="AF247" s="10"/>
      <c r="AG247" s="10"/>
      <c r="AH247" s="7"/>
      <c r="AI247" s="7"/>
      <c r="AJ247" s="7"/>
      <c r="AK247" s="7"/>
      <c r="AL247" s="7"/>
      <c r="AM247" s="7"/>
      <c r="AN247" s="7"/>
      <c r="AO247" s="7"/>
      <c r="AP247" s="266"/>
      <c r="AR247" s="266"/>
    </row>
    <row r="248" spans="1:44" s="268" customFormat="1" x14ac:dyDescent="0.25">
      <c r="A248" s="107"/>
      <c r="B248" s="107"/>
      <c r="C248" s="7"/>
      <c r="D248" s="7"/>
      <c r="E248" s="10"/>
      <c r="F248" s="7"/>
      <c r="G248" s="7"/>
      <c r="H248" s="7"/>
      <c r="I248" s="7"/>
      <c r="J248" s="7"/>
      <c r="K248" s="7"/>
      <c r="L248" s="7"/>
      <c r="M248" s="10"/>
      <c r="N248" s="107"/>
      <c r="O248" s="7"/>
      <c r="P248" s="7"/>
      <c r="Q248" s="7"/>
      <c r="R248" s="7"/>
      <c r="S248" s="7"/>
      <c r="T248" s="7"/>
      <c r="U248" s="10"/>
      <c r="V248" s="10"/>
      <c r="W248" s="7"/>
      <c r="X248" s="10"/>
      <c r="Y248" s="7"/>
      <c r="Z248" s="7"/>
      <c r="AA248" s="7"/>
      <c r="AB248" s="7"/>
      <c r="AC248" s="107"/>
      <c r="AD248" s="7"/>
      <c r="AE248" s="7"/>
      <c r="AF248" s="10"/>
      <c r="AG248" s="10"/>
      <c r="AH248" s="7"/>
      <c r="AI248" s="7"/>
      <c r="AJ248" s="7"/>
      <c r="AK248" s="7"/>
      <c r="AL248" s="7"/>
      <c r="AM248" s="7"/>
      <c r="AN248" s="7"/>
      <c r="AO248" s="7"/>
      <c r="AP248" s="266"/>
      <c r="AR248" s="266"/>
    </row>
    <row r="249" spans="1:44" s="268" customFormat="1" x14ac:dyDescent="0.25">
      <c r="A249" s="107"/>
      <c r="B249" s="107"/>
      <c r="C249" s="7"/>
      <c r="D249" s="7"/>
      <c r="E249" s="10"/>
      <c r="F249" s="7"/>
      <c r="G249" s="7"/>
      <c r="H249" s="7"/>
      <c r="I249" s="7"/>
      <c r="J249" s="7"/>
      <c r="K249" s="7"/>
      <c r="L249" s="7"/>
      <c r="M249" s="10"/>
      <c r="N249" s="107"/>
      <c r="O249" s="7"/>
      <c r="P249" s="7"/>
      <c r="Q249" s="7"/>
      <c r="R249" s="7"/>
      <c r="S249" s="7"/>
      <c r="T249" s="7"/>
      <c r="U249" s="10"/>
      <c r="V249" s="10"/>
      <c r="W249" s="7"/>
      <c r="X249" s="10"/>
      <c r="Y249" s="7"/>
      <c r="Z249" s="7"/>
      <c r="AA249" s="7"/>
      <c r="AB249" s="7"/>
      <c r="AC249" s="107"/>
      <c r="AD249" s="7"/>
      <c r="AE249" s="7"/>
      <c r="AF249" s="10"/>
      <c r="AG249" s="10"/>
      <c r="AH249" s="7"/>
      <c r="AI249" s="7"/>
      <c r="AJ249" s="7"/>
      <c r="AK249" s="7"/>
      <c r="AL249" s="7"/>
      <c r="AM249" s="7"/>
      <c r="AN249" s="7"/>
      <c r="AO249" s="7"/>
      <c r="AP249" s="266"/>
      <c r="AR249" s="266"/>
    </row>
    <row r="250" spans="1:44" s="268" customFormat="1" x14ac:dyDescent="0.25">
      <c r="A250" s="107"/>
      <c r="B250" s="107"/>
      <c r="C250" s="7"/>
      <c r="D250" s="7"/>
      <c r="E250" s="10"/>
      <c r="F250" s="7"/>
      <c r="G250" s="7"/>
      <c r="H250" s="7"/>
      <c r="I250" s="7"/>
      <c r="J250" s="7"/>
      <c r="K250" s="7"/>
      <c r="L250" s="7"/>
      <c r="M250" s="10"/>
      <c r="N250" s="107"/>
      <c r="O250" s="7"/>
      <c r="P250" s="7"/>
      <c r="Q250" s="7"/>
      <c r="R250" s="7"/>
      <c r="S250" s="7"/>
      <c r="T250" s="7"/>
      <c r="U250" s="10"/>
      <c r="V250" s="10"/>
      <c r="W250" s="7"/>
      <c r="X250" s="10"/>
      <c r="Y250" s="7"/>
      <c r="Z250" s="7"/>
      <c r="AA250" s="7"/>
      <c r="AB250" s="7"/>
      <c r="AC250" s="107"/>
      <c r="AD250" s="7"/>
      <c r="AE250" s="7"/>
      <c r="AF250" s="10"/>
      <c r="AG250" s="10"/>
      <c r="AH250" s="7"/>
      <c r="AI250" s="7"/>
      <c r="AJ250" s="7"/>
      <c r="AK250" s="7"/>
      <c r="AL250" s="7"/>
      <c r="AM250" s="7"/>
      <c r="AN250" s="7"/>
      <c r="AO250" s="7"/>
      <c r="AP250" s="266"/>
      <c r="AR250" s="266"/>
    </row>
    <row r="251" spans="1:44" s="268" customFormat="1" x14ac:dyDescent="0.25">
      <c r="A251" s="107"/>
      <c r="B251" s="107"/>
      <c r="C251" s="7"/>
      <c r="D251" s="7"/>
      <c r="E251" s="10"/>
      <c r="F251" s="108"/>
      <c r="G251" s="108"/>
      <c r="H251" s="108"/>
      <c r="I251" s="108"/>
      <c r="J251" s="108"/>
      <c r="K251" s="108"/>
      <c r="L251" s="108"/>
      <c r="M251" s="11"/>
      <c r="N251" s="107"/>
      <c r="O251" s="108"/>
      <c r="P251" s="108"/>
      <c r="Q251" s="108"/>
      <c r="R251" s="108"/>
      <c r="S251" s="108"/>
      <c r="T251" s="108"/>
      <c r="U251" s="11"/>
      <c r="V251" s="11"/>
      <c r="W251" s="108"/>
      <c r="X251" s="11"/>
      <c r="Y251" s="108"/>
      <c r="Z251" s="108"/>
      <c r="AA251" s="108"/>
      <c r="AB251" s="108"/>
      <c r="AC251" s="107"/>
      <c r="AD251" s="108"/>
      <c r="AE251" s="108"/>
      <c r="AF251" s="11"/>
      <c r="AG251" s="11"/>
      <c r="AH251" s="108"/>
      <c r="AI251" s="108"/>
      <c r="AJ251" s="108"/>
      <c r="AK251" s="108"/>
      <c r="AL251" s="108"/>
      <c r="AM251" s="108"/>
      <c r="AN251" s="108"/>
      <c r="AO251" s="108"/>
      <c r="AP251" s="270"/>
      <c r="AR251" s="270"/>
    </row>
    <row r="252" spans="1:44" s="268" customFormat="1" x14ac:dyDescent="0.25">
      <c r="A252" s="107"/>
      <c r="B252" s="107"/>
      <c r="C252" s="7"/>
      <c r="D252" s="7"/>
      <c r="E252" s="10"/>
      <c r="F252" s="108"/>
      <c r="G252" s="108"/>
      <c r="H252" s="108"/>
      <c r="I252" s="108"/>
      <c r="J252" s="108"/>
      <c r="K252" s="108"/>
      <c r="L252" s="108"/>
      <c r="M252" s="11"/>
      <c r="N252" s="107"/>
      <c r="O252" s="108"/>
      <c r="P252" s="108"/>
      <c r="Q252" s="108"/>
      <c r="R252" s="108"/>
      <c r="S252" s="108"/>
      <c r="T252" s="108"/>
      <c r="U252" s="11"/>
      <c r="V252" s="11"/>
      <c r="W252" s="108"/>
      <c r="X252" s="11"/>
      <c r="Y252" s="108"/>
      <c r="Z252" s="108"/>
      <c r="AA252" s="108"/>
      <c r="AB252" s="108"/>
      <c r="AC252" s="107"/>
      <c r="AD252" s="108"/>
      <c r="AE252" s="108"/>
      <c r="AF252" s="11"/>
      <c r="AG252" s="11"/>
      <c r="AH252" s="108"/>
      <c r="AI252" s="108"/>
      <c r="AJ252" s="108"/>
      <c r="AK252" s="108"/>
      <c r="AL252" s="108"/>
      <c r="AM252" s="108"/>
      <c r="AN252" s="108"/>
      <c r="AO252" s="108"/>
      <c r="AP252" s="270"/>
      <c r="AR252" s="270"/>
    </row>
    <row r="253" spans="1:44" s="268" customFormat="1" x14ac:dyDescent="0.25">
      <c r="A253" s="107"/>
      <c r="B253" s="107"/>
      <c r="C253" s="7"/>
      <c r="D253" s="7"/>
      <c r="E253" s="10"/>
      <c r="F253" s="108"/>
      <c r="G253" s="108"/>
      <c r="H253" s="108"/>
      <c r="I253" s="108"/>
      <c r="J253" s="108"/>
      <c r="K253" s="108"/>
      <c r="L253" s="108"/>
      <c r="M253" s="11"/>
      <c r="N253" s="107"/>
      <c r="O253" s="108"/>
      <c r="P253" s="108"/>
      <c r="Q253" s="108"/>
      <c r="R253" s="108"/>
      <c r="S253" s="108"/>
      <c r="T253" s="108"/>
      <c r="U253" s="11"/>
      <c r="V253" s="11"/>
      <c r="W253" s="108"/>
      <c r="X253" s="11"/>
      <c r="Y253" s="108"/>
      <c r="Z253" s="108"/>
      <c r="AA253" s="108"/>
      <c r="AB253" s="108"/>
      <c r="AC253" s="107"/>
      <c r="AD253" s="108"/>
      <c r="AE253" s="108"/>
      <c r="AF253" s="11"/>
      <c r="AG253" s="11"/>
      <c r="AH253" s="108"/>
      <c r="AI253" s="108"/>
      <c r="AJ253" s="108"/>
      <c r="AK253" s="108"/>
      <c r="AL253" s="108"/>
      <c r="AM253" s="108"/>
      <c r="AN253" s="108"/>
      <c r="AO253" s="108"/>
      <c r="AP253" s="270"/>
      <c r="AR253" s="270"/>
    </row>
    <row r="254" spans="1:44" s="268" customFormat="1" x14ac:dyDescent="0.25">
      <c r="A254" s="107"/>
      <c r="B254" s="107"/>
      <c r="C254" s="7"/>
      <c r="D254" s="7"/>
      <c r="E254" s="10"/>
      <c r="F254" s="108"/>
      <c r="G254" s="108"/>
      <c r="H254" s="108"/>
      <c r="I254" s="108"/>
      <c r="J254" s="108"/>
      <c r="K254" s="108"/>
      <c r="L254" s="108"/>
      <c r="M254" s="11"/>
      <c r="N254" s="107"/>
      <c r="O254" s="108"/>
      <c r="P254" s="108"/>
      <c r="Q254" s="108"/>
      <c r="R254" s="108"/>
      <c r="S254" s="108"/>
      <c r="T254" s="108"/>
      <c r="U254" s="11"/>
      <c r="V254" s="11"/>
      <c r="W254" s="108"/>
      <c r="X254" s="11"/>
      <c r="Y254" s="108"/>
      <c r="Z254" s="108"/>
      <c r="AA254" s="108"/>
      <c r="AB254" s="108"/>
      <c r="AC254" s="107"/>
      <c r="AD254" s="108"/>
      <c r="AE254" s="108"/>
      <c r="AF254" s="11"/>
      <c r="AG254" s="11"/>
      <c r="AH254" s="108"/>
      <c r="AI254" s="108"/>
      <c r="AJ254" s="108"/>
      <c r="AK254" s="108"/>
      <c r="AL254" s="108"/>
      <c r="AM254" s="108"/>
      <c r="AN254" s="108"/>
      <c r="AO254" s="108"/>
      <c r="AP254" s="270"/>
      <c r="AR254" s="270"/>
    </row>
    <row r="255" spans="1:44" s="268" customFormat="1" x14ac:dyDescent="0.25">
      <c r="A255" s="107"/>
      <c r="B255" s="107"/>
      <c r="C255" s="7"/>
      <c r="D255" s="7"/>
      <c r="E255" s="10"/>
      <c r="F255" s="108"/>
      <c r="G255" s="108"/>
      <c r="H255" s="108"/>
      <c r="I255" s="108"/>
      <c r="J255" s="108"/>
      <c r="K255" s="108"/>
      <c r="L255" s="108"/>
      <c r="M255" s="11"/>
      <c r="N255" s="107"/>
      <c r="O255" s="108"/>
      <c r="P255" s="108"/>
      <c r="Q255" s="108"/>
      <c r="R255" s="108"/>
      <c r="S255" s="108"/>
      <c r="T255" s="108"/>
      <c r="U255" s="11"/>
      <c r="V255" s="11"/>
      <c r="W255" s="108"/>
      <c r="X255" s="11"/>
      <c r="Y255" s="108"/>
      <c r="Z255" s="108"/>
      <c r="AA255" s="108"/>
      <c r="AB255" s="108"/>
      <c r="AC255" s="107"/>
      <c r="AD255" s="108"/>
      <c r="AE255" s="108"/>
      <c r="AF255" s="11"/>
      <c r="AG255" s="11"/>
      <c r="AH255" s="108"/>
      <c r="AI255" s="108"/>
      <c r="AJ255" s="108"/>
      <c r="AK255" s="108"/>
      <c r="AL255" s="108"/>
      <c r="AM255" s="108"/>
      <c r="AN255" s="108"/>
      <c r="AO255" s="108"/>
      <c r="AP255" s="270"/>
      <c r="AR255" s="270"/>
    </row>
    <row r="256" spans="1:44" s="268" customFormat="1" x14ac:dyDescent="0.25">
      <c r="A256" s="107"/>
      <c r="B256" s="107"/>
      <c r="C256" s="7"/>
      <c r="D256" s="7"/>
      <c r="E256" s="10"/>
      <c r="F256" s="108"/>
      <c r="G256" s="108"/>
      <c r="H256" s="108"/>
      <c r="I256" s="108"/>
      <c r="J256" s="108"/>
      <c r="K256" s="108"/>
      <c r="L256" s="108"/>
      <c r="M256" s="11"/>
      <c r="N256" s="107"/>
      <c r="O256" s="108"/>
      <c r="P256" s="108"/>
      <c r="Q256" s="108"/>
      <c r="R256" s="108"/>
      <c r="S256" s="108"/>
      <c r="T256" s="108"/>
      <c r="U256" s="11"/>
      <c r="V256" s="11"/>
      <c r="W256" s="108"/>
      <c r="X256" s="11"/>
      <c r="Y256" s="108"/>
      <c r="Z256" s="108"/>
      <c r="AA256" s="108"/>
      <c r="AB256" s="108"/>
      <c r="AC256" s="107"/>
      <c r="AD256" s="108"/>
      <c r="AE256" s="108"/>
      <c r="AF256" s="11"/>
      <c r="AG256" s="11"/>
      <c r="AH256" s="108"/>
      <c r="AI256" s="108"/>
      <c r="AJ256" s="108"/>
      <c r="AK256" s="108"/>
      <c r="AL256" s="108"/>
      <c r="AM256" s="108"/>
      <c r="AN256" s="108"/>
      <c r="AO256" s="108"/>
      <c r="AP256" s="270"/>
      <c r="AR256" s="270"/>
    </row>
    <row r="257" spans="1:44" s="268" customFormat="1" x14ac:dyDescent="0.25">
      <c r="A257" s="107"/>
      <c r="B257" s="107"/>
      <c r="C257" s="7"/>
      <c r="D257" s="7"/>
      <c r="E257" s="10"/>
      <c r="F257" s="108"/>
      <c r="G257" s="108"/>
      <c r="H257" s="108"/>
      <c r="I257" s="108"/>
      <c r="J257" s="108"/>
      <c r="K257" s="108"/>
      <c r="L257" s="108"/>
      <c r="M257" s="11"/>
      <c r="N257" s="107"/>
      <c r="O257" s="108"/>
      <c r="P257" s="108"/>
      <c r="Q257" s="108"/>
      <c r="R257" s="108"/>
      <c r="S257" s="108"/>
      <c r="T257" s="108"/>
      <c r="U257" s="11"/>
      <c r="V257" s="11"/>
      <c r="W257" s="108"/>
      <c r="X257" s="11"/>
      <c r="Y257" s="108"/>
      <c r="Z257" s="108"/>
      <c r="AA257" s="108"/>
      <c r="AB257" s="108"/>
      <c r="AC257" s="107"/>
      <c r="AD257" s="108"/>
      <c r="AE257" s="108"/>
      <c r="AF257" s="11"/>
      <c r="AG257" s="11"/>
      <c r="AH257" s="108"/>
      <c r="AI257" s="108"/>
      <c r="AJ257" s="108"/>
      <c r="AK257" s="108"/>
      <c r="AL257" s="108"/>
      <c r="AM257" s="108"/>
      <c r="AN257" s="108"/>
      <c r="AO257" s="108"/>
      <c r="AP257" s="270"/>
      <c r="AR257" s="270"/>
    </row>
    <row r="258" spans="1:44" s="268" customFormat="1" x14ac:dyDescent="0.25">
      <c r="A258" s="107"/>
      <c r="B258" s="107"/>
      <c r="C258" s="7"/>
      <c r="D258" s="7"/>
      <c r="E258" s="10"/>
      <c r="F258" s="108"/>
      <c r="G258" s="108"/>
      <c r="H258" s="108"/>
      <c r="I258" s="108"/>
      <c r="J258" s="108"/>
      <c r="K258" s="108"/>
      <c r="L258" s="108"/>
      <c r="M258" s="11"/>
      <c r="N258" s="107"/>
      <c r="O258" s="108"/>
      <c r="P258" s="108"/>
      <c r="Q258" s="108"/>
      <c r="R258" s="108"/>
      <c r="S258" s="108"/>
      <c r="T258" s="108"/>
      <c r="U258" s="11"/>
      <c r="V258" s="11"/>
      <c r="W258" s="108"/>
      <c r="X258" s="11"/>
      <c r="Y258" s="108"/>
      <c r="Z258" s="108"/>
      <c r="AA258" s="108"/>
      <c r="AB258" s="108"/>
      <c r="AC258" s="107"/>
      <c r="AD258" s="108"/>
      <c r="AE258" s="108"/>
      <c r="AF258" s="11"/>
      <c r="AG258" s="11"/>
      <c r="AH258" s="108"/>
      <c r="AI258" s="108"/>
      <c r="AJ258" s="108"/>
      <c r="AK258" s="108"/>
      <c r="AL258" s="108"/>
      <c r="AM258" s="108"/>
      <c r="AN258" s="108"/>
      <c r="AO258" s="108"/>
      <c r="AP258" s="270"/>
      <c r="AR258" s="270"/>
    </row>
    <row r="259" spans="1:44" s="268" customFormat="1" x14ac:dyDescent="0.25">
      <c r="A259" s="107"/>
      <c r="B259" s="107"/>
      <c r="C259" s="7"/>
      <c r="D259" s="7"/>
      <c r="E259" s="10"/>
      <c r="F259" s="108"/>
      <c r="G259" s="108"/>
      <c r="H259" s="108"/>
      <c r="I259" s="108"/>
      <c r="J259" s="108"/>
      <c r="K259" s="108"/>
      <c r="L259" s="108"/>
      <c r="M259" s="11"/>
      <c r="N259" s="107"/>
      <c r="O259" s="108"/>
      <c r="P259" s="108"/>
      <c r="Q259" s="108"/>
      <c r="R259" s="108"/>
      <c r="S259" s="108"/>
      <c r="T259" s="108"/>
      <c r="U259" s="11"/>
      <c r="V259" s="11"/>
      <c r="W259" s="108"/>
      <c r="X259" s="11"/>
      <c r="Y259" s="108"/>
      <c r="Z259" s="108"/>
      <c r="AA259" s="108"/>
      <c r="AB259" s="108"/>
      <c r="AC259" s="107"/>
      <c r="AD259" s="108"/>
      <c r="AE259" s="108"/>
      <c r="AF259" s="11"/>
      <c r="AG259" s="11"/>
      <c r="AH259" s="108"/>
      <c r="AI259" s="108"/>
      <c r="AJ259" s="108"/>
      <c r="AK259" s="108"/>
      <c r="AL259" s="108"/>
      <c r="AM259" s="108"/>
      <c r="AN259" s="108"/>
      <c r="AO259" s="108"/>
      <c r="AP259" s="270"/>
      <c r="AR259" s="270"/>
    </row>
    <row r="260" spans="1:44" s="268" customFormat="1" x14ac:dyDescent="0.25">
      <c r="A260" s="107"/>
      <c r="B260" s="107"/>
      <c r="C260" s="7"/>
      <c r="D260" s="7"/>
      <c r="E260" s="10"/>
      <c r="F260" s="108"/>
      <c r="G260" s="108"/>
      <c r="H260" s="108"/>
      <c r="I260" s="108"/>
      <c r="J260" s="108"/>
      <c r="K260" s="108"/>
      <c r="L260" s="108"/>
      <c r="M260" s="11"/>
      <c r="N260" s="107"/>
      <c r="O260" s="108"/>
      <c r="P260" s="108"/>
      <c r="Q260" s="108"/>
      <c r="R260" s="108"/>
      <c r="S260" s="108"/>
      <c r="T260" s="108"/>
      <c r="U260" s="11"/>
      <c r="V260" s="11"/>
      <c r="W260" s="108"/>
      <c r="X260" s="11"/>
      <c r="Y260" s="108"/>
      <c r="Z260" s="108"/>
      <c r="AA260" s="108"/>
      <c r="AB260" s="108"/>
      <c r="AC260" s="107"/>
      <c r="AD260" s="108"/>
      <c r="AE260" s="108"/>
      <c r="AF260" s="11"/>
      <c r="AG260" s="11"/>
      <c r="AH260" s="108"/>
      <c r="AI260" s="108"/>
      <c r="AJ260" s="108"/>
      <c r="AK260" s="108"/>
      <c r="AL260" s="108"/>
      <c r="AM260" s="108"/>
      <c r="AN260" s="108"/>
      <c r="AO260" s="108"/>
      <c r="AP260" s="270"/>
      <c r="AR260" s="270"/>
    </row>
    <row r="261" spans="1:44" s="268" customFormat="1" x14ac:dyDescent="0.25">
      <c r="A261" s="107"/>
      <c r="B261" s="107"/>
      <c r="C261" s="7"/>
      <c r="D261" s="7"/>
      <c r="E261" s="10"/>
      <c r="F261" s="108"/>
      <c r="G261" s="108"/>
      <c r="H261" s="108"/>
      <c r="I261" s="108"/>
      <c r="J261" s="108"/>
      <c r="K261" s="108"/>
      <c r="L261" s="108"/>
      <c r="M261" s="11"/>
      <c r="N261" s="107"/>
      <c r="O261" s="108"/>
      <c r="P261" s="108"/>
      <c r="Q261" s="108"/>
      <c r="R261" s="108"/>
      <c r="S261" s="108"/>
      <c r="T261" s="108"/>
      <c r="U261" s="11"/>
      <c r="V261" s="11"/>
      <c r="W261" s="108"/>
      <c r="X261" s="11"/>
      <c r="Y261" s="108"/>
      <c r="Z261" s="108"/>
      <c r="AA261" s="108"/>
      <c r="AB261" s="108"/>
      <c r="AC261" s="107"/>
      <c r="AD261" s="108"/>
      <c r="AE261" s="108"/>
      <c r="AF261" s="11"/>
      <c r="AG261" s="11"/>
      <c r="AH261" s="108"/>
      <c r="AI261" s="108"/>
      <c r="AJ261" s="108"/>
      <c r="AK261" s="108"/>
      <c r="AL261" s="108"/>
      <c r="AM261" s="108"/>
      <c r="AN261" s="108"/>
      <c r="AO261" s="108"/>
      <c r="AP261" s="270"/>
      <c r="AR261" s="270"/>
    </row>
    <row r="262" spans="1:44" s="268" customFormat="1" x14ac:dyDescent="0.25">
      <c r="A262" s="107"/>
      <c r="B262" s="107"/>
      <c r="C262" s="7"/>
      <c r="D262" s="7"/>
      <c r="E262" s="10"/>
      <c r="F262" s="108"/>
      <c r="G262" s="108"/>
      <c r="H262" s="108"/>
      <c r="I262" s="108"/>
      <c r="J262" s="108"/>
      <c r="K262" s="108"/>
      <c r="L262" s="108"/>
      <c r="M262" s="11"/>
      <c r="N262" s="107"/>
      <c r="O262" s="108"/>
      <c r="P262" s="108"/>
      <c r="Q262" s="108"/>
      <c r="R262" s="108"/>
      <c r="S262" s="108"/>
      <c r="T262" s="108"/>
      <c r="U262" s="11"/>
      <c r="V262" s="11"/>
      <c r="W262" s="108"/>
      <c r="X262" s="11"/>
      <c r="Y262" s="108"/>
      <c r="Z262" s="108"/>
      <c r="AA262" s="108"/>
      <c r="AB262" s="108"/>
      <c r="AC262" s="107"/>
      <c r="AD262" s="108"/>
      <c r="AE262" s="108"/>
      <c r="AF262" s="11"/>
      <c r="AG262" s="11"/>
      <c r="AH262" s="108"/>
      <c r="AI262" s="108"/>
      <c r="AJ262" s="108"/>
      <c r="AK262" s="108"/>
      <c r="AL262" s="108"/>
      <c r="AM262" s="108"/>
      <c r="AN262" s="108"/>
      <c r="AO262" s="108"/>
      <c r="AP262" s="270"/>
      <c r="AR262" s="270"/>
    </row>
    <row r="263" spans="1:44" s="268" customFormat="1" x14ac:dyDescent="0.25">
      <c r="A263" s="107"/>
      <c r="B263" s="107"/>
      <c r="C263" s="7"/>
      <c r="D263" s="7"/>
      <c r="E263" s="10"/>
      <c r="F263" s="108"/>
      <c r="G263" s="108"/>
      <c r="H263" s="108"/>
      <c r="I263" s="108"/>
      <c r="J263" s="108"/>
      <c r="K263" s="108"/>
      <c r="L263" s="108"/>
      <c r="M263" s="11"/>
      <c r="N263" s="107"/>
      <c r="O263" s="108"/>
      <c r="P263" s="108"/>
      <c r="Q263" s="108"/>
      <c r="R263" s="108"/>
      <c r="S263" s="108"/>
      <c r="T263" s="108"/>
      <c r="U263" s="11"/>
      <c r="V263" s="11"/>
      <c r="W263" s="108"/>
      <c r="X263" s="11"/>
      <c r="Y263" s="108"/>
      <c r="Z263" s="108"/>
      <c r="AA263" s="108"/>
      <c r="AB263" s="108"/>
      <c r="AC263" s="107"/>
      <c r="AD263" s="108"/>
      <c r="AE263" s="108"/>
      <c r="AF263" s="11"/>
      <c r="AG263" s="11"/>
      <c r="AH263" s="108"/>
      <c r="AI263" s="108"/>
      <c r="AJ263" s="108"/>
      <c r="AK263" s="108"/>
      <c r="AL263" s="108"/>
      <c r="AM263" s="108"/>
      <c r="AN263" s="108"/>
      <c r="AO263" s="108"/>
      <c r="AP263" s="270"/>
      <c r="AR263" s="270"/>
    </row>
    <row r="264" spans="1:44" s="268" customFormat="1" x14ac:dyDescent="0.25">
      <c r="A264" s="107"/>
      <c r="B264" s="107"/>
      <c r="C264" s="7"/>
      <c r="D264" s="7"/>
      <c r="E264" s="10"/>
      <c r="F264" s="7"/>
      <c r="G264" s="7"/>
      <c r="H264" s="7"/>
      <c r="I264" s="7"/>
      <c r="J264" s="7"/>
      <c r="K264" s="7"/>
      <c r="L264" s="7"/>
      <c r="M264" s="10"/>
      <c r="N264" s="107"/>
      <c r="O264" s="7"/>
      <c r="P264" s="7"/>
      <c r="Q264" s="7"/>
      <c r="R264" s="7"/>
      <c r="S264" s="7"/>
      <c r="T264" s="7"/>
      <c r="U264" s="10"/>
      <c r="V264" s="10"/>
      <c r="W264" s="7"/>
      <c r="X264" s="10"/>
      <c r="Y264" s="7"/>
      <c r="Z264" s="7"/>
      <c r="AA264" s="7"/>
      <c r="AB264" s="7"/>
      <c r="AC264" s="107"/>
      <c r="AD264" s="7"/>
      <c r="AE264" s="7"/>
      <c r="AF264" s="10"/>
      <c r="AG264" s="10"/>
      <c r="AH264" s="7"/>
      <c r="AI264" s="7"/>
      <c r="AJ264" s="7"/>
      <c r="AK264" s="7"/>
      <c r="AL264" s="7"/>
      <c r="AM264" s="7"/>
      <c r="AN264" s="7"/>
      <c r="AO264" s="7"/>
      <c r="AP264" s="266"/>
      <c r="AR264" s="266"/>
    </row>
    <row r="265" spans="1:44" s="268" customFormat="1" x14ac:dyDescent="0.25">
      <c r="A265" s="107"/>
      <c r="B265" s="107"/>
      <c r="C265" s="7"/>
      <c r="D265" s="7"/>
      <c r="E265" s="10"/>
      <c r="F265" s="7"/>
      <c r="G265" s="7"/>
      <c r="H265" s="7"/>
      <c r="I265" s="7"/>
      <c r="J265" s="7"/>
      <c r="K265" s="7"/>
      <c r="L265" s="7"/>
      <c r="M265" s="10"/>
      <c r="N265" s="107"/>
      <c r="O265" s="7"/>
      <c r="P265" s="7"/>
      <c r="Q265" s="7"/>
      <c r="R265" s="7"/>
      <c r="S265" s="7"/>
      <c r="T265" s="7"/>
      <c r="U265" s="10"/>
      <c r="V265" s="10"/>
      <c r="W265" s="7"/>
      <c r="X265" s="10"/>
      <c r="Y265" s="7"/>
      <c r="Z265" s="7"/>
      <c r="AA265" s="7"/>
      <c r="AB265" s="7"/>
      <c r="AC265" s="107"/>
      <c r="AD265" s="7"/>
      <c r="AE265" s="7"/>
      <c r="AF265" s="10"/>
      <c r="AG265" s="10"/>
      <c r="AH265" s="7"/>
      <c r="AI265" s="7"/>
      <c r="AJ265" s="7"/>
      <c r="AK265" s="7"/>
      <c r="AL265" s="7"/>
      <c r="AM265" s="7"/>
      <c r="AN265" s="7"/>
      <c r="AO265" s="7"/>
      <c r="AP265" s="266"/>
      <c r="AR265" s="266"/>
    </row>
    <row r="266" spans="1:44" s="268" customFormat="1" x14ac:dyDescent="0.25">
      <c r="A266" s="107"/>
      <c r="B266" s="107"/>
      <c r="C266" s="7"/>
      <c r="D266" s="7"/>
      <c r="E266" s="10"/>
      <c r="F266" s="7"/>
      <c r="G266" s="7"/>
      <c r="H266" s="7"/>
      <c r="I266" s="7"/>
      <c r="J266" s="7"/>
      <c r="K266" s="7"/>
      <c r="L266" s="7"/>
      <c r="M266" s="10"/>
      <c r="N266" s="107"/>
      <c r="O266" s="7"/>
      <c r="P266" s="7"/>
      <c r="Q266" s="7"/>
      <c r="R266" s="7"/>
      <c r="S266" s="7"/>
      <c r="T266" s="7"/>
      <c r="U266" s="10"/>
      <c r="V266" s="10"/>
      <c r="W266" s="7"/>
      <c r="X266" s="10"/>
      <c r="Y266" s="7"/>
      <c r="Z266" s="7"/>
      <c r="AA266" s="7"/>
      <c r="AB266" s="7"/>
      <c r="AC266" s="107"/>
      <c r="AD266" s="7"/>
      <c r="AE266" s="7"/>
      <c r="AF266" s="10"/>
      <c r="AG266" s="10"/>
      <c r="AH266" s="7"/>
      <c r="AI266" s="7"/>
      <c r="AJ266" s="7"/>
      <c r="AK266" s="7"/>
      <c r="AL266" s="7"/>
      <c r="AM266" s="7"/>
      <c r="AN266" s="7"/>
      <c r="AO266" s="7"/>
      <c r="AP266" s="266"/>
      <c r="AR266" s="266"/>
    </row>
    <row r="267" spans="1:44" s="268" customFormat="1" x14ac:dyDescent="0.25">
      <c r="A267" s="107"/>
      <c r="B267" s="107"/>
      <c r="C267" s="7"/>
      <c r="D267" s="7"/>
      <c r="E267" s="10"/>
      <c r="F267" s="7"/>
      <c r="G267" s="7"/>
      <c r="H267" s="7"/>
      <c r="I267" s="7"/>
      <c r="J267" s="7"/>
      <c r="K267" s="7"/>
      <c r="L267" s="7"/>
      <c r="M267" s="10"/>
      <c r="N267" s="107"/>
      <c r="O267" s="7"/>
      <c r="P267" s="7"/>
      <c r="Q267" s="7"/>
      <c r="R267" s="7"/>
      <c r="S267" s="7"/>
      <c r="T267" s="7"/>
      <c r="U267" s="10"/>
      <c r="V267" s="10"/>
      <c r="W267" s="7"/>
      <c r="X267" s="10"/>
      <c r="Y267" s="7"/>
      <c r="Z267" s="7"/>
      <c r="AA267" s="7"/>
      <c r="AB267" s="7"/>
      <c r="AC267" s="107"/>
      <c r="AD267" s="7"/>
      <c r="AE267" s="7"/>
      <c r="AF267" s="10"/>
      <c r="AG267" s="10"/>
      <c r="AH267" s="7"/>
      <c r="AI267" s="7"/>
      <c r="AJ267" s="7"/>
      <c r="AK267" s="7"/>
      <c r="AL267" s="7"/>
      <c r="AM267" s="7"/>
      <c r="AN267" s="7"/>
      <c r="AO267" s="7"/>
      <c r="AP267" s="266"/>
      <c r="AR267" s="266"/>
    </row>
    <row r="268" spans="1:44" s="268" customFormat="1" x14ac:dyDescent="0.25">
      <c r="A268" s="107"/>
      <c r="B268" s="107"/>
      <c r="C268" s="7"/>
      <c r="D268" s="7"/>
      <c r="E268" s="10"/>
      <c r="F268" s="7"/>
      <c r="G268" s="7"/>
      <c r="H268" s="7"/>
      <c r="I268" s="7"/>
      <c r="J268" s="7"/>
      <c r="K268" s="7"/>
      <c r="L268" s="7"/>
      <c r="M268" s="10"/>
      <c r="N268" s="107"/>
      <c r="O268" s="7"/>
      <c r="P268" s="7"/>
      <c r="Q268" s="7"/>
      <c r="R268" s="7"/>
      <c r="S268" s="7"/>
      <c r="T268" s="7"/>
      <c r="U268" s="10"/>
      <c r="V268" s="10"/>
      <c r="W268" s="7"/>
      <c r="X268" s="10"/>
      <c r="Y268" s="7"/>
      <c r="Z268" s="7"/>
      <c r="AA268" s="7"/>
      <c r="AB268" s="7"/>
      <c r="AC268" s="107"/>
      <c r="AD268" s="7"/>
      <c r="AE268" s="7"/>
      <c r="AF268" s="10"/>
      <c r="AG268" s="10"/>
      <c r="AH268" s="7"/>
      <c r="AI268" s="7"/>
      <c r="AJ268" s="7"/>
      <c r="AK268" s="7"/>
      <c r="AL268" s="7"/>
      <c r="AM268" s="7"/>
      <c r="AN268" s="7"/>
      <c r="AO268" s="7"/>
      <c r="AP268" s="266"/>
      <c r="AR268" s="266"/>
    </row>
    <row r="269" spans="1:44" s="268" customFormat="1" x14ac:dyDescent="0.25">
      <c r="A269" s="107"/>
      <c r="B269" s="107"/>
      <c r="C269" s="7"/>
      <c r="D269" s="7"/>
      <c r="E269" s="10"/>
      <c r="F269" s="7"/>
      <c r="G269" s="7"/>
      <c r="H269" s="7"/>
      <c r="I269" s="7"/>
      <c r="J269" s="7"/>
      <c r="K269" s="7"/>
      <c r="L269" s="7"/>
      <c r="M269" s="10"/>
      <c r="N269" s="107"/>
      <c r="O269" s="7"/>
      <c r="P269" s="7"/>
      <c r="Q269" s="7"/>
      <c r="R269" s="7"/>
      <c r="S269" s="7"/>
      <c r="T269" s="7"/>
      <c r="U269" s="10"/>
      <c r="V269" s="10"/>
      <c r="W269" s="7"/>
      <c r="X269" s="10"/>
      <c r="Y269" s="7"/>
      <c r="Z269" s="7"/>
      <c r="AA269" s="7"/>
      <c r="AB269" s="7"/>
      <c r="AC269" s="107"/>
      <c r="AD269" s="7"/>
      <c r="AE269" s="7"/>
      <c r="AF269" s="10"/>
      <c r="AG269" s="10"/>
      <c r="AH269" s="7"/>
      <c r="AI269" s="7"/>
      <c r="AJ269" s="7"/>
      <c r="AK269" s="7"/>
      <c r="AL269" s="7"/>
      <c r="AM269" s="7"/>
      <c r="AN269" s="7"/>
      <c r="AO269" s="7"/>
      <c r="AP269" s="266"/>
      <c r="AR269" s="266"/>
    </row>
    <row r="270" spans="1:44" s="268" customFormat="1" x14ac:dyDescent="0.25">
      <c r="A270" s="107"/>
      <c r="B270" s="107"/>
      <c r="C270" s="7"/>
      <c r="D270" s="7"/>
      <c r="E270" s="10"/>
      <c r="F270" s="7"/>
      <c r="G270" s="7"/>
      <c r="H270" s="7"/>
      <c r="I270" s="7"/>
      <c r="J270" s="7"/>
      <c r="K270" s="7"/>
      <c r="L270" s="7"/>
      <c r="M270" s="10"/>
      <c r="N270" s="107"/>
      <c r="O270" s="7"/>
      <c r="P270" s="7"/>
      <c r="Q270" s="7"/>
      <c r="R270" s="7"/>
      <c r="S270" s="7"/>
      <c r="T270" s="7"/>
      <c r="U270" s="10"/>
      <c r="V270" s="10"/>
      <c r="W270" s="7"/>
      <c r="X270" s="10"/>
      <c r="Y270" s="7"/>
      <c r="Z270" s="7"/>
      <c r="AA270" s="7"/>
      <c r="AB270" s="7"/>
      <c r="AC270" s="107"/>
      <c r="AD270" s="7"/>
      <c r="AE270" s="7"/>
      <c r="AF270" s="10"/>
      <c r="AG270" s="10"/>
      <c r="AH270" s="7"/>
      <c r="AI270" s="7"/>
      <c r="AJ270" s="7"/>
      <c r="AK270" s="7"/>
      <c r="AL270" s="7"/>
      <c r="AM270" s="7"/>
      <c r="AN270" s="7"/>
      <c r="AO270" s="7"/>
      <c r="AP270" s="266"/>
      <c r="AR270" s="266"/>
    </row>
    <row r="271" spans="1:44" s="268" customFormat="1" x14ac:dyDescent="0.25">
      <c r="A271" s="107"/>
      <c r="B271" s="107"/>
      <c r="C271" s="7"/>
      <c r="D271" s="7"/>
      <c r="E271" s="10"/>
      <c r="F271" s="7"/>
      <c r="G271" s="7"/>
      <c r="H271" s="7"/>
      <c r="I271" s="7"/>
      <c r="J271" s="7"/>
      <c r="K271" s="7"/>
      <c r="L271" s="7"/>
      <c r="M271" s="10"/>
      <c r="N271" s="107"/>
      <c r="O271" s="7"/>
      <c r="P271" s="7"/>
      <c r="Q271" s="7"/>
      <c r="R271" s="7"/>
      <c r="S271" s="7"/>
      <c r="T271" s="7"/>
      <c r="U271" s="10"/>
      <c r="V271" s="10"/>
      <c r="W271" s="7"/>
      <c r="X271" s="10"/>
      <c r="Y271" s="7"/>
      <c r="Z271" s="7"/>
      <c r="AA271" s="7"/>
      <c r="AB271" s="7"/>
      <c r="AC271" s="107"/>
      <c r="AD271" s="7"/>
      <c r="AE271" s="7"/>
      <c r="AF271" s="10"/>
      <c r="AG271" s="10"/>
      <c r="AH271" s="7"/>
      <c r="AI271" s="7"/>
      <c r="AJ271" s="7"/>
      <c r="AK271" s="7"/>
      <c r="AL271" s="7"/>
      <c r="AM271" s="7"/>
      <c r="AN271" s="7"/>
      <c r="AO271" s="7"/>
      <c r="AP271" s="266"/>
      <c r="AR271" s="266"/>
    </row>
    <row r="272" spans="1:44" s="268" customFormat="1" x14ac:dyDescent="0.25">
      <c r="A272" s="107"/>
      <c r="B272" s="107"/>
      <c r="C272" s="7"/>
      <c r="D272" s="7"/>
      <c r="E272" s="10"/>
      <c r="F272" s="7"/>
      <c r="G272" s="7"/>
      <c r="H272" s="7"/>
      <c r="I272" s="7"/>
      <c r="J272" s="7"/>
      <c r="K272" s="7"/>
      <c r="L272" s="7"/>
      <c r="M272" s="10"/>
      <c r="N272" s="107"/>
      <c r="O272" s="7"/>
      <c r="P272" s="7"/>
      <c r="Q272" s="7"/>
      <c r="R272" s="7"/>
      <c r="S272" s="7"/>
      <c r="T272" s="7"/>
      <c r="U272" s="10"/>
      <c r="V272" s="10"/>
      <c r="W272" s="7"/>
      <c r="X272" s="10"/>
      <c r="Y272" s="7"/>
      <c r="Z272" s="7"/>
      <c r="AA272" s="7"/>
      <c r="AB272" s="7"/>
      <c r="AC272" s="107"/>
      <c r="AD272" s="7"/>
      <c r="AE272" s="7"/>
      <c r="AF272" s="10"/>
      <c r="AG272" s="10"/>
      <c r="AH272" s="7"/>
      <c r="AI272" s="7"/>
      <c r="AJ272" s="7"/>
      <c r="AK272" s="7"/>
      <c r="AL272" s="7"/>
      <c r="AM272" s="7"/>
      <c r="AN272" s="7"/>
      <c r="AO272" s="7"/>
      <c r="AP272" s="266"/>
      <c r="AR272" s="266"/>
    </row>
    <row r="273" spans="1:44" s="268" customFormat="1" x14ac:dyDescent="0.25">
      <c r="A273" s="107"/>
      <c r="B273" s="107"/>
      <c r="C273" s="7"/>
      <c r="D273" s="7"/>
      <c r="E273" s="10"/>
      <c r="F273" s="7"/>
      <c r="G273" s="7"/>
      <c r="H273" s="7"/>
      <c r="I273" s="7"/>
      <c r="J273" s="7"/>
      <c r="K273" s="7"/>
      <c r="L273" s="7"/>
      <c r="M273" s="10"/>
      <c r="N273" s="107"/>
      <c r="O273" s="7"/>
      <c r="P273" s="7"/>
      <c r="Q273" s="7"/>
      <c r="R273" s="7"/>
      <c r="S273" s="7"/>
      <c r="T273" s="7"/>
      <c r="U273" s="10"/>
      <c r="V273" s="10"/>
      <c r="W273" s="7"/>
      <c r="X273" s="10"/>
      <c r="Y273" s="7"/>
      <c r="Z273" s="7"/>
      <c r="AA273" s="7"/>
      <c r="AB273" s="7"/>
      <c r="AC273" s="107"/>
      <c r="AD273" s="7"/>
      <c r="AE273" s="7"/>
      <c r="AF273" s="10"/>
      <c r="AG273" s="10"/>
      <c r="AH273" s="7"/>
      <c r="AI273" s="7"/>
      <c r="AJ273" s="7"/>
      <c r="AK273" s="7"/>
      <c r="AL273" s="7"/>
      <c r="AM273" s="7"/>
      <c r="AN273" s="7"/>
      <c r="AO273" s="7"/>
      <c r="AP273" s="266"/>
      <c r="AR273" s="266"/>
    </row>
    <row r="274" spans="1:44" s="268" customFormat="1" x14ac:dyDescent="0.25">
      <c r="A274" s="107"/>
      <c r="B274" s="107"/>
      <c r="C274" s="7"/>
      <c r="D274" s="7"/>
      <c r="E274" s="10"/>
      <c r="F274" s="7"/>
      <c r="G274" s="7"/>
      <c r="H274" s="7"/>
      <c r="I274" s="7"/>
      <c r="J274" s="7"/>
      <c r="K274" s="7"/>
      <c r="L274" s="7"/>
      <c r="M274" s="10"/>
      <c r="N274" s="107"/>
      <c r="O274" s="7"/>
      <c r="P274" s="7"/>
      <c r="Q274" s="7"/>
      <c r="R274" s="7"/>
      <c r="S274" s="7"/>
      <c r="T274" s="7"/>
      <c r="U274" s="10"/>
      <c r="V274" s="10"/>
      <c r="W274" s="7"/>
      <c r="X274" s="10"/>
      <c r="Y274" s="7"/>
      <c r="Z274" s="7"/>
      <c r="AA274" s="7"/>
      <c r="AB274" s="7"/>
      <c r="AC274" s="107"/>
      <c r="AD274" s="7"/>
      <c r="AE274" s="7"/>
      <c r="AF274" s="10"/>
      <c r="AG274" s="10"/>
      <c r="AH274" s="7"/>
      <c r="AI274" s="7"/>
      <c r="AJ274" s="7"/>
      <c r="AK274" s="7"/>
      <c r="AL274" s="7"/>
      <c r="AM274" s="7"/>
      <c r="AN274" s="7"/>
      <c r="AO274" s="7"/>
      <c r="AP274" s="266"/>
      <c r="AR274" s="266"/>
    </row>
    <row r="275" spans="1:44" s="268" customFormat="1" x14ac:dyDescent="0.25">
      <c r="A275" s="107"/>
      <c r="B275" s="107"/>
      <c r="C275" s="7"/>
      <c r="D275" s="7"/>
      <c r="E275" s="10"/>
      <c r="F275" s="7"/>
      <c r="G275" s="7"/>
      <c r="H275" s="7"/>
      <c r="I275" s="7"/>
      <c r="J275" s="7"/>
      <c r="K275" s="7"/>
      <c r="L275" s="7"/>
      <c r="M275" s="10"/>
      <c r="N275" s="107"/>
      <c r="O275" s="7"/>
      <c r="P275" s="7"/>
      <c r="Q275" s="7"/>
      <c r="R275" s="7"/>
      <c r="S275" s="7"/>
      <c r="T275" s="7"/>
      <c r="U275" s="10"/>
      <c r="V275" s="10"/>
      <c r="W275" s="7"/>
      <c r="X275" s="10"/>
      <c r="Y275" s="7"/>
      <c r="Z275" s="7"/>
      <c r="AA275" s="7"/>
      <c r="AB275" s="7"/>
      <c r="AC275" s="107"/>
      <c r="AD275" s="7"/>
      <c r="AE275" s="7"/>
      <c r="AF275" s="10"/>
      <c r="AG275" s="10"/>
      <c r="AH275" s="7"/>
      <c r="AI275" s="7"/>
      <c r="AJ275" s="7"/>
      <c r="AK275" s="7"/>
      <c r="AL275" s="7"/>
      <c r="AM275" s="7"/>
      <c r="AN275" s="7"/>
      <c r="AO275" s="7"/>
      <c r="AP275" s="266"/>
      <c r="AR275" s="266"/>
    </row>
    <row r="276" spans="1:44" s="268" customFormat="1" x14ac:dyDescent="0.25">
      <c r="A276" s="107"/>
      <c r="B276" s="107"/>
      <c r="C276" s="108"/>
      <c r="D276" s="108"/>
      <c r="E276" s="11"/>
      <c r="F276" s="7"/>
      <c r="G276" s="7"/>
      <c r="H276" s="7"/>
      <c r="I276" s="7"/>
      <c r="J276" s="7"/>
      <c r="K276" s="7"/>
      <c r="L276" s="7"/>
      <c r="M276" s="10"/>
      <c r="N276" s="107"/>
      <c r="O276" s="7"/>
      <c r="P276" s="7"/>
      <c r="Q276" s="7"/>
      <c r="R276" s="7"/>
      <c r="S276" s="7"/>
      <c r="T276" s="7"/>
      <c r="U276" s="10"/>
      <c r="V276" s="10"/>
      <c r="W276" s="7"/>
      <c r="X276" s="10"/>
      <c r="Y276" s="7"/>
      <c r="Z276" s="7"/>
      <c r="AA276" s="7"/>
      <c r="AB276" s="7"/>
      <c r="AC276" s="107"/>
      <c r="AD276" s="7"/>
      <c r="AE276" s="7"/>
      <c r="AF276" s="10"/>
      <c r="AG276" s="10"/>
      <c r="AH276" s="7"/>
      <c r="AI276" s="7"/>
      <c r="AJ276" s="7"/>
      <c r="AK276" s="7"/>
      <c r="AL276" s="7"/>
      <c r="AM276" s="7"/>
      <c r="AN276" s="7"/>
      <c r="AO276" s="7"/>
      <c r="AP276" s="266"/>
      <c r="AR276" s="266"/>
    </row>
    <row r="277" spans="1:44" s="268" customFormat="1" x14ac:dyDescent="0.25">
      <c r="A277" s="107"/>
      <c r="B277" s="107"/>
      <c r="C277" s="108"/>
      <c r="D277" s="108"/>
      <c r="E277" s="11"/>
      <c r="F277" s="7"/>
      <c r="G277" s="7"/>
      <c r="H277" s="7"/>
      <c r="I277" s="7"/>
      <c r="J277" s="7"/>
      <c r="K277" s="7"/>
      <c r="L277" s="7"/>
      <c r="M277" s="10"/>
      <c r="N277" s="107"/>
      <c r="O277" s="7"/>
      <c r="P277" s="7"/>
      <c r="Q277" s="7"/>
      <c r="R277" s="7"/>
      <c r="S277" s="7"/>
      <c r="T277" s="7"/>
      <c r="U277" s="10"/>
      <c r="V277" s="10"/>
      <c r="W277" s="7"/>
      <c r="X277" s="10"/>
      <c r="Y277" s="7"/>
      <c r="Z277" s="7"/>
      <c r="AA277" s="7"/>
      <c r="AB277" s="7"/>
      <c r="AC277" s="107"/>
      <c r="AD277" s="7"/>
      <c r="AE277" s="7"/>
      <c r="AF277" s="10"/>
      <c r="AG277" s="10"/>
      <c r="AH277" s="7"/>
      <c r="AI277" s="7"/>
      <c r="AJ277" s="7"/>
      <c r="AK277" s="7"/>
      <c r="AL277" s="7"/>
      <c r="AM277" s="7"/>
      <c r="AN277" s="7"/>
      <c r="AO277" s="7"/>
      <c r="AP277" s="266"/>
      <c r="AR277" s="266"/>
    </row>
    <row r="278" spans="1:44" s="268" customFormat="1" x14ac:dyDescent="0.25">
      <c r="A278" s="107"/>
      <c r="B278" s="107"/>
      <c r="C278" s="108"/>
      <c r="D278" s="108"/>
      <c r="E278" s="11"/>
      <c r="F278" s="7"/>
      <c r="G278" s="7"/>
      <c r="H278" s="7"/>
      <c r="I278" s="7"/>
      <c r="J278" s="7"/>
      <c r="K278" s="7"/>
      <c r="L278" s="7"/>
      <c r="M278" s="10"/>
      <c r="N278" s="107"/>
      <c r="O278" s="7"/>
      <c r="P278" s="7"/>
      <c r="Q278" s="7"/>
      <c r="R278" s="7"/>
      <c r="S278" s="7"/>
      <c r="T278" s="7"/>
      <c r="U278" s="10"/>
      <c r="V278" s="10"/>
      <c r="W278" s="7"/>
      <c r="X278" s="10"/>
      <c r="Y278" s="7"/>
      <c r="Z278" s="7"/>
      <c r="AA278" s="7"/>
      <c r="AB278" s="7"/>
      <c r="AC278" s="107"/>
      <c r="AD278" s="7"/>
      <c r="AE278" s="7"/>
      <c r="AF278" s="10"/>
      <c r="AG278" s="10"/>
      <c r="AH278" s="7"/>
      <c r="AI278" s="7"/>
      <c r="AJ278" s="7"/>
      <c r="AK278" s="7"/>
      <c r="AL278" s="7"/>
      <c r="AM278" s="7"/>
      <c r="AN278" s="7"/>
      <c r="AO278" s="7"/>
      <c r="AP278" s="266"/>
      <c r="AR278" s="266"/>
    </row>
    <row r="279" spans="1:44" s="268" customFormat="1" x14ac:dyDescent="0.25">
      <c r="A279" s="107"/>
      <c r="B279" s="107"/>
      <c r="C279" s="108"/>
      <c r="D279" s="108"/>
      <c r="E279" s="11"/>
      <c r="F279" s="7"/>
      <c r="G279" s="7"/>
      <c r="H279" s="7"/>
      <c r="I279" s="7"/>
      <c r="J279" s="7"/>
      <c r="K279" s="7"/>
      <c r="L279" s="7"/>
      <c r="M279" s="10"/>
      <c r="N279" s="107"/>
      <c r="O279" s="7"/>
      <c r="P279" s="7"/>
      <c r="Q279" s="7"/>
      <c r="R279" s="7"/>
      <c r="S279" s="7"/>
      <c r="T279" s="7"/>
      <c r="U279" s="10"/>
      <c r="V279" s="10"/>
      <c r="W279" s="7"/>
      <c r="X279" s="10"/>
      <c r="Y279" s="7"/>
      <c r="Z279" s="7"/>
      <c r="AA279" s="7"/>
      <c r="AB279" s="7"/>
      <c r="AC279" s="107"/>
      <c r="AD279" s="7"/>
      <c r="AE279" s="7"/>
      <c r="AF279" s="10"/>
      <c r="AG279" s="10"/>
      <c r="AH279" s="7"/>
      <c r="AI279" s="7"/>
      <c r="AJ279" s="7"/>
      <c r="AK279" s="7"/>
      <c r="AL279" s="7"/>
      <c r="AM279" s="7"/>
      <c r="AN279" s="7"/>
      <c r="AO279" s="7"/>
      <c r="AP279" s="266"/>
      <c r="AR279" s="266"/>
    </row>
    <row r="280" spans="1:44" s="268" customFormat="1" x14ac:dyDescent="0.25">
      <c r="A280" s="107"/>
      <c r="B280" s="107"/>
      <c r="C280" s="108"/>
      <c r="D280" s="108"/>
      <c r="E280" s="11"/>
      <c r="F280" s="7"/>
      <c r="G280" s="7"/>
      <c r="H280" s="7"/>
      <c r="I280" s="7"/>
      <c r="J280" s="7"/>
      <c r="K280" s="7"/>
      <c r="L280" s="7"/>
      <c r="M280" s="10"/>
      <c r="N280" s="107"/>
      <c r="O280" s="7"/>
      <c r="P280" s="7"/>
      <c r="Q280" s="7"/>
      <c r="R280" s="7"/>
      <c r="S280" s="7"/>
      <c r="T280" s="7"/>
      <c r="U280" s="10"/>
      <c r="V280" s="10"/>
      <c r="W280" s="7"/>
      <c r="X280" s="10"/>
      <c r="Y280" s="7"/>
      <c r="Z280" s="7"/>
      <c r="AA280" s="7"/>
      <c r="AB280" s="7"/>
      <c r="AC280" s="107"/>
      <c r="AD280" s="7"/>
      <c r="AE280" s="7"/>
      <c r="AF280" s="10"/>
      <c r="AG280" s="10"/>
      <c r="AH280" s="7"/>
      <c r="AI280" s="7"/>
      <c r="AJ280" s="7"/>
      <c r="AK280" s="7"/>
      <c r="AL280" s="7"/>
      <c r="AM280" s="7"/>
      <c r="AN280" s="7"/>
      <c r="AO280" s="7"/>
      <c r="AP280" s="266"/>
      <c r="AR280" s="266"/>
    </row>
    <row r="281" spans="1:44" s="268" customFormat="1" x14ac:dyDescent="0.25">
      <c r="A281" s="107"/>
      <c r="B281" s="107"/>
      <c r="C281" s="108"/>
      <c r="D281" s="108"/>
      <c r="E281" s="11"/>
      <c r="F281" s="7"/>
      <c r="G281" s="7"/>
      <c r="H281" s="7"/>
      <c r="I281" s="7"/>
      <c r="J281" s="7"/>
      <c r="K281" s="7"/>
      <c r="L281" s="7"/>
      <c r="M281" s="10"/>
      <c r="N281" s="107"/>
      <c r="O281" s="7"/>
      <c r="P281" s="7"/>
      <c r="Q281" s="7"/>
      <c r="R281" s="7"/>
      <c r="S281" s="7"/>
      <c r="T281" s="7"/>
      <c r="U281" s="10"/>
      <c r="V281" s="10"/>
      <c r="W281" s="7"/>
      <c r="X281" s="10"/>
      <c r="Y281" s="7"/>
      <c r="Z281" s="7"/>
      <c r="AA281" s="7"/>
      <c r="AB281" s="7"/>
      <c r="AC281" s="107"/>
      <c r="AD281" s="7"/>
      <c r="AE281" s="7"/>
      <c r="AF281" s="10"/>
      <c r="AG281" s="10"/>
      <c r="AH281" s="7"/>
      <c r="AI281" s="7"/>
      <c r="AJ281" s="7"/>
      <c r="AK281" s="7"/>
      <c r="AL281" s="7"/>
      <c r="AM281" s="7"/>
      <c r="AN281" s="7"/>
      <c r="AO281" s="7"/>
      <c r="AP281" s="266"/>
      <c r="AR281" s="266"/>
    </row>
    <row r="282" spans="1:44" s="268" customFormat="1" x14ac:dyDescent="0.25">
      <c r="A282" s="107"/>
      <c r="B282" s="107"/>
      <c r="C282" s="108"/>
      <c r="D282" s="108"/>
      <c r="E282" s="11"/>
      <c r="F282" s="7"/>
      <c r="G282" s="7"/>
      <c r="H282" s="7"/>
      <c r="I282" s="7"/>
      <c r="J282" s="7"/>
      <c r="K282" s="7"/>
      <c r="L282" s="7"/>
      <c r="M282" s="10"/>
      <c r="N282" s="107"/>
      <c r="O282" s="7"/>
      <c r="P282" s="7"/>
      <c r="Q282" s="7"/>
      <c r="R282" s="7"/>
      <c r="S282" s="7"/>
      <c r="T282" s="7"/>
      <c r="U282" s="10"/>
      <c r="V282" s="10"/>
      <c r="W282" s="7"/>
      <c r="X282" s="10"/>
      <c r="Y282" s="7"/>
      <c r="Z282" s="7"/>
      <c r="AA282" s="7"/>
      <c r="AB282" s="7"/>
      <c r="AC282" s="107"/>
      <c r="AD282" s="7"/>
      <c r="AE282" s="7"/>
      <c r="AF282" s="10"/>
      <c r="AG282" s="10"/>
      <c r="AH282" s="7"/>
      <c r="AI282" s="7"/>
      <c r="AJ282" s="7"/>
      <c r="AK282" s="7"/>
      <c r="AL282" s="7"/>
      <c r="AM282" s="7"/>
      <c r="AN282" s="7"/>
      <c r="AO282" s="7"/>
      <c r="AP282" s="266"/>
      <c r="AR282" s="266"/>
    </row>
    <row r="283" spans="1:44" s="268" customFormat="1" x14ac:dyDescent="0.25">
      <c r="A283" s="107"/>
      <c r="B283" s="107"/>
      <c r="C283" s="108"/>
      <c r="D283" s="108"/>
      <c r="E283" s="11"/>
      <c r="F283" s="7"/>
      <c r="G283" s="7"/>
      <c r="H283" s="7"/>
      <c r="I283" s="7"/>
      <c r="J283" s="7"/>
      <c r="K283" s="7"/>
      <c r="L283" s="7"/>
      <c r="M283" s="10"/>
      <c r="N283" s="107"/>
      <c r="O283" s="7"/>
      <c r="P283" s="7"/>
      <c r="Q283" s="7"/>
      <c r="R283" s="7"/>
      <c r="S283" s="7"/>
      <c r="T283" s="7"/>
      <c r="U283" s="10"/>
      <c r="V283" s="10"/>
      <c r="W283" s="7"/>
      <c r="X283" s="10"/>
      <c r="Y283" s="7"/>
      <c r="Z283" s="7"/>
      <c r="AA283" s="7"/>
      <c r="AB283" s="7"/>
      <c r="AC283" s="107"/>
      <c r="AD283" s="7"/>
      <c r="AE283" s="7"/>
      <c r="AF283" s="10"/>
      <c r="AG283" s="10"/>
      <c r="AH283" s="7"/>
      <c r="AI283" s="7"/>
      <c r="AJ283" s="7"/>
      <c r="AK283" s="7"/>
      <c r="AL283" s="7"/>
      <c r="AM283" s="7"/>
      <c r="AN283" s="7"/>
      <c r="AO283" s="7"/>
      <c r="AP283" s="266"/>
      <c r="AR283" s="266"/>
    </row>
    <row r="284" spans="1:44" s="268" customFormat="1" x14ac:dyDescent="0.25">
      <c r="A284" s="107"/>
      <c r="B284" s="107"/>
      <c r="C284" s="108"/>
      <c r="D284" s="108"/>
      <c r="E284" s="11"/>
      <c r="F284" s="7"/>
      <c r="G284" s="7"/>
      <c r="H284" s="7"/>
      <c r="I284" s="7"/>
      <c r="J284" s="7"/>
      <c r="K284" s="7"/>
      <c r="L284" s="7"/>
      <c r="M284" s="10"/>
      <c r="N284" s="107"/>
      <c r="O284" s="7"/>
      <c r="P284" s="7"/>
      <c r="Q284" s="7"/>
      <c r="R284" s="7"/>
      <c r="S284" s="7"/>
      <c r="T284" s="7"/>
      <c r="U284" s="10"/>
      <c r="V284" s="10"/>
      <c r="W284" s="7"/>
      <c r="X284" s="10"/>
      <c r="Y284" s="7"/>
      <c r="Z284" s="7"/>
      <c r="AA284" s="7"/>
      <c r="AB284" s="7"/>
      <c r="AC284" s="107"/>
      <c r="AD284" s="7"/>
      <c r="AE284" s="7"/>
      <c r="AF284" s="10"/>
      <c r="AG284" s="10"/>
      <c r="AH284" s="7"/>
      <c r="AI284" s="7"/>
      <c r="AJ284" s="7"/>
      <c r="AK284" s="7"/>
      <c r="AL284" s="7"/>
      <c r="AM284" s="7"/>
      <c r="AN284" s="7"/>
      <c r="AO284" s="7"/>
      <c r="AP284" s="266"/>
      <c r="AR284" s="266"/>
    </row>
    <row r="285" spans="1:44" s="268" customFormat="1" x14ac:dyDescent="0.25">
      <c r="A285" s="107"/>
      <c r="B285" s="107"/>
      <c r="C285" s="108"/>
      <c r="D285" s="108"/>
      <c r="E285" s="11"/>
      <c r="F285" s="7"/>
      <c r="G285" s="7"/>
      <c r="H285" s="7"/>
      <c r="I285" s="7"/>
      <c r="J285" s="7"/>
      <c r="K285" s="7"/>
      <c r="L285" s="7"/>
      <c r="M285" s="10"/>
      <c r="N285" s="107"/>
      <c r="O285" s="7"/>
      <c r="P285" s="7"/>
      <c r="Q285" s="7"/>
      <c r="R285" s="7"/>
      <c r="S285" s="7"/>
      <c r="T285" s="7"/>
      <c r="U285" s="10"/>
      <c r="V285" s="10"/>
      <c r="W285" s="7"/>
      <c r="X285" s="10"/>
      <c r="Y285" s="7"/>
      <c r="Z285" s="7"/>
      <c r="AA285" s="7"/>
      <c r="AB285" s="7"/>
      <c r="AC285" s="107"/>
      <c r="AD285" s="7"/>
      <c r="AE285" s="7"/>
      <c r="AF285" s="10"/>
      <c r="AG285" s="10"/>
      <c r="AH285" s="7"/>
      <c r="AI285" s="7"/>
      <c r="AJ285" s="7"/>
      <c r="AK285" s="7"/>
      <c r="AL285" s="7"/>
      <c r="AM285" s="7"/>
      <c r="AN285" s="7"/>
      <c r="AO285" s="7"/>
      <c r="AP285" s="266"/>
      <c r="AR285" s="266"/>
    </row>
    <row r="286" spans="1:44" s="268" customFormat="1" x14ac:dyDescent="0.25">
      <c r="A286" s="107"/>
      <c r="B286" s="107"/>
      <c r="C286" s="108"/>
      <c r="D286" s="108"/>
      <c r="E286" s="11"/>
      <c r="F286" s="7"/>
      <c r="G286" s="7"/>
      <c r="H286" s="7"/>
      <c r="I286" s="7"/>
      <c r="J286" s="7"/>
      <c r="K286" s="7"/>
      <c r="L286" s="7"/>
      <c r="M286" s="10"/>
      <c r="N286" s="107"/>
      <c r="O286" s="7"/>
      <c r="P286" s="7"/>
      <c r="Q286" s="7"/>
      <c r="R286" s="7"/>
      <c r="S286" s="7"/>
      <c r="T286" s="7"/>
      <c r="U286" s="10"/>
      <c r="V286" s="10"/>
      <c r="W286" s="7"/>
      <c r="X286" s="10"/>
      <c r="Y286" s="7"/>
      <c r="Z286" s="7"/>
      <c r="AA286" s="7"/>
      <c r="AB286" s="7"/>
      <c r="AC286" s="107"/>
      <c r="AD286" s="7"/>
      <c r="AE286" s="7"/>
      <c r="AF286" s="10"/>
      <c r="AG286" s="10"/>
      <c r="AH286" s="7"/>
      <c r="AI286" s="7"/>
      <c r="AJ286" s="7"/>
      <c r="AK286" s="7"/>
      <c r="AL286" s="7"/>
      <c r="AM286" s="7"/>
      <c r="AN286" s="7"/>
      <c r="AO286" s="7"/>
      <c r="AP286" s="266"/>
      <c r="AR286" s="266"/>
    </row>
    <row r="287" spans="1:44" s="268" customFormat="1" x14ac:dyDescent="0.25">
      <c r="A287" s="107"/>
      <c r="B287" s="107"/>
      <c r="C287" s="108"/>
      <c r="D287" s="108"/>
      <c r="E287" s="11"/>
      <c r="F287" s="7"/>
      <c r="G287" s="7"/>
      <c r="H287" s="7"/>
      <c r="I287" s="7"/>
      <c r="J287" s="7"/>
      <c r="K287" s="7"/>
      <c r="L287" s="7"/>
      <c r="M287" s="10"/>
      <c r="N287" s="107"/>
      <c r="O287" s="7"/>
      <c r="P287" s="7"/>
      <c r="Q287" s="7"/>
      <c r="R287" s="7"/>
      <c r="S287" s="7"/>
      <c r="T287" s="7"/>
      <c r="U287" s="10"/>
      <c r="V287" s="10"/>
      <c r="W287" s="7"/>
      <c r="X287" s="10"/>
      <c r="Y287" s="7"/>
      <c r="Z287" s="7"/>
      <c r="AA287" s="7"/>
      <c r="AB287" s="7"/>
      <c r="AC287" s="107"/>
      <c r="AD287" s="7"/>
      <c r="AE287" s="7"/>
      <c r="AF287" s="10"/>
      <c r="AG287" s="10"/>
      <c r="AH287" s="7"/>
      <c r="AI287" s="7"/>
      <c r="AJ287" s="7"/>
      <c r="AK287" s="7"/>
      <c r="AL287" s="7"/>
      <c r="AM287" s="7"/>
      <c r="AN287" s="7"/>
      <c r="AO287" s="7"/>
      <c r="AP287" s="266"/>
      <c r="AR287" s="266"/>
    </row>
    <row r="288" spans="1:44" s="268" customFormat="1" x14ac:dyDescent="0.25">
      <c r="A288" s="107"/>
      <c r="B288" s="107"/>
      <c r="C288" s="108"/>
      <c r="D288" s="108"/>
      <c r="E288" s="11"/>
      <c r="F288" s="7"/>
      <c r="G288" s="7"/>
      <c r="H288" s="7"/>
      <c r="I288" s="7"/>
      <c r="J288" s="7"/>
      <c r="K288" s="7"/>
      <c r="L288" s="7"/>
      <c r="M288" s="10"/>
      <c r="N288" s="107"/>
      <c r="O288" s="7"/>
      <c r="P288" s="7"/>
      <c r="Q288" s="7"/>
      <c r="R288" s="7"/>
      <c r="S288" s="7"/>
      <c r="T288" s="7"/>
      <c r="U288" s="10"/>
      <c r="V288" s="10"/>
      <c r="W288" s="7"/>
      <c r="X288" s="10"/>
      <c r="Y288" s="7"/>
      <c r="Z288" s="7"/>
      <c r="AA288" s="7"/>
      <c r="AB288" s="7"/>
      <c r="AC288" s="107"/>
      <c r="AD288" s="7"/>
      <c r="AE288" s="7"/>
      <c r="AF288" s="10"/>
      <c r="AG288" s="10"/>
      <c r="AH288" s="7"/>
      <c r="AI288" s="7"/>
      <c r="AJ288" s="7"/>
      <c r="AK288" s="7"/>
      <c r="AL288" s="7"/>
      <c r="AM288" s="7"/>
      <c r="AN288" s="7"/>
      <c r="AO288" s="7"/>
      <c r="AP288" s="266"/>
      <c r="AR288" s="266"/>
    </row>
    <row r="289" spans="1:44" s="268" customFormat="1" x14ac:dyDescent="0.25">
      <c r="A289" s="107"/>
      <c r="B289" s="107"/>
      <c r="C289" s="7"/>
      <c r="D289" s="7"/>
      <c r="E289" s="10"/>
      <c r="F289" s="7"/>
      <c r="G289" s="7"/>
      <c r="H289" s="7"/>
      <c r="I289" s="7"/>
      <c r="J289" s="7"/>
      <c r="K289" s="7"/>
      <c r="L289" s="7"/>
      <c r="M289" s="10"/>
      <c r="N289" s="107"/>
      <c r="O289" s="7"/>
      <c r="P289" s="7"/>
      <c r="Q289" s="7"/>
      <c r="R289" s="7"/>
      <c r="S289" s="7"/>
      <c r="T289" s="7"/>
      <c r="U289" s="10"/>
      <c r="V289" s="10"/>
      <c r="W289" s="7"/>
      <c r="X289" s="10"/>
      <c r="Y289" s="7"/>
      <c r="Z289" s="7"/>
      <c r="AA289" s="7"/>
      <c r="AB289" s="7"/>
      <c r="AC289" s="107"/>
      <c r="AD289" s="7"/>
      <c r="AE289" s="7"/>
      <c r="AF289" s="10"/>
      <c r="AG289" s="10"/>
      <c r="AH289" s="7"/>
      <c r="AI289" s="7"/>
      <c r="AJ289" s="7"/>
      <c r="AK289" s="7"/>
      <c r="AL289" s="7"/>
      <c r="AM289" s="7"/>
      <c r="AN289" s="7"/>
      <c r="AO289" s="7"/>
      <c r="AP289" s="266"/>
      <c r="AR289" s="266"/>
    </row>
    <row r="290" spans="1:44" s="268" customFormat="1" x14ac:dyDescent="0.25">
      <c r="A290" s="107"/>
      <c r="B290" s="107"/>
      <c r="C290" s="7"/>
      <c r="D290" s="7"/>
      <c r="E290" s="10"/>
      <c r="F290" s="7"/>
      <c r="G290" s="7"/>
      <c r="H290" s="7"/>
      <c r="I290" s="7"/>
      <c r="J290" s="7"/>
      <c r="K290" s="7"/>
      <c r="L290" s="7"/>
      <c r="M290" s="10"/>
      <c r="N290" s="107"/>
      <c r="O290" s="7"/>
      <c r="P290" s="7"/>
      <c r="Q290" s="7"/>
      <c r="R290" s="7"/>
      <c r="S290" s="7"/>
      <c r="T290" s="7"/>
      <c r="U290" s="10"/>
      <c r="V290" s="10"/>
      <c r="W290" s="7"/>
      <c r="X290" s="10"/>
      <c r="Y290" s="7"/>
      <c r="Z290" s="7"/>
      <c r="AA290" s="7"/>
      <c r="AB290" s="7"/>
      <c r="AC290" s="107"/>
      <c r="AD290" s="7"/>
      <c r="AE290" s="7"/>
      <c r="AF290" s="10"/>
      <c r="AG290" s="10"/>
      <c r="AH290" s="7"/>
      <c r="AI290" s="7"/>
      <c r="AJ290" s="7"/>
      <c r="AK290" s="7"/>
      <c r="AL290" s="7"/>
      <c r="AM290" s="7"/>
      <c r="AN290" s="7"/>
      <c r="AO290" s="7"/>
      <c r="AP290" s="266"/>
      <c r="AR290" s="266"/>
    </row>
    <row r="291" spans="1:44" s="268" customFormat="1" x14ac:dyDescent="0.25">
      <c r="A291" s="107"/>
      <c r="B291" s="107"/>
      <c r="C291" s="7"/>
      <c r="D291" s="7"/>
      <c r="E291" s="10"/>
      <c r="F291" s="7"/>
      <c r="G291" s="7"/>
      <c r="H291" s="7"/>
      <c r="I291" s="7"/>
      <c r="J291" s="7"/>
      <c r="K291" s="7"/>
      <c r="L291" s="7"/>
      <c r="M291" s="10"/>
      <c r="N291" s="107"/>
      <c r="O291" s="7"/>
      <c r="P291" s="7"/>
      <c r="Q291" s="7"/>
      <c r="R291" s="7"/>
      <c r="S291" s="7"/>
      <c r="T291" s="7"/>
      <c r="U291" s="10"/>
      <c r="V291" s="10"/>
      <c r="W291" s="7"/>
      <c r="X291" s="10"/>
      <c r="Y291" s="7"/>
      <c r="Z291" s="7"/>
      <c r="AA291" s="7"/>
      <c r="AB291" s="7"/>
      <c r="AC291" s="107"/>
      <c r="AD291" s="7"/>
      <c r="AE291" s="7"/>
      <c r="AF291" s="10"/>
      <c r="AG291" s="10"/>
      <c r="AH291" s="7"/>
      <c r="AI291" s="7"/>
      <c r="AJ291" s="7"/>
      <c r="AK291" s="7"/>
      <c r="AL291" s="7"/>
      <c r="AM291" s="7"/>
      <c r="AN291" s="7"/>
      <c r="AO291" s="7"/>
      <c r="AP291" s="266"/>
      <c r="AR291" s="266"/>
    </row>
    <row r="292" spans="1:44" s="268" customFormat="1" x14ac:dyDescent="0.25">
      <c r="A292" s="107"/>
      <c r="B292" s="107"/>
      <c r="C292" s="7"/>
      <c r="D292" s="7"/>
      <c r="E292" s="10"/>
      <c r="F292" s="7"/>
      <c r="G292" s="7"/>
      <c r="H292" s="7"/>
      <c r="I292" s="7"/>
      <c r="J292" s="7"/>
      <c r="K292" s="7"/>
      <c r="L292" s="7"/>
      <c r="M292" s="10"/>
      <c r="N292" s="107"/>
      <c r="O292" s="7"/>
      <c r="P292" s="7"/>
      <c r="Q292" s="7"/>
      <c r="R292" s="7"/>
      <c r="S292" s="7"/>
      <c r="T292" s="7"/>
      <c r="U292" s="10"/>
      <c r="V292" s="10"/>
      <c r="W292" s="7"/>
      <c r="X292" s="10"/>
      <c r="Y292" s="7"/>
      <c r="Z292" s="7"/>
      <c r="AA292" s="7"/>
      <c r="AB292" s="7"/>
      <c r="AC292" s="107"/>
      <c r="AD292" s="7"/>
      <c r="AE292" s="7"/>
      <c r="AF292" s="10"/>
      <c r="AG292" s="10"/>
      <c r="AH292" s="7"/>
      <c r="AI292" s="7"/>
      <c r="AJ292" s="7"/>
      <c r="AK292" s="7"/>
      <c r="AL292" s="7"/>
      <c r="AM292" s="7"/>
      <c r="AN292" s="7"/>
      <c r="AO292" s="7"/>
      <c r="AP292" s="266"/>
      <c r="AR292" s="266"/>
    </row>
    <row r="293" spans="1:44" s="268" customFormat="1" x14ac:dyDescent="0.25">
      <c r="A293" s="107"/>
      <c r="B293" s="107"/>
      <c r="C293" s="7"/>
      <c r="D293" s="7"/>
      <c r="E293" s="10"/>
      <c r="F293" s="7"/>
      <c r="G293" s="7"/>
      <c r="H293" s="7"/>
      <c r="I293" s="7"/>
      <c r="J293" s="7"/>
      <c r="K293" s="7"/>
      <c r="L293" s="7"/>
      <c r="M293" s="10"/>
      <c r="N293" s="107"/>
      <c r="O293" s="7"/>
      <c r="P293" s="7"/>
      <c r="Q293" s="7"/>
      <c r="R293" s="7"/>
      <c r="S293" s="7"/>
      <c r="T293" s="7"/>
      <c r="U293" s="10"/>
      <c r="V293" s="10"/>
      <c r="W293" s="7"/>
      <c r="X293" s="10"/>
      <c r="Y293" s="7"/>
      <c r="Z293" s="7"/>
      <c r="AA293" s="7"/>
      <c r="AB293" s="7"/>
      <c r="AC293" s="107"/>
      <c r="AD293" s="7"/>
      <c r="AE293" s="7"/>
      <c r="AF293" s="10"/>
      <c r="AG293" s="10"/>
      <c r="AH293" s="7"/>
      <c r="AI293" s="7"/>
      <c r="AJ293" s="7"/>
      <c r="AK293" s="7"/>
      <c r="AL293" s="7"/>
      <c r="AM293" s="7"/>
      <c r="AN293" s="7"/>
      <c r="AO293" s="7"/>
      <c r="AP293" s="266"/>
      <c r="AR293" s="266"/>
    </row>
    <row r="294" spans="1:44" s="268" customFormat="1" x14ac:dyDescent="0.25">
      <c r="A294" s="107"/>
      <c r="B294" s="107"/>
      <c r="C294" s="7"/>
      <c r="D294" s="7"/>
      <c r="E294" s="10"/>
      <c r="F294" s="7"/>
      <c r="G294" s="7"/>
      <c r="H294" s="7"/>
      <c r="I294" s="7"/>
      <c r="J294" s="7"/>
      <c r="K294" s="7"/>
      <c r="L294" s="7"/>
      <c r="M294" s="10"/>
      <c r="N294" s="107"/>
      <c r="O294" s="7"/>
      <c r="P294" s="7"/>
      <c r="Q294" s="7"/>
      <c r="R294" s="7"/>
      <c r="S294" s="7"/>
      <c r="T294" s="7"/>
      <c r="U294" s="10"/>
      <c r="V294" s="10"/>
      <c r="W294" s="7"/>
      <c r="X294" s="10"/>
      <c r="Y294" s="7"/>
      <c r="Z294" s="7"/>
      <c r="AA294" s="7"/>
      <c r="AB294" s="7"/>
      <c r="AC294" s="107"/>
      <c r="AD294" s="7"/>
      <c r="AE294" s="7"/>
      <c r="AF294" s="10"/>
      <c r="AG294" s="10"/>
      <c r="AH294" s="7"/>
      <c r="AI294" s="7"/>
      <c r="AJ294" s="7"/>
      <c r="AK294" s="7"/>
      <c r="AL294" s="7"/>
      <c r="AM294" s="7"/>
      <c r="AN294" s="7"/>
      <c r="AO294" s="7"/>
      <c r="AP294" s="266"/>
      <c r="AR294" s="266"/>
    </row>
    <row r="295" spans="1:44" s="268" customFormat="1" x14ac:dyDescent="0.25">
      <c r="A295" s="107"/>
      <c r="B295" s="107"/>
      <c r="C295" s="7"/>
      <c r="D295" s="7"/>
      <c r="E295" s="10"/>
      <c r="F295" s="7"/>
      <c r="G295" s="7"/>
      <c r="H295" s="7"/>
      <c r="I295" s="7"/>
      <c r="J295" s="7"/>
      <c r="K295" s="7"/>
      <c r="L295" s="7"/>
      <c r="M295" s="10"/>
      <c r="N295" s="107"/>
      <c r="O295" s="7"/>
      <c r="P295" s="7"/>
      <c r="Q295" s="7"/>
      <c r="R295" s="7"/>
      <c r="S295" s="7"/>
      <c r="T295" s="7"/>
      <c r="U295" s="10"/>
      <c r="V295" s="10"/>
      <c r="W295" s="7"/>
      <c r="X295" s="10"/>
      <c r="Y295" s="7"/>
      <c r="Z295" s="7"/>
      <c r="AA295" s="7"/>
      <c r="AB295" s="7"/>
      <c r="AC295" s="107"/>
      <c r="AD295" s="7"/>
      <c r="AE295" s="7"/>
      <c r="AF295" s="10"/>
      <c r="AG295" s="10"/>
      <c r="AH295" s="7"/>
      <c r="AI295" s="7"/>
      <c r="AJ295" s="7"/>
      <c r="AK295" s="7"/>
      <c r="AL295" s="7"/>
      <c r="AM295" s="7"/>
      <c r="AN295" s="7"/>
      <c r="AO295" s="7"/>
      <c r="AP295" s="266"/>
      <c r="AR295" s="266"/>
    </row>
    <row r="296" spans="1:44" s="268" customFormat="1" x14ac:dyDescent="0.25">
      <c r="A296" s="107"/>
      <c r="B296" s="107"/>
      <c r="C296" s="7"/>
      <c r="D296" s="7"/>
      <c r="E296" s="10"/>
      <c r="F296" s="7"/>
      <c r="G296" s="7"/>
      <c r="H296" s="7"/>
      <c r="I296" s="7"/>
      <c r="J296" s="7"/>
      <c r="K296" s="7"/>
      <c r="L296" s="7"/>
      <c r="M296" s="10"/>
      <c r="N296" s="107"/>
      <c r="O296" s="7"/>
      <c r="P296" s="7"/>
      <c r="Q296" s="7"/>
      <c r="R296" s="7"/>
      <c r="S296" s="7"/>
      <c r="T296" s="7"/>
      <c r="U296" s="10"/>
      <c r="V296" s="10"/>
      <c r="W296" s="7"/>
      <c r="X296" s="10"/>
      <c r="Y296" s="7"/>
      <c r="Z296" s="7"/>
      <c r="AA296" s="7"/>
      <c r="AB296" s="7"/>
      <c r="AC296" s="107"/>
      <c r="AD296" s="7"/>
      <c r="AE296" s="7"/>
      <c r="AF296" s="10"/>
      <c r="AG296" s="10"/>
      <c r="AH296" s="7"/>
      <c r="AI296" s="7"/>
      <c r="AJ296" s="7"/>
      <c r="AK296" s="7"/>
      <c r="AL296" s="7"/>
      <c r="AM296" s="7"/>
      <c r="AN296" s="7"/>
      <c r="AO296" s="7"/>
      <c r="AP296" s="266"/>
      <c r="AR296" s="266"/>
    </row>
    <row r="297" spans="1:44" s="268" customFormat="1" x14ac:dyDescent="0.25">
      <c r="A297" s="107"/>
      <c r="B297" s="107"/>
      <c r="C297" s="7"/>
      <c r="D297" s="7"/>
      <c r="E297" s="10"/>
      <c r="F297" s="7"/>
      <c r="G297" s="7"/>
      <c r="H297" s="7"/>
      <c r="I297" s="7"/>
      <c r="J297" s="7"/>
      <c r="K297" s="7"/>
      <c r="L297" s="7"/>
      <c r="M297" s="10"/>
      <c r="N297" s="107"/>
      <c r="O297" s="7"/>
      <c r="P297" s="7"/>
      <c r="Q297" s="7"/>
      <c r="R297" s="7"/>
      <c r="S297" s="7"/>
      <c r="T297" s="7"/>
      <c r="U297" s="10"/>
      <c r="V297" s="10"/>
      <c r="W297" s="7"/>
      <c r="X297" s="10"/>
      <c r="Y297" s="7"/>
      <c r="Z297" s="7"/>
      <c r="AA297" s="7"/>
      <c r="AB297" s="7"/>
      <c r="AC297" s="107"/>
      <c r="AD297" s="7"/>
      <c r="AE297" s="7"/>
      <c r="AF297" s="10"/>
      <c r="AG297" s="10"/>
      <c r="AH297" s="7"/>
      <c r="AI297" s="7"/>
      <c r="AJ297" s="7"/>
      <c r="AK297" s="7"/>
      <c r="AL297" s="7"/>
      <c r="AM297" s="7"/>
      <c r="AN297" s="7"/>
      <c r="AO297" s="7"/>
      <c r="AP297" s="266"/>
      <c r="AR297" s="266"/>
    </row>
    <row r="298" spans="1:44" s="268" customFormat="1" x14ac:dyDescent="0.25">
      <c r="A298" s="107"/>
      <c r="B298" s="107"/>
      <c r="C298" s="7"/>
      <c r="D298" s="7"/>
      <c r="E298" s="10"/>
      <c r="F298" s="7"/>
      <c r="G298" s="7"/>
      <c r="H298" s="7"/>
      <c r="I298" s="7"/>
      <c r="J298" s="7"/>
      <c r="K298" s="7"/>
      <c r="L298" s="7"/>
      <c r="M298" s="10"/>
      <c r="N298" s="107"/>
      <c r="O298" s="7"/>
      <c r="P298" s="7"/>
      <c r="Q298" s="7"/>
      <c r="R298" s="7"/>
      <c r="S298" s="7"/>
      <c r="T298" s="7"/>
      <c r="U298" s="10"/>
      <c r="V298" s="10"/>
      <c r="W298" s="7"/>
      <c r="X298" s="10"/>
      <c r="Y298" s="7"/>
      <c r="Z298" s="7"/>
      <c r="AA298" s="7"/>
      <c r="AB298" s="7"/>
      <c r="AC298" s="107"/>
      <c r="AD298" s="7"/>
      <c r="AE298" s="7"/>
      <c r="AF298" s="10"/>
      <c r="AG298" s="10"/>
      <c r="AH298" s="7"/>
      <c r="AI298" s="7"/>
      <c r="AJ298" s="7"/>
      <c r="AK298" s="7"/>
      <c r="AL298" s="7"/>
      <c r="AM298" s="7"/>
      <c r="AN298" s="7"/>
      <c r="AO298" s="7"/>
      <c r="AP298" s="266"/>
      <c r="AR298" s="266"/>
    </row>
    <row r="299" spans="1:44" s="268" customFormat="1" x14ac:dyDescent="0.25">
      <c r="A299" s="107"/>
      <c r="B299" s="107"/>
      <c r="C299" s="7"/>
      <c r="D299" s="7"/>
      <c r="E299" s="10"/>
      <c r="F299" s="7"/>
      <c r="G299" s="7"/>
      <c r="H299" s="7"/>
      <c r="I299" s="7"/>
      <c r="J299" s="7"/>
      <c r="K299" s="7"/>
      <c r="L299" s="7"/>
      <c r="M299" s="10"/>
      <c r="N299" s="107"/>
      <c r="O299" s="7"/>
      <c r="P299" s="7"/>
      <c r="Q299" s="7"/>
      <c r="R299" s="7"/>
      <c r="S299" s="7"/>
      <c r="T299" s="7"/>
      <c r="U299" s="10"/>
      <c r="V299" s="10"/>
      <c r="W299" s="7"/>
      <c r="X299" s="10"/>
      <c r="Y299" s="7"/>
      <c r="Z299" s="7"/>
      <c r="AA299" s="7"/>
      <c r="AB299" s="7"/>
      <c r="AC299" s="107"/>
      <c r="AD299" s="7"/>
      <c r="AE299" s="7"/>
      <c r="AF299" s="10"/>
      <c r="AG299" s="10"/>
      <c r="AH299" s="7"/>
      <c r="AI299" s="7"/>
      <c r="AJ299" s="7"/>
      <c r="AK299" s="7"/>
      <c r="AL299" s="7"/>
      <c r="AM299" s="7"/>
      <c r="AN299" s="7"/>
      <c r="AO299" s="7"/>
      <c r="AP299" s="266"/>
      <c r="AR299" s="266"/>
    </row>
    <row r="300" spans="1:44" s="268" customFormat="1" x14ac:dyDescent="0.25">
      <c r="A300" s="107"/>
      <c r="B300" s="107"/>
      <c r="C300" s="7"/>
      <c r="D300" s="7"/>
      <c r="E300" s="10"/>
      <c r="F300" s="7"/>
      <c r="G300" s="7"/>
      <c r="H300" s="7"/>
      <c r="I300" s="7"/>
      <c r="J300" s="7"/>
      <c r="K300" s="7"/>
      <c r="L300" s="7"/>
      <c r="M300" s="10"/>
      <c r="N300" s="107"/>
      <c r="O300" s="7"/>
      <c r="P300" s="7"/>
      <c r="Q300" s="7"/>
      <c r="R300" s="7"/>
      <c r="S300" s="7"/>
      <c r="T300" s="7"/>
      <c r="U300" s="10"/>
      <c r="V300" s="10"/>
      <c r="W300" s="7"/>
      <c r="X300" s="10"/>
      <c r="Y300" s="7"/>
      <c r="Z300" s="7"/>
      <c r="AA300" s="7"/>
      <c r="AB300" s="7"/>
      <c r="AC300" s="107"/>
      <c r="AD300" s="7"/>
      <c r="AE300" s="7"/>
      <c r="AF300" s="10"/>
      <c r="AG300" s="10"/>
      <c r="AH300" s="7"/>
      <c r="AI300" s="7"/>
      <c r="AJ300" s="7"/>
      <c r="AK300" s="7"/>
      <c r="AL300" s="7"/>
      <c r="AM300" s="7"/>
      <c r="AN300" s="7"/>
      <c r="AO300" s="7"/>
      <c r="AP300" s="266"/>
      <c r="AR300" s="266"/>
    </row>
    <row r="301" spans="1:44" s="268" customFormat="1" x14ac:dyDescent="0.25">
      <c r="A301" s="107"/>
      <c r="B301" s="107"/>
      <c r="C301" s="7"/>
      <c r="D301" s="7"/>
      <c r="E301" s="10"/>
      <c r="F301" s="7"/>
      <c r="G301" s="7"/>
      <c r="H301" s="7"/>
      <c r="I301" s="7"/>
      <c r="J301" s="7"/>
      <c r="K301" s="7"/>
      <c r="L301" s="7"/>
      <c r="M301" s="10"/>
      <c r="N301" s="107"/>
      <c r="O301" s="7"/>
      <c r="P301" s="7"/>
      <c r="Q301" s="7"/>
      <c r="R301" s="7"/>
      <c r="S301" s="7"/>
      <c r="T301" s="7"/>
      <c r="U301" s="10"/>
      <c r="V301" s="10"/>
      <c r="W301" s="7"/>
      <c r="X301" s="10"/>
      <c r="Y301" s="7"/>
      <c r="Z301" s="7"/>
      <c r="AA301" s="7"/>
      <c r="AB301" s="7"/>
      <c r="AC301" s="107"/>
      <c r="AD301" s="7"/>
      <c r="AE301" s="7"/>
      <c r="AF301" s="10"/>
      <c r="AG301" s="10"/>
      <c r="AH301" s="7"/>
      <c r="AI301" s="7"/>
      <c r="AJ301" s="7"/>
      <c r="AK301" s="7"/>
      <c r="AL301" s="7"/>
      <c r="AM301" s="7"/>
      <c r="AN301" s="7"/>
      <c r="AO301" s="7"/>
      <c r="AP301" s="266"/>
      <c r="AR301" s="266"/>
    </row>
    <row r="302" spans="1:44" s="268" customFormat="1" x14ac:dyDescent="0.25">
      <c r="A302" s="107"/>
      <c r="B302" s="107"/>
      <c r="C302" s="7"/>
      <c r="D302" s="7"/>
      <c r="E302" s="10"/>
      <c r="F302" s="7"/>
      <c r="G302" s="7"/>
      <c r="H302" s="7"/>
      <c r="I302" s="7"/>
      <c r="J302" s="7"/>
      <c r="K302" s="7"/>
      <c r="L302" s="7"/>
      <c r="M302" s="10"/>
      <c r="N302" s="107"/>
      <c r="O302" s="7"/>
      <c r="P302" s="7"/>
      <c r="Q302" s="7"/>
      <c r="R302" s="7"/>
      <c r="S302" s="7"/>
      <c r="T302" s="7"/>
      <c r="U302" s="10"/>
      <c r="V302" s="10"/>
      <c r="W302" s="7"/>
      <c r="X302" s="10"/>
      <c r="Y302" s="7"/>
      <c r="Z302" s="7"/>
      <c r="AA302" s="7"/>
      <c r="AB302" s="7"/>
      <c r="AC302" s="107"/>
      <c r="AD302" s="7"/>
      <c r="AE302" s="7"/>
      <c r="AF302" s="10"/>
      <c r="AG302" s="10"/>
      <c r="AH302" s="7"/>
      <c r="AI302" s="7"/>
      <c r="AJ302" s="7"/>
      <c r="AK302" s="7"/>
      <c r="AL302" s="7"/>
      <c r="AM302" s="7"/>
      <c r="AN302" s="7"/>
      <c r="AO302" s="7"/>
      <c r="AP302" s="266"/>
      <c r="AR302" s="266"/>
    </row>
    <row r="303" spans="1:44" s="268" customFormat="1" x14ac:dyDescent="0.25">
      <c r="A303" s="107"/>
      <c r="B303" s="107"/>
      <c r="C303" s="7"/>
      <c r="D303" s="7"/>
      <c r="E303" s="10"/>
      <c r="F303" s="7"/>
      <c r="G303" s="7"/>
      <c r="H303" s="7"/>
      <c r="I303" s="7"/>
      <c r="J303" s="7"/>
      <c r="K303" s="7"/>
      <c r="L303" s="7"/>
      <c r="M303" s="10"/>
      <c r="N303" s="107"/>
      <c r="O303" s="7"/>
      <c r="P303" s="7"/>
      <c r="Q303" s="7"/>
      <c r="R303" s="7"/>
      <c r="S303" s="7"/>
      <c r="T303" s="7"/>
      <c r="U303" s="10"/>
      <c r="V303" s="10"/>
      <c r="W303" s="7"/>
      <c r="X303" s="10"/>
      <c r="Y303" s="7"/>
      <c r="Z303" s="7"/>
      <c r="AA303" s="7"/>
      <c r="AB303" s="7"/>
      <c r="AC303" s="107"/>
      <c r="AD303" s="7"/>
      <c r="AE303" s="7"/>
      <c r="AF303" s="10"/>
      <c r="AG303" s="10"/>
      <c r="AH303" s="7"/>
      <c r="AI303" s="7"/>
      <c r="AJ303" s="7"/>
      <c r="AK303" s="7"/>
      <c r="AL303" s="7"/>
      <c r="AM303" s="7"/>
      <c r="AN303" s="7"/>
      <c r="AO303" s="7"/>
      <c r="AP303" s="266"/>
      <c r="AR303" s="266"/>
    </row>
    <row r="304" spans="1:44" s="268" customFormat="1" x14ac:dyDescent="0.25">
      <c r="A304" s="107"/>
      <c r="B304" s="107"/>
      <c r="C304" s="7"/>
      <c r="D304" s="7"/>
      <c r="E304" s="10"/>
      <c r="F304" s="7"/>
      <c r="G304" s="7"/>
      <c r="H304" s="7"/>
      <c r="I304" s="7"/>
      <c r="J304" s="7"/>
      <c r="K304" s="7"/>
      <c r="L304" s="7"/>
      <c r="M304" s="10"/>
      <c r="N304" s="107"/>
      <c r="O304" s="7"/>
      <c r="P304" s="7"/>
      <c r="Q304" s="7"/>
      <c r="R304" s="7"/>
      <c r="S304" s="7"/>
      <c r="T304" s="7"/>
      <c r="U304" s="10"/>
      <c r="V304" s="10"/>
      <c r="W304" s="7"/>
      <c r="X304" s="10"/>
      <c r="Y304" s="7"/>
      <c r="Z304" s="7"/>
      <c r="AA304" s="7"/>
      <c r="AB304" s="7"/>
      <c r="AC304" s="107"/>
      <c r="AD304" s="7"/>
      <c r="AE304" s="7"/>
      <c r="AF304" s="10"/>
      <c r="AG304" s="10"/>
      <c r="AH304" s="7"/>
      <c r="AI304" s="7"/>
      <c r="AJ304" s="7"/>
      <c r="AK304" s="7"/>
      <c r="AL304" s="7"/>
      <c r="AM304" s="7"/>
      <c r="AN304" s="7"/>
      <c r="AO304" s="7"/>
      <c r="AP304" s="266"/>
      <c r="AR304" s="266"/>
    </row>
    <row r="305" spans="1:44" s="268" customFormat="1" x14ac:dyDescent="0.25">
      <c r="A305" s="107"/>
      <c r="B305" s="107"/>
      <c r="C305" s="7"/>
      <c r="D305" s="7"/>
      <c r="E305" s="10"/>
      <c r="F305" s="7"/>
      <c r="G305" s="7"/>
      <c r="H305" s="7"/>
      <c r="I305" s="7"/>
      <c r="J305" s="7"/>
      <c r="K305" s="7"/>
      <c r="L305" s="7"/>
      <c r="M305" s="10"/>
      <c r="N305" s="107"/>
      <c r="O305" s="7"/>
      <c r="P305" s="7"/>
      <c r="Q305" s="7"/>
      <c r="R305" s="7"/>
      <c r="S305" s="7"/>
      <c r="T305" s="7"/>
      <c r="U305" s="10"/>
      <c r="V305" s="10"/>
      <c r="W305" s="7"/>
      <c r="X305" s="10"/>
      <c r="Y305" s="7"/>
      <c r="Z305" s="7"/>
      <c r="AA305" s="7"/>
      <c r="AB305" s="7"/>
      <c r="AC305" s="107"/>
      <c r="AD305" s="7"/>
      <c r="AE305" s="7"/>
      <c r="AF305" s="10"/>
      <c r="AG305" s="10"/>
      <c r="AH305" s="7"/>
      <c r="AI305" s="7"/>
      <c r="AJ305" s="7"/>
      <c r="AK305" s="7"/>
      <c r="AL305" s="7"/>
      <c r="AM305" s="7"/>
      <c r="AN305" s="7"/>
      <c r="AO305" s="7"/>
      <c r="AP305" s="266"/>
      <c r="AR305" s="266"/>
    </row>
    <row r="306" spans="1:44" s="268" customFormat="1" x14ac:dyDescent="0.25">
      <c r="A306" s="107"/>
      <c r="B306" s="107"/>
      <c r="C306" s="7"/>
      <c r="D306" s="7"/>
      <c r="E306" s="10"/>
      <c r="F306" s="7"/>
      <c r="G306" s="7"/>
      <c r="H306" s="7"/>
      <c r="I306" s="7"/>
      <c r="J306" s="7"/>
      <c r="K306" s="7"/>
      <c r="L306" s="7"/>
      <c r="M306" s="10"/>
      <c r="N306" s="107"/>
      <c r="O306" s="7"/>
      <c r="P306" s="7"/>
      <c r="Q306" s="7"/>
      <c r="R306" s="7"/>
      <c r="S306" s="7"/>
      <c r="T306" s="7"/>
      <c r="U306" s="10"/>
      <c r="V306" s="10"/>
      <c r="W306" s="7"/>
      <c r="X306" s="10"/>
      <c r="Y306" s="7"/>
      <c r="Z306" s="7"/>
      <c r="AA306" s="7"/>
      <c r="AB306" s="7"/>
      <c r="AC306" s="107"/>
      <c r="AD306" s="7"/>
      <c r="AE306" s="7"/>
      <c r="AF306" s="10"/>
      <c r="AG306" s="10"/>
      <c r="AH306" s="7"/>
      <c r="AI306" s="7"/>
      <c r="AJ306" s="7"/>
      <c r="AK306" s="7"/>
      <c r="AL306" s="7"/>
      <c r="AM306" s="7"/>
      <c r="AN306" s="7"/>
      <c r="AO306" s="7"/>
      <c r="AP306" s="266"/>
      <c r="AR306" s="266"/>
    </row>
    <row r="307" spans="1:44" s="268" customFormat="1" x14ac:dyDescent="0.25">
      <c r="A307" s="107"/>
      <c r="B307" s="107"/>
      <c r="C307" s="7"/>
      <c r="D307" s="7"/>
      <c r="E307" s="10"/>
      <c r="F307" s="7"/>
      <c r="G307" s="7"/>
      <c r="H307" s="7"/>
      <c r="I307" s="7"/>
      <c r="J307" s="7"/>
      <c r="K307" s="7"/>
      <c r="L307" s="7"/>
      <c r="M307" s="10"/>
      <c r="N307" s="107"/>
      <c r="O307" s="7"/>
      <c r="P307" s="7"/>
      <c r="Q307" s="7"/>
      <c r="R307" s="7"/>
      <c r="S307" s="7"/>
      <c r="T307" s="7"/>
      <c r="U307" s="10"/>
      <c r="V307" s="10"/>
      <c r="W307" s="7"/>
      <c r="X307" s="10"/>
      <c r="Y307" s="7"/>
      <c r="Z307" s="7"/>
      <c r="AA307" s="7"/>
      <c r="AB307" s="7"/>
      <c r="AC307" s="107"/>
      <c r="AD307" s="7"/>
      <c r="AE307" s="7"/>
      <c r="AF307" s="10"/>
      <c r="AG307" s="10"/>
      <c r="AH307" s="7"/>
      <c r="AI307" s="7"/>
      <c r="AJ307" s="7"/>
      <c r="AK307" s="7"/>
      <c r="AL307" s="7"/>
      <c r="AM307" s="7"/>
      <c r="AN307" s="7"/>
      <c r="AO307" s="7"/>
      <c r="AP307" s="266"/>
      <c r="AR307" s="266"/>
    </row>
    <row r="308" spans="1:44" s="268" customFormat="1" x14ac:dyDescent="0.25">
      <c r="A308" s="107"/>
      <c r="B308" s="107"/>
      <c r="C308" s="7"/>
      <c r="D308" s="7"/>
      <c r="E308" s="10"/>
      <c r="F308" s="7"/>
      <c r="G308" s="7"/>
      <c r="H308" s="7"/>
      <c r="I308" s="7"/>
      <c r="J308" s="7"/>
      <c r="K308" s="7"/>
      <c r="L308" s="7"/>
      <c r="M308" s="10"/>
      <c r="N308" s="107"/>
      <c r="O308" s="7"/>
      <c r="P308" s="7"/>
      <c r="Q308" s="7"/>
      <c r="R308" s="7"/>
      <c r="S308" s="7"/>
      <c r="T308" s="7"/>
      <c r="U308" s="10"/>
      <c r="V308" s="10"/>
      <c r="W308" s="7"/>
      <c r="X308" s="10"/>
      <c r="Y308" s="7"/>
      <c r="Z308" s="7"/>
      <c r="AA308" s="7"/>
      <c r="AB308" s="7"/>
      <c r="AC308" s="107"/>
      <c r="AD308" s="7"/>
      <c r="AE308" s="7"/>
      <c r="AF308" s="10"/>
      <c r="AG308" s="10"/>
      <c r="AH308" s="7"/>
      <c r="AI308" s="7"/>
      <c r="AJ308" s="7"/>
      <c r="AK308" s="7"/>
      <c r="AL308" s="7"/>
      <c r="AM308" s="7"/>
      <c r="AN308" s="7"/>
      <c r="AO308" s="7"/>
      <c r="AP308" s="266"/>
      <c r="AR308" s="266"/>
    </row>
    <row r="309" spans="1:44" s="268" customFormat="1" x14ac:dyDescent="0.25">
      <c r="A309" s="107"/>
      <c r="B309" s="107"/>
      <c r="C309" s="7"/>
      <c r="D309" s="7"/>
      <c r="E309" s="10"/>
      <c r="F309" s="7"/>
      <c r="G309" s="7"/>
      <c r="H309" s="7"/>
      <c r="I309" s="7"/>
      <c r="J309" s="7"/>
      <c r="K309" s="7"/>
      <c r="L309" s="7"/>
      <c r="M309" s="10"/>
      <c r="N309" s="107"/>
      <c r="O309" s="7"/>
      <c r="P309" s="7"/>
      <c r="Q309" s="7"/>
      <c r="R309" s="7"/>
      <c r="S309" s="7"/>
      <c r="T309" s="7"/>
      <c r="U309" s="10"/>
      <c r="V309" s="10"/>
      <c r="W309" s="7"/>
      <c r="X309" s="10"/>
      <c r="Y309" s="7"/>
      <c r="Z309" s="7"/>
      <c r="AA309" s="7"/>
      <c r="AB309" s="7"/>
      <c r="AC309" s="107"/>
      <c r="AD309" s="7"/>
      <c r="AE309" s="7"/>
      <c r="AF309" s="10"/>
      <c r="AG309" s="10"/>
      <c r="AH309" s="7"/>
      <c r="AI309" s="7"/>
      <c r="AJ309" s="7"/>
      <c r="AK309" s="7"/>
      <c r="AL309" s="7"/>
      <c r="AM309" s="7"/>
      <c r="AN309" s="7"/>
      <c r="AO309" s="7"/>
      <c r="AP309" s="266"/>
      <c r="AR309" s="266"/>
    </row>
    <row r="310" spans="1:44" s="268" customFormat="1" x14ac:dyDescent="0.25">
      <c r="A310" s="107"/>
      <c r="B310" s="107"/>
      <c r="C310" s="7"/>
      <c r="D310" s="7"/>
      <c r="E310" s="10"/>
      <c r="F310" s="7"/>
      <c r="G310" s="7"/>
      <c r="H310" s="7"/>
      <c r="I310" s="7"/>
      <c r="J310" s="7"/>
      <c r="K310" s="7"/>
      <c r="L310" s="7"/>
      <c r="M310" s="10"/>
      <c r="N310" s="107"/>
      <c r="O310" s="7"/>
      <c r="P310" s="7"/>
      <c r="Q310" s="7"/>
      <c r="R310" s="7"/>
      <c r="S310" s="7"/>
      <c r="T310" s="7"/>
      <c r="U310" s="10"/>
      <c r="V310" s="10"/>
      <c r="W310" s="7"/>
      <c r="X310" s="10"/>
      <c r="Y310" s="7"/>
      <c r="Z310" s="7"/>
      <c r="AA310" s="7"/>
      <c r="AB310" s="7"/>
      <c r="AC310" s="107"/>
      <c r="AD310" s="7"/>
      <c r="AE310" s="7"/>
      <c r="AF310" s="10"/>
      <c r="AG310" s="10"/>
      <c r="AH310" s="7"/>
      <c r="AI310" s="7"/>
      <c r="AJ310" s="7"/>
      <c r="AK310" s="7"/>
      <c r="AL310" s="7"/>
      <c r="AM310" s="7"/>
      <c r="AN310" s="7"/>
      <c r="AO310" s="7"/>
      <c r="AP310" s="266"/>
      <c r="AR310" s="266"/>
    </row>
    <row r="311" spans="1:44" s="268" customFormat="1" x14ac:dyDescent="0.25">
      <c r="A311" s="107"/>
      <c r="B311" s="107"/>
      <c r="C311" s="7"/>
      <c r="D311" s="7"/>
      <c r="E311" s="10"/>
      <c r="F311" s="7"/>
      <c r="G311" s="7"/>
      <c r="H311" s="7"/>
      <c r="I311" s="7"/>
      <c r="J311" s="7"/>
      <c r="K311" s="7"/>
      <c r="L311" s="7"/>
      <c r="M311" s="10"/>
      <c r="N311" s="107"/>
      <c r="O311" s="7"/>
      <c r="P311" s="7"/>
      <c r="Q311" s="7"/>
      <c r="R311" s="7"/>
      <c r="S311" s="7"/>
      <c r="T311" s="7"/>
      <c r="U311" s="10"/>
      <c r="V311" s="10"/>
      <c r="W311" s="7"/>
      <c r="X311" s="10"/>
      <c r="Y311" s="7"/>
      <c r="Z311" s="7"/>
      <c r="AA311" s="7"/>
      <c r="AB311" s="7"/>
      <c r="AC311" s="107"/>
      <c r="AD311" s="7"/>
      <c r="AE311" s="7"/>
      <c r="AF311" s="10"/>
      <c r="AG311" s="10"/>
      <c r="AH311" s="7"/>
      <c r="AI311" s="7"/>
      <c r="AJ311" s="7"/>
      <c r="AK311" s="7"/>
      <c r="AL311" s="7"/>
      <c r="AM311" s="7"/>
      <c r="AN311" s="7"/>
      <c r="AO311" s="7"/>
      <c r="AP311" s="266"/>
      <c r="AR311" s="266"/>
    </row>
    <row r="312" spans="1:44" s="268" customFormat="1" x14ac:dyDescent="0.25">
      <c r="A312" s="107"/>
      <c r="B312" s="107"/>
      <c r="C312" s="7"/>
      <c r="D312" s="7"/>
      <c r="E312" s="10"/>
      <c r="F312" s="7"/>
      <c r="G312" s="7"/>
      <c r="H312" s="7"/>
      <c r="I312" s="7"/>
      <c r="J312" s="7"/>
      <c r="K312" s="7"/>
      <c r="L312" s="7"/>
      <c r="M312" s="10"/>
      <c r="N312" s="107"/>
      <c r="O312" s="7"/>
      <c r="P312" s="7"/>
      <c r="Q312" s="7"/>
      <c r="R312" s="7"/>
      <c r="S312" s="7"/>
      <c r="T312" s="7"/>
      <c r="U312" s="10"/>
      <c r="V312" s="10"/>
      <c r="W312" s="7"/>
      <c r="X312" s="10"/>
      <c r="Y312" s="7"/>
      <c r="Z312" s="7"/>
      <c r="AA312" s="7"/>
      <c r="AB312" s="7"/>
      <c r="AC312" s="107"/>
      <c r="AD312" s="7"/>
      <c r="AE312" s="7"/>
      <c r="AF312" s="10"/>
      <c r="AG312" s="10"/>
      <c r="AH312" s="7"/>
      <c r="AI312" s="7"/>
      <c r="AJ312" s="7"/>
      <c r="AK312" s="7"/>
      <c r="AL312" s="7"/>
      <c r="AM312" s="7"/>
      <c r="AN312" s="7"/>
      <c r="AO312" s="7"/>
      <c r="AP312" s="266"/>
      <c r="AR312" s="266"/>
    </row>
    <row r="313" spans="1:44" s="268" customFormat="1" x14ac:dyDescent="0.25">
      <c r="A313" s="107"/>
      <c r="B313" s="107"/>
      <c r="C313" s="7"/>
      <c r="D313" s="7"/>
      <c r="E313" s="10"/>
      <c r="F313" s="7"/>
      <c r="G313" s="7"/>
      <c r="H313" s="7"/>
      <c r="I313" s="7"/>
      <c r="J313" s="7"/>
      <c r="K313" s="7"/>
      <c r="L313" s="7"/>
      <c r="M313" s="10"/>
      <c r="N313" s="107"/>
      <c r="O313" s="7"/>
      <c r="P313" s="7"/>
      <c r="Q313" s="7"/>
      <c r="R313" s="7"/>
      <c r="S313" s="7"/>
      <c r="T313" s="7"/>
      <c r="U313" s="10"/>
      <c r="V313" s="10"/>
      <c r="W313" s="7"/>
      <c r="X313" s="10"/>
      <c r="Y313" s="7"/>
      <c r="Z313" s="7"/>
      <c r="AA313" s="7"/>
      <c r="AB313" s="7"/>
      <c r="AC313" s="107"/>
      <c r="AD313" s="7"/>
      <c r="AE313" s="7"/>
      <c r="AF313" s="10"/>
      <c r="AG313" s="10"/>
      <c r="AH313" s="7"/>
      <c r="AI313" s="7"/>
      <c r="AJ313" s="7"/>
      <c r="AK313" s="7"/>
      <c r="AL313" s="7"/>
      <c r="AM313" s="7"/>
      <c r="AN313" s="7"/>
      <c r="AO313" s="7"/>
      <c r="AP313" s="266"/>
      <c r="AR313" s="266"/>
    </row>
    <row r="314" spans="1:44" s="268" customFormat="1" x14ac:dyDescent="0.25">
      <c r="A314" s="107"/>
      <c r="B314" s="107"/>
      <c r="C314" s="7"/>
      <c r="D314" s="7"/>
      <c r="E314" s="10"/>
      <c r="F314" s="7"/>
      <c r="G314" s="7"/>
      <c r="H314" s="7"/>
      <c r="I314" s="7"/>
      <c r="J314" s="7"/>
      <c r="K314" s="7"/>
      <c r="L314" s="7"/>
      <c r="M314" s="10"/>
      <c r="N314" s="107"/>
      <c r="O314" s="7"/>
      <c r="P314" s="7"/>
      <c r="Q314" s="7"/>
      <c r="R314" s="7"/>
      <c r="S314" s="7"/>
      <c r="T314" s="7"/>
      <c r="U314" s="10"/>
      <c r="V314" s="10"/>
      <c r="W314" s="7"/>
      <c r="X314" s="10"/>
      <c r="Y314" s="7"/>
      <c r="Z314" s="7"/>
      <c r="AA314" s="7"/>
      <c r="AB314" s="7"/>
      <c r="AC314" s="107"/>
      <c r="AD314" s="7"/>
      <c r="AE314" s="7"/>
      <c r="AF314" s="10"/>
      <c r="AG314" s="10"/>
      <c r="AH314" s="7"/>
      <c r="AI314" s="7"/>
      <c r="AJ314" s="7"/>
      <c r="AK314" s="7"/>
      <c r="AL314" s="7"/>
      <c r="AM314" s="7"/>
      <c r="AN314" s="7"/>
      <c r="AO314" s="7"/>
      <c r="AP314" s="266"/>
      <c r="AR314" s="266"/>
    </row>
    <row r="315" spans="1:44" s="268" customFormat="1" x14ac:dyDescent="0.25">
      <c r="A315" s="107"/>
      <c r="B315" s="107"/>
      <c r="C315" s="7"/>
      <c r="D315" s="7"/>
      <c r="E315" s="10"/>
      <c r="F315" s="7"/>
      <c r="G315" s="7"/>
      <c r="H315" s="7"/>
      <c r="I315" s="7"/>
      <c r="J315" s="7"/>
      <c r="K315" s="7"/>
      <c r="L315" s="7"/>
      <c r="M315" s="10"/>
      <c r="N315" s="107"/>
      <c r="O315" s="7"/>
      <c r="P315" s="7"/>
      <c r="Q315" s="7"/>
      <c r="R315" s="7"/>
      <c r="S315" s="7"/>
      <c r="T315" s="7"/>
      <c r="U315" s="10"/>
      <c r="V315" s="10"/>
      <c r="W315" s="7"/>
      <c r="X315" s="10"/>
      <c r="Y315" s="7"/>
      <c r="Z315" s="7"/>
      <c r="AA315" s="7"/>
      <c r="AB315" s="7"/>
      <c r="AC315" s="107"/>
      <c r="AD315" s="7"/>
      <c r="AE315" s="7"/>
      <c r="AF315" s="10"/>
      <c r="AG315" s="10"/>
      <c r="AH315" s="7"/>
      <c r="AI315" s="7"/>
      <c r="AJ315" s="7"/>
      <c r="AK315" s="7"/>
      <c r="AL315" s="7"/>
      <c r="AM315" s="7"/>
      <c r="AN315" s="7"/>
      <c r="AO315" s="7"/>
      <c r="AP315" s="266"/>
      <c r="AR315" s="266"/>
    </row>
    <row r="316" spans="1:44" s="268" customFormat="1" x14ac:dyDescent="0.25">
      <c r="A316" s="107"/>
      <c r="B316" s="107"/>
      <c r="C316" s="7"/>
      <c r="D316" s="7"/>
      <c r="E316" s="10"/>
      <c r="F316" s="7"/>
      <c r="G316" s="7"/>
      <c r="H316" s="7"/>
      <c r="I316" s="7"/>
      <c r="J316" s="7"/>
      <c r="K316" s="7"/>
      <c r="L316" s="7"/>
      <c r="M316" s="10"/>
      <c r="N316" s="107"/>
      <c r="O316" s="7"/>
      <c r="P316" s="7"/>
      <c r="Q316" s="7"/>
      <c r="R316" s="7"/>
      <c r="S316" s="7"/>
      <c r="T316" s="7"/>
      <c r="U316" s="10"/>
      <c r="V316" s="10"/>
      <c r="W316" s="7"/>
      <c r="X316" s="10"/>
      <c r="Y316" s="7"/>
      <c r="Z316" s="7"/>
      <c r="AA316" s="7"/>
      <c r="AB316" s="7"/>
      <c r="AC316" s="107"/>
      <c r="AD316" s="7"/>
      <c r="AE316" s="7"/>
      <c r="AF316" s="10"/>
      <c r="AG316" s="10"/>
      <c r="AH316" s="7"/>
      <c r="AI316" s="7"/>
      <c r="AJ316" s="7"/>
      <c r="AK316" s="7"/>
      <c r="AL316" s="7"/>
      <c r="AM316" s="7"/>
      <c r="AN316" s="7"/>
      <c r="AO316" s="7"/>
      <c r="AP316" s="266"/>
      <c r="AR316" s="266"/>
    </row>
    <row r="317" spans="1:44" s="268" customFormat="1" x14ac:dyDescent="0.25">
      <c r="A317" s="107"/>
      <c r="B317" s="107"/>
      <c r="C317" s="7"/>
      <c r="D317" s="7"/>
      <c r="E317" s="10"/>
      <c r="F317" s="7"/>
      <c r="G317" s="7"/>
      <c r="H317" s="7"/>
      <c r="I317" s="7"/>
      <c r="J317" s="7"/>
      <c r="K317" s="7"/>
      <c r="L317" s="7"/>
      <c r="M317" s="10"/>
      <c r="N317" s="107"/>
      <c r="O317" s="7"/>
      <c r="P317" s="7"/>
      <c r="Q317" s="7"/>
      <c r="R317" s="7"/>
      <c r="S317" s="7"/>
      <c r="T317" s="7"/>
      <c r="U317" s="10"/>
      <c r="V317" s="10"/>
      <c r="W317" s="7"/>
      <c r="X317" s="10"/>
      <c r="Y317" s="7"/>
      <c r="Z317" s="7"/>
      <c r="AA317" s="7"/>
      <c r="AB317" s="7"/>
      <c r="AC317" s="107"/>
      <c r="AD317" s="7"/>
      <c r="AE317" s="7"/>
      <c r="AF317" s="10"/>
      <c r="AG317" s="10"/>
      <c r="AH317" s="7"/>
      <c r="AI317" s="7"/>
      <c r="AJ317" s="7"/>
      <c r="AK317" s="7"/>
      <c r="AL317" s="7"/>
      <c r="AM317" s="7"/>
      <c r="AN317" s="7"/>
      <c r="AO317" s="7"/>
      <c r="AP317" s="266"/>
      <c r="AR317" s="266"/>
    </row>
    <row r="318" spans="1:44" s="268" customFormat="1" x14ac:dyDescent="0.25">
      <c r="A318" s="107"/>
      <c r="B318" s="107"/>
      <c r="C318" s="7"/>
      <c r="D318" s="7"/>
      <c r="E318" s="10"/>
      <c r="F318" s="7"/>
      <c r="G318" s="7"/>
      <c r="H318" s="7"/>
      <c r="I318" s="7"/>
      <c r="J318" s="7"/>
      <c r="K318" s="7"/>
      <c r="L318" s="7"/>
      <c r="M318" s="10"/>
      <c r="N318" s="107"/>
      <c r="O318" s="7"/>
      <c r="P318" s="7"/>
      <c r="Q318" s="7"/>
      <c r="R318" s="7"/>
      <c r="S318" s="7"/>
      <c r="T318" s="7"/>
      <c r="U318" s="10"/>
      <c r="V318" s="10"/>
      <c r="W318" s="7"/>
      <c r="X318" s="10"/>
      <c r="Y318" s="7"/>
      <c r="Z318" s="7"/>
      <c r="AA318" s="7"/>
      <c r="AB318" s="7"/>
      <c r="AC318" s="107"/>
      <c r="AD318" s="7"/>
      <c r="AE318" s="7"/>
      <c r="AF318" s="10"/>
      <c r="AG318" s="10"/>
      <c r="AH318" s="7"/>
      <c r="AI318" s="7"/>
      <c r="AJ318" s="7"/>
      <c r="AK318" s="7"/>
      <c r="AL318" s="7"/>
      <c r="AM318" s="7"/>
      <c r="AN318" s="7"/>
      <c r="AO318" s="7"/>
      <c r="AP318" s="266"/>
      <c r="AR318" s="266"/>
    </row>
    <row r="319" spans="1:44" s="268" customFormat="1" x14ac:dyDescent="0.25">
      <c r="A319" s="107"/>
      <c r="B319" s="107"/>
      <c r="C319" s="7"/>
      <c r="D319" s="7"/>
      <c r="E319" s="10"/>
      <c r="F319" s="7"/>
      <c r="G319" s="7"/>
      <c r="H319" s="7"/>
      <c r="I319" s="7"/>
      <c r="J319" s="7"/>
      <c r="K319" s="7"/>
      <c r="L319" s="7"/>
      <c r="M319" s="10"/>
      <c r="N319" s="107"/>
      <c r="O319" s="7"/>
      <c r="P319" s="7"/>
      <c r="Q319" s="7"/>
      <c r="R319" s="7"/>
      <c r="S319" s="7"/>
      <c r="T319" s="7"/>
      <c r="U319" s="10"/>
      <c r="V319" s="10"/>
      <c r="W319" s="7"/>
      <c r="X319" s="10"/>
      <c r="Y319" s="7"/>
      <c r="Z319" s="7"/>
      <c r="AA319" s="7"/>
      <c r="AB319" s="7"/>
      <c r="AC319" s="107"/>
      <c r="AD319" s="7"/>
      <c r="AE319" s="7"/>
      <c r="AF319" s="10"/>
      <c r="AG319" s="10"/>
      <c r="AH319" s="7"/>
      <c r="AI319" s="7"/>
      <c r="AJ319" s="7"/>
      <c r="AK319" s="7"/>
      <c r="AL319" s="7"/>
      <c r="AM319" s="7"/>
      <c r="AN319" s="7"/>
      <c r="AO319" s="7"/>
      <c r="AP319" s="266"/>
      <c r="AR319" s="266"/>
    </row>
    <row r="320" spans="1:44" s="268" customFormat="1" x14ac:dyDescent="0.25">
      <c r="A320" s="107"/>
      <c r="B320" s="107"/>
      <c r="C320" s="7"/>
      <c r="D320" s="7"/>
      <c r="E320" s="10"/>
      <c r="F320" s="7"/>
      <c r="G320" s="7"/>
      <c r="H320" s="7"/>
      <c r="I320" s="7"/>
      <c r="J320" s="7"/>
      <c r="K320" s="7"/>
      <c r="L320" s="7"/>
      <c r="M320" s="10"/>
      <c r="N320" s="107"/>
      <c r="O320" s="7"/>
      <c r="P320" s="7"/>
      <c r="Q320" s="7"/>
      <c r="R320" s="7"/>
      <c r="S320" s="7"/>
      <c r="T320" s="7"/>
      <c r="U320" s="10"/>
      <c r="V320" s="10"/>
      <c r="W320" s="7"/>
      <c r="X320" s="10"/>
      <c r="Y320" s="7"/>
      <c r="Z320" s="7"/>
      <c r="AA320" s="7"/>
      <c r="AB320" s="7"/>
      <c r="AC320" s="107"/>
      <c r="AD320" s="7"/>
      <c r="AE320" s="7"/>
      <c r="AF320" s="10"/>
      <c r="AG320" s="10"/>
      <c r="AH320" s="7"/>
      <c r="AI320" s="7"/>
      <c r="AJ320" s="7"/>
      <c r="AK320" s="7"/>
      <c r="AL320" s="7"/>
      <c r="AM320" s="7"/>
      <c r="AN320" s="7"/>
      <c r="AO320" s="7"/>
      <c r="AP320" s="266"/>
      <c r="AR320" s="266"/>
    </row>
    <row r="321" spans="1:44" s="268" customFormat="1" x14ac:dyDescent="0.25">
      <c r="A321" s="107"/>
      <c r="B321" s="107"/>
      <c r="C321" s="7"/>
      <c r="D321" s="7"/>
      <c r="E321" s="10"/>
      <c r="F321" s="7"/>
      <c r="G321" s="7"/>
      <c r="H321" s="7"/>
      <c r="I321" s="7"/>
      <c r="J321" s="7"/>
      <c r="K321" s="7"/>
      <c r="L321" s="7"/>
      <c r="M321" s="10"/>
      <c r="N321" s="107"/>
      <c r="O321" s="7"/>
      <c r="P321" s="7"/>
      <c r="Q321" s="7"/>
      <c r="R321" s="7"/>
      <c r="S321" s="7"/>
      <c r="T321" s="7"/>
      <c r="U321" s="10"/>
      <c r="V321" s="10"/>
      <c r="W321" s="7"/>
      <c r="X321" s="10"/>
      <c r="Y321" s="7"/>
      <c r="Z321" s="7"/>
      <c r="AA321" s="7"/>
      <c r="AB321" s="7"/>
      <c r="AC321" s="107"/>
      <c r="AD321" s="7"/>
      <c r="AE321" s="7"/>
      <c r="AF321" s="10"/>
      <c r="AG321" s="10"/>
      <c r="AH321" s="7"/>
      <c r="AI321" s="7"/>
      <c r="AJ321" s="7"/>
      <c r="AK321" s="7"/>
      <c r="AL321" s="7"/>
      <c r="AM321" s="7"/>
      <c r="AN321" s="7"/>
      <c r="AO321" s="7"/>
      <c r="AP321" s="266"/>
      <c r="AR321" s="266"/>
    </row>
    <row r="322" spans="1:44" s="268" customFormat="1" x14ac:dyDescent="0.25">
      <c r="A322" s="107"/>
      <c r="B322" s="107"/>
      <c r="C322" s="7"/>
      <c r="D322" s="7"/>
      <c r="E322" s="10"/>
      <c r="F322" s="7"/>
      <c r="G322" s="7"/>
      <c r="H322" s="7"/>
      <c r="I322" s="7"/>
      <c r="J322" s="7"/>
      <c r="K322" s="7"/>
      <c r="L322" s="7"/>
      <c r="M322" s="10"/>
      <c r="N322" s="107"/>
      <c r="O322" s="7"/>
      <c r="P322" s="7"/>
      <c r="Q322" s="7"/>
      <c r="R322" s="7"/>
      <c r="S322" s="7"/>
      <c r="T322" s="7"/>
      <c r="U322" s="10"/>
      <c r="V322" s="10"/>
      <c r="W322" s="7"/>
      <c r="X322" s="10"/>
      <c r="Y322" s="7"/>
      <c r="Z322" s="7"/>
      <c r="AA322" s="7"/>
      <c r="AB322" s="7"/>
      <c r="AC322" s="107"/>
      <c r="AD322" s="7"/>
      <c r="AE322" s="7"/>
      <c r="AF322" s="10"/>
      <c r="AG322" s="10"/>
      <c r="AH322" s="7"/>
      <c r="AI322" s="7"/>
      <c r="AJ322" s="7"/>
      <c r="AK322" s="7"/>
      <c r="AL322" s="7"/>
      <c r="AM322" s="7"/>
      <c r="AN322" s="7"/>
      <c r="AO322" s="7"/>
      <c r="AP322" s="266"/>
      <c r="AR322" s="266"/>
    </row>
    <row r="323" spans="1:44" s="268" customFormat="1" x14ac:dyDescent="0.25">
      <c r="A323" s="107"/>
      <c r="B323" s="107"/>
      <c r="C323" s="7"/>
      <c r="D323" s="7"/>
      <c r="E323" s="10"/>
      <c r="F323" s="7"/>
      <c r="G323" s="7"/>
      <c r="H323" s="7"/>
      <c r="I323" s="7"/>
      <c r="J323" s="7"/>
      <c r="K323" s="7"/>
      <c r="L323" s="7"/>
      <c r="M323" s="10"/>
      <c r="N323" s="107"/>
      <c r="O323" s="7"/>
      <c r="P323" s="7"/>
      <c r="Q323" s="7"/>
      <c r="R323" s="7"/>
      <c r="S323" s="7"/>
      <c r="T323" s="7"/>
      <c r="U323" s="10"/>
      <c r="V323" s="10"/>
      <c r="W323" s="7"/>
      <c r="X323" s="10"/>
      <c r="Y323" s="7"/>
      <c r="Z323" s="7"/>
      <c r="AA323" s="7"/>
      <c r="AB323" s="7"/>
      <c r="AC323" s="107"/>
      <c r="AD323" s="7"/>
      <c r="AE323" s="7"/>
      <c r="AF323" s="10"/>
      <c r="AG323" s="10"/>
      <c r="AH323" s="7"/>
      <c r="AI323" s="7"/>
      <c r="AJ323" s="7"/>
      <c r="AK323" s="7"/>
      <c r="AL323" s="7"/>
      <c r="AM323" s="7"/>
      <c r="AN323" s="7"/>
      <c r="AO323" s="7"/>
      <c r="AP323" s="266"/>
      <c r="AR323" s="266"/>
    </row>
    <row r="324" spans="1:44" s="268" customFormat="1" x14ac:dyDescent="0.25">
      <c r="A324" s="107"/>
      <c r="B324" s="107"/>
      <c r="C324" s="7"/>
      <c r="D324" s="7"/>
      <c r="E324" s="10"/>
      <c r="F324" s="7"/>
      <c r="G324" s="7"/>
      <c r="H324" s="7"/>
      <c r="I324" s="7"/>
      <c r="J324" s="7"/>
      <c r="K324" s="7"/>
      <c r="L324" s="7"/>
      <c r="M324" s="10"/>
      <c r="N324" s="107"/>
      <c r="O324" s="7"/>
      <c r="P324" s="7"/>
      <c r="Q324" s="7"/>
      <c r="R324" s="7"/>
      <c r="S324" s="7"/>
      <c r="T324" s="7"/>
      <c r="U324" s="10"/>
      <c r="V324" s="10"/>
      <c r="W324" s="7"/>
      <c r="X324" s="10"/>
      <c r="Y324" s="7"/>
      <c r="Z324" s="7"/>
      <c r="AA324" s="7"/>
      <c r="AB324" s="7"/>
      <c r="AC324" s="107"/>
      <c r="AD324" s="7"/>
      <c r="AE324" s="7"/>
      <c r="AF324" s="10"/>
      <c r="AG324" s="10"/>
      <c r="AH324" s="7"/>
      <c r="AI324" s="7"/>
      <c r="AJ324" s="7"/>
      <c r="AK324" s="7"/>
      <c r="AL324" s="7"/>
      <c r="AM324" s="7"/>
      <c r="AN324" s="7"/>
      <c r="AO324" s="7"/>
      <c r="AP324" s="266"/>
      <c r="AR324" s="266"/>
    </row>
    <row r="325" spans="1:44" s="268" customFormat="1" x14ac:dyDescent="0.25">
      <c r="A325" s="107"/>
      <c r="B325" s="107"/>
      <c r="C325" s="7"/>
      <c r="D325" s="7"/>
      <c r="E325" s="10"/>
      <c r="F325" s="7"/>
      <c r="G325" s="7"/>
      <c r="H325" s="7"/>
      <c r="I325" s="7"/>
      <c r="J325" s="7"/>
      <c r="K325" s="7"/>
      <c r="L325" s="7"/>
      <c r="M325" s="10"/>
      <c r="N325" s="107"/>
      <c r="O325" s="7"/>
      <c r="P325" s="7"/>
      <c r="Q325" s="7"/>
      <c r="R325" s="7"/>
      <c r="S325" s="7"/>
      <c r="T325" s="7"/>
      <c r="U325" s="10"/>
      <c r="V325" s="10"/>
      <c r="W325" s="7"/>
      <c r="X325" s="10"/>
      <c r="Y325" s="7"/>
      <c r="Z325" s="7"/>
      <c r="AA325" s="7"/>
      <c r="AB325" s="7"/>
      <c r="AC325" s="107"/>
      <c r="AD325" s="7"/>
      <c r="AE325" s="7"/>
      <c r="AF325" s="10"/>
      <c r="AG325" s="10"/>
      <c r="AH325" s="7"/>
      <c r="AI325" s="7"/>
      <c r="AJ325" s="7"/>
      <c r="AK325" s="7"/>
      <c r="AL325" s="7"/>
      <c r="AM325" s="7"/>
      <c r="AN325" s="7"/>
      <c r="AO325" s="7"/>
      <c r="AP325" s="266"/>
      <c r="AR325" s="266"/>
    </row>
    <row r="326" spans="1:44" s="268" customFormat="1" x14ac:dyDescent="0.25">
      <c r="A326" s="107"/>
      <c r="B326" s="107"/>
      <c r="C326" s="7"/>
      <c r="D326" s="7"/>
      <c r="E326" s="10"/>
      <c r="F326" s="7"/>
      <c r="G326" s="7"/>
      <c r="H326" s="7"/>
      <c r="I326" s="7"/>
      <c r="J326" s="7"/>
      <c r="K326" s="7"/>
      <c r="L326" s="7"/>
      <c r="M326" s="10"/>
      <c r="N326" s="107"/>
      <c r="O326" s="7"/>
      <c r="P326" s="7"/>
      <c r="Q326" s="7"/>
      <c r="R326" s="7"/>
      <c r="S326" s="7"/>
      <c r="T326" s="7"/>
      <c r="U326" s="10"/>
      <c r="V326" s="10"/>
      <c r="W326" s="7"/>
      <c r="X326" s="10"/>
      <c r="Y326" s="7"/>
      <c r="Z326" s="7"/>
      <c r="AA326" s="7"/>
      <c r="AB326" s="7"/>
      <c r="AC326" s="107"/>
      <c r="AD326" s="7"/>
      <c r="AE326" s="7"/>
      <c r="AF326" s="10"/>
      <c r="AG326" s="10"/>
      <c r="AH326" s="7"/>
      <c r="AI326" s="7"/>
      <c r="AJ326" s="7"/>
      <c r="AK326" s="7"/>
      <c r="AL326" s="7"/>
      <c r="AM326" s="7"/>
      <c r="AN326" s="7"/>
      <c r="AO326" s="7"/>
      <c r="AP326" s="266"/>
      <c r="AR326" s="266"/>
    </row>
    <row r="327" spans="1:44" s="268" customFormat="1" x14ac:dyDescent="0.25">
      <c r="A327" s="107"/>
      <c r="B327" s="107"/>
      <c r="C327" s="7"/>
      <c r="D327" s="7"/>
      <c r="E327" s="10"/>
      <c r="F327" s="7"/>
      <c r="G327" s="7"/>
      <c r="H327" s="7"/>
      <c r="I327" s="7"/>
      <c r="J327" s="7"/>
      <c r="K327" s="7"/>
      <c r="L327" s="7"/>
      <c r="M327" s="10"/>
      <c r="N327" s="107"/>
      <c r="O327" s="7"/>
      <c r="P327" s="7"/>
      <c r="Q327" s="7"/>
      <c r="R327" s="7"/>
      <c r="S327" s="7"/>
      <c r="T327" s="7"/>
      <c r="U327" s="10"/>
      <c r="V327" s="10"/>
      <c r="W327" s="7"/>
      <c r="X327" s="10"/>
      <c r="Y327" s="7"/>
      <c r="Z327" s="7"/>
      <c r="AA327" s="7"/>
      <c r="AB327" s="7"/>
      <c r="AC327" s="107"/>
      <c r="AD327" s="7"/>
      <c r="AE327" s="7"/>
      <c r="AF327" s="10"/>
      <c r="AG327" s="10"/>
      <c r="AH327" s="7"/>
      <c r="AI327" s="7"/>
      <c r="AJ327" s="7"/>
      <c r="AK327" s="7"/>
      <c r="AL327" s="7"/>
      <c r="AM327" s="7"/>
      <c r="AN327" s="7"/>
      <c r="AO327" s="7"/>
      <c r="AP327" s="266"/>
      <c r="AR327" s="266"/>
    </row>
    <row r="328" spans="1:44" s="268" customFormat="1" x14ac:dyDescent="0.25">
      <c r="A328" s="107"/>
      <c r="B328" s="107"/>
      <c r="C328" s="7"/>
      <c r="D328" s="7"/>
      <c r="E328" s="10"/>
      <c r="F328" s="7"/>
      <c r="G328" s="7"/>
      <c r="H328" s="7"/>
      <c r="I328" s="7"/>
      <c r="J328" s="7"/>
      <c r="K328" s="7"/>
      <c r="L328" s="7"/>
      <c r="M328" s="10"/>
      <c r="N328" s="107"/>
      <c r="O328" s="7"/>
      <c r="P328" s="7"/>
      <c r="Q328" s="7"/>
      <c r="R328" s="7"/>
      <c r="S328" s="7"/>
      <c r="T328" s="7"/>
      <c r="U328" s="10"/>
      <c r="V328" s="10"/>
      <c r="W328" s="7"/>
      <c r="X328" s="10"/>
      <c r="Y328" s="7"/>
      <c r="Z328" s="7"/>
      <c r="AA328" s="7"/>
      <c r="AB328" s="7"/>
      <c r="AC328" s="107"/>
      <c r="AD328" s="7"/>
      <c r="AE328" s="7"/>
      <c r="AF328" s="10"/>
      <c r="AG328" s="10"/>
      <c r="AH328" s="7"/>
      <c r="AI328" s="7"/>
      <c r="AJ328" s="7"/>
      <c r="AK328" s="7"/>
      <c r="AL328" s="7"/>
      <c r="AM328" s="7"/>
      <c r="AN328" s="7"/>
      <c r="AO328" s="7"/>
      <c r="AP328" s="266"/>
      <c r="AR328" s="266"/>
    </row>
    <row r="329" spans="1:44" s="268" customFormat="1" x14ac:dyDescent="0.25">
      <c r="A329" s="107"/>
      <c r="B329" s="107"/>
      <c r="C329" s="7"/>
      <c r="D329" s="7"/>
      <c r="E329" s="10"/>
      <c r="F329" s="7"/>
      <c r="G329" s="7"/>
      <c r="H329" s="7"/>
      <c r="I329" s="7"/>
      <c r="J329" s="7"/>
      <c r="K329" s="7"/>
      <c r="L329" s="7"/>
      <c r="M329" s="10"/>
      <c r="N329" s="107"/>
      <c r="O329" s="7"/>
      <c r="P329" s="7"/>
      <c r="Q329" s="7"/>
      <c r="R329" s="7"/>
      <c r="S329" s="7"/>
      <c r="T329" s="7"/>
      <c r="U329" s="10"/>
      <c r="V329" s="10"/>
      <c r="W329" s="7"/>
      <c r="X329" s="10"/>
      <c r="Y329" s="7"/>
      <c r="Z329" s="7"/>
      <c r="AA329" s="7"/>
      <c r="AB329" s="7"/>
      <c r="AC329" s="107"/>
      <c r="AD329" s="7"/>
      <c r="AE329" s="7"/>
      <c r="AF329" s="10"/>
      <c r="AG329" s="10"/>
      <c r="AH329" s="7"/>
      <c r="AI329" s="7"/>
      <c r="AJ329" s="7"/>
      <c r="AK329" s="7"/>
      <c r="AL329" s="7"/>
      <c r="AM329" s="7"/>
      <c r="AN329" s="7"/>
      <c r="AO329" s="7"/>
      <c r="AP329" s="266"/>
      <c r="AR329" s="266"/>
    </row>
    <row r="330" spans="1:44" s="268" customFormat="1" x14ac:dyDescent="0.25">
      <c r="A330" s="107"/>
      <c r="B330" s="107"/>
      <c r="C330" s="7"/>
      <c r="D330" s="7"/>
      <c r="E330" s="10"/>
      <c r="F330" s="108"/>
      <c r="G330" s="108"/>
      <c r="H330" s="108"/>
      <c r="I330" s="108"/>
      <c r="J330" s="108"/>
      <c r="K330" s="108"/>
      <c r="L330" s="108"/>
      <c r="M330" s="11"/>
      <c r="N330" s="107"/>
      <c r="O330" s="108"/>
      <c r="P330" s="108"/>
      <c r="Q330" s="108"/>
      <c r="R330" s="108"/>
      <c r="S330" s="108"/>
      <c r="T330" s="108"/>
      <c r="U330" s="11"/>
      <c r="V330" s="11"/>
      <c r="W330" s="108"/>
      <c r="X330" s="11"/>
      <c r="Y330" s="108"/>
      <c r="Z330" s="108"/>
      <c r="AA330" s="108"/>
      <c r="AB330" s="108"/>
      <c r="AC330" s="107"/>
      <c r="AD330" s="108"/>
      <c r="AE330" s="108"/>
      <c r="AF330" s="11"/>
      <c r="AG330" s="11"/>
      <c r="AH330" s="108"/>
      <c r="AI330" s="108"/>
      <c r="AJ330" s="108"/>
      <c r="AK330" s="108"/>
      <c r="AL330" s="108"/>
      <c r="AM330" s="108"/>
      <c r="AN330" s="108"/>
      <c r="AO330" s="108"/>
      <c r="AP330" s="270"/>
      <c r="AR330" s="270"/>
    </row>
    <row r="331" spans="1:44" s="268" customFormat="1" x14ac:dyDescent="0.25">
      <c r="A331" s="107"/>
      <c r="B331" s="107"/>
      <c r="C331" s="7"/>
      <c r="D331" s="7"/>
      <c r="E331" s="10"/>
      <c r="F331" s="108"/>
      <c r="G331" s="108"/>
      <c r="H331" s="108"/>
      <c r="I331" s="108"/>
      <c r="J331" s="108"/>
      <c r="K331" s="108"/>
      <c r="L331" s="108"/>
      <c r="M331" s="11"/>
      <c r="N331" s="107"/>
      <c r="O331" s="108"/>
      <c r="P331" s="108"/>
      <c r="Q331" s="108"/>
      <c r="R331" s="108"/>
      <c r="S331" s="108"/>
      <c r="T331" s="108"/>
      <c r="U331" s="11"/>
      <c r="V331" s="11"/>
      <c r="W331" s="108"/>
      <c r="X331" s="11"/>
      <c r="Y331" s="108"/>
      <c r="Z331" s="108"/>
      <c r="AA331" s="108"/>
      <c r="AB331" s="108"/>
      <c r="AC331" s="107"/>
      <c r="AD331" s="108"/>
      <c r="AE331" s="108"/>
      <c r="AF331" s="11"/>
      <c r="AG331" s="11"/>
      <c r="AH331" s="108"/>
      <c r="AI331" s="108"/>
      <c r="AJ331" s="108"/>
      <c r="AK331" s="108"/>
      <c r="AL331" s="108"/>
      <c r="AM331" s="108"/>
      <c r="AN331" s="108"/>
      <c r="AO331" s="108"/>
      <c r="AP331" s="270"/>
      <c r="AR331" s="270"/>
    </row>
    <row r="332" spans="1:44" s="268" customFormat="1" x14ac:dyDescent="0.25">
      <c r="A332" s="107"/>
      <c r="B332" s="107"/>
      <c r="C332" s="7"/>
      <c r="D332" s="7"/>
      <c r="E332" s="10"/>
      <c r="F332" s="108"/>
      <c r="G332" s="108"/>
      <c r="H332" s="108"/>
      <c r="I332" s="108"/>
      <c r="J332" s="108"/>
      <c r="K332" s="108"/>
      <c r="L332" s="108"/>
      <c r="M332" s="11"/>
      <c r="N332" s="107"/>
      <c r="O332" s="108"/>
      <c r="P332" s="108"/>
      <c r="Q332" s="108"/>
      <c r="R332" s="108"/>
      <c r="S332" s="108"/>
      <c r="T332" s="108"/>
      <c r="U332" s="11"/>
      <c r="V332" s="11"/>
      <c r="W332" s="108"/>
      <c r="X332" s="11"/>
      <c r="Y332" s="108"/>
      <c r="Z332" s="108"/>
      <c r="AA332" s="108"/>
      <c r="AB332" s="108"/>
      <c r="AC332" s="107"/>
      <c r="AD332" s="108"/>
      <c r="AE332" s="108"/>
      <c r="AF332" s="11"/>
      <c r="AG332" s="11"/>
      <c r="AH332" s="108"/>
      <c r="AI332" s="108"/>
      <c r="AJ332" s="108"/>
      <c r="AK332" s="108"/>
      <c r="AL332" s="108"/>
      <c r="AM332" s="108"/>
      <c r="AN332" s="108"/>
      <c r="AO332" s="108"/>
      <c r="AP332" s="270"/>
      <c r="AR332" s="270"/>
    </row>
    <row r="333" spans="1:44" s="268" customFormat="1" x14ac:dyDescent="0.25">
      <c r="A333" s="107"/>
      <c r="B333" s="107"/>
      <c r="C333" s="7"/>
      <c r="D333" s="7"/>
      <c r="E333" s="10"/>
      <c r="F333" s="108"/>
      <c r="G333" s="108"/>
      <c r="H333" s="108"/>
      <c r="I333" s="108"/>
      <c r="J333" s="108"/>
      <c r="K333" s="108"/>
      <c r="L333" s="108"/>
      <c r="M333" s="11"/>
      <c r="N333" s="107"/>
      <c r="O333" s="108"/>
      <c r="P333" s="108"/>
      <c r="Q333" s="108"/>
      <c r="R333" s="108"/>
      <c r="S333" s="108"/>
      <c r="T333" s="108"/>
      <c r="U333" s="11"/>
      <c r="V333" s="11"/>
      <c r="W333" s="108"/>
      <c r="X333" s="11"/>
      <c r="Y333" s="108"/>
      <c r="Z333" s="108"/>
      <c r="AA333" s="108"/>
      <c r="AB333" s="108"/>
      <c r="AC333" s="107"/>
      <c r="AD333" s="108"/>
      <c r="AE333" s="108"/>
      <c r="AF333" s="11"/>
      <c r="AG333" s="11"/>
      <c r="AH333" s="108"/>
      <c r="AI333" s="108"/>
      <c r="AJ333" s="108"/>
      <c r="AK333" s="108"/>
      <c r="AL333" s="108"/>
      <c r="AM333" s="108"/>
      <c r="AN333" s="108"/>
      <c r="AO333" s="108"/>
      <c r="AP333" s="270"/>
      <c r="AR333" s="270"/>
    </row>
    <row r="334" spans="1:44" s="268" customFormat="1" x14ac:dyDescent="0.25">
      <c r="A334" s="107"/>
      <c r="B334" s="107"/>
      <c r="C334" s="7"/>
      <c r="D334" s="7"/>
      <c r="E334" s="10"/>
      <c r="F334" s="108"/>
      <c r="G334" s="108"/>
      <c r="H334" s="108"/>
      <c r="I334" s="108"/>
      <c r="J334" s="108"/>
      <c r="K334" s="108"/>
      <c r="L334" s="108"/>
      <c r="M334" s="11"/>
      <c r="N334" s="107"/>
      <c r="O334" s="108"/>
      <c r="P334" s="108"/>
      <c r="Q334" s="108"/>
      <c r="R334" s="108"/>
      <c r="S334" s="108"/>
      <c r="T334" s="108"/>
      <c r="U334" s="11"/>
      <c r="V334" s="11"/>
      <c r="W334" s="108"/>
      <c r="X334" s="11"/>
      <c r="Y334" s="108"/>
      <c r="Z334" s="108"/>
      <c r="AA334" s="108"/>
      <c r="AB334" s="108"/>
      <c r="AC334" s="107"/>
      <c r="AD334" s="108"/>
      <c r="AE334" s="108"/>
      <c r="AF334" s="11"/>
      <c r="AG334" s="11"/>
      <c r="AH334" s="108"/>
      <c r="AI334" s="108"/>
      <c r="AJ334" s="108"/>
      <c r="AK334" s="108"/>
      <c r="AL334" s="108"/>
      <c r="AM334" s="108"/>
      <c r="AN334" s="108"/>
      <c r="AO334" s="108"/>
      <c r="AP334" s="270"/>
      <c r="AR334" s="270"/>
    </row>
    <row r="335" spans="1:44" s="268" customFormat="1" x14ac:dyDescent="0.25">
      <c r="A335" s="107"/>
      <c r="B335" s="107"/>
      <c r="C335" s="7"/>
      <c r="D335" s="7"/>
      <c r="E335" s="10"/>
      <c r="F335" s="108"/>
      <c r="G335" s="108"/>
      <c r="H335" s="108"/>
      <c r="I335" s="108"/>
      <c r="J335" s="108"/>
      <c r="K335" s="108"/>
      <c r="L335" s="108"/>
      <c r="M335" s="11"/>
      <c r="N335" s="107"/>
      <c r="O335" s="108"/>
      <c r="P335" s="108"/>
      <c r="Q335" s="108"/>
      <c r="R335" s="108"/>
      <c r="S335" s="108"/>
      <c r="T335" s="108"/>
      <c r="U335" s="11"/>
      <c r="V335" s="11"/>
      <c r="W335" s="108"/>
      <c r="X335" s="11"/>
      <c r="Y335" s="108"/>
      <c r="Z335" s="108"/>
      <c r="AA335" s="108"/>
      <c r="AB335" s="108"/>
      <c r="AC335" s="107"/>
      <c r="AD335" s="108"/>
      <c r="AE335" s="108"/>
      <c r="AF335" s="11"/>
      <c r="AG335" s="11"/>
      <c r="AH335" s="108"/>
      <c r="AI335" s="108"/>
      <c r="AJ335" s="108"/>
      <c r="AK335" s="108"/>
      <c r="AL335" s="108"/>
      <c r="AM335" s="108"/>
      <c r="AN335" s="108"/>
      <c r="AO335" s="108"/>
      <c r="AP335" s="270"/>
      <c r="AR335" s="270"/>
    </row>
    <row r="336" spans="1:44" s="268" customFormat="1" x14ac:dyDescent="0.25">
      <c r="A336" s="107"/>
      <c r="B336" s="107"/>
      <c r="C336" s="7"/>
      <c r="D336" s="7"/>
      <c r="E336" s="10"/>
      <c r="F336" s="108"/>
      <c r="G336" s="108"/>
      <c r="H336" s="108"/>
      <c r="I336" s="108"/>
      <c r="J336" s="108"/>
      <c r="K336" s="108"/>
      <c r="L336" s="108"/>
      <c r="M336" s="11"/>
      <c r="N336" s="107"/>
      <c r="O336" s="108"/>
      <c r="P336" s="108"/>
      <c r="Q336" s="108"/>
      <c r="R336" s="108"/>
      <c r="S336" s="108"/>
      <c r="T336" s="108"/>
      <c r="U336" s="11"/>
      <c r="V336" s="11"/>
      <c r="W336" s="108"/>
      <c r="X336" s="11"/>
      <c r="Y336" s="108"/>
      <c r="Z336" s="108"/>
      <c r="AA336" s="108"/>
      <c r="AB336" s="108"/>
      <c r="AC336" s="107"/>
      <c r="AD336" s="108"/>
      <c r="AE336" s="108"/>
      <c r="AF336" s="11"/>
      <c r="AG336" s="11"/>
      <c r="AH336" s="108"/>
      <c r="AI336" s="108"/>
      <c r="AJ336" s="108"/>
      <c r="AK336" s="108"/>
      <c r="AL336" s="108"/>
      <c r="AM336" s="108"/>
      <c r="AN336" s="108"/>
      <c r="AO336" s="108"/>
      <c r="AP336" s="270"/>
      <c r="AR336" s="270"/>
    </row>
    <row r="337" spans="1:46" s="268" customFormat="1" x14ac:dyDescent="0.25">
      <c r="A337" s="107"/>
      <c r="B337" s="107"/>
      <c r="C337" s="7"/>
      <c r="D337" s="7"/>
      <c r="E337" s="10"/>
      <c r="F337" s="108"/>
      <c r="G337" s="108"/>
      <c r="H337" s="108"/>
      <c r="I337" s="108"/>
      <c r="J337" s="108"/>
      <c r="K337" s="108"/>
      <c r="L337" s="108"/>
      <c r="M337" s="11"/>
      <c r="N337" s="107"/>
      <c r="O337" s="108"/>
      <c r="P337" s="108"/>
      <c r="Q337" s="108"/>
      <c r="R337" s="108"/>
      <c r="S337" s="108"/>
      <c r="T337" s="108"/>
      <c r="U337" s="11"/>
      <c r="V337" s="11"/>
      <c r="W337" s="108"/>
      <c r="X337" s="11"/>
      <c r="Y337" s="108"/>
      <c r="Z337" s="108"/>
      <c r="AA337" s="108"/>
      <c r="AB337" s="108"/>
      <c r="AC337" s="107"/>
      <c r="AD337" s="108"/>
      <c r="AE337" s="108"/>
      <c r="AF337" s="11"/>
      <c r="AG337" s="11"/>
      <c r="AH337" s="108"/>
      <c r="AI337" s="108"/>
      <c r="AJ337" s="108"/>
      <c r="AK337" s="108"/>
      <c r="AL337" s="108"/>
      <c r="AM337" s="108"/>
      <c r="AN337" s="108"/>
      <c r="AO337" s="108"/>
      <c r="AP337" s="270"/>
      <c r="AR337" s="270"/>
    </row>
    <row r="338" spans="1:46" s="268" customFormat="1" x14ac:dyDescent="0.25">
      <c r="A338" s="107"/>
      <c r="B338" s="107"/>
      <c r="C338" s="7"/>
      <c r="D338" s="7"/>
      <c r="E338" s="10"/>
      <c r="F338" s="108"/>
      <c r="G338" s="108"/>
      <c r="H338" s="108"/>
      <c r="I338" s="108"/>
      <c r="J338" s="108"/>
      <c r="K338" s="108"/>
      <c r="L338" s="108"/>
      <c r="M338" s="11"/>
      <c r="N338" s="107"/>
      <c r="O338" s="108"/>
      <c r="P338" s="108"/>
      <c r="Q338" s="108"/>
      <c r="R338" s="108"/>
      <c r="S338" s="108"/>
      <c r="T338" s="108"/>
      <c r="U338" s="11"/>
      <c r="V338" s="11"/>
      <c r="W338" s="108"/>
      <c r="X338" s="11"/>
      <c r="Y338" s="108"/>
      <c r="Z338" s="108"/>
      <c r="AA338" s="108"/>
      <c r="AB338" s="108"/>
      <c r="AC338" s="107"/>
      <c r="AD338" s="108"/>
      <c r="AE338" s="108"/>
      <c r="AF338" s="11"/>
      <c r="AG338" s="11"/>
      <c r="AH338" s="108"/>
      <c r="AI338" s="108"/>
      <c r="AJ338" s="108"/>
      <c r="AK338" s="108"/>
      <c r="AL338" s="108"/>
      <c r="AM338" s="108"/>
      <c r="AN338" s="108"/>
      <c r="AO338" s="108"/>
      <c r="AP338" s="270"/>
      <c r="AR338" s="270"/>
    </row>
    <row r="339" spans="1:46" s="268" customFormat="1" x14ac:dyDescent="0.25">
      <c r="A339" s="107"/>
      <c r="B339" s="107"/>
      <c r="C339" s="7"/>
      <c r="D339" s="7"/>
      <c r="E339" s="10"/>
      <c r="F339" s="108"/>
      <c r="G339" s="108"/>
      <c r="H339" s="108"/>
      <c r="I339" s="108"/>
      <c r="J339" s="108"/>
      <c r="K339" s="108"/>
      <c r="L339" s="108"/>
      <c r="M339" s="11"/>
      <c r="N339" s="107"/>
      <c r="O339" s="108"/>
      <c r="P339" s="108"/>
      <c r="Q339" s="108"/>
      <c r="R339" s="108"/>
      <c r="S339" s="108"/>
      <c r="T339" s="108"/>
      <c r="U339" s="11"/>
      <c r="V339" s="11"/>
      <c r="W339" s="108"/>
      <c r="X339" s="11"/>
      <c r="Y339" s="108"/>
      <c r="Z339" s="108"/>
      <c r="AA339" s="108"/>
      <c r="AB339" s="108"/>
      <c r="AC339" s="107"/>
      <c r="AD339" s="108"/>
      <c r="AE339" s="108"/>
      <c r="AF339" s="11"/>
      <c r="AG339" s="11"/>
      <c r="AH339" s="108"/>
      <c r="AI339" s="108"/>
      <c r="AJ339" s="108"/>
      <c r="AK339" s="108"/>
      <c r="AL339" s="108"/>
      <c r="AM339" s="108"/>
      <c r="AN339" s="108"/>
      <c r="AO339" s="108"/>
      <c r="AP339" s="270"/>
      <c r="AR339" s="270"/>
    </row>
    <row r="340" spans="1:46" s="268" customFormat="1" x14ac:dyDescent="0.25">
      <c r="A340" s="107"/>
      <c r="B340" s="107"/>
      <c r="C340" s="7"/>
      <c r="D340" s="7"/>
      <c r="E340" s="10"/>
      <c r="F340" s="108"/>
      <c r="G340" s="108"/>
      <c r="H340" s="108"/>
      <c r="I340" s="108"/>
      <c r="J340" s="108"/>
      <c r="K340" s="108"/>
      <c r="L340" s="108"/>
      <c r="M340" s="11"/>
      <c r="N340" s="107"/>
      <c r="O340" s="108"/>
      <c r="P340" s="108"/>
      <c r="Q340" s="108"/>
      <c r="R340" s="108"/>
      <c r="S340" s="108"/>
      <c r="T340" s="108"/>
      <c r="U340" s="11"/>
      <c r="V340" s="11"/>
      <c r="W340" s="108"/>
      <c r="X340" s="11"/>
      <c r="Y340" s="108"/>
      <c r="Z340" s="108"/>
      <c r="AA340" s="108"/>
      <c r="AB340" s="108"/>
      <c r="AC340" s="107"/>
      <c r="AD340" s="108"/>
      <c r="AE340" s="108"/>
      <c r="AF340" s="11"/>
      <c r="AG340" s="11"/>
      <c r="AH340" s="108"/>
      <c r="AI340" s="108"/>
      <c r="AJ340" s="108"/>
      <c r="AK340" s="108"/>
      <c r="AL340" s="108"/>
      <c r="AM340" s="108"/>
      <c r="AN340" s="108"/>
      <c r="AO340" s="108"/>
      <c r="AP340" s="270"/>
      <c r="AR340" s="270"/>
    </row>
    <row r="341" spans="1:46" s="268" customFormat="1" x14ac:dyDescent="0.25">
      <c r="A341" s="107"/>
      <c r="B341" s="107"/>
      <c r="C341" s="7"/>
      <c r="D341" s="7"/>
      <c r="E341" s="10"/>
      <c r="F341" s="108"/>
      <c r="G341" s="108"/>
      <c r="H341" s="108"/>
      <c r="I341" s="108"/>
      <c r="J341" s="108"/>
      <c r="K341" s="108"/>
      <c r="L341" s="108"/>
      <c r="M341" s="11"/>
      <c r="N341" s="107"/>
      <c r="O341" s="108"/>
      <c r="P341" s="108"/>
      <c r="Q341" s="108"/>
      <c r="R341" s="108"/>
      <c r="S341" s="108"/>
      <c r="T341" s="108"/>
      <c r="U341" s="11"/>
      <c r="V341" s="11"/>
      <c r="W341" s="108"/>
      <c r="X341" s="11"/>
      <c r="Y341" s="108"/>
      <c r="Z341" s="108"/>
      <c r="AA341" s="108"/>
      <c r="AB341" s="108"/>
      <c r="AC341" s="107"/>
      <c r="AD341" s="108"/>
      <c r="AE341" s="108"/>
      <c r="AF341" s="11"/>
      <c r="AG341" s="11"/>
      <c r="AH341" s="108"/>
      <c r="AI341" s="108"/>
      <c r="AJ341" s="108"/>
      <c r="AK341" s="108"/>
      <c r="AL341" s="108"/>
      <c r="AM341" s="108"/>
      <c r="AN341" s="108"/>
      <c r="AO341" s="108"/>
      <c r="AP341" s="270"/>
      <c r="AR341" s="270"/>
    </row>
    <row r="342" spans="1:46" s="268" customFormat="1" x14ac:dyDescent="0.25">
      <c r="A342" s="107"/>
      <c r="B342" s="107"/>
      <c r="C342" s="7"/>
      <c r="D342" s="7"/>
      <c r="E342" s="10"/>
      <c r="F342" s="108"/>
      <c r="G342" s="108"/>
      <c r="H342" s="108"/>
      <c r="I342" s="108"/>
      <c r="J342" s="108"/>
      <c r="K342" s="108"/>
      <c r="L342" s="108"/>
      <c r="M342" s="11"/>
      <c r="N342" s="107"/>
      <c r="O342" s="108"/>
      <c r="P342" s="108"/>
      <c r="Q342" s="108"/>
      <c r="R342" s="108"/>
      <c r="S342" s="108"/>
      <c r="T342" s="108"/>
      <c r="U342" s="11"/>
      <c r="V342" s="11"/>
      <c r="W342" s="108"/>
      <c r="X342" s="11"/>
      <c r="Y342" s="108"/>
      <c r="Z342" s="108"/>
      <c r="AA342" s="108"/>
      <c r="AB342" s="108"/>
      <c r="AC342" s="107"/>
      <c r="AD342" s="108"/>
      <c r="AE342" s="108"/>
      <c r="AF342" s="11"/>
      <c r="AG342" s="11"/>
      <c r="AH342" s="108"/>
      <c r="AI342" s="108"/>
      <c r="AJ342" s="108"/>
      <c r="AK342" s="108"/>
      <c r="AL342" s="108"/>
      <c r="AM342" s="108"/>
      <c r="AN342" s="108"/>
      <c r="AO342" s="108"/>
      <c r="AP342" s="270"/>
      <c r="AR342" s="270"/>
    </row>
    <row r="343" spans="1:46" s="268" customFormat="1" x14ac:dyDescent="0.25">
      <c r="A343" s="107"/>
      <c r="B343" s="107"/>
      <c r="C343" s="7"/>
      <c r="D343" s="7"/>
      <c r="E343" s="10"/>
      <c r="F343" s="108"/>
      <c r="G343" s="108"/>
      <c r="H343" s="108"/>
      <c r="I343" s="108"/>
      <c r="J343" s="108"/>
      <c r="K343" s="108"/>
      <c r="L343" s="108"/>
      <c r="M343" s="11"/>
      <c r="N343" s="107"/>
      <c r="O343" s="108"/>
      <c r="P343" s="108"/>
      <c r="Q343" s="108"/>
      <c r="R343" s="108"/>
      <c r="S343" s="108"/>
      <c r="T343" s="108"/>
      <c r="U343" s="11"/>
      <c r="V343" s="11"/>
      <c r="W343" s="108"/>
      <c r="X343" s="11"/>
      <c r="Y343" s="108"/>
      <c r="Z343" s="108"/>
      <c r="AA343" s="108"/>
      <c r="AB343" s="108"/>
      <c r="AC343" s="107"/>
      <c r="AD343" s="108"/>
      <c r="AE343" s="108"/>
      <c r="AF343" s="11"/>
      <c r="AG343" s="11"/>
      <c r="AH343" s="108"/>
      <c r="AI343" s="108"/>
      <c r="AJ343" s="108"/>
      <c r="AK343" s="108"/>
      <c r="AL343" s="108"/>
      <c r="AM343" s="108"/>
      <c r="AN343" s="108"/>
      <c r="AO343" s="108"/>
      <c r="AP343" s="270"/>
      <c r="AR343" s="270"/>
    </row>
    <row r="344" spans="1:46" s="268" customFormat="1" x14ac:dyDescent="0.25">
      <c r="A344" s="107"/>
      <c r="B344" s="107"/>
      <c r="C344" s="7"/>
      <c r="D344" s="7"/>
      <c r="E344" s="10"/>
      <c r="F344" s="108"/>
      <c r="G344" s="108"/>
      <c r="H344" s="108"/>
      <c r="I344" s="108"/>
      <c r="J344" s="108"/>
      <c r="K344" s="108"/>
      <c r="L344" s="108"/>
      <c r="M344" s="11"/>
      <c r="N344" s="107"/>
      <c r="O344" s="108"/>
      <c r="P344" s="108"/>
      <c r="Q344" s="108"/>
      <c r="R344" s="108"/>
      <c r="S344" s="108"/>
      <c r="T344" s="108"/>
      <c r="U344" s="11"/>
      <c r="V344" s="11"/>
      <c r="W344" s="108"/>
      <c r="X344" s="11"/>
      <c r="Y344" s="108"/>
      <c r="Z344" s="108"/>
      <c r="AA344" s="108"/>
      <c r="AB344" s="108"/>
      <c r="AC344" s="107"/>
      <c r="AD344" s="108"/>
      <c r="AE344" s="108"/>
      <c r="AF344" s="11"/>
      <c r="AG344" s="11"/>
      <c r="AH344" s="108"/>
      <c r="AI344" s="108"/>
      <c r="AJ344" s="108"/>
      <c r="AK344" s="108"/>
      <c r="AL344" s="108"/>
      <c r="AM344" s="108"/>
      <c r="AN344" s="108"/>
      <c r="AO344" s="108"/>
      <c r="AP344" s="270"/>
      <c r="AR344" s="270"/>
    </row>
    <row r="345" spans="1:46" s="268" customFormat="1" x14ac:dyDescent="0.25">
      <c r="A345" s="107"/>
      <c r="B345" s="107"/>
      <c r="C345" s="7"/>
      <c r="D345" s="7"/>
      <c r="E345" s="10"/>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T345" s="107"/>
    </row>
    <row r="346" spans="1:46" s="268" customFormat="1" x14ac:dyDescent="0.25">
      <c r="A346" s="107"/>
      <c r="B346" s="107"/>
      <c r="C346" s="7"/>
      <c r="D346" s="7"/>
      <c r="E346" s="10"/>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T346" s="107"/>
    </row>
    <row r="347" spans="1:46" s="268" customFormat="1" x14ac:dyDescent="0.25">
      <c r="A347" s="107"/>
      <c r="B347" s="107"/>
      <c r="C347" s="7"/>
      <c r="D347" s="7"/>
      <c r="E347" s="10"/>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T347" s="107"/>
    </row>
    <row r="348" spans="1:46" s="268" customFormat="1" x14ac:dyDescent="0.25">
      <c r="A348" s="107"/>
      <c r="B348" s="107"/>
      <c r="C348" s="7"/>
      <c r="D348" s="7"/>
      <c r="E348" s="10"/>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T348" s="107"/>
    </row>
    <row r="349" spans="1:46" s="268" customFormat="1" x14ac:dyDescent="0.25">
      <c r="A349" s="107"/>
      <c r="B349" s="107"/>
      <c r="C349" s="7"/>
      <c r="D349" s="7"/>
      <c r="E349" s="10"/>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T349" s="107"/>
    </row>
    <row r="350" spans="1:46" s="268" customFormat="1" x14ac:dyDescent="0.25">
      <c r="A350" s="107"/>
      <c r="B350" s="107"/>
      <c r="C350" s="7"/>
      <c r="D350" s="7"/>
      <c r="E350" s="10"/>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T350" s="107"/>
    </row>
    <row r="351" spans="1:46" s="268" customFormat="1" x14ac:dyDescent="0.25">
      <c r="A351" s="107"/>
      <c r="B351" s="107"/>
      <c r="C351" s="7"/>
      <c r="D351" s="7"/>
      <c r="E351" s="10"/>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T351" s="107"/>
    </row>
    <row r="352" spans="1:46" s="268" customFormat="1" x14ac:dyDescent="0.25">
      <c r="A352" s="107"/>
      <c r="B352" s="107"/>
      <c r="C352" s="7"/>
      <c r="D352" s="7"/>
      <c r="E352" s="10"/>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T352" s="107"/>
    </row>
    <row r="353" spans="1:46" s="268" customFormat="1" x14ac:dyDescent="0.25">
      <c r="A353" s="107"/>
      <c r="B353" s="107"/>
      <c r="C353" s="7"/>
      <c r="D353" s="7"/>
      <c r="E353" s="10"/>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T353" s="107"/>
    </row>
    <row r="354" spans="1:46" s="268" customFormat="1" x14ac:dyDescent="0.25">
      <c r="A354" s="107"/>
      <c r="B354" s="107"/>
      <c r="C354" s="7"/>
      <c r="D354" s="7"/>
      <c r="E354" s="10"/>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T354" s="107"/>
    </row>
    <row r="355" spans="1:46" s="268" customFormat="1" x14ac:dyDescent="0.25">
      <c r="A355" s="107"/>
      <c r="B355" s="107"/>
      <c r="C355" s="108"/>
      <c r="D355" s="108"/>
      <c r="E355" s="11"/>
      <c r="F355" s="107"/>
      <c r="G355" s="107"/>
      <c r="H355" s="107"/>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T355" s="107"/>
    </row>
    <row r="356" spans="1:46" s="268" customFormat="1" x14ac:dyDescent="0.25">
      <c r="A356" s="107"/>
      <c r="B356" s="107"/>
      <c r="C356" s="108"/>
      <c r="D356" s="108"/>
      <c r="E356" s="11"/>
      <c r="F356" s="107"/>
      <c r="G356" s="107"/>
      <c r="H356" s="107"/>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T356" s="107"/>
    </row>
    <row r="357" spans="1:46" x14ac:dyDescent="0.25">
      <c r="C357" s="108"/>
      <c r="D357" s="108"/>
      <c r="E357" s="11"/>
    </row>
    <row r="358" spans="1:46" x14ac:dyDescent="0.25">
      <c r="C358" s="108"/>
      <c r="D358" s="108"/>
      <c r="E358" s="11"/>
    </row>
    <row r="359" spans="1:46" x14ac:dyDescent="0.25">
      <c r="C359" s="108"/>
      <c r="D359" s="108"/>
      <c r="E359" s="11"/>
    </row>
    <row r="360" spans="1:46" x14ac:dyDescent="0.25">
      <c r="C360" s="108"/>
      <c r="D360" s="108"/>
      <c r="E360" s="11"/>
    </row>
    <row r="361" spans="1:46" x14ac:dyDescent="0.25">
      <c r="C361" s="108"/>
      <c r="D361" s="108"/>
      <c r="E361" s="11"/>
    </row>
    <row r="362" spans="1:46" x14ac:dyDescent="0.25">
      <c r="C362" s="108"/>
      <c r="D362" s="108"/>
      <c r="E362" s="11"/>
    </row>
    <row r="363" spans="1:46" x14ac:dyDescent="0.25">
      <c r="C363" s="108"/>
      <c r="D363" s="108"/>
      <c r="E363" s="11"/>
    </row>
    <row r="364" spans="1:46" x14ac:dyDescent="0.25">
      <c r="C364" s="108"/>
      <c r="D364" s="108"/>
      <c r="E364" s="11"/>
    </row>
    <row r="365" spans="1:46" x14ac:dyDescent="0.25">
      <c r="C365" s="108"/>
      <c r="D365" s="108"/>
      <c r="E365" s="11"/>
    </row>
    <row r="366" spans="1:46" x14ac:dyDescent="0.25">
      <c r="C366" s="108"/>
      <c r="D366" s="108"/>
      <c r="E366" s="11"/>
    </row>
    <row r="367" spans="1:46" x14ac:dyDescent="0.25">
      <c r="C367" s="108"/>
      <c r="D367" s="108"/>
      <c r="E367" s="11"/>
    </row>
    <row r="368" spans="1:46" x14ac:dyDescent="0.25">
      <c r="C368" s="108"/>
      <c r="D368" s="108"/>
      <c r="E368" s="11"/>
    </row>
    <row r="369" spans="3:5" x14ac:dyDescent="0.25">
      <c r="C369" s="108"/>
      <c r="D369" s="108"/>
      <c r="E369" s="11"/>
    </row>
  </sheetData>
  <mergeCells count="28">
    <mergeCell ref="AJ4:AJ5"/>
    <mergeCell ref="AK4:AK5"/>
    <mergeCell ref="AL4:AL5"/>
    <mergeCell ref="F2:M3"/>
    <mergeCell ref="P4:P5"/>
    <mergeCell ref="Q4:R4"/>
    <mergeCell ref="S4:U4"/>
    <mergeCell ref="V4:V5"/>
    <mergeCell ref="AB4:AC4"/>
    <mergeCell ref="AD4:AG4"/>
    <mergeCell ref="AH4:AH5"/>
    <mergeCell ref="AI4:AI5"/>
    <mergeCell ref="B1:AO1"/>
    <mergeCell ref="B2:C3"/>
    <mergeCell ref="D2:D5"/>
    <mergeCell ref="E2:E5"/>
    <mergeCell ref="AD3:AM3"/>
    <mergeCell ref="AN3:AO4"/>
    <mergeCell ref="AM4:AM5"/>
    <mergeCell ref="F4:F5"/>
    <mergeCell ref="N2:N5"/>
    <mergeCell ref="O2:O5"/>
    <mergeCell ref="B4:B5"/>
    <mergeCell ref="C4:C5"/>
    <mergeCell ref="G4:I4"/>
    <mergeCell ref="J4:M4"/>
    <mergeCell ref="W4:X4"/>
    <mergeCell ref="P3:AC3"/>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92CDA-3D8C-4488-A7D1-39CE02D1009E}">
  <dimension ref="A1:FQ367"/>
  <sheetViews>
    <sheetView topLeftCell="AK1" zoomScale="70" zoomScaleNormal="70" workbookViewId="0">
      <pane ySplit="5" topLeftCell="A6" activePane="bottomLeft" state="frozen"/>
      <selection activeCell="T1" sqref="T1"/>
      <selection pane="bottomLeft" activeCell="AN14" sqref="AN14"/>
    </sheetView>
  </sheetViews>
  <sheetFormatPr baseColWidth="10" defaultRowHeight="15" x14ac:dyDescent="0.25"/>
  <cols>
    <col min="1" max="1" width="6.140625" style="107" customWidth="1"/>
    <col min="2" max="5" width="5.28515625" style="107" customWidth="1"/>
    <col min="6" max="19" width="5.7109375" style="107" customWidth="1"/>
    <col min="20" max="20" width="9.5703125" style="107" customWidth="1"/>
    <col min="21" max="21" width="7.140625" style="107" customWidth="1"/>
    <col min="22" max="22" width="10" style="107" customWidth="1"/>
    <col min="23" max="23" width="7" style="107" customWidth="1"/>
    <col min="24" max="26" width="10" style="107" customWidth="1"/>
    <col min="27" max="31" width="5.7109375" style="107" customWidth="1"/>
    <col min="32" max="34" width="10" style="107" customWidth="1"/>
    <col min="35" max="37" width="5.7109375" style="107" customWidth="1"/>
    <col min="38" max="38" width="39.5703125" style="268" bestFit="1" customWidth="1"/>
    <col min="39" max="39" width="218.28515625" style="268" bestFit="1" customWidth="1"/>
    <col min="40" max="40" width="136.7109375" style="268" bestFit="1" customWidth="1"/>
    <col min="41" max="41" width="103.7109375" style="268" bestFit="1" customWidth="1"/>
    <col min="42" max="16384" width="11.42578125" style="107"/>
  </cols>
  <sheetData>
    <row r="1" spans="1:173" s="12" customFormat="1" ht="15.75" thickTop="1" x14ac:dyDescent="0.25">
      <c r="B1" s="634" t="s">
        <v>349</v>
      </c>
      <c r="C1" s="634"/>
      <c r="D1" s="634"/>
      <c r="E1" s="634"/>
      <c r="F1" s="634"/>
      <c r="G1" s="634"/>
      <c r="H1" s="634"/>
      <c r="I1" s="634"/>
      <c r="J1" s="634"/>
      <c r="K1" s="634"/>
      <c r="L1" s="634"/>
      <c r="M1" s="634"/>
      <c r="N1" s="634"/>
      <c r="O1" s="634"/>
      <c r="P1" s="634"/>
      <c r="Q1" s="634"/>
      <c r="R1" s="634"/>
      <c r="S1" s="634"/>
      <c r="T1" s="634"/>
      <c r="U1" s="634"/>
      <c r="V1" s="634"/>
      <c r="W1" s="634"/>
      <c r="X1" s="634"/>
      <c r="Y1" s="634"/>
      <c r="Z1" s="634"/>
      <c r="AA1" s="634"/>
      <c r="AB1" s="634"/>
      <c r="AC1" s="634"/>
      <c r="AD1" s="634"/>
      <c r="AE1" s="634"/>
      <c r="AF1" s="634"/>
      <c r="AG1" s="634"/>
      <c r="AH1" s="634"/>
      <c r="AI1" s="634"/>
      <c r="AJ1" s="634"/>
      <c r="AK1" s="635"/>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59"/>
      <c r="CT1" s="459"/>
      <c r="CU1" s="459"/>
      <c r="CV1" s="459"/>
      <c r="CW1" s="459"/>
      <c r="CX1" s="459"/>
      <c r="CY1" s="459"/>
      <c r="CZ1" s="459"/>
      <c r="DA1" s="459"/>
      <c r="DB1" s="459"/>
      <c r="DC1" s="459"/>
      <c r="DD1" s="459"/>
      <c r="DE1" s="459"/>
      <c r="DF1" s="459"/>
      <c r="DG1" s="459"/>
      <c r="DH1" s="459"/>
      <c r="DI1" s="459"/>
      <c r="DJ1" s="459"/>
      <c r="DK1" s="459"/>
      <c r="DL1" s="459"/>
      <c r="DM1" s="460"/>
      <c r="DN1" s="359"/>
      <c r="DO1" s="362"/>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8"/>
      <c r="FN1" s="263"/>
      <c r="FO1" s="264"/>
      <c r="FP1" s="264"/>
      <c r="FQ1" s="264"/>
    </row>
    <row r="2" spans="1:173" s="12" customFormat="1" ht="30" customHeight="1" x14ac:dyDescent="0.25">
      <c r="B2" s="640" t="s">
        <v>554</v>
      </c>
      <c r="C2" s="543"/>
      <c r="D2" s="598" t="s">
        <v>456</v>
      </c>
      <c r="E2" s="598" t="s">
        <v>933</v>
      </c>
      <c r="F2" s="542" t="s">
        <v>658</v>
      </c>
      <c r="G2" s="560"/>
      <c r="H2" s="560"/>
      <c r="I2" s="560"/>
      <c r="J2" s="560"/>
      <c r="K2" s="560"/>
      <c r="L2" s="543"/>
      <c r="M2" s="515" t="s">
        <v>1155</v>
      </c>
      <c r="N2" s="524"/>
      <c r="O2" s="524"/>
      <c r="P2" s="524"/>
      <c r="Q2" s="524"/>
      <c r="R2" s="524"/>
      <c r="S2" s="524"/>
      <c r="T2" s="524"/>
      <c r="U2" s="524"/>
      <c r="V2" s="524"/>
      <c r="W2" s="524"/>
      <c r="X2" s="524"/>
      <c r="Y2" s="524"/>
      <c r="Z2" s="524"/>
      <c r="AA2" s="462"/>
      <c r="AB2" s="462"/>
      <c r="AC2" s="462"/>
      <c r="AD2" s="462"/>
      <c r="AE2" s="462"/>
      <c r="AF2" s="462"/>
      <c r="AG2" s="462"/>
      <c r="AH2" s="462"/>
      <c r="AI2" s="524"/>
      <c r="AJ2" s="524"/>
      <c r="AK2" s="550"/>
      <c r="AL2" s="263"/>
      <c r="AM2" s="263"/>
      <c r="AN2" s="264"/>
      <c r="AO2" s="264"/>
    </row>
    <row r="3" spans="1:173" s="12" customFormat="1" ht="30" customHeight="1" x14ac:dyDescent="0.25">
      <c r="B3" s="641"/>
      <c r="C3" s="535"/>
      <c r="D3" s="636"/>
      <c r="E3" s="636"/>
      <c r="F3" s="533"/>
      <c r="G3" s="534"/>
      <c r="H3" s="534"/>
      <c r="I3" s="534"/>
      <c r="J3" s="534"/>
      <c r="K3" s="534"/>
      <c r="L3" s="535"/>
      <c r="M3" s="515" t="s">
        <v>206</v>
      </c>
      <c r="N3" s="524"/>
      <c r="O3" s="524"/>
      <c r="P3" s="524"/>
      <c r="Q3" s="524"/>
      <c r="R3" s="524"/>
      <c r="S3" s="524"/>
      <c r="T3" s="524"/>
      <c r="U3" s="524"/>
      <c r="V3" s="524"/>
      <c r="W3" s="524"/>
      <c r="X3" s="524"/>
      <c r="Y3" s="524"/>
      <c r="Z3" s="516"/>
      <c r="AA3" s="515" t="s">
        <v>1159</v>
      </c>
      <c r="AB3" s="524"/>
      <c r="AC3" s="524"/>
      <c r="AD3" s="524"/>
      <c r="AE3" s="524"/>
      <c r="AF3" s="524"/>
      <c r="AG3" s="524"/>
      <c r="AH3" s="516"/>
      <c r="AI3" s="560" t="s">
        <v>554</v>
      </c>
      <c r="AJ3" s="560"/>
      <c r="AK3" s="642"/>
      <c r="AL3" s="263"/>
      <c r="AM3" s="263"/>
      <c r="AN3" s="264"/>
      <c r="AO3" s="264"/>
    </row>
    <row r="4" spans="1:173" s="12" customFormat="1" ht="26.25" customHeight="1" x14ac:dyDescent="0.25">
      <c r="B4" s="614" t="s">
        <v>986</v>
      </c>
      <c r="C4" s="631" t="s">
        <v>335</v>
      </c>
      <c r="D4" s="636"/>
      <c r="E4" s="636"/>
      <c r="F4" s="515" t="s">
        <v>198</v>
      </c>
      <c r="G4" s="524"/>
      <c r="H4" s="524"/>
      <c r="I4" s="516"/>
      <c r="J4" s="515" t="s">
        <v>86</v>
      </c>
      <c r="K4" s="524"/>
      <c r="L4" s="524"/>
      <c r="M4" s="515" t="s">
        <v>86</v>
      </c>
      <c r="N4" s="524"/>
      <c r="O4" s="524"/>
      <c r="P4" s="515" t="s">
        <v>198</v>
      </c>
      <c r="Q4" s="524"/>
      <c r="R4" s="524"/>
      <c r="S4" s="516"/>
      <c r="T4" s="513" t="s">
        <v>1153</v>
      </c>
      <c r="U4" s="540" t="s">
        <v>1113</v>
      </c>
      <c r="V4" s="513" t="s">
        <v>1154</v>
      </c>
      <c r="W4" s="540" t="s">
        <v>1113</v>
      </c>
      <c r="X4" s="513" t="s">
        <v>1156</v>
      </c>
      <c r="Y4" s="513" t="s">
        <v>1157</v>
      </c>
      <c r="Z4" s="513" t="s">
        <v>1158</v>
      </c>
      <c r="AA4" s="515" t="s">
        <v>88</v>
      </c>
      <c r="AB4" s="524"/>
      <c r="AC4" s="524"/>
      <c r="AD4" s="524"/>
      <c r="AE4" s="516"/>
      <c r="AF4" s="513" t="s">
        <v>1156</v>
      </c>
      <c r="AG4" s="513" t="s">
        <v>1157</v>
      </c>
      <c r="AH4" s="513" t="s">
        <v>1158</v>
      </c>
      <c r="AI4" s="534"/>
      <c r="AJ4" s="534"/>
      <c r="AK4" s="643"/>
      <c r="AL4" s="263"/>
      <c r="AM4" s="263"/>
      <c r="AN4" s="264"/>
      <c r="AO4" s="264"/>
    </row>
    <row r="5" spans="1:173" s="12" customFormat="1" ht="78.75" customHeight="1" x14ac:dyDescent="0.25">
      <c r="B5" s="615"/>
      <c r="C5" s="632"/>
      <c r="D5" s="599"/>
      <c r="E5" s="599"/>
      <c r="F5" s="366" t="s">
        <v>561</v>
      </c>
      <c r="G5" s="366" t="s">
        <v>1148</v>
      </c>
      <c r="H5" s="465" t="s">
        <v>1149</v>
      </c>
      <c r="I5" s="366" t="s">
        <v>1150</v>
      </c>
      <c r="J5" s="366" t="s">
        <v>507</v>
      </c>
      <c r="K5" s="366" t="s">
        <v>1151</v>
      </c>
      <c r="L5" s="465" t="s">
        <v>1152</v>
      </c>
      <c r="M5" s="366" t="s">
        <v>507</v>
      </c>
      <c r="N5" s="366" t="s">
        <v>1151</v>
      </c>
      <c r="O5" s="465" t="s">
        <v>1152</v>
      </c>
      <c r="P5" s="366" t="s">
        <v>561</v>
      </c>
      <c r="Q5" s="366" t="s">
        <v>1148</v>
      </c>
      <c r="R5" s="465" t="s">
        <v>1149</v>
      </c>
      <c r="S5" s="366" t="s">
        <v>1150</v>
      </c>
      <c r="T5" s="514"/>
      <c r="U5" s="540"/>
      <c r="V5" s="514"/>
      <c r="W5" s="540"/>
      <c r="X5" s="514"/>
      <c r="Y5" s="514"/>
      <c r="Z5" s="514"/>
      <c r="AA5" s="366" t="s">
        <v>1160</v>
      </c>
      <c r="AB5" s="366" t="s">
        <v>1161</v>
      </c>
      <c r="AC5" s="465" t="s">
        <v>1162</v>
      </c>
      <c r="AD5" s="366" t="s">
        <v>1163</v>
      </c>
      <c r="AE5" s="366" t="s">
        <v>1164</v>
      </c>
      <c r="AF5" s="514"/>
      <c r="AG5" s="514"/>
      <c r="AH5" s="514"/>
      <c r="AI5" s="455" t="s">
        <v>1165</v>
      </c>
      <c r="AJ5" s="455" t="s">
        <v>668</v>
      </c>
      <c r="AK5" s="477" t="s">
        <v>355</v>
      </c>
      <c r="AL5" s="263" t="s">
        <v>549</v>
      </c>
      <c r="AM5" s="264" t="s">
        <v>548</v>
      </c>
      <c r="AN5" s="264" t="s">
        <v>7</v>
      </c>
      <c r="AO5" s="265" t="s">
        <v>8</v>
      </c>
    </row>
    <row r="6" spans="1:173" s="109" customFormat="1" ht="15" customHeight="1" x14ac:dyDescent="0.25">
      <c r="A6" s="23"/>
      <c r="B6" s="20"/>
      <c r="C6" s="13"/>
      <c r="D6" s="13"/>
      <c r="E6" s="13">
        <v>1</v>
      </c>
      <c r="F6" s="289">
        <v>1</v>
      </c>
      <c r="G6" s="289"/>
      <c r="H6" s="289"/>
      <c r="I6" s="289"/>
      <c r="J6" s="289">
        <v>1</v>
      </c>
      <c r="K6" s="289"/>
      <c r="L6" s="289"/>
      <c r="M6" s="289"/>
      <c r="N6" s="289"/>
      <c r="O6" s="289"/>
      <c r="P6" s="289"/>
      <c r="Q6" s="289"/>
      <c r="R6" s="289"/>
      <c r="S6" s="289"/>
      <c r="T6" s="289"/>
      <c r="U6" s="111"/>
      <c r="V6" s="289"/>
      <c r="W6" s="13"/>
      <c r="X6" s="289"/>
      <c r="Y6" s="289"/>
      <c r="Z6" s="289"/>
      <c r="AA6" s="289"/>
      <c r="AB6" s="289"/>
      <c r="AC6" s="289"/>
      <c r="AD6" s="289"/>
      <c r="AE6" s="289"/>
      <c r="AF6" s="289"/>
      <c r="AG6" s="289"/>
      <c r="AH6" s="289"/>
      <c r="AI6" s="289"/>
      <c r="AJ6" s="478"/>
      <c r="AK6" s="453"/>
      <c r="AL6" s="266" t="s">
        <v>1166</v>
      </c>
      <c r="AM6" s="266" t="str">
        <f xml:space="preserve"> CONCATENATE("Acceder al sistema Gemma con usuario y perfil activo para la funcionalidad modulo Maestro - Peaje, hacer clic en el boton,"," ",IF(B6=1,"Modificar un registro","")," ",IF(C6=1,"Eliminar un registro","")," ",IF(D6=1,"Agregar un nuevo registro",""), " ",IF(E6=1,"Exportar Documento Excel",""),", sin seleccionar valores en el filtro ",)</f>
        <v xml:space="preserve">Acceder al sistema Gemma con usuario y perfil activo para la funcionalidad modulo Maestro - Peaje, hacer clic en el boton,    Exportar Documento Excel, sin seleccionar valores en el filtro </v>
      </c>
      <c r="AN6" s="267" t="str">
        <f>CONCATENATE(" Validar funcionalidad Maestro Peaje seleccionando la opcion "," ",IF(B6=1,"Modificar registro","")," ",IF(C6=1,"Eliminar registro","")," ",IF(D6=1,"Agregar un nuevo registro","")," ",IF(E6=1,"Exportar excel","")," sin seleccionar valores",)</f>
        <v xml:space="preserve"> Validar funcionalidad Maestro Peaje seleccionando la opcion     Exportar excel sin seleccionar valores</v>
      </c>
      <c r="AO6" s="267" t="s">
        <v>1008</v>
      </c>
    </row>
    <row r="7" spans="1:173" s="109" customFormat="1" ht="15" customHeight="1" x14ac:dyDescent="0.25">
      <c r="A7" s="23"/>
      <c r="B7" s="20"/>
      <c r="C7" s="13"/>
      <c r="D7" s="13">
        <v>1</v>
      </c>
      <c r="E7" s="103"/>
      <c r="F7" s="289"/>
      <c r="G7" s="289"/>
      <c r="H7" s="289"/>
      <c r="I7" s="289"/>
      <c r="J7" s="289"/>
      <c r="K7" s="289"/>
      <c r="L7" s="289"/>
      <c r="M7" s="289"/>
      <c r="N7" s="289">
        <v>1</v>
      </c>
      <c r="O7" s="289"/>
      <c r="P7" s="289"/>
      <c r="Q7" s="289">
        <v>1</v>
      </c>
      <c r="R7" s="289"/>
      <c r="S7" s="289"/>
      <c r="T7" s="289">
        <v>1</v>
      </c>
      <c r="U7" s="111">
        <v>1</v>
      </c>
      <c r="V7" s="289">
        <v>1</v>
      </c>
      <c r="W7" s="13">
        <v>1</v>
      </c>
      <c r="X7" s="289">
        <v>1</v>
      </c>
      <c r="Y7" s="289">
        <v>1</v>
      </c>
      <c r="Z7" s="289">
        <v>1</v>
      </c>
      <c r="AA7" s="289">
        <v>1</v>
      </c>
      <c r="AB7" s="289"/>
      <c r="AC7" s="289"/>
      <c r="AD7" s="289"/>
      <c r="AE7" s="289"/>
      <c r="AF7" s="289">
        <v>1</v>
      </c>
      <c r="AG7" s="289">
        <v>1</v>
      </c>
      <c r="AH7" s="289">
        <v>1</v>
      </c>
      <c r="AI7" s="289"/>
      <c r="AJ7" s="478">
        <v>1</v>
      </c>
      <c r="AK7" s="453"/>
      <c r="AL7" s="266" t="s">
        <v>1167</v>
      </c>
      <c r="AM7" s="266" t="str">
        <f xml:space="preserve"> CONCATENATE("Acceder al sistema Gemma con usuario y perfil activo para la funcionalidad modulo Maestro - Peaje, hacer clic en el boton,"," ",IF(B7=1,"Modificar un registro","")," ",IF(C7=1,"Eliminar un registro","")," ",IF(D7=1,"Agregar un nuevo registro",""), " con los campos obligatorios con un incentivo, presionar Confirmar ",IF(E7=1,"Exportar Documento Excel","")," ",)</f>
        <v xml:space="preserve">Acceder al sistema Gemma con usuario y perfil activo para la funcionalidad modulo Maestro - Peaje, hacer clic en el boton,   Agregar un nuevo registro con los campos obligatorios con un incentivo, presionar Confirmar  </v>
      </c>
      <c r="AN7" s="267" t="str">
        <f>CONCATENATE(" Validar funcionalidad Maestro Peaje seleccionando la opcion "," ",IF(B7=1,"Modificar registro","")," ",IF(C7=1,"Eliminar registro","")," ",IF(D7=1,"Agregar un nuevo registro","")," ",IF(E7=1,"Exportar excel","")," agregando todos los campos requeridos",)</f>
        <v xml:space="preserve"> Validar funcionalidad Maestro Peaje seleccionando la opcion    Agregar un nuevo registro  agregando todos los campos requeridos</v>
      </c>
      <c r="AO7" s="267" t="s">
        <v>982</v>
      </c>
    </row>
    <row r="8" spans="1:173" s="109" customFormat="1" ht="15" customHeight="1" x14ac:dyDescent="0.25">
      <c r="A8" s="23"/>
      <c r="B8" s="20"/>
      <c r="C8" s="13"/>
      <c r="D8" s="13">
        <v>1</v>
      </c>
      <c r="E8" s="103"/>
      <c r="F8" s="289"/>
      <c r="G8" s="289"/>
      <c r="H8" s="289"/>
      <c r="I8" s="289"/>
      <c r="J8" s="289"/>
      <c r="K8" s="289"/>
      <c r="L8" s="289"/>
      <c r="M8" s="289"/>
      <c r="N8" s="289">
        <v>1</v>
      </c>
      <c r="O8" s="289"/>
      <c r="P8" s="289"/>
      <c r="Q8" s="289">
        <v>1</v>
      </c>
      <c r="R8" s="289"/>
      <c r="S8" s="289"/>
      <c r="T8" s="289">
        <v>1</v>
      </c>
      <c r="U8" s="111">
        <v>1</v>
      </c>
      <c r="V8" s="289">
        <v>1</v>
      </c>
      <c r="W8" s="13">
        <v>1</v>
      </c>
      <c r="X8" s="289">
        <v>1</v>
      </c>
      <c r="Y8" s="289">
        <v>1</v>
      </c>
      <c r="Z8" s="289">
        <v>1</v>
      </c>
      <c r="AA8" s="289">
        <v>1</v>
      </c>
      <c r="AB8" s="289">
        <v>1</v>
      </c>
      <c r="AC8" s="289">
        <v>1</v>
      </c>
      <c r="AD8" s="289">
        <v>1</v>
      </c>
      <c r="AE8" s="289">
        <v>1</v>
      </c>
      <c r="AF8" s="289">
        <v>1</v>
      </c>
      <c r="AG8" s="289">
        <v>1</v>
      </c>
      <c r="AH8" s="289">
        <v>1</v>
      </c>
      <c r="AI8" s="289">
        <v>1</v>
      </c>
      <c r="AJ8" s="478">
        <v>1</v>
      </c>
      <c r="AK8" s="453"/>
      <c r="AL8" s="266" t="s">
        <v>1172</v>
      </c>
      <c r="AM8" s="266" t="str">
        <f xml:space="preserve"> CONCATENATE("Acceder al sistema Gemma con usuario y perfil activo para la funcionalidad modulo Maestro - Peaje, hacer clic en el boton,"," ",IF(B8=1,"Modificar un registro","")," ",IF(C8=1,"Eliminar un registro","")," ",IF(D8=1,"Agregar un nuevo registro",""), " con los campos obligatorios, mas de un incentivo, ",IF(E8=1,"Exportar Documento Excel",""),"presionar el boton Agregar Fila, y luego Confirmar  ",)</f>
        <v xml:space="preserve">Acceder al sistema Gemma con usuario y perfil activo para la funcionalidad modulo Maestro - Peaje, hacer clic en el boton,   Agregar un nuevo registro con los campos obligatorios, mas de un incentivo, presionar el boton Agregar Fila, y luego Confirmar  </v>
      </c>
      <c r="AN8" s="267" t="str">
        <f>CONCATENATE(" Validar funcionalidad Maestro Peaje seleccionando la opcion "," ",IF(B8=1,"Modificar registro","")," ",IF(C8=1,"Eliminar registro","")," ",IF(D8=1,"Agregar un nuevo registro","")," ",IF(E8=1,"Exportar excel","")," seleccionando mas de un incentivos y"," ",IF(AI8=1,"Presionando Agregar Fila",""),)</f>
        <v xml:space="preserve"> Validar funcionalidad Maestro Peaje seleccionando la opcion    Agregar un nuevo registro  seleccionando mas de un incentivos y Presionando Agregar Fila</v>
      </c>
      <c r="AO8" s="267" t="s">
        <v>982</v>
      </c>
    </row>
    <row r="9" spans="1:173" s="109" customFormat="1" ht="15" customHeight="1" x14ac:dyDescent="0.25">
      <c r="A9" s="23"/>
      <c r="B9" s="20">
        <v>1</v>
      </c>
      <c r="C9" s="13"/>
      <c r="D9" s="13"/>
      <c r="E9" s="103"/>
      <c r="F9" s="289"/>
      <c r="G9" s="289">
        <v>1</v>
      </c>
      <c r="H9" s="289"/>
      <c r="I9" s="289"/>
      <c r="J9" s="289"/>
      <c r="K9" s="289">
        <v>1</v>
      </c>
      <c r="L9" s="289"/>
      <c r="M9" s="289"/>
      <c r="N9" s="289">
        <v>1</v>
      </c>
      <c r="O9" s="289"/>
      <c r="P9" s="289"/>
      <c r="Q9" s="289"/>
      <c r="R9" s="289">
        <v>1</v>
      </c>
      <c r="S9" s="289"/>
      <c r="T9" s="289"/>
      <c r="U9" s="111"/>
      <c r="V9" s="289"/>
      <c r="W9" s="13"/>
      <c r="X9" s="289">
        <v>1</v>
      </c>
      <c r="Y9" s="289"/>
      <c r="Z9" s="289"/>
      <c r="AA9" s="289"/>
      <c r="AB9" s="289"/>
      <c r="AC9" s="289"/>
      <c r="AD9" s="289"/>
      <c r="AE9" s="289"/>
      <c r="AF9" s="289">
        <v>1</v>
      </c>
      <c r="AG9" s="289"/>
      <c r="AH9" s="289"/>
      <c r="AI9" s="289"/>
      <c r="AJ9" s="478">
        <v>1</v>
      </c>
      <c r="AK9" s="453"/>
      <c r="AL9" s="266" t="s">
        <v>1168</v>
      </c>
      <c r="AM9" s="266" t="str">
        <f xml:space="preserve"> CONCATENATE("Acceder al sistema Gemma con usuario y perfil activo para la funcionalidad modulo Maestro - Peaje, buscar registro al seleccionar valores en el filtro, hacer clic en el boton,"," ",IF(B9=1,"Modificar un registro","")," ",IF(C9=1,"Eliminar un registro","")," ",IF(D9=1,"Agregar un nuevo registro",""), " ",IF(E9=1,"Exportar Documento Excel",""),"y luego presionar Confirmar",)</f>
        <v>Acceder al sistema Gemma con usuario y perfil activo para la funcionalidad modulo Maestro - Peaje, buscar registro al seleccionar valores en el filtro, hacer clic en el boton, Modificar un registro   y luego presionar Confirmar</v>
      </c>
      <c r="AN9" s="267" t="str">
        <f>CONCATENATE(" Validar funcionalidad Maestro Peaje seleccionando la opcion "," ",IF(B9=1,"Modificar registro","")," ",IF(C9=1,"Eliminar registro","")," ",IF(D9=1,"Agregar un nuevo registro","")," ",IF(E9=1,"Exportar excel","")," seleccionando los valores en el filtro",)</f>
        <v xml:space="preserve"> Validar funcionalidad Maestro Peaje seleccionando la opcion  Modificar registro    seleccionando los valores en el filtro</v>
      </c>
      <c r="AO9" s="267" t="s">
        <v>1009</v>
      </c>
    </row>
    <row r="10" spans="1:173" s="109" customFormat="1" ht="15" customHeight="1" x14ac:dyDescent="0.25">
      <c r="A10" s="23"/>
      <c r="B10" s="20">
        <v>1</v>
      </c>
      <c r="C10" s="13"/>
      <c r="D10" s="13"/>
      <c r="E10" s="103"/>
      <c r="F10" s="289">
        <v>1</v>
      </c>
      <c r="G10" s="289"/>
      <c r="H10" s="289"/>
      <c r="I10" s="289"/>
      <c r="J10" s="289">
        <v>1</v>
      </c>
      <c r="K10" s="289"/>
      <c r="L10" s="289"/>
      <c r="M10" s="289"/>
      <c r="N10" s="289"/>
      <c r="O10" s="289">
        <v>1</v>
      </c>
      <c r="P10" s="289"/>
      <c r="Q10" s="289">
        <v>1</v>
      </c>
      <c r="R10" s="289"/>
      <c r="S10" s="289"/>
      <c r="T10" s="289">
        <v>1</v>
      </c>
      <c r="U10" s="111">
        <v>1</v>
      </c>
      <c r="V10" s="289">
        <v>1</v>
      </c>
      <c r="W10" s="13">
        <v>1</v>
      </c>
      <c r="X10" s="289">
        <v>1</v>
      </c>
      <c r="Y10" s="289">
        <v>1</v>
      </c>
      <c r="Z10" s="289">
        <v>1</v>
      </c>
      <c r="AA10" s="289"/>
      <c r="AB10" s="289"/>
      <c r="AC10" s="289"/>
      <c r="AD10" s="289">
        <v>1</v>
      </c>
      <c r="AE10" s="289"/>
      <c r="AF10" s="289"/>
      <c r="AG10" s="289"/>
      <c r="AH10" s="289">
        <v>1</v>
      </c>
      <c r="AI10" s="289"/>
      <c r="AJ10" s="478">
        <v>1</v>
      </c>
      <c r="AK10" s="453"/>
      <c r="AL10" s="266" t="s">
        <v>1169</v>
      </c>
      <c r="AM10" s="266" t="str">
        <f xml:space="preserve"> CONCATENATE("Acceder al sistema Gemma con usuario y perfil activo para la funcionalidad modulo Maestro - Peaje, tomando un registro en la tabla consulta, hacer clic en el boton,"," ",IF(B10=1,"Modificar un registro","")," ",IF(C10=1,"Eliminar un registro","")," ",IF(D10=1,"Agregar un nuevo registro",""), " ",IF(E10=1,"Exportar Documento Excel",""),"y luego presionar Confirmar",)</f>
        <v>Acceder al sistema Gemma con usuario y perfil activo para la funcionalidad modulo Maestro - Peaje, tomando un registro en la tabla consulta, hacer clic en el boton, Modificar un registro   y luego presionar Confirmar</v>
      </c>
      <c r="AN10" s="267" t="str">
        <f>CONCATENATE(" Validar funcionalidad Maestro Peaje seleccionando la opcion "," ",IF(B10=1,"Modificar registro","")," ",IF(C10=1,"Eliminar registro","")," ",IF(D10=1,"Agregar un nuevo registro","")," ",IF(E10=1,"Exportar excel","")," sin seleccionar valores en el filtro",)</f>
        <v xml:space="preserve"> Validar funcionalidad Maestro Peaje seleccionando la opcion  Modificar registro    sin seleccionar valores en el filtro</v>
      </c>
      <c r="AO10" s="267" t="s">
        <v>1010</v>
      </c>
    </row>
    <row r="11" spans="1:173" s="109" customFormat="1" ht="15" customHeight="1" x14ac:dyDescent="0.25">
      <c r="A11" s="23"/>
      <c r="B11" s="20"/>
      <c r="C11" s="13">
        <v>1</v>
      </c>
      <c r="D11" s="13"/>
      <c r="E11" s="103"/>
      <c r="F11" s="289"/>
      <c r="G11" s="289">
        <v>1</v>
      </c>
      <c r="H11" s="289"/>
      <c r="I11" s="289"/>
      <c r="J11" s="289"/>
      <c r="K11" s="289">
        <v>1</v>
      </c>
      <c r="L11" s="289"/>
      <c r="M11" s="289"/>
      <c r="N11" s="289"/>
      <c r="O11" s="289"/>
      <c r="P11" s="289"/>
      <c r="Q11" s="289"/>
      <c r="R11" s="289"/>
      <c r="S11" s="289"/>
      <c r="T11" s="289"/>
      <c r="U11" s="111"/>
      <c r="V11" s="289"/>
      <c r="W11" s="13"/>
      <c r="X11" s="289"/>
      <c r="Y11" s="289"/>
      <c r="Z11" s="289"/>
      <c r="AA11" s="289"/>
      <c r="AB11" s="289"/>
      <c r="AC11" s="289"/>
      <c r="AD11" s="289"/>
      <c r="AE11" s="289"/>
      <c r="AF11" s="289"/>
      <c r="AG11" s="289"/>
      <c r="AH11" s="289"/>
      <c r="AI11" s="289"/>
      <c r="AJ11" s="478">
        <v>1</v>
      </c>
      <c r="AK11" s="453"/>
      <c r="AL11" s="266" t="s">
        <v>1170</v>
      </c>
      <c r="AM11" s="266" t="str">
        <f xml:space="preserve"> CONCATENATE("Acceder al sistema Gemma con usuario y perfil activo para la funcionalidad modulo Maestro - Peaje, buscar registro al seleccionar valores en el filtro, hacer clic en el boton,"," ",IF(B11=1,"Modificar un registro","")," ",IF(C11=1,"Eliminar un registro","")," ",IF(D11=1,"Agregar un nuevo registro",""), " ",IF(E11=1,"Exportar Documento Excel",""),"y luego presionar Confirmar",)</f>
        <v>Acceder al sistema Gemma con usuario y perfil activo para la funcionalidad modulo Maestro - Peaje, buscar registro al seleccionar valores en el filtro, hacer clic en el boton,  Eliminar un registro  y luego presionar Confirmar</v>
      </c>
      <c r="AN11" s="267" t="str">
        <f>CONCATENATE(" Validar funcionalidad Maestro Peaje seleccionando la opcion "," ",IF(B11=1,"Modificar registro","")," ",IF(C11=1,"Eliminar registro","")," ",IF(D11=1,"Agregar un nuevo registro","")," ",IF(E11=1,"Exportar excel","")," seleccionando valores en el filtro",)</f>
        <v xml:space="preserve"> Validar funcionalidad Maestro Peaje seleccionando la opcion   Eliminar registro   seleccionando valores en el filtro</v>
      </c>
      <c r="AO11" s="267" t="s">
        <v>1011</v>
      </c>
    </row>
    <row r="12" spans="1:173" s="109" customFormat="1" ht="15" customHeight="1" thickBot="1" x14ac:dyDescent="0.3">
      <c r="A12" s="23"/>
      <c r="B12" s="20"/>
      <c r="C12" s="13">
        <v>1</v>
      </c>
      <c r="D12" s="13"/>
      <c r="E12" s="103"/>
      <c r="F12" s="289">
        <v>1</v>
      </c>
      <c r="G12" s="289"/>
      <c r="H12" s="289"/>
      <c r="I12" s="289"/>
      <c r="J12" s="289">
        <v>1</v>
      </c>
      <c r="K12" s="289"/>
      <c r="L12" s="289"/>
      <c r="M12" s="13"/>
      <c r="N12" s="13"/>
      <c r="O12" s="103"/>
      <c r="P12" s="13"/>
      <c r="Q12" s="13"/>
      <c r="R12" s="103"/>
      <c r="S12" s="13"/>
      <c r="T12" s="13"/>
      <c r="U12" s="450"/>
      <c r="V12" s="13"/>
      <c r="W12" s="13"/>
      <c r="X12" s="13"/>
      <c r="Y12" s="13"/>
      <c r="Z12" s="13"/>
      <c r="AA12" s="13"/>
      <c r="AB12" s="13"/>
      <c r="AC12" s="103"/>
      <c r="AD12" s="103"/>
      <c r="AE12" s="13"/>
      <c r="AF12" s="13"/>
      <c r="AG12" s="13"/>
      <c r="AH12" s="13"/>
      <c r="AI12" s="13"/>
      <c r="AJ12" s="98">
        <v>1</v>
      </c>
      <c r="AK12" s="278"/>
      <c r="AL12" s="266" t="s">
        <v>1171</v>
      </c>
      <c r="AM12" s="266" t="str">
        <f xml:space="preserve"> CONCATENATE("Acceder al sistema Gemma con usuario y perfil activo para la funcionalidad modulo Maestro - Peaje, tomando un registro en la tabla consulta, hacer clic en el boton,"," ",IF(B12=1,"Modificar un registro","")," ",IF(C12=1,"Eliminar un registro","")," ",IF(D12=1,"Agregar un nuevo registro",""), " ",IF(E12=1,"Exportar Documento Excel",""),"y luego presionar Confirmar",)</f>
        <v>Acceder al sistema Gemma con usuario y perfil activo para la funcionalidad modulo Maestro - Peaje, tomando un registro en la tabla consulta, hacer clic en el boton,  Eliminar un registro  y luego presionar Confirmar</v>
      </c>
      <c r="AN12" s="267" t="str">
        <f>CONCATENATE(" Validar funcionalidad Maestro Peaje seleccionando la opcion "," ",IF(B12=1,"Modificar o","")," ",IF(C12=1,"Eliminar o","")," ",IF(D12=1,"Agregar un registro","")," ",IF(E12=1,"Exportar excel","")," sin seleccionar valores del filtro",)</f>
        <v xml:space="preserve"> Validar funcionalidad Maestro Peaje seleccionando la opcion   Eliminar o   sin seleccionar valores del filtro</v>
      </c>
      <c r="AO12" s="267" t="s">
        <v>1012</v>
      </c>
    </row>
    <row r="13" spans="1:173" s="109" customFormat="1" ht="15" customHeight="1" thickTop="1" x14ac:dyDescent="0.25">
      <c r="A13" s="23"/>
      <c r="B13" s="292"/>
      <c r="C13" s="293"/>
      <c r="D13" s="293">
        <v>1</v>
      </c>
      <c r="E13" s="293"/>
      <c r="F13" s="398"/>
      <c r="G13" s="398"/>
      <c r="H13" s="398"/>
      <c r="I13" s="398"/>
      <c r="J13" s="398"/>
      <c r="K13" s="398"/>
      <c r="L13" s="398"/>
      <c r="M13" s="398"/>
      <c r="N13" s="398"/>
      <c r="O13" s="398"/>
      <c r="P13" s="398"/>
      <c r="Q13" s="398"/>
      <c r="R13" s="398"/>
      <c r="S13" s="398"/>
      <c r="T13" s="398"/>
      <c r="U13" s="106"/>
      <c r="V13" s="398"/>
      <c r="W13" s="293"/>
      <c r="X13" s="398"/>
      <c r="Y13" s="398"/>
      <c r="Z13" s="398"/>
      <c r="AA13" s="398"/>
      <c r="AB13" s="398"/>
      <c r="AC13" s="398"/>
      <c r="AD13" s="398"/>
      <c r="AE13" s="398"/>
      <c r="AF13" s="398"/>
      <c r="AG13" s="398"/>
      <c r="AH13" s="398"/>
      <c r="AI13" s="398"/>
      <c r="AJ13" s="479"/>
      <c r="AK13" s="458">
        <v>1</v>
      </c>
      <c r="AL13" s="266" t="s">
        <v>1562</v>
      </c>
      <c r="AM13" s="266" t="str">
        <f xml:space="preserve"> CONCATENATE("Acceder al sistema Gemma con usuario y perfil activo para la funcionalidad modulo Maestro - Peaje, hacer clic en el boton,"," ",IF(D13=1,"Agregar un nuevo registro","")," sin colocar los datos obligatorios ",IF(E13=1,"Eliminar un registro o","")," ",IF(F13=1,"","")," ",IF(G13=1,"Exportar Documento Excel",""),"",)</f>
        <v xml:space="preserve">Acceder al sistema Gemma con usuario y perfil activo para la funcionalidad modulo Maestro - Peaje, hacer clic en el boton, Agregar un nuevo registro sin colocar los datos obligatorios   </v>
      </c>
      <c r="AN13" s="267" t="str">
        <f>CONCATENATE(" Validar funcionalidad Maestro Peaje seleccionando la opcion "," ",IF(B13=1,"Modificar registro","")," ",IF(C13=1,"Eliminar registro","")," ",IF(D13=1,"Agregar un nuevo registro","")," ",IF(E13=1,"Exportar excel","")," colocando los campos vacios",)</f>
        <v xml:space="preserve"> Validar funcionalidad Maestro Peaje seleccionando la opcion    Agregar un nuevo registro  colocando los campos vacios</v>
      </c>
      <c r="AO13" s="267" t="s">
        <v>1564</v>
      </c>
    </row>
    <row r="14" spans="1:173" s="109" customFormat="1" ht="15" customHeight="1" x14ac:dyDescent="0.25">
      <c r="A14" s="23"/>
      <c r="B14" s="20"/>
      <c r="C14" s="13">
        <v>1</v>
      </c>
      <c r="D14" s="13"/>
      <c r="E14" s="13"/>
      <c r="F14" s="451"/>
      <c r="G14" s="289"/>
      <c r="H14" s="451"/>
      <c r="I14" s="289"/>
      <c r="J14" s="451"/>
      <c r="K14" s="289"/>
      <c r="L14" s="451"/>
      <c r="M14" s="451"/>
      <c r="N14" s="289"/>
      <c r="O14" s="451"/>
      <c r="P14" s="451"/>
      <c r="Q14" s="289"/>
      <c r="R14" s="451"/>
      <c r="S14" s="289"/>
      <c r="T14" s="451"/>
      <c r="U14" s="450"/>
      <c r="V14" s="451"/>
      <c r="W14" s="111"/>
      <c r="X14" s="451"/>
      <c r="Y14" s="451"/>
      <c r="Z14" s="451"/>
      <c r="AA14" s="451"/>
      <c r="AB14" s="289"/>
      <c r="AC14" s="451"/>
      <c r="AD14" s="451"/>
      <c r="AE14" s="289"/>
      <c r="AF14" s="451"/>
      <c r="AG14" s="451"/>
      <c r="AH14" s="451"/>
      <c r="AI14" s="289"/>
      <c r="AJ14" s="478"/>
      <c r="AK14" s="453"/>
      <c r="AL14" s="266" t="s">
        <v>1563</v>
      </c>
      <c r="AM14" s="266" t="str">
        <f xml:space="preserve"> CONCATENATE("Acceder al sistema Gemma con usuario y perfil activo para la funcionalidad modulo Maestro - Peaje, hacer clic en el boton,"," ",IF(D14=1,"Agregar un nuevo registro","")," ",IF(C14=1,"Eliminar un registro que esta en uso.","")," ",IF(F14=1,"","")," ",IF(G14=1,"Exportar Documento Excel",""),"",)</f>
        <v xml:space="preserve">Acceder al sistema Gemma con usuario y perfil activo para la funcionalidad modulo Maestro - Peaje, hacer clic en el boton,  Eliminar un registro que esta en uso.  </v>
      </c>
      <c r="AN14" s="267" t="str">
        <f>CONCATENATE(" Validar funcionalidad Maestro Peaje seleccionando la opcion "," ",IF(B14=1,"Modificar registro","")," ",IF(C14=1,"Eliminar registro","")," ",IF(D14=1,"Agregar un nuevo registro","")," ",IF(E14=1,"Exportar excel",""),"que esta en uso",)</f>
        <v xml:space="preserve"> Validar funcionalidad Maestro Peaje seleccionando la opcion   Eliminar registro  que esta en uso</v>
      </c>
      <c r="AO14" s="267" t="s">
        <v>1205</v>
      </c>
    </row>
    <row r="15" spans="1:173" s="109" customFormat="1" x14ac:dyDescent="0.25">
      <c r="B15" s="14"/>
      <c r="C15" s="110"/>
      <c r="D15" s="110"/>
      <c r="E15" s="110"/>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98"/>
      <c r="AK15" s="278"/>
      <c r="AL15" s="266"/>
      <c r="AM15" s="266"/>
      <c r="AN15" s="267"/>
      <c r="AO15" s="267"/>
    </row>
    <row r="16" spans="1:173" s="109" customFormat="1" x14ac:dyDescent="0.25">
      <c r="B16" s="14"/>
      <c r="C16" s="110"/>
      <c r="D16" s="110"/>
      <c r="E16" s="110"/>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98"/>
      <c r="AK16" s="278"/>
      <c r="AL16" s="266"/>
      <c r="AM16" s="266"/>
      <c r="AN16" s="267"/>
      <c r="AO16" s="267"/>
    </row>
    <row r="17" spans="2:41" s="109" customFormat="1" x14ac:dyDescent="0.25">
      <c r="B17" s="14"/>
      <c r="C17" s="110"/>
      <c r="D17" s="110"/>
      <c r="E17" s="110"/>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98"/>
      <c r="AK17" s="278"/>
      <c r="AL17" s="266"/>
      <c r="AM17" s="266"/>
      <c r="AN17" s="267"/>
      <c r="AO17" s="267"/>
    </row>
    <row r="18" spans="2:41" s="109" customFormat="1" x14ac:dyDescent="0.25">
      <c r="B18" s="14"/>
      <c r="C18" s="110"/>
      <c r="D18" s="110"/>
      <c r="E18" s="110"/>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98"/>
      <c r="AK18" s="278"/>
      <c r="AL18" s="266"/>
      <c r="AM18" s="266"/>
      <c r="AN18" s="267"/>
      <c r="AO18" s="267"/>
    </row>
    <row r="19" spans="2:41" s="109" customFormat="1" x14ac:dyDescent="0.25">
      <c r="B19" s="14"/>
      <c r="C19" s="110"/>
      <c r="D19" s="110"/>
      <c r="E19" s="110"/>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98"/>
      <c r="AK19" s="278"/>
      <c r="AL19" s="266"/>
      <c r="AM19" s="266"/>
      <c r="AN19" s="267"/>
      <c r="AO19" s="267"/>
    </row>
    <row r="20" spans="2:41" s="109" customFormat="1" x14ac:dyDescent="0.25">
      <c r="B20" s="14"/>
      <c r="C20" s="110"/>
      <c r="D20" s="110"/>
      <c r="E20" s="110"/>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98"/>
      <c r="AK20" s="278"/>
      <c r="AL20" s="266"/>
      <c r="AM20" s="266"/>
      <c r="AN20" s="267"/>
      <c r="AO20" s="267"/>
    </row>
    <row r="21" spans="2:41" s="109" customFormat="1" x14ac:dyDescent="0.25">
      <c r="B21" s="14"/>
      <c r="C21" s="110"/>
      <c r="D21" s="110"/>
      <c r="E21" s="110"/>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98"/>
      <c r="AK21" s="278"/>
      <c r="AL21" s="266"/>
      <c r="AM21" s="266"/>
      <c r="AN21" s="267"/>
      <c r="AO21" s="267"/>
    </row>
    <row r="22" spans="2:41" s="109" customFormat="1" x14ac:dyDescent="0.25">
      <c r="B22" s="14"/>
      <c r="C22" s="110"/>
      <c r="D22" s="110"/>
      <c r="E22" s="110"/>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98"/>
      <c r="AK22" s="278"/>
      <c r="AL22" s="266"/>
      <c r="AM22" s="266"/>
      <c r="AN22" s="267"/>
      <c r="AO22" s="267"/>
    </row>
    <row r="23" spans="2:41" s="109" customFormat="1" x14ac:dyDescent="0.25">
      <c r="B23" s="14"/>
      <c r="C23" s="110"/>
      <c r="D23" s="110"/>
      <c r="E23" s="110"/>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98"/>
      <c r="AK23" s="278"/>
      <c r="AL23" s="266"/>
      <c r="AM23" s="266"/>
      <c r="AN23" s="267"/>
      <c r="AO23" s="267"/>
    </row>
    <row r="24" spans="2:41" s="109" customFormat="1" x14ac:dyDescent="0.25">
      <c r="B24" s="14"/>
      <c r="C24" s="110"/>
      <c r="D24" s="110"/>
      <c r="E24" s="110"/>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98"/>
      <c r="AK24" s="278"/>
      <c r="AL24" s="266"/>
      <c r="AM24" s="266"/>
      <c r="AN24" s="267"/>
      <c r="AO24" s="267"/>
    </row>
    <row r="25" spans="2:41" s="109" customFormat="1" x14ac:dyDescent="0.25">
      <c r="B25" s="14"/>
      <c r="C25" s="110"/>
      <c r="D25" s="110"/>
      <c r="E25" s="110"/>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98"/>
      <c r="AK25" s="278"/>
      <c r="AL25" s="266"/>
      <c r="AM25" s="266"/>
      <c r="AN25" s="267"/>
      <c r="AO25" s="267"/>
    </row>
    <row r="26" spans="2:41" s="109" customFormat="1" x14ac:dyDescent="0.25">
      <c r="B26" s="18"/>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98"/>
      <c r="AK26" s="278"/>
      <c r="AL26" s="266"/>
      <c r="AM26" s="266"/>
      <c r="AN26" s="267"/>
      <c r="AO26" s="267"/>
    </row>
    <row r="27" spans="2:41" s="109" customFormat="1" x14ac:dyDescent="0.25">
      <c r="B27" s="18"/>
      <c r="C27" s="13"/>
      <c r="D27" s="13"/>
      <c r="E27" s="13"/>
      <c r="F27" s="110"/>
      <c r="G27" s="110"/>
      <c r="H27" s="110"/>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99"/>
      <c r="AK27" s="17"/>
      <c r="AL27" s="270"/>
      <c r="AM27" s="270"/>
      <c r="AN27" s="267"/>
      <c r="AO27" s="267"/>
    </row>
    <row r="28" spans="2:41" s="109" customFormat="1" x14ac:dyDescent="0.25">
      <c r="B28" s="18"/>
      <c r="C28" s="13"/>
      <c r="D28" s="13"/>
      <c r="E28" s="13"/>
      <c r="F28" s="110"/>
      <c r="G28" s="110"/>
      <c r="H28" s="110"/>
      <c r="I28" s="110"/>
      <c r="J28" s="110"/>
      <c r="K28" s="110"/>
      <c r="L28" s="110"/>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99"/>
      <c r="AK28" s="17"/>
      <c r="AL28" s="270"/>
      <c r="AM28" s="270"/>
      <c r="AN28" s="267"/>
      <c r="AO28" s="267"/>
    </row>
    <row r="29" spans="2:41" s="109" customFormat="1" x14ac:dyDescent="0.25">
      <c r="B29" s="18"/>
      <c r="C29" s="13"/>
      <c r="D29" s="13"/>
      <c r="E29" s="13"/>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99"/>
      <c r="AK29" s="17"/>
      <c r="AL29" s="270"/>
      <c r="AM29" s="270"/>
      <c r="AN29" s="267"/>
      <c r="AO29" s="267"/>
    </row>
    <row r="30" spans="2:41" s="109" customFormat="1" x14ac:dyDescent="0.25">
      <c r="B30" s="18"/>
      <c r="C30" s="13"/>
      <c r="D30" s="13"/>
      <c r="E30" s="13"/>
      <c r="F30" s="110"/>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99"/>
      <c r="AK30" s="17"/>
      <c r="AL30" s="270"/>
      <c r="AM30" s="270"/>
      <c r="AN30" s="267"/>
      <c r="AO30" s="267"/>
    </row>
    <row r="31" spans="2:41" s="109" customFormat="1" x14ac:dyDescent="0.25">
      <c r="B31" s="18"/>
      <c r="C31" s="13"/>
      <c r="D31" s="13"/>
      <c r="E31" s="13"/>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99"/>
      <c r="AK31" s="17"/>
      <c r="AL31" s="270"/>
      <c r="AM31" s="270"/>
      <c r="AN31" s="267"/>
      <c r="AO31" s="267"/>
    </row>
    <row r="32" spans="2:41" s="109" customFormat="1" x14ac:dyDescent="0.25">
      <c r="B32" s="18"/>
      <c r="C32" s="13"/>
      <c r="D32" s="13"/>
      <c r="E32" s="13"/>
      <c r="F32" s="110"/>
      <c r="G32" s="110"/>
      <c r="H32" s="110"/>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99"/>
      <c r="AK32" s="17"/>
      <c r="AL32" s="270"/>
      <c r="AM32" s="270"/>
      <c r="AN32" s="267"/>
      <c r="AO32" s="267"/>
    </row>
    <row r="33" spans="2:41" s="109" customFormat="1" x14ac:dyDescent="0.25">
      <c r="B33" s="18"/>
      <c r="C33" s="13"/>
      <c r="D33" s="13"/>
      <c r="E33" s="13"/>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99"/>
      <c r="AK33" s="17"/>
      <c r="AL33" s="270"/>
      <c r="AM33" s="270"/>
      <c r="AN33" s="267"/>
      <c r="AO33" s="267"/>
    </row>
    <row r="34" spans="2:41" s="109" customFormat="1" x14ac:dyDescent="0.25">
      <c r="B34" s="18"/>
      <c r="C34" s="13"/>
      <c r="D34" s="13"/>
      <c r="E34" s="13"/>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99"/>
      <c r="AK34" s="17"/>
      <c r="AL34" s="270"/>
      <c r="AM34" s="270"/>
      <c r="AN34" s="267"/>
      <c r="AO34" s="267"/>
    </row>
    <row r="35" spans="2:41" s="109" customFormat="1" x14ac:dyDescent="0.25">
      <c r="B35" s="18"/>
      <c r="C35" s="13"/>
      <c r="D35" s="13"/>
      <c r="E35" s="13"/>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99"/>
      <c r="AK35" s="17"/>
      <c r="AL35" s="270"/>
      <c r="AM35" s="270"/>
      <c r="AN35" s="267"/>
      <c r="AO35" s="267"/>
    </row>
    <row r="36" spans="2:41" s="109" customFormat="1" x14ac:dyDescent="0.25">
      <c r="B36" s="18"/>
      <c r="C36" s="13"/>
      <c r="D36" s="13"/>
      <c r="E36" s="13"/>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99"/>
      <c r="AK36" s="17"/>
      <c r="AL36" s="270"/>
      <c r="AM36" s="270"/>
      <c r="AN36" s="267"/>
      <c r="AO36" s="267"/>
    </row>
    <row r="37" spans="2:41" s="109" customFormat="1" x14ac:dyDescent="0.25">
      <c r="B37" s="18"/>
      <c r="C37" s="13"/>
      <c r="D37" s="13"/>
      <c r="E37" s="13"/>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99"/>
      <c r="AK37" s="17"/>
      <c r="AL37" s="270"/>
      <c r="AM37" s="270"/>
      <c r="AN37" s="267"/>
      <c r="AO37" s="267"/>
    </row>
    <row r="38" spans="2:41" s="109" customFormat="1" x14ac:dyDescent="0.25">
      <c r="B38" s="18"/>
      <c r="C38" s="13"/>
      <c r="D38" s="13"/>
      <c r="E38" s="13"/>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99"/>
      <c r="AK38" s="17"/>
      <c r="AL38" s="270"/>
      <c r="AM38" s="270"/>
      <c r="AN38" s="267"/>
      <c r="AO38" s="267"/>
    </row>
    <row r="39" spans="2:41" s="109" customFormat="1" x14ac:dyDescent="0.25">
      <c r="B39" s="18"/>
      <c r="C39" s="13"/>
      <c r="D39" s="13"/>
      <c r="E39" s="13"/>
      <c r="F39" s="110"/>
      <c r="G39" s="110"/>
      <c r="H39" s="110"/>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99"/>
      <c r="AK39" s="17"/>
      <c r="AL39" s="270"/>
      <c r="AM39" s="270"/>
      <c r="AN39" s="267"/>
      <c r="AO39" s="267"/>
    </row>
    <row r="40" spans="2:41" s="109" customFormat="1" x14ac:dyDescent="0.25">
      <c r="B40" s="18"/>
      <c r="C40" s="13"/>
      <c r="D40" s="13"/>
      <c r="E40" s="13"/>
      <c r="F40" s="110"/>
      <c r="G40" s="110"/>
      <c r="H40" s="110"/>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99"/>
      <c r="AK40" s="17"/>
      <c r="AL40" s="270"/>
      <c r="AM40" s="270"/>
      <c r="AN40" s="267"/>
      <c r="AO40" s="267"/>
    </row>
    <row r="41" spans="2:41" s="109" customFormat="1" x14ac:dyDescent="0.25">
      <c r="B41" s="18"/>
      <c r="C41" s="13"/>
      <c r="D41" s="13"/>
      <c r="E41" s="13"/>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99"/>
      <c r="AK41" s="17"/>
      <c r="AL41" s="270"/>
      <c r="AM41" s="270"/>
      <c r="AN41" s="267"/>
      <c r="AO41" s="267"/>
    </row>
    <row r="42" spans="2:41" s="109" customFormat="1" x14ac:dyDescent="0.25">
      <c r="B42" s="18"/>
      <c r="C42" s="13"/>
      <c r="D42" s="13"/>
      <c r="E42" s="13"/>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99"/>
      <c r="AK42" s="17"/>
      <c r="AL42" s="270"/>
      <c r="AM42" s="270"/>
      <c r="AN42" s="267"/>
      <c r="AO42" s="267"/>
    </row>
    <row r="43" spans="2:41" s="109" customFormat="1" x14ac:dyDescent="0.25">
      <c r="B43" s="18"/>
      <c r="C43" s="13"/>
      <c r="D43" s="13"/>
      <c r="E43" s="13"/>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99"/>
      <c r="AK43" s="17"/>
      <c r="AL43" s="270"/>
      <c r="AM43" s="270"/>
      <c r="AN43" s="267"/>
      <c r="AO43" s="267"/>
    </row>
    <row r="44" spans="2:41" s="109" customFormat="1" x14ac:dyDescent="0.25">
      <c r="B44" s="18"/>
      <c r="C44" s="13"/>
      <c r="D44" s="13"/>
      <c r="E44" s="13"/>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99"/>
      <c r="AK44" s="17"/>
      <c r="AL44" s="270"/>
      <c r="AM44" s="270"/>
      <c r="AN44" s="267"/>
      <c r="AO44" s="267"/>
    </row>
    <row r="45" spans="2:41" s="109" customFormat="1" x14ac:dyDescent="0.25">
      <c r="B45" s="18"/>
      <c r="C45" s="13"/>
      <c r="D45" s="13"/>
      <c r="E45" s="13"/>
      <c r="F45" s="110"/>
      <c r="G45" s="110"/>
      <c r="H45" s="110"/>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99"/>
      <c r="AK45" s="17"/>
      <c r="AL45" s="270"/>
      <c r="AM45" s="270"/>
      <c r="AN45" s="267"/>
      <c r="AO45" s="267"/>
    </row>
    <row r="46" spans="2:41" s="109" customFormat="1" x14ac:dyDescent="0.25">
      <c r="B46" s="18"/>
      <c r="C46" s="13"/>
      <c r="D46" s="13"/>
      <c r="E46" s="13"/>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99"/>
      <c r="AK46" s="17"/>
      <c r="AL46" s="270"/>
      <c r="AM46" s="270"/>
      <c r="AN46" s="267"/>
      <c r="AO46" s="267"/>
    </row>
    <row r="47" spans="2:41" s="109" customFormat="1" x14ac:dyDescent="0.25">
      <c r="B47" s="18"/>
      <c r="C47" s="13"/>
      <c r="D47" s="13"/>
      <c r="E47" s="1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99"/>
      <c r="AK47" s="17"/>
      <c r="AL47" s="270"/>
      <c r="AM47" s="270"/>
      <c r="AN47" s="267"/>
      <c r="AO47" s="267"/>
    </row>
    <row r="48" spans="2:41" s="109" customFormat="1" x14ac:dyDescent="0.25">
      <c r="B48" s="18"/>
      <c r="C48" s="13"/>
      <c r="D48" s="13"/>
      <c r="E48" s="13"/>
      <c r="F48" s="110"/>
      <c r="G48" s="110"/>
      <c r="H48" s="110"/>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99"/>
      <c r="AK48" s="17"/>
      <c r="AL48" s="270"/>
      <c r="AM48" s="270"/>
      <c r="AN48" s="267"/>
      <c r="AO48" s="267"/>
    </row>
    <row r="49" spans="2:41" s="109" customFormat="1" x14ac:dyDescent="0.25">
      <c r="B49" s="18"/>
      <c r="C49" s="13"/>
      <c r="D49" s="13"/>
      <c r="E49" s="1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99"/>
      <c r="AK49" s="17"/>
      <c r="AL49" s="270"/>
      <c r="AM49" s="270"/>
      <c r="AN49" s="267"/>
      <c r="AO49" s="267"/>
    </row>
    <row r="50" spans="2:41" s="109" customFormat="1" x14ac:dyDescent="0.25">
      <c r="B50" s="18"/>
      <c r="C50" s="13"/>
      <c r="D50" s="13"/>
      <c r="E50" s="13"/>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99"/>
      <c r="AK50" s="17"/>
      <c r="AL50" s="270"/>
      <c r="AM50" s="270"/>
      <c r="AN50" s="267"/>
      <c r="AO50" s="267"/>
    </row>
    <row r="51" spans="2:41" s="109" customFormat="1" ht="15.75" thickBot="1" x14ac:dyDescent="0.3">
      <c r="B51" s="323"/>
      <c r="C51" s="281"/>
      <c r="D51" s="281"/>
      <c r="E51" s="281"/>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13"/>
      <c r="AK51" s="338"/>
      <c r="AL51" s="270"/>
      <c r="AM51" s="270"/>
      <c r="AN51" s="267"/>
      <c r="AO51" s="267"/>
    </row>
    <row r="52" spans="2:41" s="109" customFormat="1" ht="15.75" thickTop="1" x14ac:dyDescent="0.25">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c r="AL52" s="270"/>
      <c r="AM52" s="270"/>
      <c r="AN52" s="267"/>
      <c r="AO52" s="267"/>
    </row>
    <row r="53" spans="2:41" s="109" customFormat="1" x14ac:dyDescent="0.25">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270"/>
      <c r="AM53" s="270"/>
      <c r="AN53" s="267"/>
      <c r="AO53" s="267"/>
    </row>
    <row r="54" spans="2:41" s="109" customFormat="1" x14ac:dyDescent="0.2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270"/>
      <c r="AM54" s="270"/>
      <c r="AN54" s="267"/>
      <c r="AO54" s="267"/>
    </row>
    <row r="55" spans="2:41" s="109" customFormat="1" x14ac:dyDescent="0.2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270"/>
      <c r="AM55" s="270"/>
      <c r="AN55" s="267"/>
      <c r="AO55" s="267"/>
    </row>
    <row r="56" spans="2:41" s="109" customFormat="1" x14ac:dyDescent="0.2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270"/>
      <c r="AM56" s="270"/>
      <c r="AN56" s="267"/>
      <c r="AO56" s="267"/>
    </row>
    <row r="57" spans="2:41" s="109" customFormat="1" x14ac:dyDescent="0.2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270"/>
      <c r="AM57" s="270"/>
      <c r="AN57" s="267"/>
      <c r="AO57" s="267"/>
    </row>
    <row r="58" spans="2:41" s="109" customFormat="1" x14ac:dyDescent="0.2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270"/>
      <c r="AM58" s="270"/>
      <c r="AN58" s="267"/>
      <c r="AO58" s="267"/>
    </row>
    <row r="59" spans="2:41" s="109" customFormat="1" x14ac:dyDescent="0.2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270"/>
      <c r="AM59" s="270"/>
      <c r="AN59" s="267"/>
      <c r="AO59" s="267"/>
    </row>
    <row r="60" spans="2:41" s="109" customFormat="1" x14ac:dyDescent="0.2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270"/>
      <c r="AM60" s="270"/>
      <c r="AN60" s="267"/>
      <c r="AO60" s="267"/>
    </row>
    <row r="61" spans="2:41" s="109" customFormat="1" x14ac:dyDescent="0.2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270"/>
      <c r="AM61" s="270"/>
      <c r="AN61" s="267"/>
      <c r="AO61" s="267"/>
    </row>
    <row r="62" spans="2:41" s="109" customFormat="1" x14ac:dyDescent="0.2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270"/>
      <c r="AM62" s="270"/>
      <c r="AN62" s="267"/>
      <c r="AO62" s="267"/>
    </row>
    <row r="63" spans="2:41" s="109" customFormat="1" x14ac:dyDescent="0.2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270"/>
      <c r="AM63" s="270"/>
      <c r="AN63" s="267"/>
      <c r="AO63" s="267"/>
    </row>
    <row r="64" spans="2:41" s="109" customFormat="1" x14ac:dyDescent="0.2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270"/>
      <c r="AM64" s="270"/>
      <c r="AN64" s="267"/>
      <c r="AO64" s="267"/>
    </row>
    <row r="65" spans="2:41" s="109" customFormat="1" x14ac:dyDescent="0.2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270"/>
      <c r="AM65" s="270"/>
      <c r="AN65" s="267"/>
      <c r="AO65" s="267"/>
    </row>
    <row r="66" spans="2:41" s="109" customFormat="1" x14ac:dyDescent="0.2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270"/>
      <c r="AM66" s="270"/>
      <c r="AN66" s="267"/>
      <c r="AO66" s="267"/>
    </row>
    <row r="67" spans="2:41" s="109" customFormat="1" x14ac:dyDescent="0.2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270"/>
      <c r="AM67" s="270"/>
      <c r="AN67" s="267"/>
      <c r="AO67" s="267"/>
    </row>
    <row r="68" spans="2:41" s="109" customFormat="1" x14ac:dyDescent="0.2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270"/>
      <c r="AM68" s="270"/>
      <c r="AN68" s="267"/>
      <c r="AO68" s="267"/>
    </row>
    <row r="69" spans="2:41" s="109" customFormat="1" x14ac:dyDescent="0.2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270"/>
      <c r="AM69" s="270"/>
      <c r="AN69" s="267"/>
      <c r="AO69" s="267"/>
    </row>
    <row r="70" spans="2:41" s="109" customFormat="1" x14ac:dyDescent="0.2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270"/>
      <c r="AM70" s="270"/>
      <c r="AN70" s="267"/>
      <c r="AO70" s="267"/>
    </row>
    <row r="71" spans="2:41" s="109" customFormat="1" x14ac:dyDescent="0.2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270"/>
      <c r="AM71" s="270"/>
      <c r="AN71" s="267"/>
      <c r="AO71" s="267"/>
    </row>
    <row r="72" spans="2:41" s="109" customFormat="1" x14ac:dyDescent="0.2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270"/>
      <c r="AM72" s="270"/>
      <c r="AN72" s="267"/>
      <c r="AO72" s="267"/>
    </row>
    <row r="73" spans="2:41" s="109" customFormat="1" x14ac:dyDescent="0.2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270"/>
      <c r="AM73" s="270"/>
      <c r="AN73" s="267"/>
      <c r="AO73" s="267"/>
    </row>
    <row r="74" spans="2:41" s="109" customFormat="1" x14ac:dyDescent="0.2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270"/>
      <c r="AM74" s="270"/>
      <c r="AN74" s="267"/>
      <c r="AO74" s="267"/>
    </row>
    <row r="75" spans="2:41" s="109" customFormat="1" x14ac:dyDescent="0.2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270"/>
      <c r="AM75" s="270"/>
      <c r="AN75" s="267"/>
      <c r="AO75" s="267"/>
    </row>
    <row r="76" spans="2:41" s="109" customFormat="1" x14ac:dyDescent="0.2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270"/>
      <c r="AM76" s="270"/>
      <c r="AN76" s="267"/>
      <c r="AO76" s="267"/>
    </row>
    <row r="77" spans="2:41" s="109" customFormat="1" x14ac:dyDescent="0.2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270"/>
      <c r="AM77" s="270"/>
      <c r="AN77" s="267"/>
      <c r="AO77" s="267"/>
    </row>
    <row r="78" spans="2:41" s="109" customFormat="1" x14ac:dyDescent="0.2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270"/>
      <c r="AM78" s="270"/>
      <c r="AN78" s="267"/>
      <c r="AO78" s="267"/>
    </row>
    <row r="79" spans="2:41" s="109" customFormat="1" x14ac:dyDescent="0.2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270"/>
      <c r="AM79" s="270"/>
      <c r="AN79" s="267"/>
      <c r="AO79" s="267"/>
    </row>
    <row r="80" spans="2:41" s="109" customFormat="1" x14ac:dyDescent="0.2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270"/>
      <c r="AM80" s="270"/>
      <c r="AN80" s="267"/>
      <c r="AO80" s="267"/>
    </row>
    <row r="81" spans="2:41" s="109" customFormat="1" x14ac:dyDescent="0.2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270"/>
      <c r="AM81" s="270"/>
      <c r="AN81" s="267"/>
      <c r="AO81" s="267"/>
    </row>
    <row r="82" spans="2:41" s="109" customFormat="1" x14ac:dyDescent="0.25">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270"/>
      <c r="AM82" s="270"/>
      <c r="AN82" s="267"/>
      <c r="AO82" s="267"/>
    </row>
    <row r="83" spans="2:41" s="109" customFormat="1" x14ac:dyDescent="0.25">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270"/>
      <c r="AM83" s="270"/>
      <c r="AN83" s="267"/>
      <c r="AO83" s="267"/>
    </row>
    <row r="84" spans="2:41" s="109" customFormat="1" x14ac:dyDescent="0.2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270"/>
      <c r="AM84" s="270"/>
      <c r="AN84" s="267"/>
      <c r="AO84" s="267"/>
    </row>
    <row r="85" spans="2:41" s="109" customFormat="1" x14ac:dyDescent="0.2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270"/>
      <c r="AM85" s="270"/>
      <c r="AN85" s="267"/>
      <c r="AO85" s="267"/>
    </row>
    <row r="86" spans="2:41" s="109" customFormat="1" x14ac:dyDescent="0.2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270"/>
      <c r="AM86" s="270"/>
      <c r="AN86" s="267"/>
      <c r="AO86" s="267"/>
    </row>
    <row r="87" spans="2:41" s="109" customFormat="1" x14ac:dyDescent="0.2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270"/>
      <c r="AM87" s="270"/>
      <c r="AN87" s="267"/>
      <c r="AO87" s="267"/>
    </row>
    <row r="88" spans="2:41" s="109" customFormat="1" x14ac:dyDescent="0.2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270"/>
      <c r="AM88" s="270"/>
      <c r="AN88" s="267"/>
      <c r="AO88" s="267"/>
    </row>
    <row r="89" spans="2:41" s="109" customFormat="1" x14ac:dyDescent="0.2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270"/>
      <c r="AM89" s="270"/>
      <c r="AN89" s="267"/>
      <c r="AO89" s="267"/>
    </row>
    <row r="90" spans="2:41" s="109" customFormat="1" x14ac:dyDescent="0.2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270"/>
      <c r="AM90" s="270"/>
      <c r="AN90" s="267"/>
      <c r="AO90" s="267"/>
    </row>
    <row r="91" spans="2:41" s="109" customFormat="1" x14ac:dyDescent="0.2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270"/>
      <c r="AM91" s="270"/>
      <c r="AN91" s="267"/>
      <c r="AO91" s="267"/>
    </row>
    <row r="92" spans="2:41" s="109" customFormat="1" x14ac:dyDescent="0.2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270"/>
      <c r="AM92" s="270"/>
      <c r="AN92" s="267"/>
      <c r="AO92" s="267"/>
    </row>
    <row r="93" spans="2:41" s="109" customFormat="1" x14ac:dyDescent="0.2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270"/>
      <c r="AM93" s="270"/>
      <c r="AN93" s="268"/>
      <c r="AO93" s="267"/>
    </row>
    <row r="94" spans="2:41" x14ac:dyDescent="0.2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270"/>
      <c r="AM94" s="270"/>
    </row>
    <row r="95" spans="2:41" x14ac:dyDescent="0.2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270"/>
      <c r="AM95" s="270"/>
    </row>
    <row r="96" spans="2:41" x14ac:dyDescent="0.2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270"/>
      <c r="AM96" s="270"/>
    </row>
    <row r="97" spans="1:42" s="268" customFormat="1" x14ac:dyDescent="0.25">
      <c r="A97" s="107"/>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270"/>
      <c r="AM97" s="270"/>
      <c r="AP97" s="107"/>
    </row>
    <row r="98" spans="1:42" s="268" customFormat="1" x14ac:dyDescent="0.25">
      <c r="A98" s="107"/>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270"/>
      <c r="AM98" s="270"/>
      <c r="AP98" s="107"/>
    </row>
    <row r="99" spans="1:42"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270"/>
      <c r="AM99" s="270"/>
      <c r="AP99" s="107"/>
    </row>
    <row r="100" spans="1:42"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270"/>
      <c r="AM100" s="270"/>
      <c r="AP100" s="107"/>
    </row>
    <row r="101" spans="1:42"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270"/>
      <c r="AM101" s="270"/>
      <c r="AP101" s="107"/>
    </row>
    <row r="102" spans="1:42"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270"/>
      <c r="AM102" s="270"/>
      <c r="AP102" s="107"/>
    </row>
    <row r="103" spans="1:42"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270"/>
      <c r="AM103" s="270"/>
      <c r="AP103" s="107"/>
    </row>
    <row r="104" spans="1:42"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270"/>
      <c r="AM104" s="270"/>
      <c r="AP104" s="107"/>
    </row>
    <row r="105" spans="1:42" s="268" customFormat="1" x14ac:dyDescent="0.2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270"/>
      <c r="AM105" s="270"/>
    </row>
    <row r="106" spans="1:42" s="268" customFormat="1" x14ac:dyDescent="0.25">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270"/>
      <c r="AM106" s="270"/>
    </row>
    <row r="107" spans="1:42" s="268" customFormat="1" x14ac:dyDescent="0.25">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270"/>
      <c r="AM107" s="270"/>
    </row>
    <row r="108" spans="1:42" s="268" customFormat="1" x14ac:dyDescent="0.25">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270"/>
      <c r="AM108" s="270"/>
    </row>
    <row r="109" spans="1:42" s="268" customFormat="1" x14ac:dyDescent="0.25">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270"/>
      <c r="AM109" s="270"/>
    </row>
    <row r="110" spans="1:42" s="268" customFormat="1" x14ac:dyDescent="0.25">
      <c r="A110" s="107"/>
      <c r="B110" s="108"/>
      <c r="C110" s="108"/>
      <c r="D110" s="108"/>
      <c r="E110" s="108"/>
      <c r="F110" s="9"/>
      <c r="G110" s="9"/>
      <c r="H110" s="107"/>
      <c r="I110" s="9"/>
      <c r="J110" s="9"/>
      <c r="K110" s="9"/>
      <c r="L110" s="107"/>
      <c r="M110" s="9"/>
      <c r="N110" s="9"/>
      <c r="O110" s="107"/>
      <c r="P110" s="9"/>
      <c r="Q110" s="9"/>
      <c r="R110" s="107"/>
      <c r="S110" s="9"/>
      <c r="T110" s="9"/>
      <c r="U110" s="107"/>
      <c r="V110" s="9"/>
      <c r="W110" s="9"/>
      <c r="X110" s="9"/>
      <c r="Y110" s="9"/>
      <c r="Z110" s="9"/>
      <c r="AA110" s="9"/>
      <c r="AB110" s="9"/>
      <c r="AC110" s="107"/>
      <c r="AD110" s="107"/>
      <c r="AE110" s="9"/>
      <c r="AF110" s="9"/>
      <c r="AG110" s="9"/>
      <c r="AH110" s="9"/>
      <c r="AI110" s="9"/>
      <c r="AJ110" s="9"/>
      <c r="AK110" s="9"/>
    </row>
    <row r="111" spans="1:42" s="268" customFormat="1" x14ac:dyDescent="0.25">
      <c r="A111" s="107"/>
      <c r="B111" s="108"/>
      <c r="C111" s="108"/>
      <c r="D111" s="108"/>
      <c r="E111" s="108"/>
      <c r="F111" s="9"/>
      <c r="G111" s="9"/>
      <c r="H111" s="107"/>
      <c r="I111" s="9"/>
      <c r="J111" s="9"/>
      <c r="K111" s="9"/>
      <c r="L111" s="107"/>
      <c r="M111" s="9"/>
      <c r="N111" s="9"/>
      <c r="O111" s="107"/>
      <c r="P111" s="9"/>
      <c r="Q111" s="9"/>
      <c r="R111" s="107"/>
      <c r="S111" s="9"/>
      <c r="T111" s="9"/>
      <c r="U111" s="107"/>
      <c r="V111" s="9"/>
      <c r="W111" s="9"/>
      <c r="X111" s="9"/>
      <c r="Y111" s="9"/>
      <c r="Z111" s="9"/>
      <c r="AA111" s="9"/>
      <c r="AB111" s="9"/>
      <c r="AC111" s="107"/>
      <c r="AD111" s="107"/>
      <c r="AE111" s="9"/>
      <c r="AF111" s="9"/>
      <c r="AG111" s="9"/>
      <c r="AH111" s="9"/>
      <c r="AI111" s="9"/>
      <c r="AJ111" s="9"/>
      <c r="AK111" s="9"/>
    </row>
    <row r="112" spans="1:42" s="268" customFormat="1" x14ac:dyDescent="0.25">
      <c r="A112" s="107"/>
      <c r="B112" s="108"/>
      <c r="C112" s="108"/>
      <c r="D112" s="108"/>
      <c r="E112" s="108"/>
      <c r="F112" s="9"/>
      <c r="G112" s="9"/>
      <c r="H112" s="107"/>
      <c r="I112" s="9"/>
      <c r="J112" s="9"/>
      <c r="K112" s="9"/>
      <c r="L112" s="107"/>
      <c r="M112" s="9"/>
      <c r="N112" s="9"/>
      <c r="O112" s="107"/>
      <c r="P112" s="9"/>
      <c r="Q112" s="9"/>
      <c r="R112" s="107"/>
      <c r="S112" s="9"/>
      <c r="T112" s="9"/>
      <c r="U112" s="107"/>
      <c r="V112" s="9"/>
      <c r="W112" s="9"/>
      <c r="X112" s="9"/>
      <c r="Y112" s="9"/>
      <c r="Z112" s="9"/>
      <c r="AA112" s="9"/>
      <c r="AB112" s="9"/>
      <c r="AC112" s="107"/>
      <c r="AD112" s="107"/>
      <c r="AE112" s="9"/>
      <c r="AF112" s="9"/>
      <c r="AG112" s="9"/>
      <c r="AH112" s="9"/>
      <c r="AI112" s="9"/>
      <c r="AJ112" s="9"/>
      <c r="AK112" s="9"/>
    </row>
    <row r="113" spans="1:37" s="268" customFormat="1" x14ac:dyDescent="0.25">
      <c r="A113" s="107"/>
      <c r="B113" s="108"/>
      <c r="C113" s="108"/>
      <c r="D113" s="108"/>
      <c r="E113" s="108"/>
      <c r="F113" s="9"/>
      <c r="G113" s="9"/>
      <c r="H113" s="107"/>
      <c r="I113" s="9"/>
      <c r="J113" s="9"/>
      <c r="K113" s="9"/>
      <c r="L113" s="107"/>
      <c r="M113" s="9"/>
      <c r="N113" s="9"/>
      <c r="O113" s="107"/>
      <c r="P113" s="9"/>
      <c r="Q113" s="9"/>
      <c r="R113" s="107"/>
      <c r="S113" s="9"/>
      <c r="T113" s="9"/>
      <c r="U113" s="107"/>
      <c r="V113" s="9"/>
      <c r="W113" s="9"/>
      <c r="X113" s="9"/>
      <c r="Y113" s="9"/>
      <c r="Z113" s="9"/>
      <c r="AA113" s="9"/>
      <c r="AB113" s="9"/>
      <c r="AC113" s="107"/>
      <c r="AD113" s="107"/>
      <c r="AE113" s="9"/>
      <c r="AF113" s="9"/>
      <c r="AG113" s="9"/>
      <c r="AH113" s="9"/>
      <c r="AI113" s="9"/>
      <c r="AJ113" s="9"/>
      <c r="AK113" s="9"/>
    </row>
    <row r="114" spans="1:37" s="268" customFormat="1" x14ac:dyDescent="0.25">
      <c r="A114" s="107"/>
      <c r="B114" s="108"/>
      <c r="C114" s="108"/>
      <c r="D114" s="108"/>
      <c r="E114" s="108"/>
      <c r="F114" s="9"/>
      <c r="G114" s="9"/>
      <c r="H114" s="107"/>
      <c r="I114" s="9"/>
      <c r="J114" s="9"/>
      <c r="K114" s="9"/>
      <c r="L114" s="107"/>
      <c r="M114" s="9"/>
      <c r="N114" s="9"/>
      <c r="O114" s="107"/>
      <c r="P114" s="9"/>
      <c r="Q114" s="9"/>
      <c r="R114" s="107"/>
      <c r="S114" s="9"/>
      <c r="T114" s="9"/>
      <c r="U114" s="107"/>
      <c r="V114" s="9"/>
      <c r="W114" s="9"/>
      <c r="X114" s="9"/>
      <c r="Y114" s="9"/>
      <c r="Z114" s="9"/>
      <c r="AA114" s="9"/>
      <c r="AB114" s="9"/>
      <c r="AC114" s="107"/>
      <c r="AD114" s="107"/>
      <c r="AE114" s="9"/>
      <c r="AF114" s="9"/>
      <c r="AG114" s="9"/>
      <c r="AH114" s="9"/>
      <c r="AI114" s="9"/>
      <c r="AJ114" s="9"/>
      <c r="AK114" s="9"/>
    </row>
    <row r="115" spans="1:37" s="268" customFormat="1" x14ac:dyDescent="0.25">
      <c r="A115" s="107"/>
      <c r="B115" s="108"/>
      <c r="C115" s="108"/>
      <c r="D115" s="108"/>
      <c r="E115" s="108"/>
      <c r="F115" s="9"/>
      <c r="G115" s="9"/>
      <c r="H115" s="107"/>
      <c r="I115" s="9"/>
      <c r="J115" s="9"/>
      <c r="K115" s="9"/>
      <c r="L115" s="107"/>
      <c r="M115" s="9"/>
      <c r="N115" s="9"/>
      <c r="O115" s="107"/>
      <c r="P115" s="9"/>
      <c r="Q115" s="9"/>
      <c r="R115" s="107"/>
      <c r="S115" s="9"/>
      <c r="T115" s="9"/>
      <c r="U115" s="107"/>
      <c r="V115" s="9"/>
      <c r="W115" s="9"/>
      <c r="X115" s="9"/>
      <c r="Y115" s="9"/>
      <c r="Z115" s="9"/>
      <c r="AA115" s="9"/>
      <c r="AB115" s="9"/>
      <c r="AC115" s="107"/>
      <c r="AD115" s="107"/>
      <c r="AE115" s="9"/>
      <c r="AF115" s="9"/>
      <c r="AG115" s="9"/>
      <c r="AH115" s="9"/>
      <c r="AI115" s="9"/>
      <c r="AJ115" s="9"/>
      <c r="AK115" s="9"/>
    </row>
    <row r="116" spans="1:37" s="268" customFormat="1" x14ac:dyDescent="0.25">
      <c r="A116" s="107"/>
      <c r="B116" s="108"/>
      <c r="C116" s="108"/>
      <c r="D116" s="108"/>
      <c r="E116" s="108"/>
      <c r="F116" s="9"/>
      <c r="G116" s="9"/>
      <c r="H116" s="107"/>
      <c r="I116" s="9"/>
      <c r="J116" s="9"/>
      <c r="K116" s="9"/>
      <c r="L116" s="107"/>
      <c r="M116" s="9"/>
      <c r="N116" s="9"/>
      <c r="O116" s="107"/>
      <c r="P116" s="9"/>
      <c r="Q116" s="9"/>
      <c r="R116" s="107"/>
      <c r="S116" s="9"/>
      <c r="T116" s="9"/>
      <c r="U116" s="107"/>
      <c r="V116" s="9"/>
      <c r="W116" s="9"/>
      <c r="X116" s="9"/>
      <c r="Y116" s="9"/>
      <c r="Z116" s="9"/>
      <c r="AA116" s="9"/>
      <c r="AB116" s="9"/>
      <c r="AC116" s="107"/>
      <c r="AD116" s="107"/>
      <c r="AE116" s="9"/>
      <c r="AF116" s="9"/>
      <c r="AG116" s="9"/>
      <c r="AH116" s="9"/>
      <c r="AI116" s="9"/>
      <c r="AJ116" s="9"/>
      <c r="AK116" s="9"/>
    </row>
    <row r="117" spans="1:37" s="268" customFormat="1" x14ac:dyDescent="0.25">
      <c r="A117" s="107"/>
      <c r="B117" s="108"/>
      <c r="C117" s="108"/>
      <c r="D117" s="108"/>
      <c r="E117" s="108"/>
      <c r="F117" s="9"/>
      <c r="G117" s="9"/>
      <c r="H117" s="107"/>
      <c r="I117" s="9"/>
      <c r="J117" s="9"/>
      <c r="K117" s="9"/>
      <c r="L117" s="107"/>
      <c r="M117" s="9"/>
      <c r="N117" s="9"/>
      <c r="O117" s="107"/>
      <c r="P117" s="9"/>
      <c r="Q117" s="9"/>
      <c r="R117" s="107"/>
      <c r="S117" s="9"/>
      <c r="T117" s="9"/>
      <c r="U117" s="107"/>
      <c r="V117" s="9"/>
      <c r="W117" s="9"/>
      <c r="X117" s="9"/>
      <c r="Y117" s="9"/>
      <c r="Z117" s="9"/>
      <c r="AA117" s="9"/>
      <c r="AB117" s="9"/>
      <c r="AC117" s="107"/>
      <c r="AD117" s="107"/>
      <c r="AE117" s="9"/>
      <c r="AF117" s="9"/>
      <c r="AG117" s="9"/>
      <c r="AH117" s="9"/>
      <c r="AI117" s="9"/>
      <c r="AJ117" s="9"/>
      <c r="AK117" s="9"/>
    </row>
    <row r="118" spans="1:37" s="268" customFormat="1" x14ac:dyDescent="0.25">
      <c r="A118" s="107"/>
      <c r="B118" s="108"/>
      <c r="C118" s="108"/>
      <c r="D118" s="108"/>
      <c r="E118" s="108"/>
      <c r="F118" s="9"/>
      <c r="G118" s="9"/>
      <c r="H118" s="107"/>
      <c r="I118" s="9"/>
      <c r="J118" s="9"/>
      <c r="K118" s="9"/>
      <c r="L118" s="107"/>
      <c r="M118" s="9"/>
      <c r="N118" s="9"/>
      <c r="O118" s="107"/>
      <c r="P118" s="9"/>
      <c r="Q118" s="9"/>
      <c r="R118" s="107"/>
      <c r="S118" s="9"/>
      <c r="T118" s="9"/>
      <c r="U118" s="107"/>
      <c r="V118" s="9"/>
      <c r="W118" s="9"/>
      <c r="X118" s="9"/>
      <c r="Y118" s="9"/>
      <c r="Z118" s="9"/>
      <c r="AA118" s="9"/>
      <c r="AB118" s="9"/>
      <c r="AC118" s="107"/>
      <c r="AD118" s="107"/>
      <c r="AE118" s="9"/>
      <c r="AF118" s="9"/>
      <c r="AG118" s="9"/>
      <c r="AH118" s="9"/>
      <c r="AI118" s="9"/>
      <c r="AJ118" s="9"/>
      <c r="AK118" s="9"/>
    </row>
    <row r="119" spans="1:37" s="268" customFormat="1" x14ac:dyDescent="0.25">
      <c r="A119" s="107"/>
      <c r="B119" s="108"/>
      <c r="C119" s="108"/>
      <c r="D119" s="108"/>
      <c r="E119" s="108"/>
      <c r="F119" s="9"/>
      <c r="G119" s="9"/>
      <c r="H119" s="107"/>
      <c r="I119" s="9"/>
      <c r="J119" s="9"/>
      <c r="K119" s="9"/>
      <c r="L119" s="107"/>
      <c r="M119" s="9"/>
      <c r="N119" s="9"/>
      <c r="O119" s="107"/>
      <c r="P119" s="9"/>
      <c r="Q119" s="9"/>
      <c r="R119" s="107"/>
      <c r="S119" s="9"/>
      <c r="T119" s="9"/>
      <c r="U119" s="107"/>
      <c r="V119" s="9"/>
      <c r="W119" s="9"/>
      <c r="X119" s="9"/>
      <c r="Y119" s="9"/>
      <c r="Z119" s="9"/>
      <c r="AA119" s="9"/>
      <c r="AB119" s="9"/>
      <c r="AC119" s="107"/>
      <c r="AD119" s="107"/>
      <c r="AE119" s="9"/>
      <c r="AF119" s="9"/>
      <c r="AG119" s="9"/>
      <c r="AH119" s="9"/>
      <c r="AI119" s="9"/>
      <c r="AJ119" s="9"/>
      <c r="AK119" s="9"/>
    </row>
    <row r="120" spans="1:37" s="268" customFormat="1" x14ac:dyDescent="0.25">
      <c r="A120" s="107"/>
      <c r="B120" s="108"/>
      <c r="C120" s="108"/>
      <c r="D120" s="108"/>
      <c r="E120" s="108"/>
      <c r="F120" s="9"/>
      <c r="G120" s="9"/>
      <c r="H120" s="107"/>
      <c r="I120" s="9"/>
      <c r="J120" s="9"/>
      <c r="K120" s="9"/>
      <c r="L120" s="107"/>
      <c r="M120" s="9"/>
      <c r="N120" s="9"/>
      <c r="O120" s="107"/>
      <c r="P120" s="9"/>
      <c r="Q120" s="9"/>
      <c r="R120" s="107"/>
      <c r="S120" s="9"/>
      <c r="T120" s="9"/>
      <c r="U120" s="107"/>
      <c r="V120" s="9"/>
      <c r="W120" s="9"/>
      <c r="X120" s="9"/>
      <c r="Y120" s="9"/>
      <c r="Z120" s="9"/>
      <c r="AA120" s="9"/>
      <c r="AB120" s="9"/>
      <c r="AC120" s="107"/>
      <c r="AD120" s="107"/>
      <c r="AE120" s="9"/>
      <c r="AF120" s="9"/>
      <c r="AG120" s="9"/>
      <c r="AH120" s="9"/>
      <c r="AI120" s="9"/>
      <c r="AJ120" s="9"/>
      <c r="AK120" s="9"/>
    </row>
    <row r="121" spans="1:37" s="268" customFormat="1" x14ac:dyDescent="0.25">
      <c r="A121" s="107"/>
      <c r="B121" s="108"/>
      <c r="C121" s="108"/>
      <c r="D121" s="108"/>
      <c r="E121" s="108"/>
      <c r="F121" s="9"/>
      <c r="G121" s="9"/>
      <c r="H121" s="107"/>
      <c r="I121" s="9"/>
      <c r="J121" s="9"/>
      <c r="K121" s="9"/>
      <c r="L121" s="107"/>
      <c r="M121" s="9"/>
      <c r="N121" s="9"/>
      <c r="O121" s="107"/>
      <c r="P121" s="9"/>
      <c r="Q121" s="9"/>
      <c r="R121" s="107"/>
      <c r="S121" s="9"/>
      <c r="T121" s="9"/>
      <c r="U121" s="107"/>
      <c r="V121" s="9"/>
      <c r="W121" s="9"/>
      <c r="X121" s="9"/>
      <c r="Y121" s="9"/>
      <c r="Z121" s="9"/>
      <c r="AA121" s="9"/>
      <c r="AB121" s="9"/>
      <c r="AC121" s="107"/>
      <c r="AD121" s="107"/>
      <c r="AE121" s="9"/>
      <c r="AF121" s="9"/>
      <c r="AG121" s="9"/>
      <c r="AH121" s="9"/>
      <c r="AI121" s="9"/>
      <c r="AJ121" s="9"/>
      <c r="AK121" s="9"/>
    </row>
    <row r="122" spans="1:37" s="268" customFormat="1" x14ac:dyDescent="0.25">
      <c r="A122" s="107"/>
      <c r="B122" s="108"/>
      <c r="C122" s="108"/>
      <c r="D122" s="108"/>
      <c r="E122" s="108"/>
      <c r="F122" s="9"/>
      <c r="G122" s="9"/>
      <c r="H122" s="107"/>
      <c r="I122" s="9"/>
      <c r="J122" s="9"/>
      <c r="K122" s="9"/>
      <c r="L122" s="107"/>
      <c r="M122" s="9"/>
      <c r="N122" s="9"/>
      <c r="O122" s="107"/>
      <c r="P122" s="9"/>
      <c r="Q122" s="9"/>
      <c r="R122" s="107"/>
      <c r="S122" s="9"/>
      <c r="T122" s="9"/>
      <c r="U122" s="107"/>
      <c r="V122" s="9"/>
      <c r="W122" s="9"/>
      <c r="X122" s="9"/>
      <c r="Y122" s="9"/>
      <c r="Z122" s="9"/>
      <c r="AA122" s="9"/>
      <c r="AB122" s="9"/>
      <c r="AC122" s="107"/>
      <c r="AD122" s="107"/>
      <c r="AE122" s="9"/>
      <c r="AF122" s="9"/>
      <c r="AG122" s="9"/>
      <c r="AH122" s="9"/>
      <c r="AI122" s="9"/>
      <c r="AJ122" s="9"/>
      <c r="AK122" s="9"/>
    </row>
    <row r="123" spans="1:37" s="268" customFormat="1" x14ac:dyDescent="0.25">
      <c r="A123" s="107"/>
      <c r="B123" s="108"/>
      <c r="C123" s="108"/>
      <c r="D123" s="108"/>
      <c r="E123" s="108"/>
      <c r="F123" s="9"/>
      <c r="G123" s="9"/>
      <c r="H123" s="107"/>
      <c r="I123" s="9"/>
      <c r="J123" s="9"/>
      <c r="K123" s="9"/>
      <c r="L123" s="107"/>
      <c r="M123" s="9"/>
      <c r="N123" s="9"/>
      <c r="O123" s="107"/>
      <c r="P123" s="9"/>
      <c r="Q123" s="9"/>
      <c r="R123" s="107"/>
      <c r="S123" s="9"/>
      <c r="T123" s="9"/>
      <c r="U123" s="107"/>
      <c r="V123" s="9"/>
      <c r="W123" s="9"/>
      <c r="X123" s="9"/>
      <c r="Y123" s="9"/>
      <c r="Z123" s="9"/>
      <c r="AA123" s="9"/>
      <c r="AB123" s="9"/>
      <c r="AC123" s="107"/>
      <c r="AD123" s="107"/>
      <c r="AE123" s="9"/>
      <c r="AF123" s="9"/>
      <c r="AG123" s="9"/>
      <c r="AH123" s="9"/>
      <c r="AI123" s="9"/>
      <c r="AJ123" s="9"/>
      <c r="AK123" s="9"/>
    </row>
    <row r="124" spans="1:37" s="268" customFormat="1" x14ac:dyDescent="0.25">
      <c r="A124" s="107"/>
      <c r="B124" s="108"/>
      <c r="C124" s="108"/>
      <c r="D124" s="108"/>
      <c r="E124" s="108"/>
      <c r="F124" s="9"/>
      <c r="G124" s="9"/>
      <c r="H124" s="107"/>
      <c r="I124" s="9"/>
      <c r="J124" s="9"/>
      <c r="K124" s="9"/>
      <c r="L124" s="107"/>
      <c r="M124" s="9"/>
      <c r="N124" s="9"/>
      <c r="O124" s="107"/>
      <c r="P124" s="9"/>
      <c r="Q124" s="9"/>
      <c r="R124" s="107"/>
      <c r="S124" s="9"/>
      <c r="T124" s="9"/>
      <c r="U124" s="107"/>
      <c r="V124" s="9"/>
      <c r="W124" s="9"/>
      <c r="X124" s="9"/>
      <c r="Y124" s="9"/>
      <c r="Z124" s="9"/>
      <c r="AA124" s="9"/>
      <c r="AB124" s="9"/>
      <c r="AC124" s="107"/>
      <c r="AD124" s="107"/>
      <c r="AE124" s="9"/>
      <c r="AF124" s="9"/>
      <c r="AG124" s="9"/>
      <c r="AH124" s="9"/>
      <c r="AI124" s="9"/>
      <c r="AJ124" s="9"/>
      <c r="AK124" s="9"/>
    </row>
    <row r="125" spans="1:37" s="268" customFormat="1" x14ac:dyDescent="0.25">
      <c r="A125" s="107"/>
      <c r="B125" s="108"/>
      <c r="C125" s="108"/>
      <c r="D125" s="108"/>
      <c r="E125" s="108"/>
      <c r="F125" s="9"/>
      <c r="G125" s="9"/>
      <c r="H125" s="107"/>
      <c r="I125" s="9"/>
      <c r="J125" s="9"/>
      <c r="K125" s="9"/>
      <c r="L125" s="107"/>
      <c r="M125" s="9"/>
      <c r="N125" s="9"/>
      <c r="O125" s="107"/>
      <c r="P125" s="9"/>
      <c r="Q125" s="9"/>
      <c r="R125" s="107"/>
      <c r="S125" s="9"/>
      <c r="T125" s="9"/>
      <c r="U125" s="107"/>
      <c r="V125" s="9"/>
      <c r="W125" s="9"/>
      <c r="X125" s="9"/>
      <c r="Y125" s="9"/>
      <c r="Z125" s="9"/>
      <c r="AA125" s="9"/>
      <c r="AB125" s="9"/>
      <c r="AC125" s="107"/>
      <c r="AD125" s="107"/>
      <c r="AE125" s="9"/>
      <c r="AF125" s="9"/>
      <c r="AG125" s="9"/>
      <c r="AH125" s="9"/>
      <c r="AI125" s="9"/>
      <c r="AJ125" s="9"/>
      <c r="AK125" s="9"/>
    </row>
    <row r="126" spans="1:37" s="268" customFormat="1" x14ac:dyDescent="0.25">
      <c r="A126" s="107"/>
      <c r="B126" s="108"/>
      <c r="C126" s="108"/>
      <c r="D126" s="108"/>
      <c r="E126" s="108"/>
      <c r="F126" s="9"/>
      <c r="G126" s="9"/>
      <c r="H126" s="107"/>
      <c r="I126" s="9"/>
      <c r="J126" s="9"/>
      <c r="K126" s="9"/>
      <c r="L126" s="107"/>
      <c r="M126" s="9"/>
      <c r="N126" s="9"/>
      <c r="O126" s="107"/>
      <c r="P126" s="9"/>
      <c r="Q126" s="9"/>
      <c r="R126" s="107"/>
      <c r="S126" s="9"/>
      <c r="T126" s="9"/>
      <c r="U126" s="107"/>
      <c r="V126" s="9"/>
      <c r="W126" s="9"/>
      <c r="X126" s="9"/>
      <c r="Y126" s="9"/>
      <c r="Z126" s="9"/>
      <c r="AA126" s="9"/>
      <c r="AB126" s="9"/>
      <c r="AC126" s="107"/>
      <c r="AD126" s="107"/>
      <c r="AE126" s="9"/>
      <c r="AF126" s="9"/>
      <c r="AG126" s="9"/>
      <c r="AH126" s="9"/>
      <c r="AI126" s="9"/>
      <c r="AJ126" s="9"/>
      <c r="AK126" s="9"/>
    </row>
    <row r="127" spans="1:37" s="268" customFormat="1" x14ac:dyDescent="0.25">
      <c r="A127" s="107"/>
      <c r="B127" s="108"/>
      <c r="C127" s="108"/>
      <c r="D127" s="108"/>
      <c r="E127" s="108"/>
      <c r="F127" s="9"/>
      <c r="G127" s="9"/>
      <c r="H127" s="107"/>
      <c r="I127" s="9"/>
      <c r="J127" s="9"/>
      <c r="K127" s="9"/>
      <c r="L127" s="107"/>
      <c r="M127" s="9"/>
      <c r="N127" s="9"/>
      <c r="O127" s="107"/>
      <c r="P127" s="9"/>
      <c r="Q127" s="9"/>
      <c r="R127" s="107"/>
      <c r="S127" s="9"/>
      <c r="T127" s="9"/>
      <c r="U127" s="107"/>
      <c r="V127" s="9"/>
      <c r="W127" s="9"/>
      <c r="X127" s="9"/>
      <c r="Y127" s="9"/>
      <c r="Z127" s="9"/>
      <c r="AA127" s="9"/>
      <c r="AB127" s="9"/>
      <c r="AC127" s="107"/>
      <c r="AD127" s="107"/>
      <c r="AE127" s="9"/>
      <c r="AF127" s="9"/>
      <c r="AG127" s="9"/>
      <c r="AH127" s="9"/>
      <c r="AI127" s="9"/>
      <c r="AJ127" s="9"/>
      <c r="AK127" s="9"/>
    </row>
    <row r="128" spans="1:37" s="268" customFormat="1" x14ac:dyDescent="0.25">
      <c r="A128" s="107"/>
      <c r="B128" s="108"/>
      <c r="C128" s="108"/>
      <c r="D128" s="108"/>
      <c r="E128" s="108"/>
      <c r="F128" s="9"/>
      <c r="G128" s="9"/>
      <c r="H128" s="107"/>
      <c r="I128" s="9"/>
      <c r="J128" s="9"/>
      <c r="K128" s="9"/>
      <c r="L128" s="107"/>
      <c r="M128" s="9"/>
      <c r="N128" s="9"/>
      <c r="O128" s="107"/>
      <c r="P128" s="9"/>
      <c r="Q128" s="9"/>
      <c r="R128" s="107"/>
      <c r="S128" s="9"/>
      <c r="T128" s="9"/>
      <c r="U128" s="107"/>
      <c r="V128" s="9"/>
      <c r="W128" s="9"/>
      <c r="X128" s="9"/>
      <c r="Y128" s="9"/>
      <c r="Z128" s="9"/>
      <c r="AA128" s="9"/>
      <c r="AB128" s="9"/>
      <c r="AC128" s="107"/>
      <c r="AD128" s="107"/>
      <c r="AE128" s="9"/>
      <c r="AF128" s="9"/>
      <c r="AG128" s="9"/>
      <c r="AH128" s="9"/>
      <c r="AI128" s="9"/>
      <c r="AJ128" s="9"/>
      <c r="AK128" s="9"/>
    </row>
    <row r="129" spans="1:41" s="268" customFormat="1" x14ac:dyDescent="0.25">
      <c r="A129" s="107"/>
      <c r="B129" s="108"/>
      <c r="C129" s="108"/>
      <c r="D129" s="108"/>
      <c r="E129" s="108"/>
      <c r="F129" s="9"/>
      <c r="G129" s="9"/>
      <c r="H129" s="107"/>
      <c r="I129" s="9"/>
      <c r="J129" s="9"/>
      <c r="K129" s="9"/>
      <c r="L129" s="107"/>
      <c r="M129" s="9"/>
      <c r="N129" s="9"/>
      <c r="O129" s="107"/>
      <c r="P129" s="9"/>
      <c r="Q129" s="9"/>
      <c r="R129" s="107"/>
      <c r="S129" s="9"/>
      <c r="T129" s="9"/>
      <c r="U129" s="107"/>
      <c r="V129" s="9"/>
      <c r="W129" s="9"/>
      <c r="X129" s="9"/>
      <c r="Y129" s="9"/>
      <c r="Z129" s="9"/>
      <c r="AA129" s="9"/>
      <c r="AB129" s="9"/>
      <c r="AC129" s="107"/>
      <c r="AD129" s="107"/>
      <c r="AE129" s="9"/>
      <c r="AF129" s="9"/>
      <c r="AG129" s="9"/>
      <c r="AH129" s="9"/>
      <c r="AI129" s="9"/>
      <c r="AJ129" s="9"/>
      <c r="AK129" s="9"/>
    </row>
    <row r="130" spans="1:41" s="268" customFormat="1" x14ac:dyDescent="0.25">
      <c r="A130" s="107"/>
      <c r="B130" s="108"/>
      <c r="C130" s="108"/>
      <c r="D130" s="108"/>
      <c r="E130" s="108"/>
      <c r="F130" s="9"/>
      <c r="G130" s="9"/>
      <c r="H130" s="107"/>
      <c r="I130" s="9"/>
      <c r="J130" s="9"/>
      <c r="K130" s="9"/>
      <c r="L130" s="107"/>
      <c r="M130" s="9"/>
      <c r="N130" s="9"/>
      <c r="O130" s="107"/>
      <c r="P130" s="9"/>
      <c r="Q130" s="9"/>
      <c r="R130" s="107"/>
      <c r="S130" s="9"/>
      <c r="T130" s="9"/>
      <c r="U130" s="107"/>
      <c r="V130" s="9"/>
      <c r="W130" s="9"/>
      <c r="X130" s="9"/>
      <c r="Y130" s="9"/>
      <c r="Z130" s="9"/>
      <c r="AA130" s="9"/>
      <c r="AB130" s="9"/>
      <c r="AC130" s="107"/>
      <c r="AD130" s="107"/>
      <c r="AE130" s="9"/>
      <c r="AF130" s="9"/>
      <c r="AG130" s="9"/>
      <c r="AH130" s="9"/>
      <c r="AI130" s="9"/>
      <c r="AJ130" s="9"/>
      <c r="AK130" s="9"/>
    </row>
    <row r="131" spans="1:41" s="268" customFormat="1" x14ac:dyDescent="0.25">
      <c r="A131" s="107"/>
      <c r="B131" s="108"/>
      <c r="C131" s="108"/>
      <c r="D131" s="108"/>
      <c r="E131" s="108"/>
      <c r="F131" s="9"/>
      <c r="G131" s="9"/>
      <c r="H131" s="107"/>
      <c r="I131" s="9"/>
      <c r="J131" s="9"/>
      <c r="K131" s="9"/>
      <c r="L131" s="107"/>
      <c r="M131" s="9"/>
      <c r="N131" s="9"/>
      <c r="O131" s="107"/>
      <c r="P131" s="9"/>
      <c r="Q131" s="9"/>
      <c r="R131" s="107"/>
      <c r="S131" s="9"/>
      <c r="T131" s="9"/>
      <c r="U131" s="107"/>
      <c r="V131" s="9"/>
      <c r="W131" s="9"/>
      <c r="X131" s="9"/>
      <c r="Y131" s="9"/>
      <c r="Z131" s="9"/>
      <c r="AA131" s="9"/>
      <c r="AB131" s="9"/>
      <c r="AC131" s="107"/>
      <c r="AD131" s="107"/>
      <c r="AE131" s="9"/>
      <c r="AF131" s="9"/>
      <c r="AG131" s="9"/>
      <c r="AH131" s="9"/>
      <c r="AI131" s="9"/>
      <c r="AJ131" s="9"/>
      <c r="AK131" s="9"/>
    </row>
    <row r="132" spans="1:41" s="268" customFormat="1" x14ac:dyDescent="0.25">
      <c r="A132" s="107"/>
      <c r="B132" s="108"/>
      <c r="C132" s="108"/>
      <c r="D132" s="108"/>
      <c r="E132" s="108"/>
      <c r="F132" s="9"/>
      <c r="G132" s="9"/>
      <c r="H132" s="107"/>
      <c r="I132" s="9"/>
      <c r="J132" s="9"/>
      <c r="K132" s="9"/>
      <c r="L132" s="107"/>
      <c r="M132" s="9"/>
      <c r="N132" s="9"/>
      <c r="O132" s="107"/>
      <c r="P132" s="9"/>
      <c r="Q132" s="9"/>
      <c r="R132" s="107"/>
      <c r="S132" s="9"/>
      <c r="T132" s="9"/>
      <c r="U132" s="107"/>
      <c r="V132" s="9"/>
      <c r="W132" s="9"/>
      <c r="X132" s="9"/>
      <c r="Y132" s="9"/>
      <c r="Z132" s="9"/>
      <c r="AA132" s="9"/>
      <c r="AB132" s="9"/>
      <c r="AC132" s="107"/>
      <c r="AD132" s="107"/>
      <c r="AE132" s="9"/>
      <c r="AF132" s="9"/>
      <c r="AG132" s="9"/>
      <c r="AH132" s="9"/>
      <c r="AI132" s="9"/>
      <c r="AJ132" s="9"/>
      <c r="AK132" s="9"/>
    </row>
    <row r="133" spans="1:41" s="268" customFormat="1" x14ac:dyDescent="0.25">
      <c r="A133" s="107"/>
      <c r="B133" s="108"/>
      <c r="C133" s="108"/>
      <c r="D133" s="108"/>
      <c r="E133" s="108"/>
      <c r="F133" s="9"/>
      <c r="G133" s="9"/>
      <c r="H133" s="107"/>
      <c r="I133" s="9"/>
      <c r="J133" s="9"/>
      <c r="K133" s="9"/>
      <c r="L133" s="107"/>
      <c r="M133" s="9"/>
      <c r="N133" s="9"/>
      <c r="O133" s="107"/>
      <c r="P133" s="9"/>
      <c r="Q133" s="9"/>
      <c r="R133" s="107"/>
      <c r="S133" s="9"/>
      <c r="T133" s="9"/>
      <c r="U133" s="107"/>
      <c r="V133" s="9"/>
      <c r="W133" s="9"/>
      <c r="X133" s="9"/>
      <c r="Y133" s="9"/>
      <c r="Z133" s="9"/>
      <c r="AA133" s="9"/>
      <c r="AB133" s="9"/>
      <c r="AC133" s="107"/>
      <c r="AD133" s="107"/>
      <c r="AE133" s="9"/>
      <c r="AF133" s="9"/>
      <c r="AG133" s="9"/>
      <c r="AH133" s="9"/>
      <c r="AI133" s="9"/>
      <c r="AJ133" s="9"/>
      <c r="AK133" s="9"/>
    </row>
    <row r="134" spans="1:41" s="268" customFormat="1" x14ac:dyDescent="0.25">
      <c r="A134" s="107"/>
      <c r="B134" s="108"/>
      <c r="C134" s="108"/>
      <c r="D134" s="108"/>
      <c r="E134" s="108"/>
      <c r="F134" s="9"/>
      <c r="G134" s="9"/>
      <c r="H134" s="107"/>
      <c r="I134" s="9"/>
      <c r="J134" s="9"/>
      <c r="K134" s="9"/>
      <c r="L134" s="107"/>
      <c r="M134" s="9"/>
      <c r="N134" s="9"/>
      <c r="O134" s="107"/>
      <c r="P134" s="9"/>
      <c r="Q134" s="9"/>
      <c r="R134" s="107"/>
      <c r="S134" s="9"/>
      <c r="T134" s="9"/>
      <c r="U134" s="107"/>
      <c r="V134" s="9"/>
      <c r="W134" s="9"/>
      <c r="X134" s="9"/>
      <c r="Y134" s="9"/>
      <c r="Z134" s="9"/>
      <c r="AA134" s="9"/>
      <c r="AB134" s="9"/>
      <c r="AC134" s="107"/>
      <c r="AD134" s="107"/>
      <c r="AE134" s="9"/>
      <c r="AF134" s="9"/>
      <c r="AG134" s="9"/>
      <c r="AH134" s="9"/>
      <c r="AI134" s="9"/>
      <c r="AJ134" s="9"/>
      <c r="AK134" s="9"/>
    </row>
    <row r="135" spans="1:41" s="268" customFormat="1" x14ac:dyDescent="0.25">
      <c r="A135" s="107"/>
      <c r="B135" s="107"/>
      <c r="C135" s="9"/>
      <c r="D135" s="9"/>
      <c r="E135" s="107"/>
      <c r="F135" s="9"/>
      <c r="G135" s="9"/>
      <c r="H135" s="107"/>
      <c r="I135" s="9"/>
      <c r="J135" s="9"/>
      <c r="K135" s="9"/>
      <c r="L135" s="107"/>
      <c r="M135" s="9"/>
      <c r="N135" s="9"/>
      <c r="O135" s="107"/>
      <c r="P135" s="9"/>
      <c r="Q135" s="9"/>
      <c r="R135" s="107"/>
      <c r="S135" s="9"/>
      <c r="T135" s="9"/>
      <c r="U135" s="107"/>
      <c r="V135" s="9"/>
      <c r="W135" s="9"/>
      <c r="X135" s="9"/>
      <c r="Y135" s="9"/>
      <c r="Z135" s="9"/>
      <c r="AA135" s="9"/>
      <c r="AB135" s="9"/>
      <c r="AC135" s="107"/>
      <c r="AD135" s="107"/>
      <c r="AE135" s="9"/>
      <c r="AF135" s="9"/>
      <c r="AG135" s="9"/>
      <c r="AH135" s="9"/>
      <c r="AI135" s="9"/>
      <c r="AJ135" s="9"/>
      <c r="AK135" s="9"/>
    </row>
    <row r="136" spans="1:41" s="268" customFormat="1" x14ac:dyDescent="0.25">
      <c r="A136" s="107"/>
      <c r="B136" s="107"/>
      <c r="C136" s="9"/>
      <c r="D136" s="9"/>
      <c r="E136" s="107"/>
      <c r="F136" s="9"/>
      <c r="G136" s="9"/>
      <c r="H136" s="107"/>
      <c r="I136" s="9"/>
      <c r="J136" s="9"/>
      <c r="K136" s="9"/>
      <c r="L136" s="107"/>
      <c r="M136" s="9"/>
      <c r="N136" s="9"/>
      <c r="O136" s="107"/>
      <c r="P136" s="9"/>
      <c r="Q136" s="9"/>
      <c r="R136" s="107"/>
      <c r="S136" s="9"/>
      <c r="T136" s="9"/>
      <c r="U136" s="107"/>
      <c r="V136" s="9"/>
      <c r="W136" s="9"/>
      <c r="X136" s="9"/>
      <c r="Y136" s="9"/>
      <c r="Z136" s="9"/>
      <c r="AA136" s="9"/>
      <c r="AB136" s="9"/>
      <c r="AC136" s="107"/>
      <c r="AD136" s="107"/>
      <c r="AE136" s="9"/>
      <c r="AF136" s="9"/>
      <c r="AG136" s="9"/>
      <c r="AH136" s="9"/>
      <c r="AI136" s="9"/>
      <c r="AJ136" s="9"/>
      <c r="AK136" s="9"/>
    </row>
    <row r="137" spans="1:41" x14ac:dyDescent="0.25">
      <c r="C137" s="9"/>
      <c r="D137" s="9"/>
      <c r="F137" s="9"/>
      <c r="G137" s="9"/>
      <c r="I137" s="9"/>
      <c r="J137" s="9"/>
      <c r="K137" s="9"/>
      <c r="M137" s="9"/>
      <c r="N137" s="9"/>
      <c r="P137" s="9"/>
      <c r="Q137" s="9"/>
      <c r="S137" s="9"/>
      <c r="T137" s="9"/>
      <c r="V137" s="9"/>
      <c r="W137" s="9"/>
      <c r="X137" s="9"/>
      <c r="Y137" s="9"/>
      <c r="Z137" s="9"/>
      <c r="AA137" s="9"/>
      <c r="AB137" s="9"/>
      <c r="AE137" s="9"/>
      <c r="AF137" s="9"/>
      <c r="AG137" s="9"/>
      <c r="AH137" s="9"/>
      <c r="AI137" s="9"/>
      <c r="AJ137" s="9"/>
      <c r="AK137" s="9"/>
      <c r="AL137" s="107"/>
      <c r="AM137" s="107"/>
      <c r="AN137" s="107"/>
      <c r="AO137" s="107"/>
    </row>
    <row r="138" spans="1:41" x14ac:dyDescent="0.25">
      <c r="C138" s="9"/>
      <c r="D138" s="9"/>
      <c r="F138" s="9"/>
      <c r="G138" s="9"/>
      <c r="I138" s="9"/>
      <c r="J138" s="9"/>
      <c r="K138" s="9"/>
      <c r="M138" s="9"/>
      <c r="N138" s="9"/>
      <c r="P138" s="9"/>
      <c r="Q138" s="9"/>
      <c r="S138" s="9"/>
      <c r="T138" s="9"/>
      <c r="V138" s="9"/>
      <c r="W138" s="9"/>
      <c r="X138" s="9"/>
      <c r="Y138" s="9"/>
      <c r="Z138" s="9"/>
      <c r="AA138" s="9"/>
      <c r="AB138" s="9"/>
      <c r="AE138" s="9"/>
      <c r="AF138" s="9"/>
      <c r="AG138" s="9"/>
      <c r="AH138" s="9"/>
      <c r="AI138" s="9"/>
      <c r="AJ138" s="9"/>
      <c r="AK138" s="9"/>
      <c r="AL138" s="107"/>
      <c r="AM138" s="107"/>
      <c r="AN138" s="107"/>
      <c r="AO138" s="107"/>
    </row>
    <row r="139" spans="1:41" x14ac:dyDescent="0.25">
      <c r="C139" s="9"/>
      <c r="D139" s="9"/>
      <c r="F139" s="9"/>
      <c r="G139" s="9"/>
      <c r="I139" s="9"/>
      <c r="J139" s="9"/>
      <c r="K139" s="9"/>
      <c r="M139" s="9"/>
      <c r="N139" s="9"/>
      <c r="P139" s="9"/>
      <c r="Q139" s="9"/>
      <c r="S139" s="9"/>
      <c r="T139" s="9"/>
      <c r="V139" s="9"/>
      <c r="W139" s="9"/>
      <c r="X139" s="9"/>
      <c r="Y139" s="9"/>
      <c r="Z139" s="9"/>
      <c r="AA139" s="9"/>
      <c r="AB139" s="9"/>
      <c r="AE139" s="9"/>
      <c r="AF139" s="9"/>
      <c r="AG139" s="9"/>
      <c r="AH139" s="9"/>
      <c r="AI139" s="9"/>
      <c r="AJ139" s="9"/>
      <c r="AK139" s="9"/>
      <c r="AL139" s="107"/>
      <c r="AM139" s="107"/>
      <c r="AN139" s="107"/>
      <c r="AO139" s="107"/>
    </row>
    <row r="140" spans="1:41" x14ac:dyDescent="0.25">
      <c r="C140" s="9"/>
      <c r="D140" s="9"/>
      <c r="F140" s="9"/>
      <c r="G140" s="9"/>
      <c r="I140" s="9"/>
      <c r="J140" s="9"/>
      <c r="K140" s="9"/>
      <c r="M140" s="9"/>
      <c r="N140" s="9"/>
      <c r="P140" s="9"/>
      <c r="Q140" s="9"/>
      <c r="S140" s="9"/>
      <c r="T140" s="9"/>
      <c r="V140" s="9"/>
      <c r="W140" s="9"/>
      <c r="X140" s="9"/>
      <c r="Y140" s="9"/>
      <c r="Z140" s="9"/>
      <c r="AA140" s="9"/>
      <c r="AB140" s="9"/>
      <c r="AE140" s="9"/>
      <c r="AF140" s="9"/>
      <c r="AG140" s="9"/>
      <c r="AH140" s="9"/>
      <c r="AI140" s="9"/>
      <c r="AJ140" s="9"/>
      <c r="AK140" s="9"/>
      <c r="AL140" s="107"/>
      <c r="AM140" s="107"/>
      <c r="AN140" s="107"/>
      <c r="AO140" s="107"/>
    </row>
    <row r="141" spans="1:41" x14ac:dyDescent="0.25">
      <c r="C141" s="9"/>
      <c r="D141" s="9"/>
      <c r="F141" s="9"/>
      <c r="G141" s="9"/>
      <c r="I141" s="9"/>
      <c r="J141" s="9"/>
      <c r="K141" s="9"/>
      <c r="M141" s="9"/>
      <c r="N141" s="9"/>
      <c r="P141" s="9"/>
      <c r="Q141" s="9"/>
      <c r="S141" s="9"/>
      <c r="T141" s="9"/>
      <c r="V141" s="9"/>
      <c r="W141" s="9"/>
      <c r="X141" s="9"/>
      <c r="Y141" s="9"/>
      <c r="Z141" s="9"/>
      <c r="AA141" s="9"/>
      <c r="AB141" s="9"/>
      <c r="AE141" s="9"/>
      <c r="AF141" s="9"/>
      <c r="AG141" s="9"/>
      <c r="AH141" s="9"/>
      <c r="AI141" s="9"/>
      <c r="AJ141" s="9"/>
      <c r="AK141" s="9"/>
      <c r="AL141" s="107"/>
      <c r="AM141" s="107"/>
      <c r="AN141" s="107"/>
      <c r="AO141" s="107"/>
    </row>
    <row r="142" spans="1:41" x14ac:dyDescent="0.25">
      <c r="C142" s="9"/>
      <c r="D142" s="9"/>
      <c r="F142" s="9"/>
      <c r="G142" s="9"/>
      <c r="I142" s="9"/>
      <c r="J142" s="9"/>
      <c r="K142" s="9"/>
      <c r="M142" s="9"/>
      <c r="N142" s="9"/>
      <c r="P142" s="9"/>
      <c r="Q142" s="9"/>
      <c r="S142" s="9"/>
      <c r="T142" s="9"/>
      <c r="V142" s="9"/>
      <c r="W142" s="9"/>
      <c r="X142" s="9"/>
      <c r="Y142" s="9"/>
      <c r="Z142" s="9"/>
      <c r="AA142" s="9"/>
      <c r="AB142" s="9"/>
      <c r="AE142" s="9"/>
      <c r="AF142" s="9"/>
      <c r="AG142" s="9"/>
      <c r="AH142" s="9"/>
      <c r="AI142" s="9"/>
      <c r="AJ142" s="9"/>
      <c r="AK142" s="9"/>
      <c r="AL142" s="107"/>
      <c r="AM142" s="107"/>
      <c r="AN142" s="107"/>
      <c r="AO142" s="107"/>
    </row>
    <row r="143" spans="1:41" x14ac:dyDescent="0.25">
      <c r="C143" s="9"/>
      <c r="D143" s="9"/>
      <c r="F143" s="9"/>
      <c r="G143" s="9"/>
      <c r="I143" s="9"/>
      <c r="J143" s="9"/>
      <c r="K143" s="9"/>
      <c r="M143" s="9"/>
      <c r="N143" s="9"/>
      <c r="P143" s="9"/>
      <c r="Q143" s="9"/>
      <c r="S143" s="9"/>
      <c r="T143" s="9"/>
      <c r="V143" s="9"/>
      <c r="W143" s="9"/>
      <c r="X143" s="9"/>
      <c r="Y143" s="9"/>
      <c r="Z143" s="9"/>
      <c r="AA143" s="9"/>
      <c r="AB143" s="9"/>
      <c r="AE143" s="9"/>
      <c r="AF143" s="9"/>
      <c r="AG143" s="9"/>
      <c r="AH143" s="9"/>
      <c r="AI143" s="9"/>
      <c r="AJ143" s="9"/>
      <c r="AK143" s="9"/>
      <c r="AL143" s="107"/>
      <c r="AM143" s="107"/>
      <c r="AN143" s="107"/>
      <c r="AO143" s="107"/>
    </row>
    <row r="144" spans="1:41" x14ac:dyDescent="0.25">
      <c r="C144" s="9"/>
      <c r="D144" s="9"/>
      <c r="F144" s="9"/>
      <c r="G144" s="9"/>
      <c r="I144" s="9"/>
      <c r="J144" s="9"/>
      <c r="K144" s="9"/>
      <c r="M144" s="9"/>
      <c r="N144" s="9"/>
      <c r="P144" s="9"/>
      <c r="Q144" s="9"/>
      <c r="S144" s="9"/>
      <c r="T144" s="9"/>
      <c r="V144" s="9"/>
      <c r="W144" s="9"/>
      <c r="X144" s="9"/>
      <c r="Y144" s="9"/>
      <c r="Z144" s="9"/>
      <c r="AA144" s="9"/>
      <c r="AB144" s="9"/>
      <c r="AE144" s="9"/>
      <c r="AF144" s="9"/>
      <c r="AG144" s="9"/>
      <c r="AH144" s="9"/>
      <c r="AI144" s="9"/>
      <c r="AJ144" s="9"/>
      <c r="AK144" s="9"/>
      <c r="AL144" s="107"/>
      <c r="AM144" s="107"/>
      <c r="AN144" s="107"/>
      <c r="AO144" s="107"/>
    </row>
    <row r="145" spans="3:41" x14ac:dyDescent="0.25">
      <c r="C145" s="9"/>
      <c r="D145" s="9"/>
      <c r="F145" s="9"/>
      <c r="G145" s="9"/>
      <c r="I145" s="9"/>
      <c r="J145" s="9"/>
      <c r="K145" s="9"/>
      <c r="M145" s="9"/>
      <c r="N145" s="9"/>
      <c r="P145" s="9"/>
      <c r="Q145" s="9"/>
      <c r="S145" s="9"/>
      <c r="T145" s="9"/>
      <c r="V145" s="9"/>
      <c r="W145" s="9"/>
      <c r="X145" s="9"/>
      <c r="Y145" s="9"/>
      <c r="Z145" s="9"/>
      <c r="AA145" s="9"/>
      <c r="AB145" s="9"/>
      <c r="AE145" s="9"/>
      <c r="AF145" s="9"/>
      <c r="AG145" s="9"/>
      <c r="AH145" s="9"/>
      <c r="AI145" s="9"/>
      <c r="AJ145" s="9"/>
      <c r="AK145" s="9"/>
      <c r="AL145" s="107"/>
      <c r="AM145" s="107"/>
      <c r="AN145" s="107"/>
      <c r="AO145" s="107"/>
    </row>
    <row r="146" spans="3:41" x14ac:dyDescent="0.25">
      <c r="C146" s="9"/>
      <c r="D146" s="9"/>
      <c r="F146" s="9"/>
      <c r="G146" s="9"/>
      <c r="I146" s="9"/>
      <c r="J146" s="9"/>
      <c r="K146" s="9"/>
      <c r="M146" s="9"/>
      <c r="N146" s="9"/>
      <c r="P146" s="9"/>
      <c r="Q146" s="9"/>
      <c r="S146" s="9"/>
      <c r="T146" s="9"/>
      <c r="V146" s="9"/>
      <c r="W146" s="9"/>
      <c r="X146" s="9"/>
      <c r="Y146" s="9"/>
      <c r="Z146" s="9"/>
      <c r="AA146" s="9"/>
      <c r="AB146" s="9"/>
      <c r="AE146" s="9"/>
      <c r="AF146" s="9"/>
      <c r="AG146" s="9"/>
      <c r="AH146" s="9"/>
      <c r="AI146" s="9"/>
      <c r="AJ146" s="9"/>
      <c r="AK146" s="9"/>
      <c r="AL146" s="107"/>
      <c r="AM146" s="107"/>
      <c r="AN146" s="107"/>
      <c r="AO146" s="107"/>
    </row>
    <row r="147" spans="3:41" x14ac:dyDescent="0.25">
      <c r="C147" s="9"/>
      <c r="D147" s="9"/>
      <c r="F147" s="9"/>
      <c r="G147" s="9"/>
      <c r="I147" s="9"/>
      <c r="J147" s="9"/>
      <c r="K147" s="9"/>
      <c r="M147" s="9"/>
      <c r="N147" s="9"/>
      <c r="P147" s="9"/>
      <c r="Q147" s="9"/>
      <c r="S147" s="9"/>
      <c r="T147" s="9"/>
      <c r="V147" s="9"/>
      <c r="W147" s="9"/>
      <c r="X147" s="9"/>
      <c r="Y147" s="9"/>
      <c r="Z147" s="9"/>
      <c r="AA147" s="9"/>
      <c r="AB147" s="9"/>
      <c r="AE147" s="9"/>
      <c r="AF147" s="9"/>
      <c r="AG147" s="9"/>
      <c r="AH147" s="9"/>
      <c r="AI147" s="9"/>
      <c r="AJ147" s="9"/>
      <c r="AK147" s="9"/>
      <c r="AL147" s="107"/>
      <c r="AM147" s="107"/>
      <c r="AN147" s="107"/>
      <c r="AO147" s="107"/>
    </row>
    <row r="148" spans="3:41" x14ac:dyDescent="0.25">
      <c r="C148" s="9"/>
      <c r="D148" s="9"/>
      <c r="F148" s="9"/>
      <c r="G148" s="9"/>
      <c r="I148" s="9"/>
      <c r="J148" s="9"/>
      <c r="K148" s="9"/>
      <c r="M148" s="9"/>
      <c r="N148" s="9"/>
      <c r="P148" s="9"/>
      <c r="Q148" s="9"/>
      <c r="S148" s="9"/>
      <c r="T148" s="9"/>
      <c r="V148" s="9"/>
      <c r="W148" s="9"/>
      <c r="X148" s="9"/>
      <c r="Y148" s="9"/>
      <c r="Z148" s="9"/>
      <c r="AA148" s="9"/>
      <c r="AB148" s="9"/>
      <c r="AE148" s="9"/>
      <c r="AF148" s="9"/>
      <c r="AG148" s="9"/>
      <c r="AH148" s="9"/>
      <c r="AI148" s="9"/>
      <c r="AJ148" s="9"/>
      <c r="AK148" s="9"/>
      <c r="AL148" s="107"/>
      <c r="AM148" s="107"/>
      <c r="AN148" s="107"/>
      <c r="AO148" s="107"/>
    </row>
    <row r="149" spans="3:41" x14ac:dyDescent="0.25">
      <c r="C149" s="9"/>
      <c r="D149" s="9"/>
      <c r="F149" s="9"/>
      <c r="G149" s="9"/>
      <c r="I149" s="9"/>
      <c r="J149" s="9"/>
      <c r="K149" s="9"/>
      <c r="M149" s="9"/>
      <c r="N149" s="9"/>
      <c r="P149" s="9"/>
      <c r="Q149" s="9"/>
      <c r="S149" s="9"/>
      <c r="T149" s="9"/>
      <c r="V149" s="9"/>
      <c r="W149" s="9"/>
      <c r="X149" s="9"/>
      <c r="Y149" s="9"/>
      <c r="Z149" s="9"/>
      <c r="AA149" s="9"/>
      <c r="AB149" s="9"/>
      <c r="AE149" s="9"/>
      <c r="AF149" s="9"/>
      <c r="AG149" s="9"/>
      <c r="AH149" s="9"/>
      <c r="AI149" s="9"/>
      <c r="AJ149" s="9"/>
      <c r="AK149" s="9"/>
      <c r="AL149" s="107"/>
      <c r="AM149" s="107"/>
      <c r="AN149" s="107"/>
      <c r="AO149" s="107"/>
    </row>
    <row r="150" spans="3:41" x14ac:dyDescent="0.25">
      <c r="C150" s="9"/>
      <c r="D150" s="9"/>
      <c r="F150" s="9"/>
      <c r="G150" s="9"/>
      <c r="I150" s="9"/>
      <c r="J150" s="9"/>
      <c r="K150" s="9"/>
      <c r="M150" s="9"/>
      <c r="N150" s="9"/>
      <c r="P150" s="9"/>
      <c r="Q150" s="9"/>
      <c r="S150" s="9"/>
      <c r="T150" s="9"/>
      <c r="V150" s="9"/>
      <c r="W150" s="9"/>
      <c r="X150" s="9"/>
      <c r="Y150" s="9"/>
      <c r="Z150" s="9"/>
      <c r="AA150" s="9"/>
      <c r="AB150" s="9"/>
      <c r="AE150" s="9"/>
      <c r="AF150" s="9"/>
      <c r="AG150" s="9"/>
      <c r="AH150" s="9"/>
      <c r="AI150" s="9"/>
      <c r="AJ150" s="9"/>
      <c r="AK150" s="9"/>
      <c r="AL150" s="107"/>
      <c r="AM150" s="107"/>
      <c r="AN150" s="107"/>
      <c r="AO150" s="107"/>
    </row>
    <row r="151" spans="3:41" x14ac:dyDescent="0.25">
      <c r="C151" s="9"/>
      <c r="D151" s="9"/>
      <c r="F151" s="9"/>
      <c r="G151" s="9"/>
      <c r="I151" s="9"/>
      <c r="J151" s="9"/>
      <c r="K151" s="9"/>
      <c r="M151" s="9"/>
      <c r="N151" s="9"/>
      <c r="P151" s="9"/>
      <c r="Q151" s="9"/>
      <c r="S151" s="9"/>
      <c r="T151" s="9"/>
      <c r="V151" s="9"/>
      <c r="W151" s="9"/>
      <c r="X151" s="9"/>
      <c r="Y151" s="9"/>
      <c r="Z151" s="9"/>
      <c r="AA151" s="9"/>
      <c r="AB151" s="9"/>
      <c r="AE151" s="9"/>
      <c r="AF151" s="9"/>
      <c r="AG151" s="9"/>
      <c r="AH151" s="9"/>
      <c r="AI151" s="9"/>
      <c r="AJ151" s="9"/>
      <c r="AK151" s="9"/>
      <c r="AL151" s="107"/>
      <c r="AM151" s="107"/>
      <c r="AN151" s="107"/>
      <c r="AO151" s="107"/>
    </row>
    <row r="152" spans="3:41" x14ac:dyDescent="0.25">
      <c r="C152" s="9"/>
      <c r="D152" s="9"/>
      <c r="F152" s="9"/>
      <c r="G152" s="9"/>
      <c r="I152" s="9"/>
      <c r="J152" s="9"/>
      <c r="K152" s="9"/>
      <c r="M152" s="9"/>
      <c r="N152" s="9"/>
      <c r="P152" s="9"/>
      <c r="Q152" s="9"/>
      <c r="S152" s="9"/>
      <c r="T152" s="9"/>
      <c r="V152" s="9"/>
      <c r="W152" s="9"/>
      <c r="X152" s="9"/>
      <c r="Y152" s="9"/>
      <c r="Z152" s="9"/>
      <c r="AA152" s="9"/>
      <c r="AB152" s="9"/>
      <c r="AE152" s="9"/>
      <c r="AF152" s="9"/>
      <c r="AG152" s="9"/>
      <c r="AH152" s="9"/>
      <c r="AI152" s="9"/>
      <c r="AJ152" s="9"/>
      <c r="AK152" s="9"/>
      <c r="AL152" s="107"/>
      <c r="AM152" s="107"/>
      <c r="AN152" s="107"/>
      <c r="AO152" s="107"/>
    </row>
    <row r="153" spans="3:41" x14ac:dyDescent="0.25">
      <c r="C153" s="9"/>
      <c r="D153" s="9"/>
      <c r="F153" s="9"/>
      <c r="G153" s="9"/>
      <c r="I153" s="9"/>
      <c r="J153" s="9"/>
      <c r="K153" s="9"/>
      <c r="M153" s="9"/>
      <c r="N153" s="9"/>
      <c r="P153" s="9"/>
      <c r="Q153" s="9"/>
      <c r="S153" s="9"/>
      <c r="T153" s="9"/>
      <c r="V153" s="9"/>
      <c r="W153" s="9"/>
      <c r="X153" s="9"/>
      <c r="Y153" s="9"/>
      <c r="Z153" s="9"/>
      <c r="AA153" s="9"/>
      <c r="AB153" s="9"/>
      <c r="AE153" s="9"/>
      <c r="AF153" s="9"/>
      <c r="AG153" s="9"/>
      <c r="AH153" s="9"/>
      <c r="AI153" s="9"/>
      <c r="AJ153" s="9"/>
      <c r="AK153" s="9"/>
      <c r="AL153" s="107"/>
      <c r="AM153" s="107"/>
      <c r="AN153" s="107"/>
      <c r="AO153" s="107"/>
    </row>
    <row r="154" spans="3:41" x14ac:dyDescent="0.25">
      <c r="C154" s="9"/>
      <c r="D154" s="9"/>
      <c r="F154" s="9"/>
      <c r="G154" s="9"/>
      <c r="I154" s="9"/>
      <c r="J154" s="9"/>
      <c r="K154" s="9"/>
      <c r="M154" s="9"/>
      <c r="N154" s="9"/>
      <c r="P154" s="9"/>
      <c r="Q154" s="9"/>
      <c r="S154" s="9"/>
      <c r="T154" s="9"/>
      <c r="V154" s="9"/>
      <c r="W154" s="9"/>
      <c r="X154" s="9"/>
      <c r="Y154" s="9"/>
      <c r="Z154" s="9"/>
      <c r="AA154" s="9"/>
      <c r="AB154" s="9"/>
      <c r="AE154" s="9"/>
      <c r="AF154" s="9"/>
      <c r="AG154" s="9"/>
      <c r="AH154" s="9"/>
      <c r="AI154" s="9"/>
      <c r="AJ154" s="9"/>
      <c r="AK154" s="9"/>
      <c r="AL154" s="107"/>
      <c r="AM154" s="107"/>
      <c r="AN154" s="107"/>
      <c r="AO154" s="107"/>
    </row>
    <row r="155" spans="3:41" x14ac:dyDescent="0.25">
      <c r="C155" s="9"/>
      <c r="D155" s="9"/>
      <c r="F155" s="9"/>
      <c r="G155" s="9"/>
      <c r="I155" s="9"/>
      <c r="J155" s="9"/>
      <c r="K155" s="9"/>
      <c r="M155" s="9"/>
      <c r="N155" s="9"/>
      <c r="P155" s="9"/>
      <c r="Q155" s="9"/>
      <c r="S155" s="9"/>
      <c r="T155" s="9"/>
      <c r="V155" s="9"/>
      <c r="W155" s="9"/>
      <c r="X155" s="9"/>
      <c r="Y155" s="9"/>
      <c r="Z155" s="9"/>
      <c r="AA155" s="9"/>
      <c r="AB155" s="9"/>
      <c r="AE155" s="9"/>
      <c r="AF155" s="9"/>
      <c r="AG155" s="9"/>
      <c r="AH155" s="9"/>
      <c r="AI155" s="9"/>
      <c r="AJ155" s="9"/>
      <c r="AK155" s="9"/>
      <c r="AL155" s="107"/>
      <c r="AM155" s="107"/>
      <c r="AN155" s="107"/>
      <c r="AO155" s="107"/>
    </row>
    <row r="156" spans="3:41" x14ac:dyDescent="0.25">
      <c r="C156" s="9"/>
      <c r="D156" s="9"/>
      <c r="F156" s="9"/>
      <c r="G156" s="9"/>
      <c r="I156" s="9"/>
      <c r="J156" s="9"/>
      <c r="K156" s="9"/>
      <c r="M156" s="9"/>
      <c r="N156" s="9"/>
      <c r="P156" s="9"/>
      <c r="Q156" s="9"/>
      <c r="S156" s="9"/>
      <c r="T156" s="9"/>
      <c r="V156" s="9"/>
      <c r="W156" s="9"/>
      <c r="X156" s="9"/>
      <c r="Y156" s="9"/>
      <c r="Z156" s="9"/>
      <c r="AA156" s="9"/>
      <c r="AB156" s="9"/>
      <c r="AE156" s="9"/>
      <c r="AF156" s="9"/>
      <c r="AG156" s="9"/>
      <c r="AH156" s="9"/>
      <c r="AI156" s="9"/>
      <c r="AJ156" s="9"/>
      <c r="AK156" s="9"/>
      <c r="AL156" s="107"/>
      <c r="AM156" s="107"/>
      <c r="AN156" s="107"/>
      <c r="AO156" s="107"/>
    </row>
    <row r="157" spans="3:41" x14ac:dyDescent="0.25">
      <c r="C157" s="9"/>
      <c r="D157" s="9"/>
      <c r="F157" s="9"/>
      <c r="G157" s="9"/>
      <c r="I157" s="9"/>
      <c r="J157" s="9"/>
      <c r="K157" s="9"/>
      <c r="M157" s="9"/>
      <c r="N157" s="9"/>
      <c r="P157" s="9"/>
      <c r="Q157" s="9"/>
      <c r="S157" s="9"/>
      <c r="T157" s="9"/>
      <c r="V157" s="9"/>
      <c r="W157" s="9"/>
      <c r="X157" s="9"/>
      <c r="Y157" s="9"/>
      <c r="Z157" s="9"/>
      <c r="AA157" s="9"/>
      <c r="AB157" s="9"/>
      <c r="AE157" s="9"/>
      <c r="AF157" s="9"/>
      <c r="AG157" s="9"/>
      <c r="AH157" s="9"/>
      <c r="AI157" s="9"/>
      <c r="AJ157" s="9"/>
      <c r="AK157" s="9"/>
      <c r="AL157" s="107"/>
      <c r="AM157" s="107"/>
      <c r="AN157" s="107"/>
      <c r="AO157" s="107"/>
    </row>
    <row r="158" spans="3:41" x14ac:dyDescent="0.25">
      <c r="C158" s="9"/>
      <c r="D158" s="9"/>
      <c r="F158" s="9"/>
      <c r="G158" s="9"/>
      <c r="I158" s="9"/>
      <c r="J158" s="9"/>
      <c r="K158" s="9"/>
      <c r="M158" s="9"/>
      <c r="N158" s="9"/>
      <c r="P158" s="9"/>
      <c r="Q158" s="9"/>
      <c r="S158" s="9"/>
      <c r="T158" s="9"/>
      <c r="V158" s="9"/>
      <c r="W158" s="9"/>
      <c r="X158" s="9"/>
      <c r="Y158" s="9"/>
      <c r="Z158" s="9"/>
      <c r="AA158" s="9"/>
      <c r="AB158" s="9"/>
      <c r="AE158" s="9"/>
      <c r="AF158" s="9"/>
      <c r="AG158" s="9"/>
      <c r="AH158" s="9"/>
      <c r="AI158" s="9"/>
      <c r="AJ158" s="9"/>
      <c r="AK158" s="9"/>
      <c r="AL158" s="107"/>
      <c r="AM158" s="107"/>
      <c r="AN158" s="107"/>
      <c r="AO158" s="107"/>
    </row>
    <row r="159" spans="3:41" x14ac:dyDescent="0.25">
      <c r="C159" s="9"/>
      <c r="D159" s="9"/>
      <c r="F159" s="9"/>
      <c r="G159" s="9"/>
      <c r="I159" s="9"/>
      <c r="J159" s="9"/>
      <c r="K159" s="9"/>
      <c r="M159" s="9"/>
      <c r="N159" s="9"/>
      <c r="P159" s="9"/>
      <c r="Q159" s="9"/>
      <c r="S159" s="9"/>
      <c r="T159" s="9"/>
      <c r="V159" s="9"/>
      <c r="W159" s="9"/>
      <c r="X159" s="9"/>
      <c r="Y159" s="9"/>
      <c r="Z159" s="9"/>
      <c r="AA159" s="9"/>
      <c r="AB159" s="9"/>
      <c r="AE159" s="9"/>
      <c r="AF159" s="9"/>
      <c r="AG159" s="9"/>
      <c r="AH159" s="9"/>
      <c r="AI159" s="9"/>
      <c r="AJ159" s="9"/>
      <c r="AK159" s="9"/>
      <c r="AL159" s="107"/>
      <c r="AM159" s="107"/>
      <c r="AN159" s="107"/>
      <c r="AO159" s="107"/>
    </row>
    <row r="160" spans="3:41" x14ac:dyDescent="0.25">
      <c r="C160" s="9"/>
      <c r="D160" s="9"/>
      <c r="F160" s="9"/>
      <c r="G160" s="9"/>
      <c r="I160" s="9"/>
      <c r="J160" s="9"/>
      <c r="K160" s="9"/>
      <c r="M160" s="9"/>
      <c r="N160" s="9"/>
      <c r="P160" s="9"/>
      <c r="Q160" s="9"/>
      <c r="S160" s="9"/>
      <c r="T160" s="9"/>
      <c r="V160" s="9"/>
      <c r="W160" s="9"/>
      <c r="X160" s="9"/>
      <c r="Y160" s="9"/>
      <c r="Z160" s="9"/>
      <c r="AA160" s="9"/>
      <c r="AB160" s="9"/>
      <c r="AE160" s="9"/>
      <c r="AF160" s="9"/>
      <c r="AG160" s="9"/>
      <c r="AH160" s="9"/>
      <c r="AI160" s="9"/>
      <c r="AJ160" s="9"/>
      <c r="AK160" s="9"/>
      <c r="AL160" s="107"/>
      <c r="AM160" s="107"/>
      <c r="AN160" s="107"/>
      <c r="AO160" s="107"/>
    </row>
    <row r="161" spans="1:41" x14ac:dyDescent="0.25">
      <c r="C161" s="9"/>
      <c r="D161" s="9"/>
      <c r="F161" s="9"/>
      <c r="G161" s="9"/>
      <c r="I161" s="9"/>
      <c r="J161" s="9"/>
      <c r="K161" s="9"/>
      <c r="M161" s="9"/>
      <c r="N161" s="9"/>
      <c r="P161" s="9"/>
      <c r="Q161" s="9"/>
      <c r="S161" s="9"/>
      <c r="T161" s="9"/>
      <c r="V161" s="9"/>
      <c r="W161" s="9"/>
      <c r="X161" s="9"/>
      <c r="Y161" s="9"/>
      <c r="Z161" s="9"/>
      <c r="AA161" s="9"/>
      <c r="AB161" s="9"/>
      <c r="AE161" s="9"/>
      <c r="AF161" s="9"/>
      <c r="AG161" s="9"/>
      <c r="AH161" s="9"/>
      <c r="AI161" s="9"/>
      <c r="AJ161" s="9"/>
      <c r="AK161" s="9"/>
      <c r="AL161" s="107"/>
      <c r="AM161" s="107"/>
      <c r="AN161" s="107"/>
      <c r="AO161" s="107"/>
    </row>
    <row r="162" spans="1:41" x14ac:dyDescent="0.25">
      <c r="C162" s="9"/>
      <c r="D162" s="9"/>
      <c r="F162" s="9"/>
      <c r="G162" s="9"/>
      <c r="I162" s="9"/>
      <c r="J162" s="9"/>
      <c r="K162" s="9"/>
      <c r="M162" s="9"/>
      <c r="N162" s="9"/>
      <c r="P162" s="9"/>
      <c r="Q162" s="9"/>
      <c r="S162" s="9"/>
      <c r="T162" s="9"/>
      <c r="V162" s="9"/>
      <c r="W162" s="9"/>
      <c r="X162" s="9"/>
      <c r="Y162" s="9"/>
      <c r="Z162" s="9"/>
      <c r="AA162" s="9"/>
      <c r="AB162" s="9"/>
      <c r="AE162" s="9"/>
      <c r="AF162" s="9"/>
      <c r="AG162" s="9"/>
      <c r="AH162" s="9"/>
      <c r="AI162" s="9"/>
      <c r="AJ162" s="9"/>
      <c r="AK162" s="9"/>
      <c r="AL162" s="107"/>
      <c r="AM162" s="107"/>
      <c r="AN162" s="107"/>
      <c r="AO162" s="107"/>
    </row>
    <row r="163" spans="1:41" x14ac:dyDescent="0.25">
      <c r="C163" s="9"/>
      <c r="D163" s="9"/>
      <c r="F163" s="9"/>
      <c r="G163" s="9"/>
      <c r="I163" s="9"/>
      <c r="J163" s="9"/>
      <c r="K163" s="9"/>
      <c r="M163" s="9"/>
      <c r="N163" s="9"/>
      <c r="P163" s="9"/>
      <c r="Q163" s="9"/>
      <c r="S163" s="9"/>
      <c r="T163" s="9"/>
      <c r="V163" s="9"/>
      <c r="W163" s="9"/>
      <c r="X163" s="9"/>
      <c r="Y163" s="9"/>
      <c r="Z163" s="9"/>
      <c r="AA163" s="9"/>
      <c r="AB163" s="9"/>
      <c r="AE163" s="9"/>
      <c r="AF163" s="9"/>
      <c r="AG163" s="9"/>
      <c r="AH163" s="9"/>
      <c r="AI163" s="9"/>
      <c r="AJ163" s="9"/>
      <c r="AK163" s="9"/>
      <c r="AL163" s="107"/>
      <c r="AM163" s="107"/>
      <c r="AN163" s="107"/>
      <c r="AO163" s="107"/>
    </row>
    <row r="164" spans="1:41" x14ac:dyDescent="0.25">
      <c r="C164" s="9"/>
      <c r="D164" s="9"/>
      <c r="F164" s="9"/>
      <c r="G164" s="9"/>
      <c r="I164" s="9"/>
      <c r="J164" s="9"/>
      <c r="K164" s="9"/>
      <c r="M164" s="9"/>
      <c r="N164" s="9"/>
      <c r="P164" s="9"/>
      <c r="Q164" s="9"/>
      <c r="S164" s="9"/>
      <c r="T164" s="9"/>
      <c r="V164" s="9"/>
      <c r="W164" s="9"/>
      <c r="X164" s="9"/>
      <c r="Y164" s="9"/>
      <c r="Z164" s="9"/>
      <c r="AA164" s="9"/>
      <c r="AB164" s="9"/>
      <c r="AE164" s="9"/>
      <c r="AF164" s="9"/>
      <c r="AG164" s="9"/>
      <c r="AH164" s="9"/>
      <c r="AI164" s="9"/>
      <c r="AJ164" s="9"/>
      <c r="AK164" s="9"/>
      <c r="AL164" s="107"/>
      <c r="AM164" s="107"/>
      <c r="AN164" s="107"/>
      <c r="AO164" s="107"/>
    </row>
    <row r="165" spans="1:41" x14ac:dyDescent="0.25">
      <c r="C165" s="9"/>
      <c r="D165" s="9"/>
      <c r="F165" s="9"/>
      <c r="G165" s="9"/>
      <c r="I165" s="9"/>
      <c r="J165" s="9"/>
      <c r="K165" s="9"/>
      <c r="M165" s="9"/>
      <c r="N165" s="9"/>
      <c r="P165" s="9"/>
      <c r="Q165" s="9"/>
      <c r="S165" s="9"/>
      <c r="T165" s="9"/>
      <c r="V165" s="9"/>
      <c r="W165" s="9"/>
      <c r="X165" s="9"/>
      <c r="Y165" s="9"/>
      <c r="Z165" s="9"/>
      <c r="AA165" s="9"/>
      <c r="AB165" s="9"/>
      <c r="AE165" s="9"/>
      <c r="AF165" s="9"/>
      <c r="AG165" s="9"/>
      <c r="AH165" s="9"/>
      <c r="AI165" s="9"/>
      <c r="AJ165" s="9"/>
      <c r="AK165" s="9"/>
      <c r="AL165" s="107"/>
      <c r="AM165" s="107"/>
      <c r="AN165" s="107"/>
      <c r="AO165" s="107"/>
    </row>
    <row r="166" spans="1:41" x14ac:dyDescent="0.25">
      <c r="C166" s="9"/>
      <c r="D166" s="9"/>
      <c r="F166" s="9"/>
      <c r="G166" s="9"/>
      <c r="I166" s="9"/>
      <c r="J166" s="9"/>
      <c r="K166" s="9"/>
      <c r="M166" s="9"/>
      <c r="N166" s="9"/>
      <c r="P166" s="9"/>
      <c r="Q166" s="9"/>
      <c r="S166" s="9"/>
      <c r="T166" s="9"/>
      <c r="V166" s="9"/>
      <c r="W166" s="9"/>
      <c r="X166" s="9"/>
      <c r="Y166" s="9"/>
      <c r="Z166" s="9"/>
      <c r="AA166" s="9"/>
      <c r="AB166" s="9"/>
      <c r="AE166" s="9"/>
      <c r="AF166" s="9"/>
      <c r="AG166" s="9"/>
      <c r="AH166" s="9"/>
      <c r="AI166" s="9"/>
      <c r="AJ166" s="9"/>
      <c r="AK166" s="9"/>
      <c r="AL166" s="107"/>
      <c r="AM166" s="107"/>
      <c r="AN166" s="107"/>
      <c r="AO166" s="107"/>
    </row>
    <row r="167" spans="1:41" x14ac:dyDescent="0.25">
      <c r="C167" s="9"/>
      <c r="D167" s="9"/>
      <c r="F167" s="9"/>
      <c r="G167" s="9"/>
      <c r="I167" s="9"/>
      <c r="J167" s="9"/>
      <c r="K167" s="9"/>
      <c r="M167" s="9"/>
      <c r="N167" s="9"/>
      <c r="P167" s="9"/>
      <c r="Q167" s="9"/>
      <c r="S167" s="9"/>
      <c r="T167" s="9"/>
      <c r="V167" s="9"/>
      <c r="W167" s="9"/>
      <c r="X167" s="9"/>
      <c r="Y167" s="9"/>
      <c r="Z167" s="9"/>
      <c r="AA167" s="9"/>
      <c r="AB167" s="9"/>
      <c r="AE167" s="9"/>
      <c r="AF167" s="9"/>
      <c r="AG167" s="9"/>
      <c r="AH167" s="9"/>
      <c r="AI167" s="9"/>
      <c r="AJ167" s="9"/>
      <c r="AK167" s="9"/>
      <c r="AL167" s="107"/>
      <c r="AM167" s="107"/>
      <c r="AN167" s="107"/>
      <c r="AO167" s="107"/>
    </row>
    <row r="168" spans="1:41" x14ac:dyDescent="0.25">
      <c r="C168" s="9"/>
      <c r="D168" s="9"/>
      <c r="F168" s="9"/>
      <c r="G168" s="9"/>
      <c r="I168" s="9"/>
      <c r="J168" s="9"/>
      <c r="K168" s="9"/>
      <c r="M168" s="9"/>
      <c r="N168" s="9"/>
      <c r="P168" s="9"/>
      <c r="Q168" s="9"/>
      <c r="S168" s="9"/>
      <c r="T168" s="9"/>
      <c r="V168" s="9"/>
      <c r="W168" s="9"/>
      <c r="X168" s="9"/>
      <c r="Y168" s="9"/>
      <c r="Z168" s="9"/>
      <c r="AA168" s="9"/>
      <c r="AB168" s="9"/>
      <c r="AE168" s="9"/>
      <c r="AF168" s="9"/>
      <c r="AG168" s="9"/>
      <c r="AH168" s="9"/>
      <c r="AI168" s="9"/>
      <c r="AJ168" s="9"/>
      <c r="AK168" s="9"/>
      <c r="AL168" s="107"/>
      <c r="AM168" s="107"/>
      <c r="AN168" s="107"/>
      <c r="AO168" s="107"/>
    </row>
    <row r="169" spans="1:41" s="268" customFormat="1" x14ac:dyDescent="0.25">
      <c r="A169" s="107"/>
      <c r="B169" s="107"/>
      <c r="C169" s="9"/>
      <c r="D169" s="9"/>
      <c r="E169" s="107"/>
      <c r="F169" s="9"/>
      <c r="G169" s="9"/>
      <c r="H169" s="107"/>
      <c r="I169" s="9"/>
      <c r="J169" s="9"/>
      <c r="K169" s="9"/>
      <c r="L169" s="107"/>
      <c r="M169" s="9"/>
      <c r="N169" s="9"/>
      <c r="O169" s="107"/>
      <c r="P169" s="9"/>
      <c r="Q169" s="9"/>
      <c r="R169" s="107"/>
      <c r="S169" s="9"/>
      <c r="T169" s="9"/>
      <c r="U169" s="107"/>
      <c r="V169" s="9"/>
      <c r="W169" s="9"/>
      <c r="X169" s="9"/>
      <c r="Y169" s="9"/>
      <c r="Z169" s="9"/>
      <c r="AA169" s="9"/>
      <c r="AB169" s="9"/>
      <c r="AC169" s="107"/>
      <c r="AD169" s="107"/>
      <c r="AE169" s="9"/>
      <c r="AF169" s="9"/>
      <c r="AG169" s="9"/>
      <c r="AH169" s="9"/>
      <c r="AI169" s="9"/>
      <c r="AJ169" s="9"/>
      <c r="AK169" s="9"/>
    </row>
    <row r="170" spans="1:41" s="268" customFormat="1" x14ac:dyDescent="0.25">
      <c r="A170" s="107"/>
      <c r="B170" s="107"/>
      <c r="C170" s="9"/>
      <c r="D170" s="9"/>
      <c r="E170" s="107"/>
      <c r="F170" s="9"/>
      <c r="G170" s="9"/>
      <c r="H170" s="107"/>
      <c r="I170" s="9"/>
      <c r="J170" s="9"/>
      <c r="K170" s="9"/>
      <c r="L170" s="107"/>
      <c r="M170" s="9"/>
      <c r="N170" s="9"/>
      <c r="O170" s="107"/>
      <c r="P170" s="9"/>
      <c r="Q170" s="9"/>
      <c r="R170" s="107"/>
      <c r="S170" s="9"/>
      <c r="T170" s="9"/>
      <c r="U170" s="107"/>
      <c r="V170" s="9"/>
      <c r="W170" s="9"/>
      <c r="X170" s="9"/>
      <c r="Y170" s="9"/>
      <c r="Z170" s="9"/>
      <c r="AA170" s="9"/>
      <c r="AB170" s="9"/>
      <c r="AC170" s="107"/>
      <c r="AD170" s="107"/>
      <c r="AE170" s="9"/>
      <c r="AF170" s="9"/>
      <c r="AG170" s="9"/>
      <c r="AH170" s="9"/>
      <c r="AI170" s="9"/>
      <c r="AJ170" s="9"/>
      <c r="AK170" s="9"/>
    </row>
    <row r="171" spans="1:41" s="268" customFormat="1" x14ac:dyDescent="0.25">
      <c r="A171" s="107"/>
      <c r="B171" s="107"/>
      <c r="C171" s="9"/>
      <c r="D171" s="9"/>
      <c r="E171" s="107"/>
      <c r="F171" s="9"/>
      <c r="G171" s="9"/>
      <c r="H171" s="107"/>
      <c r="I171" s="9"/>
      <c r="J171" s="9"/>
      <c r="K171" s="9"/>
      <c r="L171" s="107"/>
      <c r="M171" s="9"/>
      <c r="N171" s="9"/>
      <c r="O171" s="107"/>
      <c r="P171" s="9"/>
      <c r="Q171" s="9"/>
      <c r="R171" s="107"/>
      <c r="S171" s="9"/>
      <c r="T171" s="9"/>
      <c r="U171" s="107"/>
      <c r="V171" s="9"/>
      <c r="W171" s="9"/>
      <c r="X171" s="9"/>
      <c r="Y171" s="9"/>
      <c r="Z171" s="9"/>
      <c r="AA171" s="9"/>
      <c r="AB171" s="9"/>
      <c r="AC171" s="107"/>
      <c r="AD171" s="107"/>
      <c r="AE171" s="9"/>
      <c r="AF171" s="9"/>
      <c r="AG171" s="9"/>
      <c r="AH171" s="9"/>
      <c r="AI171" s="9"/>
      <c r="AJ171" s="9"/>
      <c r="AK171" s="9"/>
    </row>
    <row r="172" spans="1:41" s="268" customFormat="1" x14ac:dyDescent="0.25">
      <c r="A172" s="107"/>
      <c r="B172" s="107"/>
      <c r="C172" s="9"/>
      <c r="D172" s="9"/>
      <c r="E172" s="107"/>
      <c r="F172" s="9"/>
      <c r="G172" s="9"/>
      <c r="H172" s="107"/>
      <c r="I172" s="9"/>
      <c r="J172" s="9"/>
      <c r="K172" s="9"/>
      <c r="L172" s="107"/>
      <c r="M172" s="9"/>
      <c r="N172" s="9"/>
      <c r="O172" s="107"/>
      <c r="P172" s="9"/>
      <c r="Q172" s="9"/>
      <c r="R172" s="107"/>
      <c r="S172" s="9"/>
      <c r="T172" s="9"/>
      <c r="U172" s="107"/>
      <c r="V172" s="9"/>
      <c r="W172" s="9"/>
      <c r="X172" s="9"/>
      <c r="Y172" s="9"/>
      <c r="Z172" s="9"/>
      <c r="AA172" s="9"/>
      <c r="AB172" s="9"/>
      <c r="AC172" s="107"/>
      <c r="AD172" s="107"/>
      <c r="AE172" s="9"/>
      <c r="AF172" s="9"/>
      <c r="AG172" s="9"/>
      <c r="AH172" s="9"/>
      <c r="AI172" s="9"/>
      <c r="AJ172" s="9"/>
      <c r="AK172" s="9"/>
    </row>
    <row r="173" spans="1:41" s="268" customFormat="1" x14ac:dyDescent="0.25">
      <c r="A173" s="107"/>
      <c r="B173" s="107"/>
      <c r="C173" s="9"/>
      <c r="D173" s="9"/>
      <c r="E173" s="107"/>
      <c r="F173" s="9"/>
      <c r="G173" s="9"/>
      <c r="H173" s="107"/>
      <c r="I173" s="9"/>
      <c r="J173" s="9"/>
      <c r="K173" s="9"/>
      <c r="L173" s="107"/>
      <c r="M173" s="9"/>
      <c r="N173" s="9"/>
      <c r="O173" s="107"/>
      <c r="P173" s="9"/>
      <c r="Q173" s="9"/>
      <c r="R173" s="107"/>
      <c r="S173" s="9"/>
      <c r="T173" s="9"/>
      <c r="U173" s="107"/>
      <c r="V173" s="9"/>
      <c r="W173" s="9"/>
      <c r="X173" s="9"/>
      <c r="Y173" s="9"/>
      <c r="Z173" s="9"/>
      <c r="AA173" s="9"/>
      <c r="AB173" s="9"/>
      <c r="AC173" s="107"/>
      <c r="AD173" s="107"/>
      <c r="AE173" s="9"/>
      <c r="AF173" s="9"/>
      <c r="AG173" s="9"/>
      <c r="AH173" s="9"/>
      <c r="AI173" s="9"/>
      <c r="AJ173" s="9"/>
      <c r="AK173" s="9"/>
    </row>
    <row r="174" spans="1:41" s="268" customFormat="1" x14ac:dyDescent="0.25">
      <c r="A174" s="107"/>
      <c r="B174" s="107"/>
      <c r="C174" s="9"/>
      <c r="D174" s="9"/>
      <c r="E174" s="107"/>
      <c r="F174" s="9"/>
      <c r="G174" s="9"/>
      <c r="H174" s="107"/>
      <c r="I174" s="9"/>
      <c r="J174" s="9"/>
      <c r="K174" s="9"/>
      <c r="L174" s="107"/>
      <c r="M174" s="9"/>
      <c r="N174" s="9"/>
      <c r="O174" s="107"/>
      <c r="P174" s="9"/>
      <c r="Q174" s="9"/>
      <c r="R174" s="107"/>
      <c r="S174" s="9"/>
      <c r="T174" s="9"/>
      <c r="U174" s="107"/>
      <c r="V174" s="9"/>
      <c r="W174" s="9"/>
      <c r="X174" s="9"/>
      <c r="Y174" s="9"/>
      <c r="Z174" s="9"/>
      <c r="AA174" s="9"/>
      <c r="AB174" s="9"/>
      <c r="AC174" s="107"/>
      <c r="AD174" s="107"/>
      <c r="AE174" s="9"/>
      <c r="AF174" s="9"/>
      <c r="AG174" s="9"/>
      <c r="AH174" s="9"/>
      <c r="AI174" s="9"/>
      <c r="AJ174" s="9"/>
      <c r="AK174" s="9"/>
    </row>
    <row r="175" spans="1:41" s="268" customFormat="1" x14ac:dyDescent="0.25">
      <c r="A175" s="107"/>
      <c r="B175" s="107"/>
      <c r="C175" s="9"/>
      <c r="D175" s="9"/>
      <c r="E175" s="107"/>
      <c r="F175" s="9"/>
      <c r="G175" s="9"/>
      <c r="H175" s="107"/>
      <c r="I175" s="9"/>
      <c r="J175" s="9"/>
      <c r="K175" s="9"/>
      <c r="L175" s="107"/>
      <c r="M175" s="9"/>
      <c r="N175" s="9"/>
      <c r="O175" s="107"/>
      <c r="P175" s="9"/>
      <c r="Q175" s="9"/>
      <c r="R175" s="107"/>
      <c r="S175" s="9"/>
      <c r="T175" s="9"/>
      <c r="U175" s="107"/>
      <c r="V175" s="9"/>
      <c r="W175" s="9"/>
      <c r="X175" s="9"/>
      <c r="Y175" s="9"/>
      <c r="Z175" s="9"/>
      <c r="AA175" s="9"/>
      <c r="AB175" s="9"/>
      <c r="AC175" s="107"/>
      <c r="AD175" s="107"/>
      <c r="AE175" s="9"/>
      <c r="AF175" s="9"/>
      <c r="AG175" s="9"/>
      <c r="AH175" s="9"/>
      <c r="AI175" s="9"/>
      <c r="AJ175" s="9"/>
      <c r="AK175" s="9"/>
    </row>
    <row r="176" spans="1:41" s="268" customFormat="1" x14ac:dyDescent="0.25">
      <c r="A176" s="107"/>
      <c r="B176" s="107"/>
      <c r="C176" s="9"/>
      <c r="D176" s="9"/>
      <c r="E176" s="107"/>
      <c r="F176" s="9"/>
      <c r="G176" s="9"/>
      <c r="H176" s="107"/>
      <c r="I176" s="9"/>
      <c r="J176" s="9"/>
      <c r="K176" s="9"/>
      <c r="L176" s="107"/>
      <c r="M176" s="9"/>
      <c r="N176" s="9"/>
      <c r="O176" s="107"/>
      <c r="P176" s="9"/>
      <c r="Q176" s="9"/>
      <c r="R176" s="107"/>
      <c r="S176" s="9"/>
      <c r="T176" s="9"/>
      <c r="U176" s="107"/>
      <c r="V176" s="9"/>
      <c r="W176" s="9"/>
      <c r="X176" s="9"/>
      <c r="Y176" s="9"/>
      <c r="Z176" s="9"/>
      <c r="AA176" s="9"/>
      <c r="AB176" s="9"/>
      <c r="AC176" s="107"/>
      <c r="AD176" s="107"/>
      <c r="AE176" s="9"/>
      <c r="AF176" s="9"/>
      <c r="AG176" s="9"/>
      <c r="AH176" s="9"/>
      <c r="AI176" s="9"/>
      <c r="AJ176" s="9"/>
      <c r="AK176" s="9"/>
    </row>
    <row r="177" spans="1:39" s="268" customFormat="1" x14ac:dyDescent="0.25">
      <c r="A177" s="107"/>
      <c r="B177" s="107"/>
      <c r="C177" s="9"/>
      <c r="D177" s="9"/>
      <c r="E177" s="107"/>
      <c r="F177" s="9"/>
      <c r="G177" s="9"/>
      <c r="H177" s="107"/>
      <c r="I177" s="9"/>
      <c r="J177" s="9"/>
      <c r="K177" s="9"/>
      <c r="L177" s="107"/>
      <c r="M177" s="9"/>
      <c r="N177" s="9"/>
      <c r="O177" s="107"/>
      <c r="P177" s="9"/>
      <c r="Q177" s="9"/>
      <c r="R177" s="107"/>
      <c r="S177" s="9"/>
      <c r="T177" s="9"/>
      <c r="U177" s="107"/>
      <c r="V177" s="9"/>
      <c r="W177" s="9"/>
      <c r="X177" s="9"/>
      <c r="Y177" s="9"/>
      <c r="Z177" s="9"/>
      <c r="AA177" s="9"/>
      <c r="AB177" s="9"/>
      <c r="AC177" s="107"/>
      <c r="AD177" s="107"/>
      <c r="AE177" s="9"/>
      <c r="AF177" s="9"/>
      <c r="AG177" s="9"/>
      <c r="AH177" s="9"/>
      <c r="AI177" s="9"/>
      <c r="AJ177" s="9"/>
      <c r="AK177" s="9"/>
    </row>
    <row r="178" spans="1:39" s="268" customFormat="1" x14ac:dyDescent="0.25">
      <c r="A178" s="107"/>
      <c r="B178" s="107"/>
      <c r="C178" s="9"/>
      <c r="D178" s="9"/>
      <c r="E178" s="107"/>
      <c r="F178" s="9"/>
      <c r="G178" s="9"/>
      <c r="H178" s="107"/>
      <c r="I178" s="9"/>
      <c r="J178" s="9"/>
      <c r="K178" s="9"/>
      <c r="L178" s="107"/>
      <c r="M178" s="9"/>
      <c r="N178" s="9"/>
      <c r="O178" s="107"/>
      <c r="P178" s="9"/>
      <c r="Q178" s="9"/>
      <c r="R178" s="107"/>
      <c r="S178" s="9"/>
      <c r="T178" s="9"/>
      <c r="U178" s="107"/>
      <c r="V178" s="9"/>
      <c r="W178" s="9"/>
      <c r="X178" s="9"/>
      <c r="Y178" s="9"/>
      <c r="Z178" s="9"/>
      <c r="AA178" s="9"/>
      <c r="AB178" s="9"/>
      <c r="AC178" s="107"/>
      <c r="AD178" s="107"/>
      <c r="AE178" s="9"/>
      <c r="AF178" s="9"/>
      <c r="AG178" s="9"/>
      <c r="AH178" s="9"/>
      <c r="AI178" s="9"/>
      <c r="AJ178" s="9"/>
      <c r="AK178" s="9"/>
    </row>
    <row r="179" spans="1:39" s="268" customFormat="1" x14ac:dyDescent="0.25">
      <c r="A179" s="107"/>
      <c r="B179" s="107"/>
      <c r="C179" s="9"/>
      <c r="D179" s="9"/>
      <c r="E179" s="107"/>
      <c r="F179" s="9"/>
      <c r="G179" s="9"/>
      <c r="H179" s="107"/>
      <c r="I179" s="9"/>
      <c r="J179" s="9"/>
      <c r="K179" s="9"/>
      <c r="L179" s="107"/>
      <c r="M179" s="9"/>
      <c r="N179" s="9"/>
      <c r="O179" s="107"/>
      <c r="P179" s="9"/>
      <c r="Q179" s="9"/>
      <c r="R179" s="107"/>
      <c r="S179" s="9"/>
      <c r="T179" s="9"/>
      <c r="U179" s="107"/>
      <c r="V179" s="9"/>
      <c r="W179" s="9"/>
      <c r="X179" s="9"/>
      <c r="Y179" s="9"/>
      <c r="Z179" s="9"/>
      <c r="AA179" s="9"/>
      <c r="AB179" s="9"/>
      <c r="AC179" s="107"/>
      <c r="AD179" s="107"/>
      <c r="AE179" s="9"/>
      <c r="AF179" s="9"/>
      <c r="AG179" s="9"/>
      <c r="AH179" s="9"/>
      <c r="AI179" s="9"/>
      <c r="AJ179" s="9"/>
      <c r="AK179" s="9"/>
    </row>
    <row r="180" spans="1:39" s="268" customFormat="1" x14ac:dyDescent="0.25">
      <c r="A180" s="107"/>
      <c r="B180" s="107"/>
      <c r="C180" s="9"/>
      <c r="D180" s="9"/>
      <c r="E180" s="107"/>
      <c r="F180" s="9"/>
      <c r="G180" s="9"/>
      <c r="H180" s="107"/>
      <c r="I180" s="9"/>
      <c r="J180" s="9"/>
      <c r="K180" s="9"/>
      <c r="L180" s="107"/>
      <c r="M180" s="9"/>
      <c r="N180" s="9"/>
      <c r="O180" s="107"/>
      <c r="P180" s="9"/>
      <c r="Q180" s="9"/>
      <c r="R180" s="107"/>
      <c r="S180" s="9"/>
      <c r="T180" s="9"/>
      <c r="U180" s="107"/>
      <c r="V180" s="9"/>
      <c r="W180" s="9"/>
      <c r="X180" s="9"/>
      <c r="Y180" s="9"/>
      <c r="Z180" s="9"/>
      <c r="AA180" s="9"/>
      <c r="AB180" s="9"/>
      <c r="AC180" s="107"/>
      <c r="AD180" s="107"/>
      <c r="AE180" s="9"/>
      <c r="AF180" s="9"/>
      <c r="AG180" s="9"/>
      <c r="AH180" s="9"/>
      <c r="AI180" s="9"/>
      <c r="AJ180" s="9"/>
      <c r="AK180" s="9"/>
    </row>
    <row r="181" spans="1:39" s="268" customFormat="1" x14ac:dyDescent="0.25">
      <c r="A181" s="107"/>
      <c r="B181" s="107"/>
      <c r="C181" s="9"/>
      <c r="D181" s="9"/>
      <c r="E181" s="107"/>
      <c r="F181" s="9"/>
      <c r="G181" s="9"/>
      <c r="H181" s="107"/>
      <c r="I181" s="9"/>
      <c r="J181" s="9"/>
      <c r="K181" s="9"/>
      <c r="L181" s="107"/>
      <c r="M181" s="9"/>
      <c r="N181" s="9"/>
      <c r="O181" s="107"/>
      <c r="P181" s="9"/>
      <c r="Q181" s="9"/>
      <c r="R181" s="107"/>
      <c r="S181" s="9"/>
      <c r="T181" s="9"/>
      <c r="U181" s="107"/>
      <c r="V181" s="9"/>
      <c r="W181" s="9"/>
      <c r="X181" s="9"/>
      <c r="Y181" s="9"/>
      <c r="Z181" s="9"/>
      <c r="AA181" s="9"/>
      <c r="AB181" s="9"/>
      <c r="AC181" s="107"/>
      <c r="AD181" s="107"/>
      <c r="AE181" s="9"/>
      <c r="AF181" s="9"/>
      <c r="AG181" s="9"/>
      <c r="AH181" s="9"/>
      <c r="AI181" s="9"/>
      <c r="AJ181" s="9"/>
      <c r="AK181" s="9"/>
    </row>
    <row r="182" spans="1:39" s="268" customFormat="1" x14ac:dyDescent="0.25">
      <c r="A182" s="107"/>
      <c r="B182" s="107"/>
      <c r="C182" s="9"/>
      <c r="D182" s="9"/>
      <c r="E182" s="107"/>
      <c r="F182" s="9"/>
      <c r="G182" s="9"/>
      <c r="H182" s="107"/>
      <c r="I182" s="9"/>
      <c r="J182" s="9"/>
      <c r="K182" s="9"/>
      <c r="L182" s="107"/>
      <c r="M182" s="9"/>
      <c r="N182" s="9"/>
      <c r="O182" s="107"/>
      <c r="P182" s="9"/>
      <c r="Q182" s="9"/>
      <c r="R182" s="107"/>
      <c r="S182" s="9"/>
      <c r="T182" s="9"/>
      <c r="U182" s="107"/>
      <c r="V182" s="9"/>
      <c r="W182" s="9"/>
      <c r="X182" s="9"/>
      <c r="Y182" s="9"/>
      <c r="Z182" s="9"/>
      <c r="AA182" s="9"/>
      <c r="AB182" s="9"/>
      <c r="AC182" s="107"/>
      <c r="AD182" s="107"/>
      <c r="AE182" s="9"/>
      <c r="AF182" s="9"/>
      <c r="AG182" s="9"/>
      <c r="AH182" s="9"/>
      <c r="AI182" s="9"/>
      <c r="AJ182" s="9"/>
      <c r="AK182" s="9"/>
    </row>
    <row r="183" spans="1:39" s="268" customFormat="1" x14ac:dyDescent="0.25">
      <c r="A183" s="107"/>
      <c r="B183" s="107"/>
      <c r="C183" s="9"/>
      <c r="D183" s="9"/>
      <c r="E183" s="107"/>
      <c r="F183" s="7"/>
      <c r="G183" s="7"/>
      <c r="H183" s="10"/>
      <c r="I183" s="7"/>
      <c r="J183" s="7"/>
      <c r="K183" s="7"/>
      <c r="L183" s="10"/>
      <c r="M183" s="7"/>
      <c r="N183" s="7"/>
      <c r="O183" s="10"/>
      <c r="P183" s="7"/>
      <c r="Q183" s="7"/>
      <c r="R183" s="10"/>
      <c r="S183" s="7"/>
      <c r="T183" s="7"/>
      <c r="U183" s="107"/>
      <c r="V183" s="7"/>
      <c r="W183" s="7"/>
      <c r="X183" s="7"/>
      <c r="Y183" s="7"/>
      <c r="Z183" s="7"/>
      <c r="AA183" s="7"/>
      <c r="AB183" s="7"/>
      <c r="AC183" s="10"/>
      <c r="AD183" s="10"/>
      <c r="AE183" s="7"/>
      <c r="AF183" s="7"/>
      <c r="AG183" s="7"/>
      <c r="AH183" s="7"/>
      <c r="AI183" s="7"/>
      <c r="AJ183" s="7"/>
      <c r="AK183" s="7"/>
      <c r="AL183" s="266"/>
      <c r="AM183" s="266"/>
    </row>
    <row r="184" spans="1:39" s="268" customFormat="1" x14ac:dyDescent="0.25">
      <c r="A184" s="107"/>
      <c r="B184" s="107"/>
      <c r="C184" s="9"/>
      <c r="D184" s="9"/>
      <c r="E184" s="107"/>
      <c r="F184" s="7"/>
      <c r="G184" s="7"/>
      <c r="H184" s="10"/>
      <c r="I184" s="7"/>
      <c r="J184" s="7"/>
      <c r="K184" s="7"/>
      <c r="L184" s="10"/>
      <c r="M184" s="7"/>
      <c r="N184" s="7"/>
      <c r="O184" s="10"/>
      <c r="P184" s="7"/>
      <c r="Q184" s="7"/>
      <c r="R184" s="10"/>
      <c r="S184" s="7"/>
      <c r="T184" s="7"/>
      <c r="U184" s="107"/>
      <c r="V184" s="7"/>
      <c r="W184" s="7"/>
      <c r="X184" s="7"/>
      <c r="Y184" s="7"/>
      <c r="Z184" s="7"/>
      <c r="AA184" s="7"/>
      <c r="AB184" s="7"/>
      <c r="AC184" s="10"/>
      <c r="AD184" s="10"/>
      <c r="AE184" s="7"/>
      <c r="AF184" s="7"/>
      <c r="AG184" s="7"/>
      <c r="AH184" s="7"/>
      <c r="AI184" s="7"/>
      <c r="AJ184" s="7"/>
      <c r="AK184" s="7"/>
      <c r="AL184" s="266"/>
      <c r="AM184" s="266"/>
    </row>
    <row r="185" spans="1:39" s="268" customFormat="1" x14ac:dyDescent="0.25">
      <c r="A185" s="107"/>
      <c r="B185" s="107"/>
      <c r="C185" s="9"/>
      <c r="D185" s="9"/>
      <c r="E185" s="107"/>
      <c r="F185" s="7"/>
      <c r="G185" s="7"/>
      <c r="H185" s="10"/>
      <c r="I185" s="7"/>
      <c r="J185" s="7"/>
      <c r="K185" s="7"/>
      <c r="L185" s="10"/>
      <c r="M185" s="7"/>
      <c r="N185" s="7"/>
      <c r="O185" s="10"/>
      <c r="P185" s="7"/>
      <c r="Q185" s="7"/>
      <c r="R185" s="10"/>
      <c r="S185" s="7"/>
      <c r="T185" s="7"/>
      <c r="U185" s="107"/>
      <c r="V185" s="7"/>
      <c r="W185" s="7"/>
      <c r="X185" s="7"/>
      <c r="Y185" s="7"/>
      <c r="Z185" s="7"/>
      <c r="AA185" s="7"/>
      <c r="AB185" s="7"/>
      <c r="AC185" s="10"/>
      <c r="AD185" s="10"/>
      <c r="AE185" s="7"/>
      <c r="AF185" s="7"/>
      <c r="AG185" s="7"/>
      <c r="AH185" s="7"/>
      <c r="AI185" s="7"/>
      <c r="AJ185" s="7"/>
      <c r="AK185" s="7"/>
      <c r="AL185" s="266"/>
      <c r="AM185" s="266"/>
    </row>
    <row r="186" spans="1:39" s="268" customFormat="1" x14ac:dyDescent="0.25">
      <c r="A186" s="107"/>
      <c r="B186" s="107"/>
      <c r="C186" s="9"/>
      <c r="D186" s="9"/>
      <c r="E186" s="107"/>
      <c r="F186" s="7"/>
      <c r="G186" s="7"/>
      <c r="H186" s="10"/>
      <c r="I186" s="7"/>
      <c r="J186" s="7"/>
      <c r="K186" s="7"/>
      <c r="L186" s="10"/>
      <c r="M186" s="7"/>
      <c r="N186" s="7"/>
      <c r="O186" s="10"/>
      <c r="P186" s="7"/>
      <c r="Q186" s="7"/>
      <c r="R186" s="10"/>
      <c r="S186" s="7"/>
      <c r="T186" s="7"/>
      <c r="U186" s="107"/>
      <c r="V186" s="7"/>
      <c r="W186" s="7"/>
      <c r="X186" s="7"/>
      <c r="Y186" s="7"/>
      <c r="Z186" s="7"/>
      <c r="AA186" s="7"/>
      <c r="AB186" s="7"/>
      <c r="AC186" s="10"/>
      <c r="AD186" s="10"/>
      <c r="AE186" s="7"/>
      <c r="AF186" s="7"/>
      <c r="AG186" s="7"/>
      <c r="AH186" s="7"/>
      <c r="AI186" s="7"/>
      <c r="AJ186" s="7"/>
      <c r="AK186" s="7"/>
      <c r="AL186" s="266"/>
      <c r="AM186" s="266"/>
    </row>
    <row r="187" spans="1:39" s="268" customFormat="1" x14ac:dyDescent="0.25">
      <c r="A187" s="107"/>
      <c r="B187" s="107"/>
      <c r="C187" s="9"/>
      <c r="D187" s="9"/>
      <c r="E187" s="107"/>
      <c r="F187" s="7"/>
      <c r="G187" s="7"/>
      <c r="H187" s="10"/>
      <c r="I187" s="7"/>
      <c r="J187" s="7"/>
      <c r="K187" s="7"/>
      <c r="L187" s="10"/>
      <c r="M187" s="7"/>
      <c r="N187" s="7"/>
      <c r="O187" s="10"/>
      <c r="P187" s="7"/>
      <c r="Q187" s="7"/>
      <c r="R187" s="10"/>
      <c r="S187" s="7"/>
      <c r="T187" s="7"/>
      <c r="U187" s="107"/>
      <c r="V187" s="7"/>
      <c r="W187" s="7"/>
      <c r="X187" s="7"/>
      <c r="Y187" s="7"/>
      <c r="Z187" s="7"/>
      <c r="AA187" s="7"/>
      <c r="AB187" s="7"/>
      <c r="AC187" s="10"/>
      <c r="AD187" s="10"/>
      <c r="AE187" s="7"/>
      <c r="AF187" s="7"/>
      <c r="AG187" s="7"/>
      <c r="AH187" s="7"/>
      <c r="AI187" s="7"/>
      <c r="AJ187" s="7"/>
      <c r="AK187" s="7"/>
      <c r="AL187" s="266"/>
      <c r="AM187" s="266"/>
    </row>
    <row r="188" spans="1:39" s="268" customFormat="1" x14ac:dyDescent="0.25">
      <c r="A188" s="107"/>
      <c r="B188" s="107"/>
      <c r="C188" s="9"/>
      <c r="D188" s="9"/>
      <c r="E188" s="107"/>
      <c r="F188" s="7"/>
      <c r="G188" s="7"/>
      <c r="H188" s="10"/>
      <c r="I188" s="7"/>
      <c r="J188" s="7"/>
      <c r="K188" s="7"/>
      <c r="L188" s="10"/>
      <c r="M188" s="7"/>
      <c r="N188" s="7"/>
      <c r="O188" s="10"/>
      <c r="P188" s="7"/>
      <c r="Q188" s="7"/>
      <c r="R188" s="10"/>
      <c r="S188" s="7"/>
      <c r="T188" s="7"/>
      <c r="U188" s="107"/>
      <c r="V188" s="7"/>
      <c r="W188" s="7"/>
      <c r="X188" s="7"/>
      <c r="Y188" s="7"/>
      <c r="Z188" s="7"/>
      <c r="AA188" s="7"/>
      <c r="AB188" s="7"/>
      <c r="AC188" s="10"/>
      <c r="AD188" s="10"/>
      <c r="AE188" s="7"/>
      <c r="AF188" s="7"/>
      <c r="AG188" s="7"/>
      <c r="AH188" s="7"/>
      <c r="AI188" s="7"/>
      <c r="AJ188" s="7"/>
      <c r="AK188" s="7"/>
      <c r="AL188" s="266"/>
      <c r="AM188" s="266"/>
    </row>
    <row r="189" spans="1:39" s="268" customFormat="1" x14ac:dyDescent="0.25">
      <c r="A189" s="107"/>
      <c r="B189" s="107"/>
      <c r="C189" s="9"/>
      <c r="D189" s="9"/>
      <c r="E189" s="107"/>
      <c r="F189" s="7"/>
      <c r="G189" s="7"/>
      <c r="H189" s="10"/>
      <c r="I189" s="7"/>
      <c r="J189" s="7"/>
      <c r="K189" s="7"/>
      <c r="L189" s="10"/>
      <c r="M189" s="7"/>
      <c r="N189" s="7"/>
      <c r="O189" s="10"/>
      <c r="P189" s="7"/>
      <c r="Q189" s="7"/>
      <c r="R189" s="10"/>
      <c r="S189" s="7"/>
      <c r="T189" s="7"/>
      <c r="U189" s="107"/>
      <c r="V189" s="7"/>
      <c r="W189" s="7"/>
      <c r="X189" s="7"/>
      <c r="Y189" s="7"/>
      <c r="Z189" s="7"/>
      <c r="AA189" s="7"/>
      <c r="AB189" s="7"/>
      <c r="AC189" s="10"/>
      <c r="AD189" s="10"/>
      <c r="AE189" s="7"/>
      <c r="AF189" s="7"/>
      <c r="AG189" s="7"/>
      <c r="AH189" s="7"/>
      <c r="AI189" s="7"/>
      <c r="AJ189" s="7"/>
      <c r="AK189" s="7"/>
      <c r="AL189" s="266"/>
      <c r="AM189" s="266"/>
    </row>
    <row r="190" spans="1:39" s="268" customFormat="1" x14ac:dyDescent="0.25">
      <c r="A190" s="107"/>
      <c r="B190" s="107"/>
      <c r="C190" s="9"/>
      <c r="D190" s="9"/>
      <c r="E190" s="107"/>
      <c r="F190" s="7"/>
      <c r="G190" s="7"/>
      <c r="H190" s="10"/>
      <c r="I190" s="7"/>
      <c r="J190" s="7"/>
      <c r="K190" s="7"/>
      <c r="L190" s="10"/>
      <c r="M190" s="7"/>
      <c r="N190" s="7"/>
      <c r="O190" s="10"/>
      <c r="P190" s="7"/>
      <c r="Q190" s="7"/>
      <c r="R190" s="10"/>
      <c r="S190" s="7"/>
      <c r="T190" s="7"/>
      <c r="U190" s="107"/>
      <c r="V190" s="7"/>
      <c r="W190" s="7"/>
      <c r="X190" s="7"/>
      <c r="Y190" s="7"/>
      <c r="Z190" s="7"/>
      <c r="AA190" s="7"/>
      <c r="AB190" s="7"/>
      <c r="AC190" s="10"/>
      <c r="AD190" s="10"/>
      <c r="AE190" s="7"/>
      <c r="AF190" s="7"/>
      <c r="AG190" s="7"/>
      <c r="AH190" s="7"/>
      <c r="AI190" s="7"/>
      <c r="AJ190" s="7"/>
      <c r="AK190" s="7"/>
      <c r="AL190" s="266"/>
      <c r="AM190" s="266"/>
    </row>
    <row r="191" spans="1:39" s="268" customFormat="1" x14ac:dyDescent="0.25">
      <c r="A191" s="107"/>
      <c r="B191" s="107"/>
      <c r="C191" s="9"/>
      <c r="D191" s="9"/>
      <c r="E191" s="107"/>
      <c r="F191" s="7"/>
      <c r="G191" s="7"/>
      <c r="H191" s="10"/>
      <c r="I191" s="7"/>
      <c r="J191" s="7"/>
      <c r="K191" s="7"/>
      <c r="L191" s="10"/>
      <c r="M191" s="7"/>
      <c r="N191" s="7"/>
      <c r="O191" s="10"/>
      <c r="P191" s="7"/>
      <c r="Q191" s="7"/>
      <c r="R191" s="10"/>
      <c r="S191" s="7"/>
      <c r="T191" s="7"/>
      <c r="U191" s="107"/>
      <c r="V191" s="7"/>
      <c r="W191" s="7"/>
      <c r="X191" s="7"/>
      <c r="Y191" s="7"/>
      <c r="Z191" s="7"/>
      <c r="AA191" s="7"/>
      <c r="AB191" s="7"/>
      <c r="AC191" s="10"/>
      <c r="AD191" s="10"/>
      <c r="AE191" s="7"/>
      <c r="AF191" s="7"/>
      <c r="AG191" s="7"/>
      <c r="AH191" s="7"/>
      <c r="AI191" s="7"/>
      <c r="AJ191" s="7"/>
      <c r="AK191" s="7"/>
      <c r="AL191" s="266"/>
      <c r="AM191" s="266"/>
    </row>
    <row r="192" spans="1:39" s="268" customFormat="1" x14ac:dyDescent="0.25">
      <c r="A192" s="107"/>
      <c r="B192" s="107"/>
      <c r="C192" s="9"/>
      <c r="D192" s="9"/>
      <c r="E192" s="107"/>
      <c r="F192" s="7"/>
      <c r="G192" s="7"/>
      <c r="H192" s="10"/>
      <c r="I192" s="7"/>
      <c r="J192" s="7"/>
      <c r="K192" s="7"/>
      <c r="L192" s="10"/>
      <c r="M192" s="7"/>
      <c r="N192" s="7"/>
      <c r="O192" s="10"/>
      <c r="P192" s="7"/>
      <c r="Q192" s="7"/>
      <c r="R192" s="10"/>
      <c r="S192" s="7"/>
      <c r="T192" s="7"/>
      <c r="U192" s="107"/>
      <c r="V192" s="7"/>
      <c r="W192" s="7"/>
      <c r="X192" s="7"/>
      <c r="Y192" s="7"/>
      <c r="Z192" s="7"/>
      <c r="AA192" s="7"/>
      <c r="AB192" s="7"/>
      <c r="AC192" s="10"/>
      <c r="AD192" s="10"/>
      <c r="AE192" s="7"/>
      <c r="AF192" s="7"/>
      <c r="AG192" s="7"/>
      <c r="AH192" s="7"/>
      <c r="AI192" s="7"/>
      <c r="AJ192" s="7"/>
      <c r="AK192" s="7"/>
      <c r="AL192" s="266"/>
      <c r="AM192" s="266"/>
    </row>
    <row r="193" spans="1:39" s="268" customFormat="1" x14ac:dyDescent="0.25">
      <c r="A193" s="107"/>
      <c r="B193" s="107"/>
      <c r="C193" s="9"/>
      <c r="D193" s="9"/>
      <c r="E193" s="107"/>
      <c r="F193" s="7"/>
      <c r="G193" s="7"/>
      <c r="H193" s="10"/>
      <c r="I193" s="7"/>
      <c r="J193" s="7"/>
      <c r="K193" s="7"/>
      <c r="L193" s="10"/>
      <c r="M193" s="7"/>
      <c r="N193" s="7"/>
      <c r="O193" s="10"/>
      <c r="P193" s="7"/>
      <c r="Q193" s="7"/>
      <c r="R193" s="10"/>
      <c r="S193" s="7"/>
      <c r="T193" s="7"/>
      <c r="U193" s="107"/>
      <c r="V193" s="7"/>
      <c r="W193" s="7"/>
      <c r="X193" s="7"/>
      <c r="Y193" s="7"/>
      <c r="Z193" s="7"/>
      <c r="AA193" s="7"/>
      <c r="AB193" s="7"/>
      <c r="AC193" s="10"/>
      <c r="AD193" s="10"/>
      <c r="AE193" s="7"/>
      <c r="AF193" s="7"/>
      <c r="AG193" s="7"/>
      <c r="AH193" s="7"/>
      <c r="AI193" s="7"/>
      <c r="AJ193" s="7"/>
      <c r="AK193" s="7"/>
      <c r="AL193" s="266"/>
      <c r="AM193" s="266"/>
    </row>
    <row r="194" spans="1:39" s="268" customFormat="1" x14ac:dyDescent="0.25">
      <c r="A194" s="107"/>
      <c r="B194" s="107"/>
      <c r="C194" s="9"/>
      <c r="D194" s="9"/>
      <c r="E194" s="107"/>
      <c r="F194" s="7"/>
      <c r="G194" s="7"/>
      <c r="H194" s="10"/>
      <c r="I194" s="7"/>
      <c r="J194" s="7"/>
      <c r="K194" s="7"/>
      <c r="L194" s="10"/>
      <c r="M194" s="7"/>
      <c r="N194" s="7"/>
      <c r="O194" s="10"/>
      <c r="P194" s="7"/>
      <c r="Q194" s="7"/>
      <c r="R194" s="10"/>
      <c r="S194" s="7"/>
      <c r="T194" s="7"/>
      <c r="U194" s="107"/>
      <c r="V194" s="7"/>
      <c r="W194" s="7"/>
      <c r="X194" s="7"/>
      <c r="Y194" s="7"/>
      <c r="Z194" s="7"/>
      <c r="AA194" s="7"/>
      <c r="AB194" s="7"/>
      <c r="AC194" s="10"/>
      <c r="AD194" s="10"/>
      <c r="AE194" s="7"/>
      <c r="AF194" s="7"/>
      <c r="AG194" s="7"/>
      <c r="AH194" s="7"/>
      <c r="AI194" s="7"/>
      <c r="AJ194" s="7"/>
      <c r="AK194" s="7"/>
      <c r="AL194" s="266"/>
      <c r="AM194" s="266"/>
    </row>
    <row r="195" spans="1:39" s="268" customFormat="1" x14ac:dyDescent="0.25">
      <c r="A195" s="107"/>
      <c r="B195" s="107"/>
      <c r="C195" s="9"/>
      <c r="D195" s="9"/>
      <c r="E195" s="107"/>
      <c r="F195" s="7"/>
      <c r="G195" s="7"/>
      <c r="H195" s="10"/>
      <c r="I195" s="7"/>
      <c r="J195" s="7"/>
      <c r="K195" s="7"/>
      <c r="L195" s="10"/>
      <c r="M195" s="7"/>
      <c r="N195" s="7"/>
      <c r="O195" s="10"/>
      <c r="P195" s="7"/>
      <c r="Q195" s="7"/>
      <c r="R195" s="10"/>
      <c r="S195" s="7"/>
      <c r="T195" s="7"/>
      <c r="U195" s="107"/>
      <c r="V195" s="7"/>
      <c r="W195" s="7"/>
      <c r="X195" s="7"/>
      <c r="Y195" s="7"/>
      <c r="Z195" s="7"/>
      <c r="AA195" s="7"/>
      <c r="AB195" s="7"/>
      <c r="AC195" s="10"/>
      <c r="AD195" s="10"/>
      <c r="AE195" s="7"/>
      <c r="AF195" s="7"/>
      <c r="AG195" s="7"/>
      <c r="AH195" s="7"/>
      <c r="AI195" s="7"/>
      <c r="AJ195" s="7"/>
      <c r="AK195" s="7"/>
      <c r="AL195" s="266"/>
      <c r="AM195" s="266"/>
    </row>
    <row r="196" spans="1:39" s="268" customFormat="1" x14ac:dyDescent="0.25">
      <c r="A196" s="107"/>
      <c r="B196" s="107"/>
      <c r="C196" s="9"/>
      <c r="D196" s="9"/>
      <c r="E196" s="107"/>
      <c r="F196" s="7"/>
      <c r="G196" s="7"/>
      <c r="H196" s="10"/>
      <c r="I196" s="7"/>
      <c r="J196" s="7"/>
      <c r="K196" s="7"/>
      <c r="L196" s="10"/>
      <c r="M196" s="7"/>
      <c r="N196" s="7"/>
      <c r="O196" s="10"/>
      <c r="P196" s="7"/>
      <c r="Q196" s="7"/>
      <c r="R196" s="10"/>
      <c r="S196" s="7"/>
      <c r="T196" s="7"/>
      <c r="U196" s="107"/>
      <c r="V196" s="7"/>
      <c r="W196" s="7"/>
      <c r="X196" s="7"/>
      <c r="Y196" s="7"/>
      <c r="Z196" s="7"/>
      <c r="AA196" s="7"/>
      <c r="AB196" s="7"/>
      <c r="AC196" s="10"/>
      <c r="AD196" s="10"/>
      <c r="AE196" s="7"/>
      <c r="AF196" s="7"/>
      <c r="AG196" s="7"/>
      <c r="AH196" s="7"/>
      <c r="AI196" s="7"/>
      <c r="AJ196" s="7"/>
      <c r="AK196" s="7"/>
      <c r="AL196" s="266"/>
      <c r="AM196" s="266"/>
    </row>
    <row r="197" spans="1:39" s="268" customFormat="1" x14ac:dyDescent="0.25">
      <c r="A197" s="107"/>
      <c r="B197" s="107"/>
      <c r="C197" s="9"/>
      <c r="D197" s="9"/>
      <c r="E197" s="107"/>
      <c r="F197" s="7"/>
      <c r="G197" s="7"/>
      <c r="H197" s="10"/>
      <c r="I197" s="7"/>
      <c r="J197" s="7"/>
      <c r="K197" s="7"/>
      <c r="L197" s="10"/>
      <c r="M197" s="7"/>
      <c r="N197" s="7"/>
      <c r="O197" s="10"/>
      <c r="P197" s="7"/>
      <c r="Q197" s="7"/>
      <c r="R197" s="10"/>
      <c r="S197" s="7"/>
      <c r="T197" s="7"/>
      <c r="U197" s="107"/>
      <c r="V197" s="7"/>
      <c r="W197" s="7"/>
      <c r="X197" s="7"/>
      <c r="Y197" s="7"/>
      <c r="Z197" s="7"/>
      <c r="AA197" s="7"/>
      <c r="AB197" s="7"/>
      <c r="AC197" s="10"/>
      <c r="AD197" s="10"/>
      <c r="AE197" s="7"/>
      <c r="AF197" s="7"/>
      <c r="AG197" s="7"/>
      <c r="AH197" s="7"/>
      <c r="AI197" s="7"/>
      <c r="AJ197" s="7"/>
      <c r="AK197" s="7"/>
      <c r="AL197" s="266"/>
      <c r="AM197" s="266"/>
    </row>
    <row r="198" spans="1:39" s="268" customFormat="1" x14ac:dyDescent="0.25">
      <c r="A198" s="107"/>
      <c r="B198" s="107"/>
      <c r="C198" s="9"/>
      <c r="D198" s="9"/>
      <c r="E198" s="107"/>
      <c r="F198" s="7"/>
      <c r="G198" s="7"/>
      <c r="H198" s="10"/>
      <c r="I198" s="7"/>
      <c r="J198" s="7"/>
      <c r="K198" s="7"/>
      <c r="L198" s="10"/>
      <c r="M198" s="7"/>
      <c r="N198" s="7"/>
      <c r="O198" s="10"/>
      <c r="P198" s="7"/>
      <c r="Q198" s="7"/>
      <c r="R198" s="10"/>
      <c r="S198" s="7"/>
      <c r="T198" s="7"/>
      <c r="U198" s="107"/>
      <c r="V198" s="7"/>
      <c r="W198" s="7"/>
      <c r="X198" s="7"/>
      <c r="Y198" s="7"/>
      <c r="Z198" s="7"/>
      <c r="AA198" s="7"/>
      <c r="AB198" s="7"/>
      <c r="AC198" s="10"/>
      <c r="AD198" s="10"/>
      <c r="AE198" s="7"/>
      <c r="AF198" s="7"/>
      <c r="AG198" s="7"/>
      <c r="AH198" s="7"/>
      <c r="AI198" s="7"/>
      <c r="AJ198" s="7"/>
      <c r="AK198" s="7"/>
      <c r="AL198" s="266"/>
      <c r="AM198" s="266"/>
    </row>
    <row r="199" spans="1:39" s="268" customFormat="1" x14ac:dyDescent="0.25">
      <c r="A199" s="107"/>
      <c r="B199" s="107"/>
      <c r="C199" s="9"/>
      <c r="D199" s="9"/>
      <c r="E199" s="107"/>
      <c r="F199" s="7"/>
      <c r="G199" s="7"/>
      <c r="H199" s="10"/>
      <c r="I199" s="7"/>
      <c r="J199" s="7"/>
      <c r="K199" s="7"/>
      <c r="L199" s="10"/>
      <c r="M199" s="7"/>
      <c r="N199" s="7"/>
      <c r="O199" s="10"/>
      <c r="P199" s="7"/>
      <c r="Q199" s="7"/>
      <c r="R199" s="10"/>
      <c r="S199" s="7"/>
      <c r="T199" s="7"/>
      <c r="U199" s="107"/>
      <c r="V199" s="7"/>
      <c r="W199" s="7"/>
      <c r="X199" s="7"/>
      <c r="Y199" s="7"/>
      <c r="Z199" s="7"/>
      <c r="AA199" s="7"/>
      <c r="AB199" s="7"/>
      <c r="AC199" s="10"/>
      <c r="AD199" s="10"/>
      <c r="AE199" s="7"/>
      <c r="AF199" s="7"/>
      <c r="AG199" s="7"/>
      <c r="AH199" s="7"/>
      <c r="AI199" s="7"/>
      <c r="AJ199" s="7"/>
      <c r="AK199" s="7"/>
      <c r="AL199" s="266"/>
      <c r="AM199" s="266"/>
    </row>
    <row r="200" spans="1:39" s="268" customFormat="1" x14ac:dyDescent="0.25">
      <c r="A200" s="107"/>
      <c r="B200" s="107"/>
      <c r="C200" s="9"/>
      <c r="D200" s="9"/>
      <c r="E200" s="107"/>
      <c r="F200" s="7"/>
      <c r="G200" s="7"/>
      <c r="H200" s="10"/>
      <c r="I200" s="7"/>
      <c r="J200" s="7"/>
      <c r="K200" s="7"/>
      <c r="L200" s="10"/>
      <c r="M200" s="7"/>
      <c r="N200" s="7"/>
      <c r="O200" s="10"/>
      <c r="P200" s="7"/>
      <c r="Q200" s="7"/>
      <c r="R200" s="10"/>
      <c r="S200" s="7"/>
      <c r="T200" s="7"/>
      <c r="U200" s="107"/>
      <c r="V200" s="7"/>
      <c r="W200" s="7"/>
      <c r="X200" s="7"/>
      <c r="Y200" s="7"/>
      <c r="Z200" s="7"/>
      <c r="AA200" s="7"/>
      <c r="AB200" s="7"/>
      <c r="AC200" s="10"/>
      <c r="AD200" s="10"/>
      <c r="AE200" s="7"/>
      <c r="AF200" s="7"/>
      <c r="AG200" s="7"/>
      <c r="AH200" s="7"/>
      <c r="AI200" s="7"/>
      <c r="AJ200" s="7"/>
      <c r="AK200" s="7"/>
      <c r="AL200" s="266"/>
      <c r="AM200" s="266"/>
    </row>
    <row r="201" spans="1:39" s="268" customFormat="1" x14ac:dyDescent="0.25">
      <c r="A201" s="107"/>
      <c r="B201" s="107"/>
      <c r="C201" s="9"/>
      <c r="D201" s="9"/>
      <c r="E201" s="107"/>
      <c r="F201" s="7"/>
      <c r="G201" s="7"/>
      <c r="H201" s="10"/>
      <c r="I201" s="7"/>
      <c r="J201" s="7"/>
      <c r="K201" s="7"/>
      <c r="L201" s="10"/>
      <c r="M201" s="7"/>
      <c r="N201" s="7"/>
      <c r="O201" s="10"/>
      <c r="P201" s="7"/>
      <c r="Q201" s="7"/>
      <c r="R201" s="10"/>
      <c r="S201" s="7"/>
      <c r="T201" s="7"/>
      <c r="U201" s="107"/>
      <c r="V201" s="7"/>
      <c r="W201" s="7"/>
      <c r="X201" s="7"/>
      <c r="Y201" s="7"/>
      <c r="Z201" s="7"/>
      <c r="AA201" s="7"/>
      <c r="AB201" s="7"/>
      <c r="AC201" s="10"/>
      <c r="AD201" s="10"/>
      <c r="AE201" s="7"/>
      <c r="AF201" s="7"/>
      <c r="AG201" s="7"/>
      <c r="AH201" s="7"/>
      <c r="AI201" s="7"/>
      <c r="AJ201" s="7"/>
      <c r="AK201" s="7"/>
      <c r="AL201" s="266"/>
      <c r="AM201" s="266"/>
    </row>
    <row r="202" spans="1:39" s="268" customFormat="1" x14ac:dyDescent="0.25">
      <c r="A202" s="107"/>
      <c r="B202" s="107"/>
      <c r="C202" s="9"/>
      <c r="D202" s="9"/>
      <c r="E202" s="107"/>
      <c r="F202" s="7"/>
      <c r="G202" s="7"/>
      <c r="H202" s="10"/>
      <c r="I202" s="7"/>
      <c r="J202" s="7"/>
      <c r="K202" s="7"/>
      <c r="L202" s="10"/>
      <c r="M202" s="7"/>
      <c r="N202" s="7"/>
      <c r="O202" s="10"/>
      <c r="P202" s="7"/>
      <c r="Q202" s="7"/>
      <c r="R202" s="10"/>
      <c r="S202" s="7"/>
      <c r="T202" s="7"/>
      <c r="U202" s="107"/>
      <c r="V202" s="7"/>
      <c r="W202" s="7"/>
      <c r="X202" s="7"/>
      <c r="Y202" s="7"/>
      <c r="Z202" s="7"/>
      <c r="AA202" s="7"/>
      <c r="AB202" s="7"/>
      <c r="AC202" s="10"/>
      <c r="AD202" s="10"/>
      <c r="AE202" s="7"/>
      <c r="AF202" s="7"/>
      <c r="AG202" s="7"/>
      <c r="AH202" s="7"/>
      <c r="AI202" s="7"/>
      <c r="AJ202" s="7"/>
      <c r="AK202" s="7"/>
      <c r="AL202" s="266"/>
      <c r="AM202" s="266"/>
    </row>
    <row r="203" spans="1:39" s="268" customFormat="1" x14ac:dyDescent="0.25">
      <c r="A203" s="107"/>
      <c r="B203" s="107"/>
      <c r="C203" s="9"/>
      <c r="D203" s="9"/>
      <c r="E203" s="107"/>
      <c r="F203" s="7"/>
      <c r="G203" s="7"/>
      <c r="H203" s="10"/>
      <c r="I203" s="7"/>
      <c r="J203" s="7"/>
      <c r="K203" s="7"/>
      <c r="L203" s="10"/>
      <c r="M203" s="7"/>
      <c r="N203" s="7"/>
      <c r="O203" s="10"/>
      <c r="P203" s="7"/>
      <c r="Q203" s="7"/>
      <c r="R203" s="10"/>
      <c r="S203" s="7"/>
      <c r="T203" s="7"/>
      <c r="U203" s="107"/>
      <c r="V203" s="7"/>
      <c r="W203" s="7"/>
      <c r="X203" s="7"/>
      <c r="Y203" s="7"/>
      <c r="Z203" s="7"/>
      <c r="AA203" s="7"/>
      <c r="AB203" s="7"/>
      <c r="AC203" s="10"/>
      <c r="AD203" s="10"/>
      <c r="AE203" s="7"/>
      <c r="AF203" s="7"/>
      <c r="AG203" s="7"/>
      <c r="AH203" s="7"/>
      <c r="AI203" s="7"/>
      <c r="AJ203" s="7"/>
      <c r="AK203" s="7"/>
      <c r="AL203" s="266"/>
      <c r="AM203" s="266"/>
    </row>
    <row r="204" spans="1:39" s="268" customFormat="1" x14ac:dyDescent="0.25">
      <c r="A204" s="107"/>
      <c r="B204" s="107"/>
      <c r="C204" s="9"/>
      <c r="D204" s="9"/>
      <c r="E204" s="107"/>
      <c r="F204" s="7"/>
      <c r="G204" s="7"/>
      <c r="H204" s="10"/>
      <c r="I204" s="7"/>
      <c r="J204" s="7"/>
      <c r="K204" s="7"/>
      <c r="L204" s="10"/>
      <c r="M204" s="7"/>
      <c r="N204" s="7"/>
      <c r="O204" s="10"/>
      <c r="P204" s="7"/>
      <c r="Q204" s="7"/>
      <c r="R204" s="10"/>
      <c r="S204" s="7"/>
      <c r="T204" s="7"/>
      <c r="U204" s="107"/>
      <c r="V204" s="7"/>
      <c r="W204" s="7"/>
      <c r="X204" s="7"/>
      <c r="Y204" s="7"/>
      <c r="Z204" s="7"/>
      <c r="AA204" s="7"/>
      <c r="AB204" s="7"/>
      <c r="AC204" s="10"/>
      <c r="AD204" s="10"/>
      <c r="AE204" s="7"/>
      <c r="AF204" s="7"/>
      <c r="AG204" s="7"/>
      <c r="AH204" s="7"/>
      <c r="AI204" s="7"/>
      <c r="AJ204" s="7"/>
      <c r="AK204" s="7"/>
      <c r="AL204" s="266"/>
      <c r="AM204" s="266"/>
    </row>
    <row r="205" spans="1:39" s="268" customFormat="1" x14ac:dyDescent="0.25">
      <c r="A205" s="107"/>
      <c r="B205" s="107"/>
      <c r="C205" s="9"/>
      <c r="D205" s="9"/>
      <c r="E205" s="107"/>
      <c r="F205" s="7"/>
      <c r="G205" s="7"/>
      <c r="H205" s="10"/>
      <c r="I205" s="7"/>
      <c r="J205" s="7"/>
      <c r="K205" s="7"/>
      <c r="L205" s="10"/>
      <c r="M205" s="7"/>
      <c r="N205" s="7"/>
      <c r="O205" s="10"/>
      <c r="P205" s="7"/>
      <c r="Q205" s="7"/>
      <c r="R205" s="10"/>
      <c r="S205" s="7"/>
      <c r="T205" s="7"/>
      <c r="U205" s="107"/>
      <c r="V205" s="7"/>
      <c r="W205" s="7"/>
      <c r="X205" s="7"/>
      <c r="Y205" s="7"/>
      <c r="Z205" s="7"/>
      <c r="AA205" s="7"/>
      <c r="AB205" s="7"/>
      <c r="AC205" s="10"/>
      <c r="AD205" s="10"/>
      <c r="AE205" s="7"/>
      <c r="AF205" s="7"/>
      <c r="AG205" s="7"/>
      <c r="AH205" s="7"/>
      <c r="AI205" s="7"/>
      <c r="AJ205" s="7"/>
      <c r="AK205" s="7"/>
      <c r="AL205" s="266"/>
      <c r="AM205" s="266"/>
    </row>
    <row r="206" spans="1:39" s="268" customFormat="1" x14ac:dyDescent="0.25">
      <c r="A206" s="107"/>
      <c r="B206" s="107"/>
      <c r="C206" s="9"/>
      <c r="D206" s="9"/>
      <c r="E206" s="107"/>
      <c r="F206" s="7"/>
      <c r="G206" s="7"/>
      <c r="H206" s="10"/>
      <c r="I206" s="7"/>
      <c r="J206" s="7"/>
      <c r="K206" s="7"/>
      <c r="L206" s="10"/>
      <c r="M206" s="7"/>
      <c r="N206" s="7"/>
      <c r="O206" s="10"/>
      <c r="P206" s="7"/>
      <c r="Q206" s="7"/>
      <c r="R206" s="10"/>
      <c r="S206" s="7"/>
      <c r="T206" s="7"/>
      <c r="U206" s="107"/>
      <c r="V206" s="7"/>
      <c r="W206" s="7"/>
      <c r="X206" s="7"/>
      <c r="Y206" s="7"/>
      <c r="Z206" s="7"/>
      <c r="AA206" s="7"/>
      <c r="AB206" s="7"/>
      <c r="AC206" s="10"/>
      <c r="AD206" s="10"/>
      <c r="AE206" s="7"/>
      <c r="AF206" s="7"/>
      <c r="AG206" s="7"/>
      <c r="AH206" s="7"/>
      <c r="AI206" s="7"/>
      <c r="AJ206" s="7"/>
      <c r="AK206" s="7"/>
      <c r="AL206" s="266"/>
      <c r="AM206" s="266"/>
    </row>
    <row r="207" spans="1:39" s="268" customFormat="1" x14ac:dyDescent="0.25">
      <c r="A207" s="107"/>
      <c r="B207" s="107"/>
      <c r="C207" s="9"/>
      <c r="D207" s="9"/>
      <c r="E207" s="107"/>
      <c r="F207" s="7"/>
      <c r="G207" s="7"/>
      <c r="H207" s="10"/>
      <c r="I207" s="7"/>
      <c r="J207" s="7"/>
      <c r="K207" s="7"/>
      <c r="L207" s="10"/>
      <c r="M207" s="7"/>
      <c r="N207" s="7"/>
      <c r="O207" s="10"/>
      <c r="P207" s="7"/>
      <c r="Q207" s="7"/>
      <c r="R207" s="10"/>
      <c r="S207" s="7"/>
      <c r="T207" s="7"/>
      <c r="U207" s="107"/>
      <c r="V207" s="7"/>
      <c r="W207" s="7"/>
      <c r="X207" s="7"/>
      <c r="Y207" s="7"/>
      <c r="Z207" s="7"/>
      <c r="AA207" s="7"/>
      <c r="AB207" s="7"/>
      <c r="AC207" s="10"/>
      <c r="AD207" s="10"/>
      <c r="AE207" s="7"/>
      <c r="AF207" s="7"/>
      <c r="AG207" s="7"/>
      <c r="AH207" s="7"/>
      <c r="AI207" s="7"/>
      <c r="AJ207" s="7"/>
      <c r="AK207" s="7"/>
      <c r="AL207" s="266"/>
      <c r="AM207" s="266"/>
    </row>
    <row r="208" spans="1:39" s="268" customFormat="1" x14ac:dyDescent="0.25">
      <c r="A208" s="107"/>
      <c r="B208" s="107"/>
      <c r="C208" s="7"/>
      <c r="D208" s="7"/>
      <c r="E208" s="10"/>
      <c r="F208" s="7"/>
      <c r="G208" s="7"/>
      <c r="H208" s="10"/>
      <c r="I208" s="7"/>
      <c r="J208" s="7"/>
      <c r="K208" s="7"/>
      <c r="L208" s="10"/>
      <c r="M208" s="7"/>
      <c r="N208" s="7"/>
      <c r="O208" s="10"/>
      <c r="P208" s="7"/>
      <c r="Q208" s="7"/>
      <c r="R208" s="10"/>
      <c r="S208" s="7"/>
      <c r="T208" s="7"/>
      <c r="U208" s="107"/>
      <c r="V208" s="7"/>
      <c r="W208" s="7"/>
      <c r="X208" s="7"/>
      <c r="Y208" s="7"/>
      <c r="Z208" s="7"/>
      <c r="AA208" s="7"/>
      <c r="AB208" s="7"/>
      <c r="AC208" s="10"/>
      <c r="AD208" s="10"/>
      <c r="AE208" s="7"/>
      <c r="AF208" s="7"/>
      <c r="AG208" s="7"/>
      <c r="AH208" s="7"/>
      <c r="AI208" s="7"/>
      <c r="AJ208" s="7"/>
      <c r="AK208" s="7"/>
      <c r="AL208" s="266"/>
      <c r="AM208" s="266"/>
    </row>
    <row r="209" spans="1:39" s="268" customFormat="1" x14ac:dyDescent="0.25">
      <c r="A209" s="107"/>
      <c r="B209" s="107"/>
      <c r="C209" s="7"/>
      <c r="D209" s="7"/>
      <c r="E209" s="10"/>
      <c r="F209" s="7"/>
      <c r="G209" s="7"/>
      <c r="H209" s="10"/>
      <c r="I209" s="7"/>
      <c r="J209" s="7"/>
      <c r="K209" s="7"/>
      <c r="L209" s="10"/>
      <c r="M209" s="7"/>
      <c r="N209" s="7"/>
      <c r="O209" s="10"/>
      <c r="P209" s="7"/>
      <c r="Q209" s="7"/>
      <c r="R209" s="10"/>
      <c r="S209" s="7"/>
      <c r="T209" s="7"/>
      <c r="U209" s="107"/>
      <c r="V209" s="7"/>
      <c r="W209" s="7"/>
      <c r="X209" s="7"/>
      <c r="Y209" s="7"/>
      <c r="Z209" s="7"/>
      <c r="AA209" s="7"/>
      <c r="AB209" s="7"/>
      <c r="AC209" s="10"/>
      <c r="AD209" s="10"/>
      <c r="AE209" s="7"/>
      <c r="AF209" s="7"/>
      <c r="AG209" s="7"/>
      <c r="AH209" s="7"/>
      <c r="AI209" s="7"/>
      <c r="AJ209" s="7"/>
      <c r="AK209" s="7"/>
      <c r="AL209" s="266"/>
      <c r="AM209" s="266"/>
    </row>
    <row r="210" spans="1:39" s="268" customFormat="1" x14ac:dyDescent="0.25">
      <c r="A210" s="107"/>
      <c r="B210" s="107"/>
      <c r="C210" s="7"/>
      <c r="D210" s="7"/>
      <c r="E210" s="10"/>
      <c r="F210" s="7"/>
      <c r="G210" s="7"/>
      <c r="H210" s="10"/>
      <c r="I210" s="7"/>
      <c r="J210" s="7"/>
      <c r="K210" s="7"/>
      <c r="L210" s="10"/>
      <c r="M210" s="7"/>
      <c r="N210" s="7"/>
      <c r="O210" s="10"/>
      <c r="P210" s="7"/>
      <c r="Q210" s="7"/>
      <c r="R210" s="10"/>
      <c r="S210" s="7"/>
      <c r="T210" s="7"/>
      <c r="U210" s="107"/>
      <c r="V210" s="7"/>
      <c r="W210" s="7"/>
      <c r="X210" s="7"/>
      <c r="Y210" s="7"/>
      <c r="Z210" s="7"/>
      <c r="AA210" s="7"/>
      <c r="AB210" s="7"/>
      <c r="AC210" s="10"/>
      <c r="AD210" s="10"/>
      <c r="AE210" s="7"/>
      <c r="AF210" s="7"/>
      <c r="AG210" s="7"/>
      <c r="AH210" s="7"/>
      <c r="AI210" s="7"/>
      <c r="AJ210" s="7"/>
      <c r="AK210" s="7"/>
      <c r="AL210" s="266"/>
      <c r="AM210" s="266"/>
    </row>
    <row r="211" spans="1:39" s="268" customFormat="1" x14ac:dyDescent="0.25">
      <c r="A211" s="107"/>
      <c r="B211" s="107"/>
      <c r="C211" s="7"/>
      <c r="D211" s="7"/>
      <c r="E211" s="10"/>
      <c r="F211" s="7"/>
      <c r="G211" s="7"/>
      <c r="H211" s="10"/>
      <c r="I211" s="7"/>
      <c r="J211" s="7"/>
      <c r="K211" s="7"/>
      <c r="L211" s="10"/>
      <c r="M211" s="7"/>
      <c r="N211" s="7"/>
      <c r="O211" s="10"/>
      <c r="P211" s="7"/>
      <c r="Q211" s="7"/>
      <c r="R211" s="10"/>
      <c r="S211" s="7"/>
      <c r="T211" s="7"/>
      <c r="U211" s="107"/>
      <c r="V211" s="7"/>
      <c r="W211" s="7"/>
      <c r="X211" s="7"/>
      <c r="Y211" s="7"/>
      <c r="Z211" s="7"/>
      <c r="AA211" s="7"/>
      <c r="AB211" s="7"/>
      <c r="AC211" s="10"/>
      <c r="AD211" s="10"/>
      <c r="AE211" s="7"/>
      <c r="AF211" s="7"/>
      <c r="AG211" s="7"/>
      <c r="AH211" s="7"/>
      <c r="AI211" s="7"/>
      <c r="AJ211" s="7"/>
      <c r="AK211" s="7"/>
      <c r="AL211" s="266"/>
      <c r="AM211" s="266"/>
    </row>
    <row r="212" spans="1:39" s="268" customFormat="1" x14ac:dyDescent="0.25">
      <c r="A212" s="107"/>
      <c r="B212" s="107"/>
      <c r="C212" s="7"/>
      <c r="D212" s="7"/>
      <c r="E212" s="10"/>
      <c r="F212" s="7"/>
      <c r="G212" s="7"/>
      <c r="H212" s="10"/>
      <c r="I212" s="7"/>
      <c r="J212" s="7"/>
      <c r="K212" s="7"/>
      <c r="L212" s="10"/>
      <c r="M212" s="7"/>
      <c r="N212" s="7"/>
      <c r="O212" s="10"/>
      <c r="P212" s="7"/>
      <c r="Q212" s="7"/>
      <c r="R212" s="10"/>
      <c r="S212" s="7"/>
      <c r="T212" s="7"/>
      <c r="U212" s="107"/>
      <c r="V212" s="7"/>
      <c r="W212" s="7"/>
      <c r="X212" s="7"/>
      <c r="Y212" s="7"/>
      <c r="Z212" s="7"/>
      <c r="AA212" s="7"/>
      <c r="AB212" s="7"/>
      <c r="AC212" s="10"/>
      <c r="AD212" s="10"/>
      <c r="AE212" s="7"/>
      <c r="AF212" s="7"/>
      <c r="AG212" s="7"/>
      <c r="AH212" s="7"/>
      <c r="AI212" s="7"/>
      <c r="AJ212" s="7"/>
      <c r="AK212" s="7"/>
      <c r="AL212" s="266"/>
      <c r="AM212" s="266"/>
    </row>
    <row r="213" spans="1:39" s="268" customFormat="1" x14ac:dyDescent="0.25">
      <c r="A213" s="107"/>
      <c r="B213" s="107"/>
      <c r="C213" s="7"/>
      <c r="D213" s="7"/>
      <c r="E213" s="10"/>
      <c r="F213" s="7"/>
      <c r="G213" s="7"/>
      <c r="H213" s="10"/>
      <c r="I213" s="7"/>
      <c r="J213" s="7"/>
      <c r="K213" s="7"/>
      <c r="L213" s="10"/>
      <c r="M213" s="7"/>
      <c r="N213" s="7"/>
      <c r="O213" s="10"/>
      <c r="P213" s="7"/>
      <c r="Q213" s="7"/>
      <c r="R213" s="10"/>
      <c r="S213" s="7"/>
      <c r="T213" s="7"/>
      <c r="U213" s="107"/>
      <c r="V213" s="7"/>
      <c r="W213" s="7"/>
      <c r="X213" s="7"/>
      <c r="Y213" s="7"/>
      <c r="Z213" s="7"/>
      <c r="AA213" s="7"/>
      <c r="AB213" s="7"/>
      <c r="AC213" s="10"/>
      <c r="AD213" s="10"/>
      <c r="AE213" s="7"/>
      <c r="AF213" s="7"/>
      <c r="AG213" s="7"/>
      <c r="AH213" s="7"/>
      <c r="AI213" s="7"/>
      <c r="AJ213" s="7"/>
      <c r="AK213" s="7"/>
      <c r="AL213" s="266"/>
      <c r="AM213" s="266"/>
    </row>
    <row r="214" spans="1:39" s="268" customFormat="1" x14ac:dyDescent="0.25">
      <c r="A214" s="107"/>
      <c r="B214" s="107"/>
      <c r="C214" s="7"/>
      <c r="D214" s="7"/>
      <c r="E214" s="10"/>
      <c r="F214" s="7"/>
      <c r="G214" s="7"/>
      <c r="H214" s="10"/>
      <c r="I214" s="7"/>
      <c r="J214" s="7"/>
      <c r="K214" s="7"/>
      <c r="L214" s="10"/>
      <c r="M214" s="7"/>
      <c r="N214" s="7"/>
      <c r="O214" s="10"/>
      <c r="P214" s="7"/>
      <c r="Q214" s="7"/>
      <c r="R214" s="10"/>
      <c r="S214" s="7"/>
      <c r="T214" s="7"/>
      <c r="U214" s="107"/>
      <c r="V214" s="7"/>
      <c r="W214" s="7"/>
      <c r="X214" s="7"/>
      <c r="Y214" s="7"/>
      <c r="Z214" s="7"/>
      <c r="AA214" s="7"/>
      <c r="AB214" s="7"/>
      <c r="AC214" s="10"/>
      <c r="AD214" s="10"/>
      <c r="AE214" s="7"/>
      <c r="AF214" s="7"/>
      <c r="AG214" s="7"/>
      <c r="AH214" s="7"/>
      <c r="AI214" s="7"/>
      <c r="AJ214" s="7"/>
      <c r="AK214" s="7"/>
      <c r="AL214" s="266"/>
      <c r="AM214" s="266"/>
    </row>
    <row r="215" spans="1:39" s="268" customFormat="1" x14ac:dyDescent="0.25">
      <c r="A215" s="107"/>
      <c r="B215" s="107"/>
      <c r="C215" s="7"/>
      <c r="D215" s="7"/>
      <c r="E215" s="10"/>
      <c r="F215" s="7"/>
      <c r="G215" s="7"/>
      <c r="H215" s="10"/>
      <c r="I215" s="7"/>
      <c r="J215" s="7"/>
      <c r="K215" s="7"/>
      <c r="L215" s="10"/>
      <c r="M215" s="7"/>
      <c r="N215" s="7"/>
      <c r="O215" s="10"/>
      <c r="P215" s="7"/>
      <c r="Q215" s="7"/>
      <c r="R215" s="10"/>
      <c r="S215" s="7"/>
      <c r="T215" s="7"/>
      <c r="U215" s="107"/>
      <c r="V215" s="7"/>
      <c r="W215" s="7"/>
      <c r="X215" s="7"/>
      <c r="Y215" s="7"/>
      <c r="Z215" s="7"/>
      <c r="AA215" s="7"/>
      <c r="AB215" s="7"/>
      <c r="AC215" s="10"/>
      <c r="AD215" s="10"/>
      <c r="AE215" s="7"/>
      <c r="AF215" s="7"/>
      <c r="AG215" s="7"/>
      <c r="AH215" s="7"/>
      <c r="AI215" s="7"/>
      <c r="AJ215" s="7"/>
      <c r="AK215" s="7"/>
      <c r="AL215" s="266"/>
      <c r="AM215" s="266"/>
    </row>
    <row r="216" spans="1:39" s="268" customFormat="1" x14ac:dyDescent="0.25">
      <c r="A216" s="107"/>
      <c r="B216" s="107"/>
      <c r="C216" s="7"/>
      <c r="D216" s="7"/>
      <c r="E216" s="10"/>
      <c r="F216" s="7"/>
      <c r="G216" s="7"/>
      <c r="H216" s="10"/>
      <c r="I216" s="7"/>
      <c r="J216" s="7"/>
      <c r="K216" s="7"/>
      <c r="L216" s="10"/>
      <c r="M216" s="7"/>
      <c r="N216" s="7"/>
      <c r="O216" s="10"/>
      <c r="P216" s="7"/>
      <c r="Q216" s="7"/>
      <c r="R216" s="10"/>
      <c r="S216" s="7"/>
      <c r="T216" s="7"/>
      <c r="U216" s="107"/>
      <c r="V216" s="7"/>
      <c r="W216" s="7"/>
      <c r="X216" s="7"/>
      <c r="Y216" s="7"/>
      <c r="Z216" s="7"/>
      <c r="AA216" s="7"/>
      <c r="AB216" s="7"/>
      <c r="AC216" s="10"/>
      <c r="AD216" s="10"/>
      <c r="AE216" s="7"/>
      <c r="AF216" s="7"/>
      <c r="AG216" s="7"/>
      <c r="AH216" s="7"/>
      <c r="AI216" s="7"/>
      <c r="AJ216" s="7"/>
      <c r="AK216" s="7"/>
      <c r="AL216" s="266"/>
      <c r="AM216" s="266"/>
    </row>
    <row r="217" spans="1:39" s="268" customFormat="1" x14ac:dyDescent="0.25">
      <c r="A217" s="107"/>
      <c r="B217" s="107"/>
      <c r="C217" s="7"/>
      <c r="D217" s="7"/>
      <c r="E217" s="10"/>
      <c r="F217" s="7"/>
      <c r="G217" s="7"/>
      <c r="H217" s="10"/>
      <c r="I217" s="7"/>
      <c r="J217" s="7"/>
      <c r="K217" s="7"/>
      <c r="L217" s="10"/>
      <c r="M217" s="7"/>
      <c r="N217" s="7"/>
      <c r="O217" s="10"/>
      <c r="P217" s="7"/>
      <c r="Q217" s="7"/>
      <c r="R217" s="10"/>
      <c r="S217" s="7"/>
      <c r="T217" s="7"/>
      <c r="U217" s="107"/>
      <c r="V217" s="7"/>
      <c r="W217" s="7"/>
      <c r="X217" s="7"/>
      <c r="Y217" s="7"/>
      <c r="Z217" s="7"/>
      <c r="AA217" s="7"/>
      <c r="AB217" s="7"/>
      <c r="AC217" s="10"/>
      <c r="AD217" s="10"/>
      <c r="AE217" s="7"/>
      <c r="AF217" s="7"/>
      <c r="AG217" s="7"/>
      <c r="AH217" s="7"/>
      <c r="AI217" s="7"/>
      <c r="AJ217" s="7"/>
      <c r="AK217" s="7"/>
      <c r="AL217" s="266"/>
      <c r="AM217" s="266"/>
    </row>
    <row r="218" spans="1:39" s="268" customFormat="1" x14ac:dyDescent="0.25">
      <c r="A218" s="107"/>
      <c r="B218" s="107"/>
      <c r="C218" s="7"/>
      <c r="D218" s="7"/>
      <c r="E218" s="10"/>
      <c r="F218" s="7"/>
      <c r="G218" s="7"/>
      <c r="H218" s="10"/>
      <c r="I218" s="7"/>
      <c r="J218" s="7"/>
      <c r="K218" s="7"/>
      <c r="L218" s="10"/>
      <c r="M218" s="7"/>
      <c r="N218" s="7"/>
      <c r="O218" s="10"/>
      <c r="P218" s="7"/>
      <c r="Q218" s="7"/>
      <c r="R218" s="10"/>
      <c r="S218" s="7"/>
      <c r="T218" s="7"/>
      <c r="U218" s="107"/>
      <c r="V218" s="7"/>
      <c r="W218" s="7"/>
      <c r="X218" s="7"/>
      <c r="Y218" s="7"/>
      <c r="Z218" s="7"/>
      <c r="AA218" s="7"/>
      <c r="AB218" s="7"/>
      <c r="AC218" s="10"/>
      <c r="AD218" s="10"/>
      <c r="AE218" s="7"/>
      <c r="AF218" s="7"/>
      <c r="AG218" s="7"/>
      <c r="AH218" s="7"/>
      <c r="AI218" s="7"/>
      <c r="AJ218" s="7"/>
      <c r="AK218" s="7"/>
      <c r="AL218" s="266"/>
      <c r="AM218" s="266"/>
    </row>
    <row r="219" spans="1:39" s="268" customFormat="1" x14ac:dyDescent="0.25">
      <c r="A219" s="107"/>
      <c r="B219" s="107"/>
      <c r="C219" s="7"/>
      <c r="D219" s="7"/>
      <c r="E219" s="10"/>
      <c r="F219" s="7"/>
      <c r="G219" s="7"/>
      <c r="H219" s="10"/>
      <c r="I219" s="7"/>
      <c r="J219" s="7"/>
      <c r="K219" s="7"/>
      <c r="L219" s="10"/>
      <c r="M219" s="7"/>
      <c r="N219" s="7"/>
      <c r="O219" s="10"/>
      <c r="P219" s="7"/>
      <c r="Q219" s="7"/>
      <c r="R219" s="10"/>
      <c r="S219" s="7"/>
      <c r="T219" s="7"/>
      <c r="U219" s="107"/>
      <c r="V219" s="7"/>
      <c r="W219" s="7"/>
      <c r="X219" s="7"/>
      <c r="Y219" s="7"/>
      <c r="Z219" s="7"/>
      <c r="AA219" s="7"/>
      <c r="AB219" s="7"/>
      <c r="AC219" s="10"/>
      <c r="AD219" s="10"/>
      <c r="AE219" s="7"/>
      <c r="AF219" s="7"/>
      <c r="AG219" s="7"/>
      <c r="AH219" s="7"/>
      <c r="AI219" s="7"/>
      <c r="AJ219" s="7"/>
      <c r="AK219" s="7"/>
      <c r="AL219" s="266"/>
      <c r="AM219" s="266"/>
    </row>
    <row r="220" spans="1:39" s="268" customFormat="1" x14ac:dyDescent="0.25">
      <c r="A220" s="107"/>
      <c r="B220" s="107"/>
      <c r="C220" s="7"/>
      <c r="D220" s="7"/>
      <c r="E220" s="10"/>
      <c r="F220" s="7"/>
      <c r="G220" s="7"/>
      <c r="H220" s="10"/>
      <c r="I220" s="7"/>
      <c r="J220" s="7"/>
      <c r="K220" s="7"/>
      <c r="L220" s="10"/>
      <c r="M220" s="7"/>
      <c r="N220" s="7"/>
      <c r="O220" s="10"/>
      <c r="P220" s="7"/>
      <c r="Q220" s="7"/>
      <c r="R220" s="10"/>
      <c r="S220" s="7"/>
      <c r="T220" s="7"/>
      <c r="U220" s="107"/>
      <c r="V220" s="7"/>
      <c r="W220" s="7"/>
      <c r="X220" s="7"/>
      <c r="Y220" s="7"/>
      <c r="Z220" s="7"/>
      <c r="AA220" s="7"/>
      <c r="AB220" s="7"/>
      <c r="AC220" s="10"/>
      <c r="AD220" s="10"/>
      <c r="AE220" s="7"/>
      <c r="AF220" s="7"/>
      <c r="AG220" s="7"/>
      <c r="AH220" s="7"/>
      <c r="AI220" s="7"/>
      <c r="AJ220" s="7"/>
      <c r="AK220" s="7"/>
      <c r="AL220" s="266"/>
      <c r="AM220" s="266"/>
    </row>
    <row r="221" spans="1:39" s="268" customFormat="1" x14ac:dyDescent="0.25">
      <c r="A221" s="107"/>
      <c r="B221" s="107"/>
      <c r="C221" s="7"/>
      <c r="D221" s="7"/>
      <c r="E221" s="10"/>
      <c r="F221" s="7"/>
      <c r="G221" s="7"/>
      <c r="H221" s="10"/>
      <c r="I221" s="7"/>
      <c r="J221" s="7"/>
      <c r="K221" s="7"/>
      <c r="L221" s="10"/>
      <c r="M221" s="7"/>
      <c r="N221" s="7"/>
      <c r="O221" s="10"/>
      <c r="P221" s="7"/>
      <c r="Q221" s="7"/>
      <c r="R221" s="10"/>
      <c r="S221" s="7"/>
      <c r="T221" s="7"/>
      <c r="U221" s="107"/>
      <c r="V221" s="7"/>
      <c r="W221" s="7"/>
      <c r="X221" s="7"/>
      <c r="Y221" s="7"/>
      <c r="Z221" s="7"/>
      <c r="AA221" s="7"/>
      <c r="AB221" s="7"/>
      <c r="AC221" s="10"/>
      <c r="AD221" s="10"/>
      <c r="AE221" s="7"/>
      <c r="AF221" s="7"/>
      <c r="AG221" s="7"/>
      <c r="AH221" s="7"/>
      <c r="AI221" s="7"/>
      <c r="AJ221" s="7"/>
      <c r="AK221" s="7"/>
      <c r="AL221" s="266"/>
      <c r="AM221" s="266"/>
    </row>
    <row r="222" spans="1:39" s="268" customFormat="1" x14ac:dyDescent="0.25">
      <c r="A222" s="107"/>
      <c r="B222" s="107"/>
      <c r="C222" s="7"/>
      <c r="D222" s="7"/>
      <c r="E222" s="10"/>
      <c r="F222" s="7"/>
      <c r="G222" s="7"/>
      <c r="H222" s="10"/>
      <c r="I222" s="7"/>
      <c r="J222" s="7"/>
      <c r="K222" s="7"/>
      <c r="L222" s="10"/>
      <c r="M222" s="7"/>
      <c r="N222" s="7"/>
      <c r="O222" s="10"/>
      <c r="P222" s="7"/>
      <c r="Q222" s="7"/>
      <c r="R222" s="10"/>
      <c r="S222" s="7"/>
      <c r="T222" s="7"/>
      <c r="U222" s="107"/>
      <c r="V222" s="7"/>
      <c r="W222" s="7"/>
      <c r="X222" s="7"/>
      <c r="Y222" s="7"/>
      <c r="Z222" s="7"/>
      <c r="AA222" s="7"/>
      <c r="AB222" s="7"/>
      <c r="AC222" s="10"/>
      <c r="AD222" s="10"/>
      <c r="AE222" s="7"/>
      <c r="AF222" s="7"/>
      <c r="AG222" s="7"/>
      <c r="AH222" s="7"/>
      <c r="AI222" s="7"/>
      <c r="AJ222" s="7"/>
      <c r="AK222" s="7"/>
      <c r="AL222" s="266"/>
      <c r="AM222" s="266"/>
    </row>
    <row r="223" spans="1:39" s="268" customFormat="1" x14ac:dyDescent="0.25">
      <c r="A223" s="107"/>
      <c r="B223" s="107"/>
      <c r="C223" s="7"/>
      <c r="D223" s="7"/>
      <c r="E223" s="10"/>
      <c r="F223" s="7"/>
      <c r="G223" s="7"/>
      <c r="H223" s="10"/>
      <c r="I223" s="7"/>
      <c r="J223" s="7"/>
      <c r="K223" s="7"/>
      <c r="L223" s="10"/>
      <c r="M223" s="7"/>
      <c r="N223" s="7"/>
      <c r="O223" s="10"/>
      <c r="P223" s="7"/>
      <c r="Q223" s="7"/>
      <c r="R223" s="10"/>
      <c r="S223" s="7"/>
      <c r="T223" s="7"/>
      <c r="U223" s="107"/>
      <c r="V223" s="7"/>
      <c r="W223" s="7"/>
      <c r="X223" s="7"/>
      <c r="Y223" s="7"/>
      <c r="Z223" s="7"/>
      <c r="AA223" s="7"/>
      <c r="AB223" s="7"/>
      <c r="AC223" s="10"/>
      <c r="AD223" s="10"/>
      <c r="AE223" s="7"/>
      <c r="AF223" s="7"/>
      <c r="AG223" s="7"/>
      <c r="AH223" s="7"/>
      <c r="AI223" s="7"/>
      <c r="AJ223" s="7"/>
      <c r="AK223" s="7"/>
      <c r="AL223" s="266"/>
      <c r="AM223" s="266"/>
    </row>
    <row r="224" spans="1:39" s="268" customFormat="1" x14ac:dyDescent="0.25">
      <c r="A224" s="107"/>
      <c r="B224" s="107"/>
      <c r="C224" s="7"/>
      <c r="D224" s="7"/>
      <c r="E224" s="10"/>
      <c r="F224" s="7"/>
      <c r="G224" s="7"/>
      <c r="H224" s="10"/>
      <c r="I224" s="7"/>
      <c r="J224" s="7"/>
      <c r="K224" s="7"/>
      <c r="L224" s="10"/>
      <c r="M224" s="7"/>
      <c r="N224" s="7"/>
      <c r="O224" s="10"/>
      <c r="P224" s="7"/>
      <c r="Q224" s="7"/>
      <c r="R224" s="10"/>
      <c r="S224" s="7"/>
      <c r="T224" s="7"/>
      <c r="U224" s="107"/>
      <c r="V224" s="7"/>
      <c r="W224" s="7"/>
      <c r="X224" s="7"/>
      <c r="Y224" s="7"/>
      <c r="Z224" s="7"/>
      <c r="AA224" s="7"/>
      <c r="AB224" s="7"/>
      <c r="AC224" s="10"/>
      <c r="AD224" s="10"/>
      <c r="AE224" s="7"/>
      <c r="AF224" s="7"/>
      <c r="AG224" s="7"/>
      <c r="AH224" s="7"/>
      <c r="AI224" s="7"/>
      <c r="AJ224" s="7"/>
      <c r="AK224" s="7"/>
      <c r="AL224" s="266"/>
      <c r="AM224" s="266"/>
    </row>
    <row r="225" spans="1:39" s="268" customFormat="1" x14ac:dyDescent="0.25">
      <c r="A225" s="107"/>
      <c r="B225" s="107"/>
      <c r="C225" s="7"/>
      <c r="D225" s="7"/>
      <c r="E225" s="10"/>
      <c r="F225" s="7"/>
      <c r="G225" s="7"/>
      <c r="H225" s="10"/>
      <c r="I225" s="7"/>
      <c r="J225" s="7"/>
      <c r="K225" s="7"/>
      <c r="L225" s="10"/>
      <c r="M225" s="7"/>
      <c r="N225" s="7"/>
      <c r="O225" s="10"/>
      <c r="P225" s="7"/>
      <c r="Q225" s="7"/>
      <c r="R225" s="10"/>
      <c r="S225" s="7"/>
      <c r="T225" s="7"/>
      <c r="U225" s="107"/>
      <c r="V225" s="7"/>
      <c r="W225" s="7"/>
      <c r="X225" s="7"/>
      <c r="Y225" s="7"/>
      <c r="Z225" s="7"/>
      <c r="AA225" s="7"/>
      <c r="AB225" s="7"/>
      <c r="AC225" s="10"/>
      <c r="AD225" s="10"/>
      <c r="AE225" s="7"/>
      <c r="AF225" s="7"/>
      <c r="AG225" s="7"/>
      <c r="AH225" s="7"/>
      <c r="AI225" s="7"/>
      <c r="AJ225" s="7"/>
      <c r="AK225" s="7"/>
      <c r="AL225" s="266"/>
      <c r="AM225" s="266"/>
    </row>
    <row r="226" spans="1:39" s="268" customFormat="1" x14ac:dyDescent="0.25">
      <c r="A226" s="107"/>
      <c r="B226" s="107"/>
      <c r="C226" s="7"/>
      <c r="D226" s="7"/>
      <c r="E226" s="10"/>
      <c r="F226" s="7"/>
      <c r="G226" s="7"/>
      <c r="H226" s="10"/>
      <c r="I226" s="7"/>
      <c r="J226" s="7"/>
      <c r="K226" s="7"/>
      <c r="L226" s="10"/>
      <c r="M226" s="7"/>
      <c r="N226" s="7"/>
      <c r="O226" s="10"/>
      <c r="P226" s="7"/>
      <c r="Q226" s="7"/>
      <c r="R226" s="10"/>
      <c r="S226" s="7"/>
      <c r="T226" s="7"/>
      <c r="U226" s="107"/>
      <c r="V226" s="7"/>
      <c r="W226" s="7"/>
      <c r="X226" s="7"/>
      <c r="Y226" s="7"/>
      <c r="Z226" s="7"/>
      <c r="AA226" s="7"/>
      <c r="AB226" s="7"/>
      <c r="AC226" s="10"/>
      <c r="AD226" s="10"/>
      <c r="AE226" s="7"/>
      <c r="AF226" s="7"/>
      <c r="AG226" s="7"/>
      <c r="AH226" s="7"/>
      <c r="AI226" s="7"/>
      <c r="AJ226" s="7"/>
      <c r="AK226" s="7"/>
      <c r="AL226" s="266"/>
      <c r="AM226" s="266"/>
    </row>
    <row r="227" spans="1:39" s="268" customFormat="1" x14ac:dyDescent="0.25">
      <c r="A227" s="107"/>
      <c r="B227" s="107"/>
      <c r="C227" s="7"/>
      <c r="D227" s="7"/>
      <c r="E227" s="10"/>
      <c r="F227" s="7"/>
      <c r="G227" s="7"/>
      <c r="H227" s="10"/>
      <c r="I227" s="7"/>
      <c r="J227" s="7"/>
      <c r="K227" s="7"/>
      <c r="L227" s="10"/>
      <c r="M227" s="7"/>
      <c r="N227" s="7"/>
      <c r="O227" s="10"/>
      <c r="P227" s="7"/>
      <c r="Q227" s="7"/>
      <c r="R227" s="10"/>
      <c r="S227" s="7"/>
      <c r="T227" s="7"/>
      <c r="U227" s="107"/>
      <c r="V227" s="7"/>
      <c r="W227" s="7"/>
      <c r="X227" s="7"/>
      <c r="Y227" s="7"/>
      <c r="Z227" s="7"/>
      <c r="AA227" s="7"/>
      <c r="AB227" s="7"/>
      <c r="AC227" s="10"/>
      <c r="AD227" s="10"/>
      <c r="AE227" s="7"/>
      <c r="AF227" s="7"/>
      <c r="AG227" s="7"/>
      <c r="AH227" s="7"/>
      <c r="AI227" s="7"/>
      <c r="AJ227" s="7"/>
      <c r="AK227" s="7"/>
      <c r="AL227" s="266"/>
      <c r="AM227" s="266"/>
    </row>
    <row r="228" spans="1:39" s="268" customFormat="1" x14ac:dyDescent="0.25">
      <c r="A228" s="107"/>
      <c r="B228" s="107"/>
      <c r="C228" s="7"/>
      <c r="D228" s="7"/>
      <c r="E228" s="10"/>
      <c r="F228" s="7"/>
      <c r="G228" s="7"/>
      <c r="H228" s="10"/>
      <c r="I228" s="7"/>
      <c r="J228" s="7"/>
      <c r="K228" s="7"/>
      <c r="L228" s="10"/>
      <c r="M228" s="7"/>
      <c r="N228" s="7"/>
      <c r="O228" s="10"/>
      <c r="P228" s="7"/>
      <c r="Q228" s="7"/>
      <c r="R228" s="10"/>
      <c r="S228" s="7"/>
      <c r="T228" s="7"/>
      <c r="U228" s="107"/>
      <c r="V228" s="7"/>
      <c r="W228" s="7"/>
      <c r="X228" s="7"/>
      <c r="Y228" s="7"/>
      <c r="Z228" s="7"/>
      <c r="AA228" s="7"/>
      <c r="AB228" s="7"/>
      <c r="AC228" s="10"/>
      <c r="AD228" s="10"/>
      <c r="AE228" s="7"/>
      <c r="AF228" s="7"/>
      <c r="AG228" s="7"/>
      <c r="AH228" s="7"/>
      <c r="AI228" s="7"/>
      <c r="AJ228" s="7"/>
      <c r="AK228" s="7"/>
      <c r="AL228" s="266"/>
      <c r="AM228" s="266"/>
    </row>
    <row r="229" spans="1:39" s="268" customFormat="1" x14ac:dyDescent="0.25">
      <c r="A229" s="107"/>
      <c r="B229" s="107"/>
      <c r="C229" s="7"/>
      <c r="D229" s="7"/>
      <c r="E229" s="10"/>
      <c r="F229" s="7"/>
      <c r="G229" s="7"/>
      <c r="H229" s="10"/>
      <c r="I229" s="7"/>
      <c r="J229" s="7"/>
      <c r="K229" s="7"/>
      <c r="L229" s="10"/>
      <c r="M229" s="7"/>
      <c r="N229" s="7"/>
      <c r="O229" s="10"/>
      <c r="P229" s="7"/>
      <c r="Q229" s="7"/>
      <c r="R229" s="10"/>
      <c r="S229" s="7"/>
      <c r="T229" s="7"/>
      <c r="U229" s="107"/>
      <c r="V229" s="7"/>
      <c r="W229" s="7"/>
      <c r="X229" s="7"/>
      <c r="Y229" s="7"/>
      <c r="Z229" s="7"/>
      <c r="AA229" s="7"/>
      <c r="AB229" s="7"/>
      <c r="AC229" s="10"/>
      <c r="AD229" s="10"/>
      <c r="AE229" s="7"/>
      <c r="AF229" s="7"/>
      <c r="AG229" s="7"/>
      <c r="AH229" s="7"/>
      <c r="AI229" s="7"/>
      <c r="AJ229" s="7"/>
      <c r="AK229" s="7"/>
      <c r="AL229" s="266"/>
      <c r="AM229" s="266"/>
    </row>
    <row r="230" spans="1:39" s="268" customFormat="1" x14ac:dyDescent="0.25">
      <c r="A230" s="107"/>
      <c r="B230" s="107"/>
      <c r="C230" s="7"/>
      <c r="D230" s="7"/>
      <c r="E230" s="10"/>
      <c r="F230" s="7"/>
      <c r="G230" s="7"/>
      <c r="H230" s="10"/>
      <c r="I230" s="7"/>
      <c r="J230" s="7"/>
      <c r="K230" s="7"/>
      <c r="L230" s="10"/>
      <c r="M230" s="7"/>
      <c r="N230" s="7"/>
      <c r="O230" s="10"/>
      <c r="P230" s="7"/>
      <c r="Q230" s="7"/>
      <c r="R230" s="10"/>
      <c r="S230" s="7"/>
      <c r="T230" s="7"/>
      <c r="U230" s="107"/>
      <c r="V230" s="7"/>
      <c r="W230" s="7"/>
      <c r="X230" s="7"/>
      <c r="Y230" s="7"/>
      <c r="Z230" s="7"/>
      <c r="AA230" s="7"/>
      <c r="AB230" s="7"/>
      <c r="AC230" s="10"/>
      <c r="AD230" s="10"/>
      <c r="AE230" s="7"/>
      <c r="AF230" s="7"/>
      <c r="AG230" s="7"/>
      <c r="AH230" s="7"/>
      <c r="AI230" s="7"/>
      <c r="AJ230" s="7"/>
      <c r="AK230" s="7"/>
      <c r="AL230" s="266"/>
      <c r="AM230" s="266"/>
    </row>
    <row r="231" spans="1:39" s="268" customFormat="1" x14ac:dyDescent="0.25">
      <c r="A231" s="107"/>
      <c r="B231" s="107"/>
      <c r="C231" s="7"/>
      <c r="D231" s="7"/>
      <c r="E231" s="10"/>
      <c r="F231" s="7"/>
      <c r="G231" s="7"/>
      <c r="H231" s="10"/>
      <c r="I231" s="7"/>
      <c r="J231" s="7"/>
      <c r="K231" s="7"/>
      <c r="L231" s="10"/>
      <c r="M231" s="7"/>
      <c r="N231" s="7"/>
      <c r="O231" s="10"/>
      <c r="P231" s="7"/>
      <c r="Q231" s="7"/>
      <c r="R231" s="10"/>
      <c r="S231" s="7"/>
      <c r="T231" s="7"/>
      <c r="U231" s="107"/>
      <c r="V231" s="7"/>
      <c r="W231" s="7"/>
      <c r="X231" s="7"/>
      <c r="Y231" s="7"/>
      <c r="Z231" s="7"/>
      <c r="AA231" s="7"/>
      <c r="AB231" s="7"/>
      <c r="AC231" s="10"/>
      <c r="AD231" s="10"/>
      <c r="AE231" s="7"/>
      <c r="AF231" s="7"/>
      <c r="AG231" s="7"/>
      <c r="AH231" s="7"/>
      <c r="AI231" s="7"/>
      <c r="AJ231" s="7"/>
      <c r="AK231" s="7"/>
      <c r="AL231" s="266"/>
      <c r="AM231" s="266"/>
    </row>
    <row r="232" spans="1:39" s="268" customFormat="1" x14ac:dyDescent="0.25">
      <c r="A232" s="107"/>
      <c r="B232" s="107"/>
      <c r="C232" s="7"/>
      <c r="D232" s="7"/>
      <c r="E232" s="10"/>
      <c r="F232" s="7"/>
      <c r="G232" s="7"/>
      <c r="H232" s="10"/>
      <c r="I232" s="7"/>
      <c r="J232" s="7"/>
      <c r="K232" s="7"/>
      <c r="L232" s="10"/>
      <c r="M232" s="7"/>
      <c r="N232" s="7"/>
      <c r="O232" s="10"/>
      <c r="P232" s="7"/>
      <c r="Q232" s="7"/>
      <c r="R232" s="10"/>
      <c r="S232" s="7"/>
      <c r="T232" s="7"/>
      <c r="U232" s="107"/>
      <c r="V232" s="7"/>
      <c r="W232" s="7"/>
      <c r="X232" s="7"/>
      <c r="Y232" s="7"/>
      <c r="Z232" s="7"/>
      <c r="AA232" s="7"/>
      <c r="AB232" s="7"/>
      <c r="AC232" s="10"/>
      <c r="AD232" s="10"/>
      <c r="AE232" s="7"/>
      <c r="AF232" s="7"/>
      <c r="AG232" s="7"/>
      <c r="AH232" s="7"/>
      <c r="AI232" s="7"/>
      <c r="AJ232" s="7"/>
      <c r="AK232" s="7"/>
      <c r="AL232" s="266"/>
      <c r="AM232" s="266"/>
    </row>
    <row r="233" spans="1:39" s="268" customFormat="1" x14ac:dyDescent="0.25">
      <c r="A233" s="107"/>
      <c r="B233" s="107"/>
      <c r="C233" s="7"/>
      <c r="D233" s="7"/>
      <c r="E233" s="10"/>
      <c r="F233" s="7"/>
      <c r="G233" s="7"/>
      <c r="H233" s="10"/>
      <c r="I233" s="7"/>
      <c r="J233" s="7"/>
      <c r="K233" s="7"/>
      <c r="L233" s="10"/>
      <c r="M233" s="7"/>
      <c r="N233" s="7"/>
      <c r="O233" s="10"/>
      <c r="P233" s="7"/>
      <c r="Q233" s="7"/>
      <c r="R233" s="10"/>
      <c r="S233" s="7"/>
      <c r="T233" s="7"/>
      <c r="U233" s="107"/>
      <c r="V233" s="7"/>
      <c r="W233" s="7"/>
      <c r="X233" s="7"/>
      <c r="Y233" s="7"/>
      <c r="Z233" s="7"/>
      <c r="AA233" s="7"/>
      <c r="AB233" s="7"/>
      <c r="AC233" s="10"/>
      <c r="AD233" s="10"/>
      <c r="AE233" s="7"/>
      <c r="AF233" s="7"/>
      <c r="AG233" s="7"/>
      <c r="AH233" s="7"/>
      <c r="AI233" s="7"/>
      <c r="AJ233" s="7"/>
      <c r="AK233" s="7"/>
      <c r="AL233" s="266"/>
      <c r="AM233" s="266"/>
    </row>
    <row r="234" spans="1:39" s="268" customFormat="1" x14ac:dyDescent="0.25">
      <c r="A234" s="107"/>
      <c r="B234" s="107"/>
      <c r="C234" s="7"/>
      <c r="D234" s="7"/>
      <c r="E234" s="10"/>
      <c r="F234" s="7"/>
      <c r="G234" s="7"/>
      <c r="H234" s="10"/>
      <c r="I234" s="7"/>
      <c r="J234" s="7"/>
      <c r="K234" s="7"/>
      <c r="L234" s="10"/>
      <c r="M234" s="7"/>
      <c r="N234" s="7"/>
      <c r="O234" s="10"/>
      <c r="P234" s="7"/>
      <c r="Q234" s="7"/>
      <c r="R234" s="10"/>
      <c r="S234" s="7"/>
      <c r="T234" s="7"/>
      <c r="U234" s="107"/>
      <c r="V234" s="7"/>
      <c r="W234" s="7"/>
      <c r="X234" s="7"/>
      <c r="Y234" s="7"/>
      <c r="Z234" s="7"/>
      <c r="AA234" s="7"/>
      <c r="AB234" s="7"/>
      <c r="AC234" s="10"/>
      <c r="AD234" s="10"/>
      <c r="AE234" s="7"/>
      <c r="AF234" s="7"/>
      <c r="AG234" s="7"/>
      <c r="AH234" s="7"/>
      <c r="AI234" s="7"/>
      <c r="AJ234" s="7"/>
      <c r="AK234" s="7"/>
      <c r="AL234" s="266"/>
      <c r="AM234" s="266"/>
    </row>
    <row r="235" spans="1:39" s="268" customFormat="1" x14ac:dyDescent="0.25">
      <c r="A235" s="107"/>
      <c r="B235" s="107"/>
      <c r="C235" s="7"/>
      <c r="D235" s="7"/>
      <c r="E235" s="10"/>
      <c r="F235" s="7"/>
      <c r="G235" s="7"/>
      <c r="H235" s="10"/>
      <c r="I235" s="7"/>
      <c r="J235" s="7"/>
      <c r="K235" s="7"/>
      <c r="L235" s="10"/>
      <c r="M235" s="7"/>
      <c r="N235" s="7"/>
      <c r="O235" s="10"/>
      <c r="P235" s="7"/>
      <c r="Q235" s="7"/>
      <c r="R235" s="10"/>
      <c r="S235" s="7"/>
      <c r="T235" s="7"/>
      <c r="U235" s="107"/>
      <c r="V235" s="7"/>
      <c r="W235" s="7"/>
      <c r="X235" s="7"/>
      <c r="Y235" s="7"/>
      <c r="Z235" s="7"/>
      <c r="AA235" s="7"/>
      <c r="AB235" s="7"/>
      <c r="AC235" s="10"/>
      <c r="AD235" s="10"/>
      <c r="AE235" s="7"/>
      <c r="AF235" s="7"/>
      <c r="AG235" s="7"/>
      <c r="AH235" s="7"/>
      <c r="AI235" s="7"/>
      <c r="AJ235" s="7"/>
      <c r="AK235" s="7"/>
      <c r="AL235" s="266"/>
      <c r="AM235" s="266"/>
    </row>
    <row r="236" spans="1:39" s="268" customFormat="1" x14ac:dyDescent="0.25">
      <c r="A236" s="107"/>
      <c r="B236" s="107"/>
      <c r="C236" s="7"/>
      <c r="D236" s="7"/>
      <c r="E236" s="10"/>
      <c r="F236" s="7"/>
      <c r="G236" s="7"/>
      <c r="H236" s="10"/>
      <c r="I236" s="7"/>
      <c r="J236" s="7"/>
      <c r="K236" s="7"/>
      <c r="L236" s="10"/>
      <c r="M236" s="7"/>
      <c r="N236" s="7"/>
      <c r="O236" s="10"/>
      <c r="P236" s="7"/>
      <c r="Q236" s="7"/>
      <c r="R236" s="10"/>
      <c r="S236" s="7"/>
      <c r="T236" s="7"/>
      <c r="U236" s="107"/>
      <c r="V236" s="7"/>
      <c r="W236" s="7"/>
      <c r="X236" s="7"/>
      <c r="Y236" s="7"/>
      <c r="Z236" s="7"/>
      <c r="AA236" s="7"/>
      <c r="AB236" s="7"/>
      <c r="AC236" s="10"/>
      <c r="AD236" s="10"/>
      <c r="AE236" s="7"/>
      <c r="AF236" s="7"/>
      <c r="AG236" s="7"/>
      <c r="AH236" s="7"/>
      <c r="AI236" s="7"/>
      <c r="AJ236" s="7"/>
      <c r="AK236" s="7"/>
      <c r="AL236" s="266"/>
      <c r="AM236" s="266"/>
    </row>
    <row r="237" spans="1:39" s="268" customFormat="1" x14ac:dyDescent="0.25">
      <c r="A237" s="107"/>
      <c r="B237" s="107"/>
      <c r="C237" s="7"/>
      <c r="D237" s="7"/>
      <c r="E237" s="10"/>
      <c r="F237" s="7"/>
      <c r="G237" s="7"/>
      <c r="H237" s="10"/>
      <c r="I237" s="7"/>
      <c r="J237" s="7"/>
      <c r="K237" s="7"/>
      <c r="L237" s="10"/>
      <c r="M237" s="7"/>
      <c r="N237" s="7"/>
      <c r="O237" s="10"/>
      <c r="P237" s="7"/>
      <c r="Q237" s="7"/>
      <c r="R237" s="10"/>
      <c r="S237" s="7"/>
      <c r="T237" s="7"/>
      <c r="U237" s="107"/>
      <c r="V237" s="7"/>
      <c r="W237" s="7"/>
      <c r="X237" s="7"/>
      <c r="Y237" s="7"/>
      <c r="Z237" s="7"/>
      <c r="AA237" s="7"/>
      <c r="AB237" s="7"/>
      <c r="AC237" s="10"/>
      <c r="AD237" s="10"/>
      <c r="AE237" s="7"/>
      <c r="AF237" s="7"/>
      <c r="AG237" s="7"/>
      <c r="AH237" s="7"/>
      <c r="AI237" s="7"/>
      <c r="AJ237" s="7"/>
      <c r="AK237" s="7"/>
      <c r="AL237" s="266"/>
      <c r="AM237" s="266"/>
    </row>
    <row r="238" spans="1:39" s="268" customFormat="1" x14ac:dyDescent="0.25">
      <c r="A238" s="107"/>
      <c r="B238" s="107"/>
      <c r="C238" s="7"/>
      <c r="D238" s="7"/>
      <c r="E238" s="10"/>
      <c r="F238" s="7"/>
      <c r="G238" s="7"/>
      <c r="H238" s="10"/>
      <c r="I238" s="7"/>
      <c r="J238" s="7"/>
      <c r="K238" s="7"/>
      <c r="L238" s="10"/>
      <c r="M238" s="7"/>
      <c r="N238" s="7"/>
      <c r="O238" s="10"/>
      <c r="P238" s="7"/>
      <c r="Q238" s="7"/>
      <c r="R238" s="10"/>
      <c r="S238" s="7"/>
      <c r="T238" s="7"/>
      <c r="U238" s="107"/>
      <c r="V238" s="7"/>
      <c r="W238" s="7"/>
      <c r="X238" s="7"/>
      <c r="Y238" s="7"/>
      <c r="Z238" s="7"/>
      <c r="AA238" s="7"/>
      <c r="AB238" s="7"/>
      <c r="AC238" s="10"/>
      <c r="AD238" s="10"/>
      <c r="AE238" s="7"/>
      <c r="AF238" s="7"/>
      <c r="AG238" s="7"/>
      <c r="AH238" s="7"/>
      <c r="AI238" s="7"/>
      <c r="AJ238" s="7"/>
      <c r="AK238" s="7"/>
      <c r="AL238" s="266"/>
      <c r="AM238" s="266"/>
    </row>
    <row r="239" spans="1:39" s="268" customFormat="1" x14ac:dyDescent="0.25">
      <c r="A239" s="107"/>
      <c r="B239" s="107"/>
      <c r="C239" s="7"/>
      <c r="D239" s="7"/>
      <c r="E239" s="10"/>
      <c r="F239" s="7"/>
      <c r="G239" s="7"/>
      <c r="H239" s="10"/>
      <c r="I239" s="7"/>
      <c r="J239" s="7"/>
      <c r="K239" s="7"/>
      <c r="L239" s="10"/>
      <c r="M239" s="7"/>
      <c r="N239" s="7"/>
      <c r="O239" s="10"/>
      <c r="P239" s="7"/>
      <c r="Q239" s="7"/>
      <c r="R239" s="10"/>
      <c r="S239" s="7"/>
      <c r="T239" s="7"/>
      <c r="U239" s="107"/>
      <c r="V239" s="7"/>
      <c r="W239" s="7"/>
      <c r="X239" s="7"/>
      <c r="Y239" s="7"/>
      <c r="Z239" s="7"/>
      <c r="AA239" s="7"/>
      <c r="AB239" s="7"/>
      <c r="AC239" s="10"/>
      <c r="AD239" s="10"/>
      <c r="AE239" s="7"/>
      <c r="AF239" s="7"/>
      <c r="AG239" s="7"/>
      <c r="AH239" s="7"/>
      <c r="AI239" s="7"/>
      <c r="AJ239" s="7"/>
      <c r="AK239" s="7"/>
      <c r="AL239" s="266"/>
      <c r="AM239" s="266"/>
    </row>
    <row r="240" spans="1:39" s="268" customFormat="1" x14ac:dyDescent="0.25">
      <c r="A240" s="107"/>
      <c r="B240" s="107"/>
      <c r="C240" s="7"/>
      <c r="D240" s="7"/>
      <c r="E240" s="10"/>
      <c r="F240" s="7"/>
      <c r="G240" s="7"/>
      <c r="H240" s="10"/>
      <c r="I240" s="7"/>
      <c r="J240" s="7"/>
      <c r="K240" s="7"/>
      <c r="L240" s="10"/>
      <c r="M240" s="7"/>
      <c r="N240" s="7"/>
      <c r="O240" s="10"/>
      <c r="P240" s="7"/>
      <c r="Q240" s="7"/>
      <c r="R240" s="10"/>
      <c r="S240" s="7"/>
      <c r="T240" s="7"/>
      <c r="U240" s="107"/>
      <c r="V240" s="7"/>
      <c r="W240" s="7"/>
      <c r="X240" s="7"/>
      <c r="Y240" s="7"/>
      <c r="Z240" s="7"/>
      <c r="AA240" s="7"/>
      <c r="AB240" s="7"/>
      <c r="AC240" s="10"/>
      <c r="AD240" s="10"/>
      <c r="AE240" s="7"/>
      <c r="AF240" s="7"/>
      <c r="AG240" s="7"/>
      <c r="AH240" s="7"/>
      <c r="AI240" s="7"/>
      <c r="AJ240" s="7"/>
      <c r="AK240" s="7"/>
      <c r="AL240" s="266"/>
      <c r="AM240" s="266"/>
    </row>
    <row r="241" spans="1:39" s="268" customFormat="1" x14ac:dyDescent="0.25">
      <c r="A241" s="107"/>
      <c r="B241" s="107"/>
      <c r="C241" s="7"/>
      <c r="D241" s="7"/>
      <c r="E241" s="10"/>
      <c r="F241" s="7"/>
      <c r="G241" s="7"/>
      <c r="H241" s="10"/>
      <c r="I241" s="7"/>
      <c r="J241" s="7"/>
      <c r="K241" s="7"/>
      <c r="L241" s="10"/>
      <c r="M241" s="7"/>
      <c r="N241" s="7"/>
      <c r="O241" s="10"/>
      <c r="P241" s="7"/>
      <c r="Q241" s="7"/>
      <c r="R241" s="10"/>
      <c r="S241" s="7"/>
      <c r="T241" s="7"/>
      <c r="U241" s="107"/>
      <c r="V241" s="7"/>
      <c r="W241" s="7"/>
      <c r="X241" s="7"/>
      <c r="Y241" s="7"/>
      <c r="Z241" s="7"/>
      <c r="AA241" s="7"/>
      <c r="AB241" s="7"/>
      <c r="AC241" s="10"/>
      <c r="AD241" s="10"/>
      <c r="AE241" s="7"/>
      <c r="AF241" s="7"/>
      <c r="AG241" s="7"/>
      <c r="AH241" s="7"/>
      <c r="AI241" s="7"/>
      <c r="AJ241" s="7"/>
      <c r="AK241" s="7"/>
      <c r="AL241" s="266"/>
      <c r="AM241" s="266"/>
    </row>
    <row r="242" spans="1:39" s="268" customFormat="1" x14ac:dyDescent="0.25">
      <c r="A242" s="107"/>
      <c r="B242" s="107"/>
      <c r="C242" s="7"/>
      <c r="D242" s="7"/>
      <c r="E242" s="10"/>
      <c r="F242" s="7"/>
      <c r="G242" s="7"/>
      <c r="H242" s="10"/>
      <c r="I242" s="7"/>
      <c r="J242" s="7"/>
      <c r="K242" s="7"/>
      <c r="L242" s="10"/>
      <c r="M242" s="7"/>
      <c r="N242" s="7"/>
      <c r="O242" s="10"/>
      <c r="P242" s="7"/>
      <c r="Q242" s="7"/>
      <c r="R242" s="10"/>
      <c r="S242" s="7"/>
      <c r="T242" s="7"/>
      <c r="U242" s="107"/>
      <c r="V242" s="7"/>
      <c r="W242" s="7"/>
      <c r="X242" s="7"/>
      <c r="Y242" s="7"/>
      <c r="Z242" s="7"/>
      <c r="AA242" s="7"/>
      <c r="AB242" s="7"/>
      <c r="AC242" s="10"/>
      <c r="AD242" s="10"/>
      <c r="AE242" s="7"/>
      <c r="AF242" s="7"/>
      <c r="AG242" s="7"/>
      <c r="AH242" s="7"/>
      <c r="AI242" s="7"/>
      <c r="AJ242" s="7"/>
      <c r="AK242" s="7"/>
      <c r="AL242" s="266"/>
      <c r="AM242" s="266"/>
    </row>
    <row r="243" spans="1:39" s="268" customFormat="1" x14ac:dyDescent="0.25">
      <c r="A243" s="107"/>
      <c r="B243" s="107"/>
      <c r="C243" s="7"/>
      <c r="D243" s="7"/>
      <c r="E243" s="10"/>
      <c r="F243" s="7"/>
      <c r="G243" s="7"/>
      <c r="H243" s="10"/>
      <c r="I243" s="7"/>
      <c r="J243" s="7"/>
      <c r="K243" s="7"/>
      <c r="L243" s="10"/>
      <c r="M243" s="7"/>
      <c r="N243" s="7"/>
      <c r="O243" s="10"/>
      <c r="P243" s="7"/>
      <c r="Q243" s="7"/>
      <c r="R243" s="10"/>
      <c r="S243" s="7"/>
      <c r="T243" s="7"/>
      <c r="U243" s="107"/>
      <c r="V243" s="7"/>
      <c r="W243" s="7"/>
      <c r="X243" s="7"/>
      <c r="Y243" s="7"/>
      <c r="Z243" s="7"/>
      <c r="AA243" s="7"/>
      <c r="AB243" s="7"/>
      <c r="AC243" s="10"/>
      <c r="AD243" s="10"/>
      <c r="AE243" s="7"/>
      <c r="AF243" s="7"/>
      <c r="AG243" s="7"/>
      <c r="AH243" s="7"/>
      <c r="AI243" s="7"/>
      <c r="AJ243" s="7"/>
      <c r="AK243" s="7"/>
      <c r="AL243" s="266"/>
      <c r="AM243" s="266"/>
    </row>
    <row r="244" spans="1:39" s="268" customFormat="1" x14ac:dyDescent="0.25">
      <c r="A244" s="107"/>
      <c r="B244" s="107"/>
      <c r="C244" s="7"/>
      <c r="D244" s="7"/>
      <c r="E244" s="10"/>
      <c r="F244" s="7"/>
      <c r="G244" s="7"/>
      <c r="H244" s="10"/>
      <c r="I244" s="7"/>
      <c r="J244" s="7"/>
      <c r="K244" s="7"/>
      <c r="L244" s="10"/>
      <c r="M244" s="7"/>
      <c r="N244" s="7"/>
      <c r="O244" s="10"/>
      <c r="P244" s="7"/>
      <c r="Q244" s="7"/>
      <c r="R244" s="10"/>
      <c r="S244" s="7"/>
      <c r="T244" s="7"/>
      <c r="U244" s="107"/>
      <c r="V244" s="7"/>
      <c r="W244" s="7"/>
      <c r="X244" s="7"/>
      <c r="Y244" s="7"/>
      <c r="Z244" s="7"/>
      <c r="AA244" s="7"/>
      <c r="AB244" s="7"/>
      <c r="AC244" s="10"/>
      <c r="AD244" s="10"/>
      <c r="AE244" s="7"/>
      <c r="AF244" s="7"/>
      <c r="AG244" s="7"/>
      <c r="AH244" s="7"/>
      <c r="AI244" s="7"/>
      <c r="AJ244" s="7"/>
      <c r="AK244" s="7"/>
      <c r="AL244" s="266"/>
      <c r="AM244" s="266"/>
    </row>
    <row r="245" spans="1:39" s="268" customFormat="1" x14ac:dyDescent="0.25">
      <c r="A245" s="107"/>
      <c r="B245" s="107"/>
      <c r="C245" s="7"/>
      <c r="D245" s="7"/>
      <c r="E245" s="10"/>
      <c r="F245" s="7"/>
      <c r="G245" s="7"/>
      <c r="H245" s="10"/>
      <c r="I245" s="7"/>
      <c r="J245" s="7"/>
      <c r="K245" s="7"/>
      <c r="L245" s="10"/>
      <c r="M245" s="7"/>
      <c r="N245" s="7"/>
      <c r="O245" s="10"/>
      <c r="P245" s="7"/>
      <c r="Q245" s="7"/>
      <c r="R245" s="10"/>
      <c r="S245" s="7"/>
      <c r="T245" s="7"/>
      <c r="U245" s="107"/>
      <c r="V245" s="7"/>
      <c r="W245" s="7"/>
      <c r="X245" s="7"/>
      <c r="Y245" s="7"/>
      <c r="Z245" s="7"/>
      <c r="AA245" s="7"/>
      <c r="AB245" s="7"/>
      <c r="AC245" s="10"/>
      <c r="AD245" s="10"/>
      <c r="AE245" s="7"/>
      <c r="AF245" s="7"/>
      <c r="AG245" s="7"/>
      <c r="AH245" s="7"/>
      <c r="AI245" s="7"/>
      <c r="AJ245" s="7"/>
      <c r="AK245" s="7"/>
      <c r="AL245" s="266"/>
      <c r="AM245" s="266"/>
    </row>
    <row r="246" spans="1:39" s="268" customFormat="1" x14ac:dyDescent="0.25">
      <c r="A246" s="107"/>
      <c r="B246" s="107"/>
      <c r="C246" s="7"/>
      <c r="D246" s="7"/>
      <c r="E246" s="10"/>
      <c r="F246" s="7"/>
      <c r="G246" s="7"/>
      <c r="H246" s="10"/>
      <c r="I246" s="7"/>
      <c r="J246" s="7"/>
      <c r="K246" s="7"/>
      <c r="L246" s="10"/>
      <c r="M246" s="7"/>
      <c r="N246" s="7"/>
      <c r="O246" s="10"/>
      <c r="P246" s="7"/>
      <c r="Q246" s="7"/>
      <c r="R246" s="10"/>
      <c r="S246" s="7"/>
      <c r="T246" s="7"/>
      <c r="U246" s="107"/>
      <c r="V246" s="7"/>
      <c r="W246" s="7"/>
      <c r="X246" s="7"/>
      <c r="Y246" s="7"/>
      <c r="Z246" s="7"/>
      <c r="AA246" s="7"/>
      <c r="AB246" s="7"/>
      <c r="AC246" s="10"/>
      <c r="AD246" s="10"/>
      <c r="AE246" s="7"/>
      <c r="AF246" s="7"/>
      <c r="AG246" s="7"/>
      <c r="AH246" s="7"/>
      <c r="AI246" s="7"/>
      <c r="AJ246" s="7"/>
      <c r="AK246" s="7"/>
      <c r="AL246" s="266"/>
      <c r="AM246" s="266"/>
    </row>
    <row r="247" spans="1:39" s="268" customFormat="1" x14ac:dyDescent="0.25">
      <c r="A247" s="107"/>
      <c r="B247" s="107"/>
      <c r="C247" s="7"/>
      <c r="D247" s="7"/>
      <c r="E247" s="10"/>
      <c r="F247" s="7"/>
      <c r="G247" s="7"/>
      <c r="H247" s="10"/>
      <c r="I247" s="7"/>
      <c r="J247" s="7"/>
      <c r="K247" s="7"/>
      <c r="L247" s="10"/>
      <c r="M247" s="7"/>
      <c r="N247" s="7"/>
      <c r="O247" s="10"/>
      <c r="P247" s="7"/>
      <c r="Q247" s="7"/>
      <c r="R247" s="10"/>
      <c r="S247" s="7"/>
      <c r="T247" s="7"/>
      <c r="U247" s="107"/>
      <c r="V247" s="7"/>
      <c r="W247" s="7"/>
      <c r="X247" s="7"/>
      <c r="Y247" s="7"/>
      <c r="Z247" s="7"/>
      <c r="AA247" s="7"/>
      <c r="AB247" s="7"/>
      <c r="AC247" s="10"/>
      <c r="AD247" s="10"/>
      <c r="AE247" s="7"/>
      <c r="AF247" s="7"/>
      <c r="AG247" s="7"/>
      <c r="AH247" s="7"/>
      <c r="AI247" s="7"/>
      <c r="AJ247" s="7"/>
      <c r="AK247" s="7"/>
      <c r="AL247" s="266"/>
      <c r="AM247" s="266"/>
    </row>
    <row r="248" spans="1:39" s="268" customFormat="1" x14ac:dyDescent="0.25">
      <c r="A248" s="107"/>
      <c r="B248" s="107"/>
      <c r="C248" s="7"/>
      <c r="D248" s="7"/>
      <c r="E248" s="10"/>
      <c r="F248" s="7"/>
      <c r="G248" s="7"/>
      <c r="H248" s="10"/>
      <c r="I248" s="7"/>
      <c r="J248" s="7"/>
      <c r="K248" s="7"/>
      <c r="L248" s="10"/>
      <c r="M248" s="7"/>
      <c r="N248" s="7"/>
      <c r="O248" s="10"/>
      <c r="P248" s="7"/>
      <c r="Q248" s="7"/>
      <c r="R248" s="10"/>
      <c r="S248" s="7"/>
      <c r="T248" s="7"/>
      <c r="U248" s="107"/>
      <c r="V248" s="7"/>
      <c r="W248" s="7"/>
      <c r="X248" s="7"/>
      <c r="Y248" s="7"/>
      <c r="Z248" s="7"/>
      <c r="AA248" s="7"/>
      <c r="AB248" s="7"/>
      <c r="AC248" s="10"/>
      <c r="AD248" s="10"/>
      <c r="AE248" s="7"/>
      <c r="AF248" s="7"/>
      <c r="AG248" s="7"/>
      <c r="AH248" s="7"/>
      <c r="AI248" s="7"/>
      <c r="AJ248" s="7"/>
      <c r="AK248" s="7"/>
      <c r="AL248" s="266"/>
      <c r="AM248" s="266"/>
    </row>
    <row r="249" spans="1:39" s="268" customFormat="1" x14ac:dyDescent="0.25">
      <c r="A249" s="107"/>
      <c r="B249" s="107"/>
      <c r="C249" s="7"/>
      <c r="D249" s="7"/>
      <c r="E249" s="10"/>
      <c r="F249" s="108"/>
      <c r="G249" s="108"/>
      <c r="H249" s="11"/>
      <c r="I249" s="108"/>
      <c r="J249" s="108"/>
      <c r="K249" s="108"/>
      <c r="L249" s="11"/>
      <c r="M249" s="108"/>
      <c r="N249" s="108"/>
      <c r="O249" s="11"/>
      <c r="P249" s="108"/>
      <c r="Q249" s="108"/>
      <c r="R249" s="11"/>
      <c r="S249" s="108"/>
      <c r="T249" s="108"/>
      <c r="U249" s="107"/>
      <c r="V249" s="108"/>
      <c r="W249" s="108"/>
      <c r="X249" s="108"/>
      <c r="Y249" s="108"/>
      <c r="Z249" s="108"/>
      <c r="AA249" s="108"/>
      <c r="AB249" s="108"/>
      <c r="AC249" s="11"/>
      <c r="AD249" s="11"/>
      <c r="AE249" s="108"/>
      <c r="AF249" s="108"/>
      <c r="AG249" s="108"/>
      <c r="AH249" s="108"/>
      <c r="AI249" s="108"/>
      <c r="AJ249" s="108"/>
      <c r="AK249" s="108"/>
      <c r="AL249" s="270"/>
      <c r="AM249" s="270"/>
    </row>
    <row r="250" spans="1:39" s="268" customFormat="1" x14ac:dyDescent="0.25">
      <c r="A250" s="107"/>
      <c r="B250" s="107"/>
      <c r="C250" s="7"/>
      <c r="D250" s="7"/>
      <c r="E250" s="10"/>
      <c r="F250" s="108"/>
      <c r="G250" s="108"/>
      <c r="H250" s="11"/>
      <c r="I250" s="108"/>
      <c r="J250" s="108"/>
      <c r="K250" s="108"/>
      <c r="L250" s="11"/>
      <c r="M250" s="108"/>
      <c r="N250" s="108"/>
      <c r="O250" s="11"/>
      <c r="P250" s="108"/>
      <c r="Q250" s="108"/>
      <c r="R250" s="11"/>
      <c r="S250" s="108"/>
      <c r="T250" s="108"/>
      <c r="U250" s="107"/>
      <c r="V250" s="108"/>
      <c r="W250" s="108"/>
      <c r="X250" s="108"/>
      <c r="Y250" s="108"/>
      <c r="Z250" s="108"/>
      <c r="AA250" s="108"/>
      <c r="AB250" s="108"/>
      <c r="AC250" s="11"/>
      <c r="AD250" s="11"/>
      <c r="AE250" s="108"/>
      <c r="AF250" s="108"/>
      <c r="AG250" s="108"/>
      <c r="AH250" s="108"/>
      <c r="AI250" s="108"/>
      <c r="AJ250" s="108"/>
      <c r="AK250" s="108"/>
      <c r="AL250" s="270"/>
      <c r="AM250" s="270"/>
    </row>
    <row r="251" spans="1:39" s="268" customFormat="1" x14ac:dyDescent="0.25">
      <c r="A251" s="107"/>
      <c r="B251" s="107"/>
      <c r="C251" s="7"/>
      <c r="D251" s="7"/>
      <c r="E251" s="10"/>
      <c r="F251" s="108"/>
      <c r="G251" s="108"/>
      <c r="H251" s="11"/>
      <c r="I251" s="108"/>
      <c r="J251" s="108"/>
      <c r="K251" s="108"/>
      <c r="L251" s="11"/>
      <c r="M251" s="108"/>
      <c r="N251" s="108"/>
      <c r="O251" s="11"/>
      <c r="P251" s="108"/>
      <c r="Q251" s="108"/>
      <c r="R251" s="11"/>
      <c r="S251" s="108"/>
      <c r="T251" s="108"/>
      <c r="U251" s="107"/>
      <c r="V251" s="108"/>
      <c r="W251" s="108"/>
      <c r="X251" s="108"/>
      <c r="Y251" s="108"/>
      <c r="Z251" s="108"/>
      <c r="AA251" s="108"/>
      <c r="AB251" s="108"/>
      <c r="AC251" s="11"/>
      <c r="AD251" s="11"/>
      <c r="AE251" s="108"/>
      <c r="AF251" s="108"/>
      <c r="AG251" s="108"/>
      <c r="AH251" s="108"/>
      <c r="AI251" s="108"/>
      <c r="AJ251" s="108"/>
      <c r="AK251" s="108"/>
      <c r="AL251" s="270"/>
      <c r="AM251" s="270"/>
    </row>
    <row r="252" spans="1:39" s="268" customFormat="1" x14ac:dyDescent="0.25">
      <c r="A252" s="107"/>
      <c r="B252" s="107"/>
      <c r="C252" s="7"/>
      <c r="D252" s="7"/>
      <c r="E252" s="10"/>
      <c r="F252" s="108"/>
      <c r="G252" s="108"/>
      <c r="H252" s="11"/>
      <c r="I252" s="108"/>
      <c r="J252" s="108"/>
      <c r="K252" s="108"/>
      <c r="L252" s="11"/>
      <c r="M252" s="108"/>
      <c r="N252" s="108"/>
      <c r="O252" s="11"/>
      <c r="P252" s="108"/>
      <c r="Q252" s="108"/>
      <c r="R252" s="11"/>
      <c r="S252" s="108"/>
      <c r="T252" s="108"/>
      <c r="U252" s="107"/>
      <c r="V252" s="108"/>
      <c r="W252" s="108"/>
      <c r="X252" s="108"/>
      <c r="Y252" s="108"/>
      <c r="Z252" s="108"/>
      <c r="AA252" s="108"/>
      <c r="AB252" s="108"/>
      <c r="AC252" s="11"/>
      <c r="AD252" s="11"/>
      <c r="AE252" s="108"/>
      <c r="AF252" s="108"/>
      <c r="AG252" s="108"/>
      <c r="AH252" s="108"/>
      <c r="AI252" s="108"/>
      <c r="AJ252" s="108"/>
      <c r="AK252" s="108"/>
      <c r="AL252" s="270"/>
      <c r="AM252" s="270"/>
    </row>
    <row r="253" spans="1:39" s="268" customFormat="1" x14ac:dyDescent="0.25">
      <c r="A253" s="107"/>
      <c r="B253" s="107"/>
      <c r="C253" s="7"/>
      <c r="D253" s="7"/>
      <c r="E253" s="10"/>
      <c r="F253" s="108"/>
      <c r="G253" s="108"/>
      <c r="H253" s="11"/>
      <c r="I253" s="108"/>
      <c r="J253" s="108"/>
      <c r="K253" s="108"/>
      <c r="L253" s="11"/>
      <c r="M253" s="108"/>
      <c r="N253" s="108"/>
      <c r="O253" s="11"/>
      <c r="P253" s="108"/>
      <c r="Q253" s="108"/>
      <c r="R253" s="11"/>
      <c r="S253" s="108"/>
      <c r="T253" s="108"/>
      <c r="U253" s="107"/>
      <c r="V253" s="108"/>
      <c r="W253" s="108"/>
      <c r="X253" s="108"/>
      <c r="Y253" s="108"/>
      <c r="Z253" s="108"/>
      <c r="AA253" s="108"/>
      <c r="AB253" s="108"/>
      <c r="AC253" s="11"/>
      <c r="AD253" s="11"/>
      <c r="AE253" s="108"/>
      <c r="AF253" s="108"/>
      <c r="AG253" s="108"/>
      <c r="AH253" s="108"/>
      <c r="AI253" s="108"/>
      <c r="AJ253" s="108"/>
      <c r="AK253" s="108"/>
      <c r="AL253" s="270"/>
      <c r="AM253" s="270"/>
    </row>
    <row r="254" spans="1:39" s="268" customFormat="1" x14ac:dyDescent="0.25">
      <c r="A254" s="107"/>
      <c r="B254" s="107"/>
      <c r="C254" s="7"/>
      <c r="D254" s="7"/>
      <c r="E254" s="10"/>
      <c r="F254" s="108"/>
      <c r="G254" s="108"/>
      <c r="H254" s="11"/>
      <c r="I254" s="108"/>
      <c r="J254" s="108"/>
      <c r="K254" s="108"/>
      <c r="L254" s="11"/>
      <c r="M254" s="108"/>
      <c r="N254" s="108"/>
      <c r="O254" s="11"/>
      <c r="P254" s="108"/>
      <c r="Q254" s="108"/>
      <c r="R254" s="11"/>
      <c r="S254" s="108"/>
      <c r="T254" s="108"/>
      <c r="U254" s="107"/>
      <c r="V254" s="108"/>
      <c r="W254" s="108"/>
      <c r="X254" s="108"/>
      <c r="Y254" s="108"/>
      <c r="Z254" s="108"/>
      <c r="AA254" s="108"/>
      <c r="AB254" s="108"/>
      <c r="AC254" s="11"/>
      <c r="AD254" s="11"/>
      <c r="AE254" s="108"/>
      <c r="AF254" s="108"/>
      <c r="AG254" s="108"/>
      <c r="AH254" s="108"/>
      <c r="AI254" s="108"/>
      <c r="AJ254" s="108"/>
      <c r="AK254" s="108"/>
      <c r="AL254" s="270"/>
      <c r="AM254" s="270"/>
    </row>
    <row r="255" spans="1:39" s="268" customFormat="1" x14ac:dyDescent="0.25">
      <c r="A255" s="107"/>
      <c r="B255" s="107"/>
      <c r="C255" s="7"/>
      <c r="D255" s="7"/>
      <c r="E255" s="10"/>
      <c r="F255" s="108"/>
      <c r="G255" s="108"/>
      <c r="H255" s="11"/>
      <c r="I255" s="108"/>
      <c r="J255" s="108"/>
      <c r="K255" s="108"/>
      <c r="L255" s="11"/>
      <c r="M255" s="108"/>
      <c r="N255" s="108"/>
      <c r="O255" s="11"/>
      <c r="P255" s="108"/>
      <c r="Q255" s="108"/>
      <c r="R255" s="11"/>
      <c r="S255" s="108"/>
      <c r="T255" s="108"/>
      <c r="U255" s="107"/>
      <c r="V255" s="108"/>
      <c r="W255" s="108"/>
      <c r="X255" s="108"/>
      <c r="Y255" s="108"/>
      <c r="Z255" s="108"/>
      <c r="AA255" s="108"/>
      <c r="AB255" s="108"/>
      <c r="AC255" s="11"/>
      <c r="AD255" s="11"/>
      <c r="AE255" s="108"/>
      <c r="AF255" s="108"/>
      <c r="AG255" s="108"/>
      <c r="AH255" s="108"/>
      <c r="AI255" s="108"/>
      <c r="AJ255" s="108"/>
      <c r="AK255" s="108"/>
      <c r="AL255" s="270"/>
      <c r="AM255" s="270"/>
    </row>
    <row r="256" spans="1:39" s="268" customFormat="1" x14ac:dyDescent="0.25">
      <c r="A256" s="107"/>
      <c r="B256" s="107"/>
      <c r="C256" s="7"/>
      <c r="D256" s="7"/>
      <c r="E256" s="10"/>
      <c r="F256" s="108"/>
      <c r="G256" s="108"/>
      <c r="H256" s="11"/>
      <c r="I256" s="108"/>
      <c r="J256" s="108"/>
      <c r="K256" s="108"/>
      <c r="L256" s="11"/>
      <c r="M256" s="108"/>
      <c r="N256" s="108"/>
      <c r="O256" s="11"/>
      <c r="P256" s="108"/>
      <c r="Q256" s="108"/>
      <c r="R256" s="11"/>
      <c r="S256" s="108"/>
      <c r="T256" s="108"/>
      <c r="U256" s="107"/>
      <c r="V256" s="108"/>
      <c r="W256" s="108"/>
      <c r="X256" s="108"/>
      <c r="Y256" s="108"/>
      <c r="Z256" s="108"/>
      <c r="AA256" s="108"/>
      <c r="AB256" s="108"/>
      <c r="AC256" s="11"/>
      <c r="AD256" s="11"/>
      <c r="AE256" s="108"/>
      <c r="AF256" s="108"/>
      <c r="AG256" s="108"/>
      <c r="AH256" s="108"/>
      <c r="AI256" s="108"/>
      <c r="AJ256" s="108"/>
      <c r="AK256" s="108"/>
      <c r="AL256" s="270"/>
      <c r="AM256" s="270"/>
    </row>
    <row r="257" spans="1:39" s="268" customFormat="1" x14ac:dyDescent="0.25">
      <c r="A257" s="107"/>
      <c r="B257" s="107"/>
      <c r="C257" s="7"/>
      <c r="D257" s="7"/>
      <c r="E257" s="10"/>
      <c r="F257" s="108"/>
      <c r="G257" s="108"/>
      <c r="H257" s="11"/>
      <c r="I257" s="108"/>
      <c r="J257" s="108"/>
      <c r="K257" s="108"/>
      <c r="L257" s="11"/>
      <c r="M257" s="108"/>
      <c r="N257" s="108"/>
      <c r="O257" s="11"/>
      <c r="P257" s="108"/>
      <c r="Q257" s="108"/>
      <c r="R257" s="11"/>
      <c r="S257" s="108"/>
      <c r="T257" s="108"/>
      <c r="U257" s="107"/>
      <c r="V257" s="108"/>
      <c r="W257" s="108"/>
      <c r="X257" s="108"/>
      <c r="Y257" s="108"/>
      <c r="Z257" s="108"/>
      <c r="AA257" s="108"/>
      <c r="AB257" s="108"/>
      <c r="AC257" s="11"/>
      <c r="AD257" s="11"/>
      <c r="AE257" s="108"/>
      <c r="AF257" s="108"/>
      <c r="AG257" s="108"/>
      <c r="AH257" s="108"/>
      <c r="AI257" s="108"/>
      <c r="AJ257" s="108"/>
      <c r="AK257" s="108"/>
      <c r="AL257" s="270"/>
      <c r="AM257" s="270"/>
    </row>
    <row r="258" spans="1:39" s="268" customFormat="1" x14ac:dyDescent="0.25">
      <c r="A258" s="107"/>
      <c r="B258" s="107"/>
      <c r="C258" s="7"/>
      <c r="D258" s="7"/>
      <c r="E258" s="10"/>
      <c r="F258" s="108"/>
      <c r="G258" s="108"/>
      <c r="H258" s="11"/>
      <c r="I258" s="108"/>
      <c r="J258" s="108"/>
      <c r="K258" s="108"/>
      <c r="L258" s="11"/>
      <c r="M258" s="108"/>
      <c r="N258" s="108"/>
      <c r="O258" s="11"/>
      <c r="P258" s="108"/>
      <c r="Q258" s="108"/>
      <c r="R258" s="11"/>
      <c r="S258" s="108"/>
      <c r="T258" s="108"/>
      <c r="U258" s="107"/>
      <c r="V258" s="108"/>
      <c r="W258" s="108"/>
      <c r="X258" s="108"/>
      <c r="Y258" s="108"/>
      <c r="Z258" s="108"/>
      <c r="AA258" s="108"/>
      <c r="AB258" s="108"/>
      <c r="AC258" s="11"/>
      <c r="AD258" s="11"/>
      <c r="AE258" s="108"/>
      <c r="AF258" s="108"/>
      <c r="AG258" s="108"/>
      <c r="AH258" s="108"/>
      <c r="AI258" s="108"/>
      <c r="AJ258" s="108"/>
      <c r="AK258" s="108"/>
      <c r="AL258" s="270"/>
      <c r="AM258" s="270"/>
    </row>
    <row r="259" spans="1:39" s="268" customFormat="1" x14ac:dyDescent="0.25">
      <c r="A259" s="107"/>
      <c r="B259" s="107"/>
      <c r="C259" s="7"/>
      <c r="D259" s="7"/>
      <c r="E259" s="10"/>
      <c r="F259" s="108"/>
      <c r="G259" s="108"/>
      <c r="H259" s="11"/>
      <c r="I259" s="108"/>
      <c r="J259" s="108"/>
      <c r="K259" s="108"/>
      <c r="L259" s="11"/>
      <c r="M259" s="108"/>
      <c r="N259" s="108"/>
      <c r="O259" s="11"/>
      <c r="P259" s="108"/>
      <c r="Q259" s="108"/>
      <c r="R259" s="11"/>
      <c r="S259" s="108"/>
      <c r="T259" s="108"/>
      <c r="U259" s="107"/>
      <c r="V259" s="108"/>
      <c r="W259" s="108"/>
      <c r="X259" s="108"/>
      <c r="Y259" s="108"/>
      <c r="Z259" s="108"/>
      <c r="AA259" s="108"/>
      <c r="AB259" s="108"/>
      <c r="AC259" s="11"/>
      <c r="AD259" s="11"/>
      <c r="AE259" s="108"/>
      <c r="AF259" s="108"/>
      <c r="AG259" s="108"/>
      <c r="AH259" s="108"/>
      <c r="AI259" s="108"/>
      <c r="AJ259" s="108"/>
      <c r="AK259" s="108"/>
      <c r="AL259" s="270"/>
      <c r="AM259" s="270"/>
    </row>
    <row r="260" spans="1:39" s="268" customFormat="1" x14ac:dyDescent="0.25">
      <c r="A260" s="107"/>
      <c r="B260" s="107"/>
      <c r="C260" s="7"/>
      <c r="D260" s="7"/>
      <c r="E260" s="10"/>
      <c r="F260" s="108"/>
      <c r="G260" s="108"/>
      <c r="H260" s="11"/>
      <c r="I260" s="108"/>
      <c r="J260" s="108"/>
      <c r="K260" s="108"/>
      <c r="L260" s="11"/>
      <c r="M260" s="108"/>
      <c r="N260" s="108"/>
      <c r="O260" s="11"/>
      <c r="P260" s="108"/>
      <c r="Q260" s="108"/>
      <c r="R260" s="11"/>
      <c r="S260" s="108"/>
      <c r="T260" s="108"/>
      <c r="U260" s="107"/>
      <c r="V260" s="108"/>
      <c r="W260" s="108"/>
      <c r="X260" s="108"/>
      <c r="Y260" s="108"/>
      <c r="Z260" s="108"/>
      <c r="AA260" s="108"/>
      <c r="AB260" s="108"/>
      <c r="AC260" s="11"/>
      <c r="AD260" s="11"/>
      <c r="AE260" s="108"/>
      <c r="AF260" s="108"/>
      <c r="AG260" s="108"/>
      <c r="AH260" s="108"/>
      <c r="AI260" s="108"/>
      <c r="AJ260" s="108"/>
      <c r="AK260" s="108"/>
      <c r="AL260" s="270"/>
      <c r="AM260" s="270"/>
    </row>
    <row r="261" spans="1:39" s="268" customFormat="1" x14ac:dyDescent="0.25">
      <c r="A261" s="107"/>
      <c r="B261" s="107"/>
      <c r="C261" s="7"/>
      <c r="D261" s="7"/>
      <c r="E261" s="10"/>
      <c r="F261" s="108"/>
      <c r="G261" s="108"/>
      <c r="H261" s="11"/>
      <c r="I261" s="108"/>
      <c r="J261" s="108"/>
      <c r="K261" s="108"/>
      <c r="L261" s="11"/>
      <c r="M261" s="108"/>
      <c r="N261" s="108"/>
      <c r="O261" s="11"/>
      <c r="P261" s="108"/>
      <c r="Q261" s="108"/>
      <c r="R261" s="11"/>
      <c r="S261" s="108"/>
      <c r="T261" s="108"/>
      <c r="U261" s="107"/>
      <c r="V261" s="108"/>
      <c r="W261" s="108"/>
      <c r="X261" s="108"/>
      <c r="Y261" s="108"/>
      <c r="Z261" s="108"/>
      <c r="AA261" s="108"/>
      <c r="AB261" s="108"/>
      <c r="AC261" s="11"/>
      <c r="AD261" s="11"/>
      <c r="AE261" s="108"/>
      <c r="AF261" s="108"/>
      <c r="AG261" s="108"/>
      <c r="AH261" s="108"/>
      <c r="AI261" s="108"/>
      <c r="AJ261" s="108"/>
      <c r="AK261" s="108"/>
      <c r="AL261" s="270"/>
      <c r="AM261" s="270"/>
    </row>
    <row r="262" spans="1:39" s="268" customFormat="1" x14ac:dyDescent="0.25">
      <c r="A262" s="107"/>
      <c r="B262" s="107"/>
      <c r="C262" s="7"/>
      <c r="D262" s="7"/>
      <c r="E262" s="10"/>
      <c r="F262" s="7"/>
      <c r="G262" s="7"/>
      <c r="H262" s="10"/>
      <c r="I262" s="7"/>
      <c r="J262" s="7"/>
      <c r="K262" s="7"/>
      <c r="L262" s="10"/>
      <c r="M262" s="7"/>
      <c r="N262" s="7"/>
      <c r="O262" s="10"/>
      <c r="P262" s="7"/>
      <c r="Q262" s="7"/>
      <c r="R262" s="10"/>
      <c r="S262" s="7"/>
      <c r="T262" s="7"/>
      <c r="U262" s="107"/>
      <c r="V262" s="7"/>
      <c r="W262" s="7"/>
      <c r="X262" s="7"/>
      <c r="Y262" s="7"/>
      <c r="Z262" s="7"/>
      <c r="AA262" s="7"/>
      <c r="AB262" s="7"/>
      <c r="AC262" s="10"/>
      <c r="AD262" s="10"/>
      <c r="AE262" s="7"/>
      <c r="AF262" s="7"/>
      <c r="AG262" s="7"/>
      <c r="AH262" s="7"/>
      <c r="AI262" s="7"/>
      <c r="AJ262" s="7"/>
      <c r="AK262" s="7"/>
      <c r="AL262" s="266"/>
      <c r="AM262" s="266"/>
    </row>
    <row r="263" spans="1:39" s="268" customFormat="1" x14ac:dyDescent="0.25">
      <c r="A263" s="107"/>
      <c r="B263" s="107"/>
      <c r="C263" s="7"/>
      <c r="D263" s="7"/>
      <c r="E263" s="10"/>
      <c r="F263" s="7"/>
      <c r="G263" s="7"/>
      <c r="H263" s="10"/>
      <c r="I263" s="7"/>
      <c r="J263" s="7"/>
      <c r="K263" s="7"/>
      <c r="L263" s="10"/>
      <c r="M263" s="7"/>
      <c r="N263" s="7"/>
      <c r="O263" s="10"/>
      <c r="P263" s="7"/>
      <c r="Q263" s="7"/>
      <c r="R263" s="10"/>
      <c r="S263" s="7"/>
      <c r="T263" s="7"/>
      <c r="U263" s="107"/>
      <c r="V263" s="7"/>
      <c r="W263" s="7"/>
      <c r="X263" s="7"/>
      <c r="Y263" s="7"/>
      <c r="Z263" s="7"/>
      <c r="AA263" s="7"/>
      <c r="AB263" s="7"/>
      <c r="AC263" s="10"/>
      <c r="AD263" s="10"/>
      <c r="AE263" s="7"/>
      <c r="AF263" s="7"/>
      <c r="AG263" s="7"/>
      <c r="AH263" s="7"/>
      <c r="AI263" s="7"/>
      <c r="AJ263" s="7"/>
      <c r="AK263" s="7"/>
      <c r="AL263" s="266"/>
      <c r="AM263" s="266"/>
    </row>
    <row r="264" spans="1:39" s="268" customFormat="1" x14ac:dyDescent="0.25">
      <c r="A264" s="107"/>
      <c r="B264" s="107"/>
      <c r="C264" s="7"/>
      <c r="D264" s="7"/>
      <c r="E264" s="10"/>
      <c r="F264" s="7"/>
      <c r="G264" s="7"/>
      <c r="H264" s="10"/>
      <c r="I264" s="7"/>
      <c r="J264" s="7"/>
      <c r="K264" s="7"/>
      <c r="L264" s="10"/>
      <c r="M264" s="7"/>
      <c r="N264" s="7"/>
      <c r="O264" s="10"/>
      <c r="P264" s="7"/>
      <c r="Q264" s="7"/>
      <c r="R264" s="10"/>
      <c r="S264" s="7"/>
      <c r="T264" s="7"/>
      <c r="U264" s="107"/>
      <c r="V264" s="7"/>
      <c r="W264" s="7"/>
      <c r="X264" s="7"/>
      <c r="Y264" s="7"/>
      <c r="Z264" s="7"/>
      <c r="AA264" s="7"/>
      <c r="AB264" s="7"/>
      <c r="AC264" s="10"/>
      <c r="AD264" s="10"/>
      <c r="AE264" s="7"/>
      <c r="AF264" s="7"/>
      <c r="AG264" s="7"/>
      <c r="AH264" s="7"/>
      <c r="AI264" s="7"/>
      <c r="AJ264" s="7"/>
      <c r="AK264" s="7"/>
      <c r="AL264" s="266"/>
      <c r="AM264" s="266"/>
    </row>
    <row r="265" spans="1:39" s="268" customFormat="1" x14ac:dyDescent="0.25">
      <c r="A265" s="107"/>
      <c r="B265" s="107"/>
      <c r="C265" s="7"/>
      <c r="D265" s="7"/>
      <c r="E265" s="10"/>
      <c r="F265" s="7"/>
      <c r="G265" s="7"/>
      <c r="H265" s="10"/>
      <c r="I265" s="7"/>
      <c r="J265" s="7"/>
      <c r="K265" s="7"/>
      <c r="L265" s="10"/>
      <c r="M265" s="7"/>
      <c r="N265" s="7"/>
      <c r="O265" s="10"/>
      <c r="P265" s="7"/>
      <c r="Q265" s="7"/>
      <c r="R265" s="10"/>
      <c r="S265" s="7"/>
      <c r="T265" s="7"/>
      <c r="U265" s="107"/>
      <c r="V265" s="7"/>
      <c r="W265" s="7"/>
      <c r="X265" s="7"/>
      <c r="Y265" s="7"/>
      <c r="Z265" s="7"/>
      <c r="AA265" s="7"/>
      <c r="AB265" s="7"/>
      <c r="AC265" s="10"/>
      <c r="AD265" s="10"/>
      <c r="AE265" s="7"/>
      <c r="AF265" s="7"/>
      <c r="AG265" s="7"/>
      <c r="AH265" s="7"/>
      <c r="AI265" s="7"/>
      <c r="AJ265" s="7"/>
      <c r="AK265" s="7"/>
      <c r="AL265" s="266"/>
      <c r="AM265" s="266"/>
    </row>
    <row r="266" spans="1:39" s="268" customFormat="1" x14ac:dyDescent="0.25">
      <c r="A266" s="107"/>
      <c r="B266" s="107"/>
      <c r="C266" s="7"/>
      <c r="D266" s="7"/>
      <c r="E266" s="10"/>
      <c r="F266" s="7"/>
      <c r="G266" s="7"/>
      <c r="H266" s="10"/>
      <c r="I266" s="7"/>
      <c r="J266" s="7"/>
      <c r="K266" s="7"/>
      <c r="L266" s="10"/>
      <c r="M266" s="7"/>
      <c r="N266" s="7"/>
      <c r="O266" s="10"/>
      <c r="P266" s="7"/>
      <c r="Q266" s="7"/>
      <c r="R266" s="10"/>
      <c r="S266" s="7"/>
      <c r="T266" s="7"/>
      <c r="U266" s="107"/>
      <c r="V266" s="7"/>
      <c r="W266" s="7"/>
      <c r="X266" s="7"/>
      <c r="Y266" s="7"/>
      <c r="Z266" s="7"/>
      <c r="AA266" s="7"/>
      <c r="AB266" s="7"/>
      <c r="AC266" s="10"/>
      <c r="AD266" s="10"/>
      <c r="AE266" s="7"/>
      <c r="AF266" s="7"/>
      <c r="AG266" s="7"/>
      <c r="AH266" s="7"/>
      <c r="AI266" s="7"/>
      <c r="AJ266" s="7"/>
      <c r="AK266" s="7"/>
      <c r="AL266" s="266"/>
      <c r="AM266" s="266"/>
    </row>
    <row r="267" spans="1:39" s="268" customFormat="1" x14ac:dyDescent="0.25">
      <c r="A267" s="107"/>
      <c r="B267" s="107"/>
      <c r="C267" s="7"/>
      <c r="D267" s="7"/>
      <c r="E267" s="10"/>
      <c r="F267" s="7"/>
      <c r="G267" s="7"/>
      <c r="H267" s="10"/>
      <c r="I267" s="7"/>
      <c r="J267" s="7"/>
      <c r="K267" s="7"/>
      <c r="L267" s="10"/>
      <c r="M267" s="7"/>
      <c r="N267" s="7"/>
      <c r="O267" s="10"/>
      <c r="P267" s="7"/>
      <c r="Q267" s="7"/>
      <c r="R267" s="10"/>
      <c r="S267" s="7"/>
      <c r="T267" s="7"/>
      <c r="U267" s="107"/>
      <c r="V267" s="7"/>
      <c r="W267" s="7"/>
      <c r="X267" s="7"/>
      <c r="Y267" s="7"/>
      <c r="Z267" s="7"/>
      <c r="AA267" s="7"/>
      <c r="AB267" s="7"/>
      <c r="AC267" s="10"/>
      <c r="AD267" s="10"/>
      <c r="AE267" s="7"/>
      <c r="AF267" s="7"/>
      <c r="AG267" s="7"/>
      <c r="AH267" s="7"/>
      <c r="AI267" s="7"/>
      <c r="AJ267" s="7"/>
      <c r="AK267" s="7"/>
      <c r="AL267" s="266"/>
      <c r="AM267" s="266"/>
    </row>
    <row r="268" spans="1:39" s="268" customFormat="1" x14ac:dyDescent="0.25">
      <c r="A268" s="107"/>
      <c r="B268" s="107"/>
      <c r="C268" s="7"/>
      <c r="D268" s="7"/>
      <c r="E268" s="10"/>
      <c r="F268" s="7"/>
      <c r="G268" s="7"/>
      <c r="H268" s="10"/>
      <c r="I268" s="7"/>
      <c r="J268" s="7"/>
      <c r="K268" s="7"/>
      <c r="L268" s="10"/>
      <c r="M268" s="7"/>
      <c r="N268" s="7"/>
      <c r="O268" s="10"/>
      <c r="P268" s="7"/>
      <c r="Q268" s="7"/>
      <c r="R268" s="10"/>
      <c r="S268" s="7"/>
      <c r="T268" s="7"/>
      <c r="U268" s="107"/>
      <c r="V268" s="7"/>
      <c r="W268" s="7"/>
      <c r="X268" s="7"/>
      <c r="Y268" s="7"/>
      <c r="Z268" s="7"/>
      <c r="AA268" s="7"/>
      <c r="AB268" s="7"/>
      <c r="AC268" s="10"/>
      <c r="AD268" s="10"/>
      <c r="AE268" s="7"/>
      <c r="AF268" s="7"/>
      <c r="AG268" s="7"/>
      <c r="AH268" s="7"/>
      <c r="AI268" s="7"/>
      <c r="AJ268" s="7"/>
      <c r="AK268" s="7"/>
      <c r="AL268" s="266"/>
      <c r="AM268" s="266"/>
    </row>
    <row r="269" spans="1:39" s="268" customFormat="1" x14ac:dyDescent="0.25">
      <c r="A269" s="107"/>
      <c r="B269" s="107"/>
      <c r="C269" s="7"/>
      <c r="D269" s="7"/>
      <c r="E269" s="10"/>
      <c r="F269" s="7"/>
      <c r="G269" s="7"/>
      <c r="H269" s="10"/>
      <c r="I269" s="7"/>
      <c r="J269" s="7"/>
      <c r="K269" s="7"/>
      <c r="L269" s="10"/>
      <c r="M269" s="7"/>
      <c r="N269" s="7"/>
      <c r="O269" s="10"/>
      <c r="P269" s="7"/>
      <c r="Q269" s="7"/>
      <c r="R269" s="10"/>
      <c r="S269" s="7"/>
      <c r="T269" s="7"/>
      <c r="U269" s="107"/>
      <c r="V269" s="7"/>
      <c r="W269" s="7"/>
      <c r="X269" s="7"/>
      <c r="Y269" s="7"/>
      <c r="Z269" s="7"/>
      <c r="AA269" s="7"/>
      <c r="AB269" s="7"/>
      <c r="AC269" s="10"/>
      <c r="AD269" s="10"/>
      <c r="AE269" s="7"/>
      <c r="AF269" s="7"/>
      <c r="AG269" s="7"/>
      <c r="AH269" s="7"/>
      <c r="AI269" s="7"/>
      <c r="AJ269" s="7"/>
      <c r="AK269" s="7"/>
      <c r="AL269" s="266"/>
      <c r="AM269" s="266"/>
    </row>
    <row r="270" spans="1:39" s="268" customFormat="1" x14ac:dyDescent="0.25">
      <c r="A270" s="107"/>
      <c r="B270" s="107"/>
      <c r="C270" s="7"/>
      <c r="D270" s="7"/>
      <c r="E270" s="10"/>
      <c r="F270" s="7"/>
      <c r="G270" s="7"/>
      <c r="H270" s="10"/>
      <c r="I270" s="7"/>
      <c r="J270" s="7"/>
      <c r="K270" s="7"/>
      <c r="L270" s="10"/>
      <c r="M270" s="7"/>
      <c r="N270" s="7"/>
      <c r="O270" s="10"/>
      <c r="P270" s="7"/>
      <c r="Q270" s="7"/>
      <c r="R270" s="10"/>
      <c r="S270" s="7"/>
      <c r="T270" s="7"/>
      <c r="U270" s="107"/>
      <c r="V270" s="7"/>
      <c r="W270" s="7"/>
      <c r="X270" s="7"/>
      <c r="Y270" s="7"/>
      <c r="Z270" s="7"/>
      <c r="AA270" s="7"/>
      <c r="AB270" s="7"/>
      <c r="AC270" s="10"/>
      <c r="AD270" s="10"/>
      <c r="AE270" s="7"/>
      <c r="AF270" s="7"/>
      <c r="AG270" s="7"/>
      <c r="AH270" s="7"/>
      <c r="AI270" s="7"/>
      <c r="AJ270" s="7"/>
      <c r="AK270" s="7"/>
      <c r="AL270" s="266"/>
      <c r="AM270" s="266"/>
    </row>
    <row r="271" spans="1:39" s="268" customFormat="1" x14ac:dyDescent="0.25">
      <c r="A271" s="107"/>
      <c r="B271" s="107"/>
      <c r="C271" s="7"/>
      <c r="D271" s="7"/>
      <c r="E271" s="10"/>
      <c r="F271" s="7"/>
      <c r="G271" s="7"/>
      <c r="H271" s="10"/>
      <c r="I271" s="7"/>
      <c r="J271" s="7"/>
      <c r="K271" s="7"/>
      <c r="L271" s="10"/>
      <c r="M271" s="7"/>
      <c r="N271" s="7"/>
      <c r="O271" s="10"/>
      <c r="P271" s="7"/>
      <c r="Q271" s="7"/>
      <c r="R271" s="10"/>
      <c r="S271" s="7"/>
      <c r="T271" s="7"/>
      <c r="U271" s="107"/>
      <c r="V271" s="7"/>
      <c r="W271" s="7"/>
      <c r="X271" s="7"/>
      <c r="Y271" s="7"/>
      <c r="Z271" s="7"/>
      <c r="AA271" s="7"/>
      <c r="AB271" s="7"/>
      <c r="AC271" s="10"/>
      <c r="AD271" s="10"/>
      <c r="AE271" s="7"/>
      <c r="AF271" s="7"/>
      <c r="AG271" s="7"/>
      <c r="AH271" s="7"/>
      <c r="AI271" s="7"/>
      <c r="AJ271" s="7"/>
      <c r="AK271" s="7"/>
      <c r="AL271" s="266"/>
      <c r="AM271" s="266"/>
    </row>
    <row r="272" spans="1:39" s="268" customFormat="1" x14ac:dyDescent="0.25">
      <c r="A272" s="107"/>
      <c r="B272" s="107"/>
      <c r="C272" s="7"/>
      <c r="D272" s="7"/>
      <c r="E272" s="10"/>
      <c r="F272" s="7"/>
      <c r="G272" s="7"/>
      <c r="H272" s="10"/>
      <c r="I272" s="7"/>
      <c r="J272" s="7"/>
      <c r="K272" s="7"/>
      <c r="L272" s="10"/>
      <c r="M272" s="7"/>
      <c r="N272" s="7"/>
      <c r="O272" s="10"/>
      <c r="P272" s="7"/>
      <c r="Q272" s="7"/>
      <c r="R272" s="10"/>
      <c r="S272" s="7"/>
      <c r="T272" s="7"/>
      <c r="U272" s="107"/>
      <c r="V272" s="7"/>
      <c r="W272" s="7"/>
      <c r="X272" s="7"/>
      <c r="Y272" s="7"/>
      <c r="Z272" s="7"/>
      <c r="AA272" s="7"/>
      <c r="AB272" s="7"/>
      <c r="AC272" s="10"/>
      <c r="AD272" s="10"/>
      <c r="AE272" s="7"/>
      <c r="AF272" s="7"/>
      <c r="AG272" s="7"/>
      <c r="AH272" s="7"/>
      <c r="AI272" s="7"/>
      <c r="AJ272" s="7"/>
      <c r="AK272" s="7"/>
      <c r="AL272" s="266"/>
      <c r="AM272" s="266"/>
    </row>
    <row r="273" spans="1:39" s="268" customFormat="1" x14ac:dyDescent="0.25">
      <c r="A273" s="107"/>
      <c r="B273" s="107"/>
      <c r="C273" s="7"/>
      <c r="D273" s="7"/>
      <c r="E273" s="10"/>
      <c r="F273" s="7"/>
      <c r="G273" s="7"/>
      <c r="H273" s="10"/>
      <c r="I273" s="7"/>
      <c r="J273" s="7"/>
      <c r="K273" s="7"/>
      <c r="L273" s="10"/>
      <c r="M273" s="7"/>
      <c r="N273" s="7"/>
      <c r="O273" s="10"/>
      <c r="P273" s="7"/>
      <c r="Q273" s="7"/>
      <c r="R273" s="10"/>
      <c r="S273" s="7"/>
      <c r="T273" s="7"/>
      <c r="U273" s="107"/>
      <c r="V273" s="7"/>
      <c r="W273" s="7"/>
      <c r="X273" s="7"/>
      <c r="Y273" s="7"/>
      <c r="Z273" s="7"/>
      <c r="AA273" s="7"/>
      <c r="AB273" s="7"/>
      <c r="AC273" s="10"/>
      <c r="AD273" s="10"/>
      <c r="AE273" s="7"/>
      <c r="AF273" s="7"/>
      <c r="AG273" s="7"/>
      <c r="AH273" s="7"/>
      <c r="AI273" s="7"/>
      <c r="AJ273" s="7"/>
      <c r="AK273" s="7"/>
      <c r="AL273" s="266"/>
      <c r="AM273" s="266"/>
    </row>
    <row r="274" spans="1:39" s="268" customFormat="1" x14ac:dyDescent="0.25">
      <c r="A274" s="107"/>
      <c r="B274" s="107"/>
      <c r="C274" s="108"/>
      <c r="D274" s="108"/>
      <c r="E274" s="11"/>
      <c r="F274" s="7"/>
      <c r="G274" s="7"/>
      <c r="H274" s="10"/>
      <c r="I274" s="7"/>
      <c r="J274" s="7"/>
      <c r="K274" s="7"/>
      <c r="L274" s="10"/>
      <c r="M274" s="7"/>
      <c r="N274" s="7"/>
      <c r="O274" s="10"/>
      <c r="P274" s="7"/>
      <c r="Q274" s="7"/>
      <c r="R274" s="10"/>
      <c r="S274" s="7"/>
      <c r="T274" s="7"/>
      <c r="U274" s="107"/>
      <c r="V274" s="7"/>
      <c r="W274" s="7"/>
      <c r="X274" s="7"/>
      <c r="Y274" s="7"/>
      <c r="Z274" s="7"/>
      <c r="AA274" s="7"/>
      <c r="AB274" s="7"/>
      <c r="AC274" s="10"/>
      <c r="AD274" s="10"/>
      <c r="AE274" s="7"/>
      <c r="AF274" s="7"/>
      <c r="AG274" s="7"/>
      <c r="AH274" s="7"/>
      <c r="AI274" s="7"/>
      <c r="AJ274" s="7"/>
      <c r="AK274" s="7"/>
      <c r="AL274" s="266"/>
      <c r="AM274" s="266"/>
    </row>
    <row r="275" spans="1:39" s="268" customFormat="1" x14ac:dyDescent="0.25">
      <c r="A275" s="107"/>
      <c r="B275" s="107"/>
      <c r="C275" s="108"/>
      <c r="D275" s="108"/>
      <c r="E275" s="11"/>
      <c r="F275" s="7"/>
      <c r="G275" s="7"/>
      <c r="H275" s="10"/>
      <c r="I275" s="7"/>
      <c r="J275" s="7"/>
      <c r="K275" s="7"/>
      <c r="L275" s="10"/>
      <c r="M275" s="7"/>
      <c r="N275" s="7"/>
      <c r="O275" s="10"/>
      <c r="P275" s="7"/>
      <c r="Q275" s="7"/>
      <c r="R275" s="10"/>
      <c r="S275" s="7"/>
      <c r="T275" s="7"/>
      <c r="U275" s="107"/>
      <c r="V275" s="7"/>
      <c r="W275" s="7"/>
      <c r="X275" s="7"/>
      <c r="Y275" s="7"/>
      <c r="Z275" s="7"/>
      <c r="AA275" s="7"/>
      <c r="AB275" s="7"/>
      <c r="AC275" s="10"/>
      <c r="AD275" s="10"/>
      <c r="AE275" s="7"/>
      <c r="AF275" s="7"/>
      <c r="AG275" s="7"/>
      <c r="AH275" s="7"/>
      <c r="AI275" s="7"/>
      <c r="AJ275" s="7"/>
      <c r="AK275" s="7"/>
      <c r="AL275" s="266"/>
      <c r="AM275" s="266"/>
    </row>
    <row r="276" spans="1:39" s="268" customFormat="1" x14ac:dyDescent="0.25">
      <c r="A276" s="107"/>
      <c r="B276" s="107"/>
      <c r="C276" s="108"/>
      <c r="D276" s="108"/>
      <c r="E276" s="11"/>
      <c r="F276" s="7"/>
      <c r="G276" s="7"/>
      <c r="H276" s="10"/>
      <c r="I276" s="7"/>
      <c r="J276" s="7"/>
      <c r="K276" s="7"/>
      <c r="L276" s="10"/>
      <c r="M276" s="7"/>
      <c r="N276" s="7"/>
      <c r="O276" s="10"/>
      <c r="P276" s="7"/>
      <c r="Q276" s="7"/>
      <c r="R276" s="10"/>
      <c r="S276" s="7"/>
      <c r="T276" s="7"/>
      <c r="U276" s="107"/>
      <c r="V276" s="7"/>
      <c r="W276" s="7"/>
      <c r="X276" s="7"/>
      <c r="Y276" s="7"/>
      <c r="Z276" s="7"/>
      <c r="AA276" s="7"/>
      <c r="AB276" s="7"/>
      <c r="AC276" s="10"/>
      <c r="AD276" s="10"/>
      <c r="AE276" s="7"/>
      <c r="AF276" s="7"/>
      <c r="AG276" s="7"/>
      <c r="AH276" s="7"/>
      <c r="AI276" s="7"/>
      <c r="AJ276" s="7"/>
      <c r="AK276" s="7"/>
      <c r="AL276" s="266"/>
      <c r="AM276" s="266"/>
    </row>
    <row r="277" spans="1:39" s="268" customFormat="1" x14ac:dyDescent="0.25">
      <c r="A277" s="107"/>
      <c r="B277" s="107"/>
      <c r="C277" s="108"/>
      <c r="D277" s="108"/>
      <c r="E277" s="11"/>
      <c r="F277" s="7"/>
      <c r="G277" s="7"/>
      <c r="H277" s="10"/>
      <c r="I277" s="7"/>
      <c r="J277" s="7"/>
      <c r="K277" s="7"/>
      <c r="L277" s="10"/>
      <c r="M277" s="7"/>
      <c r="N277" s="7"/>
      <c r="O277" s="10"/>
      <c r="P277" s="7"/>
      <c r="Q277" s="7"/>
      <c r="R277" s="10"/>
      <c r="S277" s="7"/>
      <c r="T277" s="7"/>
      <c r="U277" s="107"/>
      <c r="V277" s="7"/>
      <c r="W277" s="7"/>
      <c r="X277" s="7"/>
      <c r="Y277" s="7"/>
      <c r="Z277" s="7"/>
      <c r="AA277" s="7"/>
      <c r="AB277" s="7"/>
      <c r="AC277" s="10"/>
      <c r="AD277" s="10"/>
      <c r="AE277" s="7"/>
      <c r="AF277" s="7"/>
      <c r="AG277" s="7"/>
      <c r="AH277" s="7"/>
      <c r="AI277" s="7"/>
      <c r="AJ277" s="7"/>
      <c r="AK277" s="7"/>
      <c r="AL277" s="266"/>
      <c r="AM277" s="266"/>
    </row>
    <row r="278" spans="1:39" s="268" customFormat="1" x14ac:dyDescent="0.25">
      <c r="A278" s="107"/>
      <c r="B278" s="107"/>
      <c r="C278" s="108"/>
      <c r="D278" s="108"/>
      <c r="E278" s="11"/>
      <c r="F278" s="7"/>
      <c r="G278" s="7"/>
      <c r="H278" s="10"/>
      <c r="I278" s="7"/>
      <c r="J278" s="7"/>
      <c r="K278" s="7"/>
      <c r="L278" s="10"/>
      <c r="M278" s="7"/>
      <c r="N278" s="7"/>
      <c r="O278" s="10"/>
      <c r="P278" s="7"/>
      <c r="Q278" s="7"/>
      <c r="R278" s="10"/>
      <c r="S278" s="7"/>
      <c r="T278" s="7"/>
      <c r="U278" s="107"/>
      <c r="V278" s="7"/>
      <c r="W278" s="7"/>
      <c r="X278" s="7"/>
      <c r="Y278" s="7"/>
      <c r="Z278" s="7"/>
      <c r="AA278" s="7"/>
      <c r="AB278" s="7"/>
      <c r="AC278" s="10"/>
      <c r="AD278" s="10"/>
      <c r="AE278" s="7"/>
      <c r="AF278" s="7"/>
      <c r="AG278" s="7"/>
      <c r="AH278" s="7"/>
      <c r="AI278" s="7"/>
      <c r="AJ278" s="7"/>
      <c r="AK278" s="7"/>
      <c r="AL278" s="266"/>
      <c r="AM278" s="266"/>
    </row>
    <row r="279" spans="1:39" s="268" customFormat="1" x14ac:dyDescent="0.25">
      <c r="A279" s="107"/>
      <c r="B279" s="107"/>
      <c r="C279" s="108"/>
      <c r="D279" s="108"/>
      <c r="E279" s="11"/>
      <c r="F279" s="7"/>
      <c r="G279" s="7"/>
      <c r="H279" s="10"/>
      <c r="I279" s="7"/>
      <c r="J279" s="7"/>
      <c r="K279" s="7"/>
      <c r="L279" s="10"/>
      <c r="M279" s="7"/>
      <c r="N279" s="7"/>
      <c r="O279" s="10"/>
      <c r="P279" s="7"/>
      <c r="Q279" s="7"/>
      <c r="R279" s="10"/>
      <c r="S279" s="7"/>
      <c r="T279" s="7"/>
      <c r="U279" s="107"/>
      <c r="V279" s="7"/>
      <c r="W279" s="7"/>
      <c r="X279" s="7"/>
      <c r="Y279" s="7"/>
      <c r="Z279" s="7"/>
      <c r="AA279" s="7"/>
      <c r="AB279" s="7"/>
      <c r="AC279" s="10"/>
      <c r="AD279" s="10"/>
      <c r="AE279" s="7"/>
      <c r="AF279" s="7"/>
      <c r="AG279" s="7"/>
      <c r="AH279" s="7"/>
      <c r="AI279" s="7"/>
      <c r="AJ279" s="7"/>
      <c r="AK279" s="7"/>
      <c r="AL279" s="266"/>
      <c r="AM279" s="266"/>
    </row>
    <row r="280" spans="1:39" s="268" customFormat="1" x14ac:dyDescent="0.25">
      <c r="A280" s="107"/>
      <c r="B280" s="107"/>
      <c r="C280" s="108"/>
      <c r="D280" s="108"/>
      <c r="E280" s="11"/>
      <c r="F280" s="7"/>
      <c r="G280" s="7"/>
      <c r="H280" s="10"/>
      <c r="I280" s="7"/>
      <c r="J280" s="7"/>
      <c r="K280" s="7"/>
      <c r="L280" s="10"/>
      <c r="M280" s="7"/>
      <c r="N280" s="7"/>
      <c r="O280" s="10"/>
      <c r="P280" s="7"/>
      <c r="Q280" s="7"/>
      <c r="R280" s="10"/>
      <c r="S280" s="7"/>
      <c r="T280" s="7"/>
      <c r="U280" s="107"/>
      <c r="V280" s="7"/>
      <c r="W280" s="7"/>
      <c r="X280" s="7"/>
      <c r="Y280" s="7"/>
      <c r="Z280" s="7"/>
      <c r="AA280" s="7"/>
      <c r="AB280" s="7"/>
      <c r="AC280" s="10"/>
      <c r="AD280" s="10"/>
      <c r="AE280" s="7"/>
      <c r="AF280" s="7"/>
      <c r="AG280" s="7"/>
      <c r="AH280" s="7"/>
      <c r="AI280" s="7"/>
      <c r="AJ280" s="7"/>
      <c r="AK280" s="7"/>
      <c r="AL280" s="266"/>
      <c r="AM280" s="266"/>
    </row>
    <row r="281" spans="1:39" s="268" customFormat="1" x14ac:dyDescent="0.25">
      <c r="A281" s="107"/>
      <c r="B281" s="107"/>
      <c r="C281" s="108"/>
      <c r="D281" s="108"/>
      <c r="E281" s="11"/>
      <c r="F281" s="7"/>
      <c r="G281" s="7"/>
      <c r="H281" s="10"/>
      <c r="I281" s="7"/>
      <c r="J281" s="7"/>
      <c r="K281" s="7"/>
      <c r="L281" s="10"/>
      <c r="M281" s="7"/>
      <c r="N281" s="7"/>
      <c r="O281" s="10"/>
      <c r="P281" s="7"/>
      <c r="Q281" s="7"/>
      <c r="R281" s="10"/>
      <c r="S281" s="7"/>
      <c r="T281" s="7"/>
      <c r="U281" s="107"/>
      <c r="V281" s="7"/>
      <c r="W281" s="7"/>
      <c r="X281" s="7"/>
      <c r="Y281" s="7"/>
      <c r="Z281" s="7"/>
      <c r="AA281" s="7"/>
      <c r="AB281" s="7"/>
      <c r="AC281" s="10"/>
      <c r="AD281" s="10"/>
      <c r="AE281" s="7"/>
      <c r="AF281" s="7"/>
      <c r="AG281" s="7"/>
      <c r="AH281" s="7"/>
      <c r="AI281" s="7"/>
      <c r="AJ281" s="7"/>
      <c r="AK281" s="7"/>
      <c r="AL281" s="266"/>
      <c r="AM281" s="266"/>
    </row>
    <row r="282" spans="1:39" s="268" customFormat="1" x14ac:dyDescent="0.25">
      <c r="A282" s="107"/>
      <c r="B282" s="107"/>
      <c r="C282" s="108"/>
      <c r="D282" s="108"/>
      <c r="E282" s="11"/>
      <c r="F282" s="7"/>
      <c r="G282" s="7"/>
      <c r="H282" s="10"/>
      <c r="I282" s="7"/>
      <c r="J282" s="7"/>
      <c r="K282" s="7"/>
      <c r="L282" s="10"/>
      <c r="M282" s="7"/>
      <c r="N282" s="7"/>
      <c r="O282" s="10"/>
      <c r="P282" s="7"/>
      <c r="Q282" s="7"/>
      <c r="R282" s="10"/>
      <c r="S282" s="7"/>
      <c r="T282" s="7"/>
      <c r="U282" s="107"/>
      <c r="V282" s="7"/>
      <c r="W282" s="7"/>
      <c r="X282" s="7"/>
      <c r="Y282" s="7"/>
      <c r="Z282" s="7"/>
      <c r="AA282" s="7"/>
      <c r="AB282" s="7"/>
      <c r="AC282" s="10"/>
      <c r="AD282" s="10"/>
      <c r="AE282" s="7"/>
      <c r="AF282" s="7"/>
      <c r="AG282" s="7"/>
      <c r="AH282" s="7"/>
      <c r="AI282" s="7"/>
      <c r="AJ282" s="7"/>
      <c r="AK282" s="7"/>
      <c r="AL282" s="266"/>
      <c r="AM282" s="266"/>
    </row>
    <row r="283" spans="1:39" s="268" customFormat="1" x14ac:dyDescent="0.25">
      <c r="A283" s="107"/>
      <c r="B283" s="107"/>
      <c r="C283" s="108"/>
      <c r="D283" s="108"/>
      <c r="E283" s="11"/>
      <c r="F283" s="7"/>
      <c r="G283" s="7"/>
      <c r="H283" s="10"/>
      <c r="I283" s="7"/>
      <c r="J283" s="7"/>
      <c r="K283" s="7"/>
      <c r="L283" s="10"/>
      <c r="M283" s="7"/>
      <c r="N283" s="7"/>
      <c r="O283" s="10"/>
      <c r="P283" s="7"/>
      <c r="Q283" s="7"/>
      <c r="R283" s="10"/>
      <c r="S283" s="7"/>
      <c r="T283" s="7"/>
      <c r="U283" s="107"/>
      <c r="V283" s="7"/>
      <c r="W283" s="7"/>
      <c r="X283" s="7"/>
      <c r="Y283" s="7"/>
      <c r="Z283" s="7"/>
      <c r="AA283" s="7"/>
      <c r="AB283" s="7"/>
      <c r="AC283" s="10"/>
      <c r="AD283" s="10"/>
      <c r="AE283" s="7"/>
      <c r="AF283" s="7"/>
      <c r="AG283" s="7"/>
      <c r="AH283" s="7"/>
      <c r="AI283" s="7"/>
      <c r="AJ283" s="7"/>
      <c r="AK283" s="7"/>
      <c r="AL283" s="266"/>
      <c r="AM283" s="266"/>
    </row>
    <row r="284" spans="1:39" s="268" customFormat="1" x14ac:dyDescent="0.25">
      <c r="A284" s="107"/>
      <c r="B284" s="107"/>
      <c r="C284" s="108"/>
      <c r="D284" s="108"/>
      <c r="E284" s="11"/>
      <c r="F284" s="7"/>
      <c r="G284" s="7"/>
      <c r="H284" s="10"/>
      <c r="I284" s="7"/>
      <c r="J284" s="7"/>
      <c r="K284" s="7"/>
      <c r="L284" s="10"/>
      <c r="M284" s="7"/>
      <c r="N284" s="7"/>
      <c r="O284" s="10"/>
      <c r="P284" s="7"/>
      <c r="Q284" s="7"/>
      <c r="R284" s="10"/>
      <c r="S284" s="7"/>
      <c r="T284" s="7"/>
      <c r="U284" s="107"/>
      <c r="V284" s="7"/>
      <c r="W284" s="7"/>
      <c r="X284" s="7"/>
      <c r="Y284" s="7"/>
      <c r="Z284" s="7"/>
      <c r="AA284" s="7"/>
      <c r="AB284" s="7"/>
      <c r="AC284" s="10"/>
      <c r="AD284" s="10"/>
      <c r="AE284" s="7"/>
      <c r="AF284" s="7"/>
      <c r="AG284" s="7"/>
      <c r="AH284" s="7"/>
      <c r="AI284" s="7"/>
      <c r="AJ284" s="7"/>
      <c r="AK284" s="7"/>
      <c r="AL284" s="266"/>
      <c r="AM284" s="266"/>
    </row>
    <row r="285" spans="1:39" s="268" customFormat="1" x14ac:dyDescent="0.25">
      <c r="A285" s="107"/>
      <c r="B285" s="107"/>
      <c r="C285" s="108"/>
      <c r="D285" s="108"/>
      <c r="E285" s="11"/>
      <c r="F285" s="7"/>
      <c r="G285" s="7"/>
      <c r="H285" s="10"/>
      <c r="I285" s="7"/>
      <c r="J285" s="7"/>
      <c r="K285" s="7"/>
      <c r="L285" s="10"/>
      <c r="M285" s="7"/>
      <c r="N285" s="7"/>
      <c r="O285" s="10"/>
      <c r="P285" s="7"/>
      <c r="Q285" s="7"/>
      <c r="R285" s="10"/>
      <c r="S285" s="7"/>
      <c r="T285" s="7"/>
      <c r="U285" s="107"/>
      <c r="V285" s="7"/>
      <c r="W285" s="7"/>
      <c r="X285" s="7"/>
      <c r="Y285" s="7"/>
      <c r="Z285" s="7"/>
      <c r="AA285" s="7"/>
      <c r="AB285" s="7"/>
      <c r="AC285" s="10"/>
      <c r="AD285" s="10"/>
      <c r="AE285" s="7"/>
      <c r="AF285" s="7"/>
      <c r="AG285" s="7"/>
      <c r="AH285" s="7"/>
      <c r="AI285" s="7"/>
      <c r="AJ285" s="7"/>
      <c r="AK285" s="7"/>
      <c r="AL285" s="266"/>
      <c r="AM285" s="266"/>
    </row>
    <row r="286" spans="1:39" s="268" customFormat="1" x14ac:dyDescent="0.25">
      <c r="A286" s="107"/>
      <c r="B286" s="107"/>
      <c r="C286" s="108"/>
      <c r="D286" s="108"/>
      <c r="E286" s="11"/>
      <c r="F286" s="7"/>
      <c r="G286" s="7"/>
      <c r="H286" s="10"/>
      <c r="I286" s="7"/>
      <c r="J286" s="7"/>
      <c r="K286" s="7"/>
      <c r="L286" s="10"/>
      <c r="M286" s="7"/>
      <c r="N286" s="7"/>
      <c r="O286" s="10"/>
      <c r="P286" s="7"/>
      <c r="Q286" s="7"/>
      <c r="R286" s="10"/>
      <c r="S286" s="7"/>
      <c r="T286" s="7"/>
      <c r="U286" s="107"/>
      <c r="V286" s="7"/>
      <c r="W286" s="7"/>
      <c r="X286" s="7"/>
      <c r="Y286" s="7"/>
      <c r="Z286" s="7"/>
      <c r="AA286" s="7"/>
      <c r="AB286" s="7"/>
      <c r="AC286" s="10"/>
      <c r="AD286" s="10"/>
      <c r="AE286" s="7"/>
      <c r="AF286" s="7"/>
      <c r="AG286" s="7"/>
      <c r="AH286" s="7"/>
      <c r="AI286" s="7"/>
      <c r="AJ286" s="7"/>
      <c r="AK286" s="7"/>
      <c r="AL286" s="266"/>
      <c r="AM286" s="266"/>
    </row>
    <row r="287" spans="1:39" s="268" customFormat="1" x14ac:dyDescent="0.25">
      <c r="A287" s="107"/>
      <c r="B287" s="107"/>
      <c r="C287" s="7"/>
      <c r="D287" s="7"/>
      <c r="E287" s="10"/>
      <c r="F287" s="7"/>
      <c r="G287" s="7"/>
      <c r="H287" s="10"/>
      <c r="I287" s="7"/>
      <c r="J287" s="7"/>
      <c r="K287" s="7"/>
      <c r="L287" s="10"/>
      <c r="M287" s="7"/>
      <c r="N287" s="7"/>
      <c r="O287" s="10"/>
      <c r="P287" s="7"/>
      <c r="Q287" s="7"/>
      <c r="R287" s="10"/>
      <c r="S287" s="7"/>
      <c r="T287" s="7"/>
      <c r="U287" s="107"/>
      <c r="V287" s="7"/>
      <c r="W287" s="7"/>
      <c r="X287" s="7"/>
      <c r="Y287" s="7"/>
      <c r="Z287" s="7"/>
      <c r="AA287" s="7"/>
      <c r="AB287" s="7"/>
      <c r="AC287" s="10"/>
      <c r="AD287" s="10"/>
      <c r="AE287" s="7"/>
      <c r="AF287" s="7"/>
      <c r="AG287" s="7"/>
      <c r="AH287" s="7"/>
      <c r="AI287" s="7"/>
      <c r="AJ287" s="7"/>
      <c r="AK287" s="7"/>
      <c r="AL287" s="266"/>
      <c r="AM287" s="266"/>
    </row>
    <row r="288" spans="1:39" s="268" customFormat="1" x14ac:dyDescent="0.25">
      <c r="A288" s="107"/>
      <c r="B288" s="107"/>
      <c r="C288" s="7"/>
      <c r="D288" s="7"/>
      <c r="E288" s="10"/>
      <c r="F288" s="7"/>
      <c r="G288" s="7"/>
      <c r="H288" s="10"/>
      <c r="I288" s="7"/>
      <c r="J288" s="7"/>
      <c r="K288" s="7"/>
      <c r="L288" s="10"/>
      <c r="M288" s="7"/>
      <c r="N288" s="7"/>
      <c r="O288" s="10"/>
      <c r="P288" s="7"/>
      <c r="Q288" s="7"/>
      <c r="R288" s="10"/>
      <c r="S288" s="7"/>
      <c r="T288" s="7"/>
      <c r="U288" s="107"/>
      <c r="V288" s="7"/>
      <c r="W288" s="7"/>
      <c r="X288" s="7"/>
      <c r="Y288" s="7"/>
      <c r="Z288" s="7"/>
      <c r="AA288" s="7"/>
      <c r="AB288" s="7"/>
      <c r="AC288" s="10"/>
      <c r="AD288" s="10"/>
      <c r="AE288" s="7"/>
      <c r="AF288" s="7"/>
      <c r="AG288" s="7"/>
      <c r="AH288" s="7"/>
      <c r="AI288" s="7"/>
      <c r="AJ288" s="7"/>
      <c r="AK288" s="7"/>
      <c r="AL288" s="266"/>
      <c r="AM288" s="266"/>
    </row>
    <row r="289" spans="1:39" s="268" customFormat="1" x14ac:dyDescent="0.25">
      <c r="A289" s="107"/>
      <c r="B289" s="107"/>
      <c r="C289" s="7"/>
      <c r="D289" s="7"/>
      <c r="E289" s="10"/>
      <c r="F289" s="7"/>
      <c r="G289" s="7"/>
      <c r="H289" s="10"/>
      <c r="I289" s="7"/>
      <c r="J289" s="7"/>
      <c r="K289" s="7"/>
      <c r="L289" s="10"/>
      <c r="M289" s="7"/>
      <c r="N289" s="7"/>
      <c r="O289" s="10"/>
      <c r="P289" s="7"/>
      <c r="Q289" s="7"/>
      <c r="R289" s="10"/>
      <c r="S289" s="7"/>
      <c r="T289" s="7"/>
      <c r="U289" s="107"/>
      <c r="V289" s="7"/>
      <c r="W289" s="7"/>
      <c r="X289" s="7"/>
      <c r="Y289" s="7"/>
      <c r="Z289" s="7"/>
      <c r="AA289" s="7"/>
      <c r="AB289" s="7"/>
      <c r="AC289" s="10"/>
      <c r="AD289" s="10"/>
      <c r="AE289" s="7"/>
      <c r="AF289" s="7"/>
      <c r="AG289" s="7"/>
      <c r="AH289" s="7"/>
      <c r="AI289" s="7"/>
      <c r="AJ289" s="7"/>
      <c r="AK289" s="7"/>
      <c r="AL289" s="266"/>
      <c r="AM289" s="266"/>
    </row>
    <row r="290" spans="1:39" s="268" customFormat="1" x14ac:dyDescent="0.25">
      <c r="A290" s="107"/>
      <c r="B290" s="107"/>
      <c r="C290" s="7"/>
      <c r="D290" s="7"/>
      <c r="E290" s="10"/>
      <c r="F290" s="7"/>
      <c r="G290" s="7"/>
      <c r="H290" s="10"/>
      <c r="I290" s="7"/>
      <c r="J290" s="7"/>
      <c r="K290" s="7"/>
      <c r="L290" s="10"/>
      <c r="M290" s="7"/>
      <c r="N290" s="7"/>
      <c r="O290" s="10"/>
      <c r="P290" s="7"/>
      <c r="Q290" s="7"/>
      <c r="R290" s="10"/>
      <c r="S290" s="7"/>
      <c r="T290" s="7"/>
      <c r="U290" s="107"/>
      <c r="V290" s="7"/>
      <c r="W290" s="7"/>
      <c r="X290" s="7"/>
      <c r="Y290" s="7"/>
      <c r="Z290" s="7"/>
      <c r="AA290" s="7"/>
      <c r="AB290" s="7"/>
      <c r="AC290" s="10"/>
      <c r="AD290" s="10"/>
      <c r="AE290" s="7"/>
      <c r="AF290" s="7"/>
      <c r="AG290" s="7"/>
      <c r="AH290" s="7"/>
      <c r="AI290" s="7"/>
      <c r="AJ290" s="7"/>
      <c r="AK290" s="7"/>
      <c r="AL290" s="266"/>
      <c r="AM290" s="266"/>
    </row>
    <row r="291" spans="1:39" s="268" customFormat="1" x14ac:dyDescent="0.25">
      <c r="A291" s="107"/>
      <c r="B291" s="107"/>
      <c r="C291" s="7"/>
      <c r="D291" s="7"/>
      <c r="E291" s="10"/>
      <c r="F291" s="7"/>
      <c r="G291" s="7"/>
      <c r="H291" s="10"/>
      <c r="I291" s="7"/>
      <c r="J291" s="7"/>
      <c r="K291" s="7"/>
      <c r="L291" s="10"/>
      <c r="M291" s="7"/>
      <c r="N291" s="7"/>
      <c r="O291" s="10"/>
      <c r="P291" s="7"/>
      <c r="Q291" s="7"/>
      <c r="R291" s="10"/>
      <c r="S291" s="7"/>
      <c r="T291" s="7"/>
      <c r="U291" s="107"/>
      <c r="V291" s="7"/>
      <c r="W291" s="7"/>
      <c r="X291" s="7"/>
      <c r="Y291" s="7"/>
      <c r="Z291" s="7"/>
      <c r="AA291" s="7"/>
      <c r="AB291" s="7"/>
      <c r="AC291" s="10"/>
      <c r="AD291" s="10"/>
      <c r="AE291" s="7"/>
      <c r="AF291" s="7"/>
      <c r="AG291" s="7"/>
      <c r="AH291" s="7"/>
      <c r="AI291" s="7"/>
      <c r="AJ291" s="7"/>
      <c r="AK291" s="7"/>
      <c r="AL291" s="266"/>
      <c r="AM291" s="266"/>
    </row>
    <row r="292" spans="1:39" s="268" customFormat="1" x14ac:dyDescent="0.25">
      <c r="A292" s="107"/>
      <c r="B292" s="107"/>
      <c r="C292" s="7"/>
      <c r="D292" s="7"/>
      <c r="E292" s="10"/>
      <c r="F292" s="7"/>
      <c r="G292" s="7"/>
      <c r="H292" s="10"/>
      <c r="I292" s="7"/>
      <c r="J292" s="7"/>
      <c r="K292" s="7"/>
      <c r="L292" s="10"/>
      <c r="M292" s="7"/>
      <c r="N292" s="7"/>
      <c r="O292" s="10"/>
      <c r="P292" s="7"/>
      <c r="Q292" s="7"/>
      <c r="R292" s="10"/>
      <c r="S292" s="7"/>
      <c r="T292" s="7"/>
      <c r="U292" s="107"/>
      <c r="V292" s="7"/>
      <c r="W292" s="7"/>
      <c r="X292" s="7"/>
      <c r="Y292" s="7"/>
      <c r="Z292" s="7"/>
      <c r="AA292" s="7"/>
      <c r="AB292" s="7"/>
      <c r="AC292" s="10"/>
      <c r="AD292" s="10"/>
      <c r="AE292" s="7"/>
      <c r="AF292" s="7"/>
      <c r="AG292" s="7"/>
      <c r="AH292" s="7"/>
      <c r="AI292" s="7"/>
      <c r="AJ292" s="7"/>
      <c r="AK292" s="7"/>
      <c r="AL292" s="266"/>
      <c r="AM292" s="266"/>
    </row>
    <row r="293" spans="1:39" s="268" customFormat="1" x14ac:dyDescent="0.25">
      <c r="A293" s="107"/>
      <c r="B293" s="107"/>
      <c r="C293" s="7"/>
      <c r="D293" s="7"/>
      <c r="E293" s="10"/>
      <c r="F293" s="7"/>
      <c r="G293" s="7"/>
      <c r="H293" s="10"/>
      <c r="I293" s="7"/>
      <c r="J293" s="7"/>
      <c r="K293" s="7"/>
      <c r="L293" s="10"/>
      <c r="M293" s="7"/>
      <c r="N293" s="7"/>
      <c r="O293" s="10"/>
      <c r="P293" s="7"/>
      <c r="Q293" s="7"/>
      <c r="R293" s="10"/>
      <c r="S293" s="7"/>
      <c r="T293" s="7"/>
      <c r="U293" s="107"/>
      <c r="V293" s="7"/>
      <c r="W293" s="7"/>
      <c r="X293" s="7"/>
      <c r="Y293" s="7"/>
      <c r="Z293" s="7"/>
      <c r="AA293" s="7"/>
      <c r="AB293" s="7"/>
      <c r="AC293" s="10"/>
      <c r="AD293" s="10"/>
      <c r="AE293" s="7"/>
      <c r="AF293" s="7"/>
      <c r="AG293" s="7"/>
      <c r="AH293" s="7"/>
      <c r="AI293" s="7"/>
      <c r="AJ293" s="7"/>
      <c r="AK293" s="7"/>
      <c r="AL293" s="266"/>
      <c r="AM293" s="266"/>
    </row>
    <row r="294" spans="1:39" s="268" customFormat="1" x14ac:dyDescent="0.25">
      <c r="A294" s="107"/>
      <c r="B294" s="107"/>
      <c r="C294" s="7"/>
      <c r="D294" s="7"/>
      <c r="E294" s="10"/>
      <c r="F294" s="7"/>
      <c r="G294" s="7"/>
      <c r="H294" s="10"/>
      <c r="I294" s="7"/>
      <c r="J294" s="7"/>
      <c r="K294" s="7"/>
      <c r="L294" s="10"/>
      <c r="M294" s="7"/>
      <c r="N294" s="7"/>
      <c r="O294" s="10"/>
      <c r="P294" s="7"/>
      <c r="Q294" s="7"/>
      <c r="R294" s="10"/>
      <c r="S294" s="7"/>
      <c r="T294" s="7"/>
      <c r="U294" s="107"/>
      <c r="V294" s="7"/>
      <c r="W294" s="7"/>
      <c r="X294" s="7"/>
      <c r="Y294" s="7"/>
      <c r="Z294" s="7"/>
      <c r="AA294" s="7"/>
      <c r="AB294" s="7"/>
      <c r="AC294" s="10"/>
      <c r="AD294" s="10"/>
      <c r="AE294" s="7"/>
      <c r="AF294" s="7"/>
      <c r="AG294" s="7"/>
      <c r="AH294" s="7"/>
      <c r="AI294" s="7"/>
      <c r="AJ294" s="7"/>
      <c r="AK294" s="7"/>
      <c r="AL294" s="266"/>
      <c r="AM294" s="266"/>
    </row>
    <row r="295" spans="1:39" s="268" customFormat="1" x14ac:dyDescent="0.25">
      <c r="A295" s="107"/>
      <c r="B295" s="107"/>
      <c r="C295" s="7"/>
      <c r="D295" s="7"/>
      <c r="E295" s="10"/>
      <c r="F295" s="7"/>
      <c r="G295" s="7"/>
      <c r="H295" s="10"/>
      <c r="I295" s="7"/>
      <c r="J295" s="7"/>
      <c r="K295" s="7"/>
      <c r="L295" s="10"/>
      <c r="M295" s="7"/>
      <c r="N295" s="7"/>
      <c r="O295" s="10"/>
      <c r="P295" s="7"/>
      <c r="Q295" s="7"/>
      <c r="R295" s="10"/>
      <c r="S295" s="7"/>
      <c r="T295" s="7"/>
      <c r="U295" s="107"/>
      <c r="V295" s="7"/>
      <c r="W295" s="7"/>
      <c r="X295" s="7"/>
      <c r="Y295" s="7"/>
      <c r="Z295" s="7"/>
      <c r="AA295" s="7"/>
      <c r="AB295" s="7"/>
      <c r="AC295" s="10"/>
      <c r="AD295" s="10"/>
      <c r="AE295" s="7"/>
      <c r="AF295" s="7"/>
      <c r="AG295" s="7"/>
      <c r="AH295" s="7"/>
      <c r="AI295" s="7"/>
      <c r="AJ295" s="7"/>
      <c r="AK295" s="7"/>
      <c r="AL295" s="266"/>
      <c r="AM295" s="266"/>
    </row>
    <row r="296" spans="1:39" s="268" customFormat="1" x14ac:dyDescent="0.25">
      <c r="A296" s="107"/>
      <c r="B296" s="107"/>
      <c r="C296" s="7"/>
      <c r="D296" s="7"/>
      <c r="E296" s="10"/>
      <c r="F296" s="7"/>
      <c r="G296" s="7"/>
      <c r="H296" s="10"/>
      <c r="I296" s="7"/>
      <c r="J296" s="7"/>
      <c r="K296" s="7"/>
      <c r="L296" s="10"/>
      <c r="M296" s="7"/>
      <c r="N296" s="7"/>
      <c r="O296" s="10"/>
      <c r="P296" s="7"/>
      <c r="Q296" s="7"/>
      <c r="R296" s="10"/>
      <c r="S296" s="7"/>
      <c r="T296" s="7"/>
      <c r="U296" s="107"/>
      <c r="V296" s="7"/>
      <c r="W296" s="7"/>
      <c r="X296" s="7"/>
      <c r="Y296" s="7"/>
      <c r="Z296" s="7"/>
      <c r="AA296" s="7"/>
      <c r="AB296" s="7"/>
      <c r="AC296" s="10"/>
      <c r="AD296" s="10"/>
      <c r="AE296" s="7"/>
      <c r="AF296" s="7"/>
      <c r="AG296" s="7"/>
      <c r="AH296" s="7"/>
      <c r="AI296" s="7"/>
      <c r="AJ296" s="7"/>
      <c r="AK296" s="7"/>
      <c r="AL296" s="266"/>
      <c r="AM296" s="266"/>
    </row>
    <row r="297" spans="1:39" s="268" customFormat="1" x14ac:dyDescent="0.25">
      <c r="A297" s="107"/>
      <c r="B297" s="107"/>
      <c r="C297" s="7"/>
      <c r="D297" s="7"/>
      <c r="E297" s="10"/>
      <c r="F297" s="7"/>
      <c r="G297" s="7"/>
      <c r="H297" s="10"/>
      <c r="I297" s="7"/>
      <c r="J297" s="7"/>
      <c r="K297" s="7"/>
      <c r="L297" s="10"/>
      <c r="M297" s="7"/>
      <c r="N297" s="7"/>
      <c r="O297" s="10"/>
      <c r="P297" s="7"/>
      <c r="Q297" s="7"/>
      <c r="R297" s="10"/>
      <c r="S297" s="7"/>
      <c r="T297" s="7"/>
      <c r="U297" s="107"/>
      <c r="V297" s="7"/>
      <c r="W297" s="7"/>
      <c r="X297" s="7"/>
      <c r="Y297" s="7"/>
      <c r="Z297" s="7"/>
      <c r="AA297" s="7"/>
      <c r="AB297" s="7"/>
      <c r="AC297" s="10"/>
      <c r="AD297" s="10"/>
      <c r="AE297" s="7"/>
      <c r="AF297" s="7"/>
      <c r="AG297" s="7"/>
      <c r="AH297" s="7"/>
      <c r="AI297" s="7"/>
      <c r="AJ297" s="7"/>
      <c r="AK297" s="7"/>
      <c r="AL297" s="266"/>
      <c r="AM297" s="266"/>
    </row>
    <row r="298" spans="1:39" s="268" customFormat="1" x14ac:dyDescent="0.25">
      <c r="A298" s="107"/>
      <c r="B298" s="107"/>
      <c r="C298" s="7"/>
      <c r="D298" s="7"/>
      <c r="E298" s="10"/>
      <c r="F298" s="7"/>
      <c r="G298" s="7"/>
      <c r="H298" s="10"/>
      <c r="I298" s="7"/>
      <c r="J298" s="7"/>
      <c r="K298" s="7"/>
      <c r="L298" s="10"/>
      <c r="M298" s="7"/>
      <c r="N298" s="7"/>
      <c r="O298" s="10"/>
      <c r="P298" s="7"/>
      <c r="Q298" s="7"/>
      <c r="R298" s="10"/>
      <c r="S298" s="7"/>
      <c r="T298" s="7"/>
      <c r="U298" s="107"/>
      <c r="V298" s="7"/>
      <c r="W298" s="7"/>
      <c r="X298" s="7"/>
      <c r="Y298" s="7"/>
      <c r="Z298" s="7"/>
      <c r="AA298" s="7"/>
      <c r="AB298" s="7"/>
      <c r="AC298" s="10"/>
      <c r="AD298" s="10"/>
      <c r="AE298" s="7"/>
      <c r="AF298" s="7"/>
      <c r="AG298" s="7"/>
      <c r="AH298" s="7"/>
      <c r="AI298" s="7"/>
      <c r="AJ298" s="7"/>
      <c r="AK298" s="7"/>
      <c r="AL298" s="266"/>
      <c r="AM298" s="266"/>
    </row>
    <row r="299" spans="1:39" s="268" customFormat="1" x14ac:dyDescent="0.25">
      <c r="A299" s="107"/>
      <c r="B299" s="107"/>
      <c r="C299" s="7"/>
      <c r="D299" s="7"/>
      <c r="E299" s="10"/>
      <c r="F299" s="7"/>
      <c r="G299" s="7"/>
      <c r="H299" s="10"/>
      <c r="I299" s="7"/>
      <c r="J299" s="7"/>
      <c r="K299" s="7"/>
      <c r="L299" s="10"/>
      <c r="M299" s="7"/>
      <c r="N299" s="7"/>
      <c r="O299" s="10"/>
      <c r="P299" s="7"/>
      <c r="Q299" s="7"/>
      <c r="R299" s="10"/>
      <c r="S299" s="7"/>
      <c r="T299" s="7"/>
      <c r="U299" s="107"/>
      <c r="V299" s="7"/>
      <c r="W299" s="7"/>
      <c r="X299" s="7"/>
      <c r="Y299" s="7"/>
      <c r="Z299" s="7"/>
      <c r="AA299" s="7"/>
      <c r="AB299" s="7"/>
      <c r="AC299" s="10"/>
      <c r="AD299" s="10"/>
      <c r="AE299" s="7"/>
      <c r="AF299" s="7"/>
      <c r="AG299" s="7"/>
      <c r="AH299" s="7"/>
      <c r="AI299" s="7"/>
      <c r="AJ299" s="7"/>
      <c r="AK299" s="7"/>
      <c r="AL299" s="266"/>
      <c r="AM299" s="266"/>
    </row>
    <row r="300" spans="1:39" s="268" customFormat="1" x14ac:dyDescent="0.25">
      <c r="A300" s="107"/>
      <c r="B300" s="107"/>
      <c r="C300" s="7"/>
      <c r="D300" s="7"/>
      <c r="E300" s="10"/>
      <c r="F300" s="7"/>
      <c r="G300" s="7"/>
      <c r="H300" s="10"/>
      <c r="I300" s="7"/>
      <c r="J300" s="7"/>
      <c r="K300" s="7"/>
      <c r="L300" s="10"/>
      <c r="M300" s="7"/>
      <c r="N300" s="7"/>
      <c r="O300" s="10"/>
      <c r="P300" s="7"/>
      <c r="Q300" s="7"/>
      <c r="R300" s="10"/>
      <c r="S300" s="7"/>
      <c r="T300" s="7"/>
      <c r="U300" s="107"/>
      <c r="V300" s="7"/>
      <c r="W300" s="7"/>
      <c r="X300" s="7"/>
      <c r="Y300" s="7"/>
      <c r="Z300" s="7"/>
      <c r="AA300" s="7"/>
      <c r="AB300" s="7"/>
      <c r="AC300" s="10"/>
      <c r="AD300" s="10"/>
      <c r="AE300" s="7"/>
      <c r="AF300" s="7"/>
      <c r="AG300" s="7"/>
      <c r="AH300" s="7"/>
      <c r="AI300" s="7"/>
      <c r="AJ300" s="7"/>
      <c r="AK300" s="7"/>
      <c r="AL300" s="266"/>
      <c r="AM300" s="266"/>
    </row>
    <row r="301" spans="1:39" s="268" customFormat="1" x14ac:dyDescent="0.25">
      <c r="A301" s="107"/>
      <c r="B301" s="107"/>
      <c r="C301" s="7"/>
      <c r="D301" s="7"/>
      <c r="E301" s="10"/>
      <c r="F301" s="7"/>
      <c r="G301" s="7"/>
      <c r="H301" s="10"/>
      <c r="I301" s="7"/>
      <c r="J301" s="7"/>
      <c r="K301" s="7"/>
      <c r="L301" s="10"/>
      <c r="M301" s="7"/>
      <c r="N301" s="7"/>
      <c r="O301" s="10"/>
      <c r="P301" s="7"/>
      <c r="Q301" s="7"/>
      <c r="R301" s="10"/>
      <c r="S301" s="7"/>
      <c r="T301" s="7"/>
      <c r="U301" s="107"/>
      <c r="V301" s="7"/>
      <c r="W301" s="7"/>
      <c r="X301" s="7"/>
      <c r="Y301" s="7"/>
      <c r="Z301" s="7"/>
      <c r="AA301" s="7"/>
      <c r="AB301" s="7"/>
      <c r="AC301" s="10"/>
      <c r="AD301" s="10"/>
      <c r="AE301" s="7"/>
      <c r="AF301" s="7"/>
      <c r="AG301" s="7"/>
      <c r="AH301" s="7"/>
      <c r="AI301" s="7"/>
      <c r="AJ301" s="7"/>
      <c r="AK301" s="7"/>
      <c r="AL301" s="266"/>
      <c r="AM301" s="266"/>
    </row>
    <row r="302" spans="1:39" s="268" customFormat="1" x14ac:dyDescent="0.25">
      <c r="A302" s="107"/>
      <c r="B302" s="107"/>
      <c r="C302" s="7"/>
      <c r="D302" s="7"/>
      <c r="E302" s="10"/>
      <c r="F302" s="7"/>
      <c r="G302" s="7"/>
      <c r="H302" s="10"/>
      <c r="I302" s="7"/>
      <c r="J302" s="7"/>
      <c r="K302" s="7"/>
      <c r="L302" s="10"/>
      <c r="M302" s="7"/>
      <c r="N302" s="7"/>
      <c r="O302" s="10"/>
      <c r="P302" s="7"/>
      <c r="Q302" s="7"/>
      <c r="R302" s="10"/>
      <c r="S302" s="7"/>
      <c r="T302" s="7"/>
      <c r="U302" s="107"/>
      <c r="V302" s="7"/>
      <c r="W302" s="7"/>
      <c r="X302" s="7"/>
      <c r="Y302" s="7"/>
      <c r="Z302" s="7"/>
      <c r="AA302" s="7"/>
      <c r="AB302" s="7"/>
      <c r="AC302" s="10"/>
      <c r="AD302" s="10"/>
      <c r="AE302" s="7"/>
      <c r="AF302" s="7"/>
      <c r="AG302" s="7"/>
      <c r="AH302" s="7"/>
      <c r="AI302" s="7"/>
      <c r="AJ302" s="7"/>
      <c r="AK302" s="7"/>
      <c r="AL302" s="266"/>
      <c r="AM302" s="266"/>
    </row>
    <row r="303" spans="1:39" s="268" customFormat="1" x14ac:dyDescent="0.25">
      <c r="A303" s="107"/>
      <c r="B303" s="107"/>
      <c r="C303" s="7"/>
      <c r="D303" s="7"/>
      <c r="E303" s="10"/>
      <c r="F303" s="7"/>
      <c r="G303" s="7"/>
      <c r="H303" s="10"/>
      <c r="I303" s="7"/>
      <c r="J303" s="7"/>
      <c r="K303" s="7"/>
      <c r="L303" s="10"/>
      <c r="M303" s="7"/>
      <c r="N303" s="7"/>
      <c r="O303" s="10"/>
      <c r="P303" s="7"/>
      <c r="Q303" s="7"/>
      <c r="R303" s="10"/>
      <c r="S303" s="7"/>
      <c r="T303" s="7"/>
      <c r="U303" s="107"/>
      <c r="V303" s="7"/>
      <c r="W303" s="7"/>
      <c r="X303" s="7"/>
      <c r="Y303" s="7"/>
      <c r="Z303" s="7"/>
      <c r="AA303" s="7"/>
      <c r="AB303" s="7"/>
      <c r="AC303" s="10"/>
      <c r="AD303" s="10"/>
      <c r="AE303" s="7"/>
      <c r="AF303" s="7"/>
      <c r="AG303" s="7"/>
      <c r="AH303" s="7"/>
      <c r="AI303" s="7"/>
      <c r="AJ303" s="7"/>
      <c r="AK303" s="7"/>
      <c r="AL303" s="266"/>
      <c r="AM303" s="266"/>
    </row>
    <row r="304" spans="1:39" s="268" customFormat="1" x14ac:dyDescent="0.25">
      <c r="A304" s="107"/>
      <c r="B304" s="107"/>
      <c r="C304" s="7"/>
      <c r="D304" s="7"/>
      <c r="E304" s="10"/>
      <c r="F304" s="7"/>
      <c r="G304" s="7"/>
      <c r="H304" s="10"/>
      <c r="I304" s="7"/>
      <c r="J304" s="7"/>
      <c r="K304" s="7"/>
      <c r="L304" s="10"/>
      <c r="M304" s="7"/>
      <c r="N304" s="7"/>
      <c r="O304" s="10"/>
      <c r="P304" s="7"/>
      <c r="Q304" s="7"/>
      <c r="R304" s="10"/>
      <c r="S304" s="7"/>
      <c r="T304" s="7"/>
      <c r="U304" s="107"/>
      <c r="V304" s="7"/>
      <c r="W304" s="7"/>
      <c r="X304" s="7"/>
      <c r="Y304" s="7"/>
      <c r="Z304" s="7"/>
      <c r="AA304" s="7"/>
      <c r="AB304" s="7"/>
      <c r="AC304" s="10"/>
      <c r="AD304" s="10"/>
      <c r="AE304" s="7"/>
      <c r="AF304" s="7"/>
      <c r="AG304" s="7"/>
      <c r="AH304" s="7"/>
      <c r="AI304" s="7"/>
      <c r="AJ304" s="7"/>
      <c r="AK304" s="7"/>
      <c r="AL304" s="266"/>
      <c r="AM304" s="266"/>
    </row>
    <row r="305" spans="1:39" s="268" customFormat="1" x14ac:dyDescent="0.25">
      <c r="A305" s="107"/>
      <c r="B305" s="107"/>
      <c r="C305" s="7"/>
      <c r="D305" s="7"/>
      <c r="E305" s="10"/>
      <c r="F305" s="7"/>
      <c r="G305" s="7"/>
      <c r="H305" s="10"/>
      <c r="I305" s="7"/>
      <c r="J305" s="7"/>
      <c r="K305" s="7"/>
      <c r="L305" s="10"/>
      <c r="M305" s="7"/>
      <c r="N305" s="7"/>
      <c r="O305" s="10"/>
      <c r="P305" s="7"/>
      <c r="Q305" s="7"/>
      <c r="R305" s="10"/>
      <c r="S305" s="7"/>
      <c r="T305" s="7"/>
      <c r="U305" s="107"/>
      <c r="V305" s="7"/>
      <c r="W305" s="7"/>
      <c r="X305" s="7"/>
      <c r="Y305" s="7"/>
      <c r="Z305" s="7"/>
      <c r="AA305" s="7"/>
      <c r="AB305" s="7"/>
      <c r="AC305" s="10"/>
      <c r="AD305" s="10"/>
      <c r="AE305" s="7"/>
      <c r="AF305" s="7"/>
      <c r="AG305" s="7"/>
      <c r="AH305" s="7"/>
      <c r="AI305" s="7"/>
      <c r="AJ305" s="7"/>
      <c r="AK305" s="7"/>
      <c r="AL305" s="266"/>
      <c r="AM305" s="266"/>
    </row>
    <row r="306" spans="1:39" s="268" customFormat="1" x14ac:dyDescent="0.25">
      <c r="A306" s="107"/>
      <c r="B306" s="107"/>
      <c r="C306" s="7"/>
      <c r="D306" s="7"/>
      <c r="E306" s="10"/>
      <c r="F306" s="7"/>
      <c r="G306" s="7"/>
      <c r="H306" s="10"/>
      <c r="I306" s="7"/>
      <c r="J306" s="7"/>
      <c r="K306" s="7"/>
      <c r="L306" s="10"/>
      <c r="M306" s="7"/>
      <c r="N306" s="7"/>
      <c r="O306" s="10"/>
      <c r="P306" s="7"/>
      <c r="Q306" s="7"/>
      <c r="R306" s="10"/>
      <c r="S306" s="7"/>
      <c r="T306" s="7"/>
      <c r="U306" s="107"/>
      <c r="V306" s="7"/>
      <c r="W306" s="7"/>
      <c r="X306" s="7"/>
      <c r="Y306" s="7"/>
      <c r="Z306" s="7"/>
      <c r="AA306" s="7"/>
      <c r="AB306" s="7"/>
      <c r="AC306" s="10"/>
      <c r="AD306" s="10"/>
      <c r="AE306" s="7"/>
      <c r="AF306" s="7"/>
      <c r="AG306" s="7"/>
      <c r="AH306" s="7"/>
      <c r="AI306" s="7"/>
      <c r="AJ306" s="7"/>
      <c r="AK306" s="7"/>
      <c r="AL306" s="266"/>
      <c r="AM306" s="266"/>
    </row>
    <row r="307" spans="1:39" s="268" customFormat="1" x14ac:dyDescent="0.25">
      <c r="A307" s="107"/>
      <c r="B307" s="107"/>
      <c r="C307" s="7"/>
      <c r="D307" s="7"/>
      <c r="E307" s="10"/>
      <c r="F307" s="7"/>
      <c r="G307" s="7"/>
      <c r="H307" s="10"/>
      <c r="I307" s="7"/>
      <c r="J307" s="7"/>
      <c r="K307" s="7"/>
      <c r="L307" s="10"/>
      <c r="M307" s="7"/>
      <c r="N307" s="7"/>
      <c r="O307" s="10"/>
      <c r="P307" s="7"/>
      <c r="Q307" s="7"/>
      <c r="R307" s="10"/>
      <c r="S307" s="7"/>
      <c r="T307" s="7"/>
      <c r="U307" s="107"/>
      <c r="V307" s="7"/>
      <c r="W307" s="7"/>
      <c r="X307" s="7"/>
      <c r="Y307" s="7"/>
      <c r="Z307" s="7"/>
      <c r="AA307" s="7"/>
      <c r="AB307" s="7"/>
      <c r="AC307" s="10"/>
      <c r="AD307" s="10"/>
      <c r="AE307" s="7"/>
      <c r="AF307" s="7"/>
      <c r="AG307" s="7"/>
      <c r="AH307" s="7"/>
      <c r="AI307" s="7"/>
      <c r="AJ307" s="7"/>
      <c r="AK307" s="7"/>
      <c r="AL307" s="266"/>
      <c r="AM307" s="266"/>
    </row>
    <row r="308" spans="1:39" s="268" customFormat="1" x14ac:dyDescent="0.25">
      <c r="A308" s="107"/>
      <c r="B308" s="107"/>
      <c r="C308" s="7"/>
      <c r="D308" s="7"/>
      <c r="E308" s="10"/>
      <c r="F308" s="7"/>
      <c r="G308" s="7"/>
      <c r="H308" s="10"/>
      <c r="I308" s="7"/>
      <c r="J308" s="7"/>
      <c r="K308" s="7"/>
      <c r="L308" s="10"/>
      <c r="M308" s="7"/>
      <c r="N308" s="7"/>
      <c r="O308" s="10"/>
      <c r="P308" s="7"/>
      <c r="Q308" s="7"/>
      <c r="R308" s="10"/>
      <c r="S308" s="7"/>
      <c r="T308" s="7"/>
      <c r="U308" s="107"/>
      <c r="V308" s="7"/>
      <c r="W308" s="7"/>
      <c r="X308" s="7"/>
      <c r="Y308" s="7"/>
      <c r="Z308" s="7"/>
      <c r="AA308" s="7"/>
      <c r="AB308" s="7"/>
      <c r="AC308" s="10"/>
      <c r="AD308" s="10"/>
      <c r="AE308" s="7"/>
      <c r="AF308" s="7"/>
      <c r="AG308" s="7"/>
      <c r="AH308" s="7"/>
      <c r="AI308" s="7"/>
      <c r="AJ308" s="7"/>
      <c r="AK308" s="7"/>
      <c r="AL308" s="266"/>
      <c r="AM308" s="266"/>
    </row>
    <row r="309" spans="1:39" s="268" customFormat="1" x14ac:dyDescent="0.25">
      <c r="A309" s="107"/>
      <c r="B309" s="107"/>
      <c r="C309" s="7"/>
      <c r="D309" s="7"/>
      <c r="E309" s="10"/>
      <c r="F309" s="7"/>
      <c r="G309" s="7"/>
      <c r="H309" s="10"/>
      <c r="I309" s="7"/>
      <c r="J309" s="7"/>
      <c r="K309" s="7"/>
      <c r="L309" s="10"/>
      <c r="M309" s="7"/>
      <c r="N309" s="7"/>
      <c r="O309" s="10"/>
      <c r="P309" s="7"/>
      <c r="Q309" s="7"/>
      <c r="R309" s="10"/>
      <c r="S309" s="7"/>
      <c r="T309" s="7"/>
      <c r="U309" s="107"/>
      <c r="V309" s="7"/>
      <c r="W309" s="7"/>
      <c r="X309" s="7"/>
      <c r="Y309" s="7"/>
      <c r="Z309" s="7"/>
      <c r="AA309" s="7"/>
      <c r="AB309" s="7"/>
      <c r="AC309" s="10"/>
      <c r="AD309" s="10"/>
      <c r="AE309" s="7"/>
      <c r="AF309" s="7"/>
      <c r="AG309" s="7"/>
      <c r="AH309" s="7"/>
      <c r="AI309" s="7"/>
      <c r="AJ309" s="7"/>
      <c r="AK309" s="7"/>
      <c r="AL309" s="266"/>
      <c r="AM309" s="266"/>
    </row>
    <row r="310" spans="1:39" s="268" customFormat="1" x14ac:dyDescent="0.25">
      <c r="A310" s="107"/>
      <c r="B310" s="107"/>
      <c r="C310" s="7"/>
      <c r="D310" s="7"/>
      <c r="E310" s="10"/>
      <c r="F310" s="7"/>
      <c r="G310" s="7"/>
      <c r="H310" s="10"/>
      <c r="I310" s="7"/>
      <c r="J310" s="7"/>
      <c r="K310" s="7"/>
      <c r="L310" s="10"/>
      <c r="M310" s="7"/>
      <c r="N310" s="7"/>
      <c r="O310" s="10"/>
      <c r="P310" s="7"/>
      <c r="Q310" s="7"/>
      <c r="R310" s="10"/>
      <c r="S310" s="7"/>
      <c r="T310" s="7"/>
      <c r="U310" s="107"/>
      <c r="V310" s="7"/>
      <c r="W310" s="7"/>
      <c r="X310" s="7"/>
      <c r="Y310" s="7"/>
      <c r="Z310" s="7"/>
      <c r="AA310" s="7"/>
      <c r="AB310" s="7"/>
      <c r="AC310" s="10"/>
      <c r="AD310" s="10"/>
      <c r="AE310" s="7"/>
      <c r="AF310" s="7"/>
      <c r="AG310" s="7"/>
      <c r="AH310" s="7"/>
      <c r="AI310" s="7"/>
      <c r="AJ310" s="7"/>
      <c r="AK310" s="7"/>
      <c r="AL310" s="266"/>
      <c r="AM310" s="266"/>
    </row>
    <row r="311" spans="1:39" s="268" customFormat="1" x14ac:dyDescent="0.25">
      <c r="A311" s="107"/>
      <c r="B311" s="107"/>
      <c r="C311" s="7"/>
      <c r="D311" s="7"/>
      <c r="E311" s="10"/>
      <c r="F311" s="7"/>
      <c r="G311" s="7"/>
      <c r="H311" s="10"/>
      <c r="I311" s="7"/>
      <c r="J311" s="7"/>
      <c r="K311" s="7"/>
      <c r="L311" s="10"/>
      <c r="M311" s="7"/>
      <c r="N311" s="7"/>
      <c r="O311" s="10"/>
      <c r="P311" s="7"/>
      <c r="Q311" s="7"/>
      <c r="R311" s="10"/>
      <c r="S311" s="7"/>
      <c r="T311" s="7"/>
      <c r="U311" s="107"/>
      <c r="V311" s="7"/>
      <c r="W311" s="7"/>
      <c r="X311" s="7"/>
      <c r="Y311" s="7"/>
      <c r="Z311" s="7"/>
      <c r="AA311" s="7"/>
      <c r="AB311" s="7"/>
      <c r="AC311" s="10"/>
      <c r="AD311" s="10"/>
      <c r="AE311" s="7"/>
      <c r="AF311" s="7"/>
      <c r="AG311" s="7"/>
      <c r="AH311" s="7"/>
      <c r="AI311" s="7"/>
      <c r="AJ311" s="7"/>
      <c r="AK311" s="7"/>
      <c r="AL311" s="266"/>
      <c r="AM311" s="266"/>
    </row>
    <row r="312" spans="1:39" s="268" customFormat="1" x14ac:dyDescent="0.25">
      <c r="A312" s="107"/>
      <c r="B312" s="107"/>
      <c r="C312" s="7"/>
      <c r="D312" s="7"/>
      <c r="E312" s="10"/>
      <c r="F312" s="7"/>
      <c r="G312" s="7"/>
      <c r="H312" s="10"/>
      <c r="I312" s="7"/>
      <c r="J312" s="7"/>
      <c r="K312" s="7"/>
      <c r="L312" s="10"/>
      <c r="M312" s="7"/>
      <c r="N312" s="7"/>
      <c r="O312" s="10"/>
      <c r="P312" s="7"/>
      <c r="Q312" s="7"/>
      <c r="R312" s="10"/>
      <c r="S312" s="7"/>
      <c r="T312" s="7"/>
      <c r="U312" s="107"/>
      <c r="V312" s="7"/>
      <c r="W312" s="7"/>
      <c r="X312" s="7"/>
      <c r="Y312" s="7"/>
      <c r="Z312" s="7"/>
      <c r="AA312" s="7"/>
      <c r="AB312" s="7"/>
      <c r="AC312" s="10"/>
      <c r="AD312" s="10"/>
      <c r="AE312" s="7"/>
      <c r="AF312" s="7"/>
      <c r="AG312" s="7"/>
      <c r="AH312" s="7"/>
      <c r="AI312" s="7"/>
      <c r="AJ312" s="7"/>
      <c r="AK312" s="7"/>
      <c r="AL312" s="266"/>
      <c r="AM312" s="266"/>
    </row>
    <row r="313" spans="1:39" s="268" customFormat="1" x14ac:dyDescent="0.25">
      <c r="A313" s="107"/>
      <c r="B313" s="107"/>
      <c r="C313" s="7"/>
      <c r="D313" s="7"/>
      <c r="E313" s="10"/>
      <c r="F313" s="7"/>
      <c r="G313" s="7"/>
      <c r="H313" s="10"/>
      <c r="I313" s="7"/>
      <c r="J313" s="7"/>
      <c r="K313" s="7"/>
      <c r="L313" s="10"/>
      <c r="M313" s="7"/>
      <c r="N313" s="7"/>
      <c r="O313" s="10"/>
      <c r="P313" s="7"/>
      <c r="Q313" s="7"/>
      <c r="R313" s="10"/>
      <c r="S313" s="7"/>
      <c r="T313" s="7"/>
      <c r="U313" s="107"/>
      <c r="V313" s="7"/>
      <c r="W313" s="7"/>
      <c r="X313" s="7"/>
      <c r="Y313" s="7"/>
      <c r="Z313" s="7"/>
      <c r="AA313" s="7"/>
      <c r="AB313" s="7"/>
      <c r="AC313" s="10"/>
      <c r="AD313" s="10"/>
      <c r="AE313" s="7"/>
      <c r="AF313" s="7"/>
      <c r="AG313" s="7"/>
      <c r="AH313" s="7"/>
      <c r="AI313" s="7"/>
      <c r="AJ313" s="7"/>
      <c r="AK313" s="7"/>
      <c r="AL313" s="266"/>
      <c r="AM313" s="266"/>
    </row>
    <row r="314" spans="1:39" s="268" customFormat="1" x14ac:dyDescent="0.25">
      <c r="A314" s="107"/>
      <c r="B314" s="107"/>
      <c r="C314" s="7"/>
      <c r="D314" s="7"/>
      <c r="E314" s="10"/>
      <c r="F314" s="7"/>
      <c r="G314" s="7"/>
      <c r="H314" s="10"/>
      <c r="I314" s="7"/>
      <c r="J314" s="7"/>
      <c r="K314" s="7"/>
      <c r="L314" s="10"/>
      <c r="M314" s="7"/>
      <c r="N314" s="7"/>
      <c r="O314" s="10"/>
      <c r="P314" s="7"/>
      <c r="Q314" s="7"/>
      <c r="R314" s="10"/>
      <c r="S314" s="7"/>
      <c r="T314" s="7"/>
      <c r="U314" s="107"/>
      <c r="V314" s="7"/>
      <c r="W314" s="7"/>
      <c r="X314" s="7"/>
      <c r="Y314" s="7"/>
      <c r="Z314" s="7"/>
      <c r="AA314" s="7"/>
      <c r="AB314" s="7"/>
      <c r="AC314" s="10"/>
      <c r="AD314" s="10"/>
      <c r="AE314" s="7"/>
      <c r="AF314" s="7"/>
      <c r="AG314" s="7"/>
      <c r="AH314" s="7"/>
      <c r="AI314" s="7"/>
      <c r="AJ314" s="7"/>
      <c r="AK314" s="7"/>
      <c r="AL314" s="266"/>
      <c r="AM314" s="266"/>
    </row>
    <row r="315" spans="1:39" s="268" customFormat="1" x14ac:dyDescent="0.25">
      <c r="A315" s="107"/>
      <c r="B315" s="107"/>
      <c r="C315" s="7"/>
      <c r="D315" s="7"/>
      <c r="E315" s="10"/>
      <c r="F315" s="7"/>
      <c r="G315" s="7"/>
      <c r="H315" s="10"/>
      <c r="I315" s="7"/>
      <c r="J315" s="7"/>
      <c r="K315" s="7"/>
      <c r="L315" s="10"/>
      <c r="M315" s="7"/>
      <c r="N315" s="7"/>
      <c r="O315" s="10"/>
      <c r="P315" s="7"/>
      <c r="Q315" s="7"/>
      <c r="R315" s="10"/>
      <c r="S315" s="7"/>
      <c r="T315" s="7"/>
      <c r="U315" s="107"/>
      <c r="V315" s="7"/>
      <c r="W315" s="7"/>
      <c r="X315" s="7"/>
      <c r="Y315" s="7"/>
      <c r="Z315" s="7"/>
      <c r="AA315" s="7"/>
      <c r="AB315" s="7"/>
      <c r="AC315" s="10"/>
      <c r="AD315" s="10"/>
      <c r="AE315" s="7"/>
      <c r="AF315" s="7"/>
      <c r="AG315" s="7"/>
      <c r="AH315" s="7"/>
      <c r="AI315" s="7"/>
      <c r="AJ315" s="7"/>
      <c r="AK315" s="7"/>
      <c r="AL315" s="266"/>
      <c r="AM315" s="266"/>
    </row>
    <row r="316" spans="1:39" s="268" customFormat="1" x14ac:dyDescent="0.25">
      <c r="A316" s="107"/>
      <c r="B316" s="107"/>
      <c r="C316" s="7"/>
      <c r="D316" s="7"/>
      <c r="E316" s="10"/>
      <c r="F316" s="7"/>
      <c r="G316" s="7"/>
      <c r="H316" s="10"/>
      <c r="I316" s="7"/>
      <c r="J316" s="7"/>
      <c r="K316" s="7"/>
      <c r="L316" s="10"/>
      <c r="M316" s="7"/>
      <c r="N316" s="7"/>
      <c r="O316" s="10"/>
      <c r="P316" s="7"/>
      <c r="Q316" s="7"/>
      <c r="R316" s="10"/>
      <c r="S316" s="7"/>
      <c r="T316" s="7"/>
      <c r="U316" s="107"/>
      <c r="V316" s="7"/>
      <c r="W316" s="7"/>
      <c r="X316" s="7"/>
      <c r="Y316" s="7"/>
      <c r="Z316" s="7"/>
      <c r="AA316" s="7"/>
      <c r="AB316" s="7"/>
      <c r="AC316" s="10"/>
      <c r="AD316" s="10"/>
      <c r="AE316" s="7"/>
      <c r="AF316" s="7"/>
      <c r="AG316" s="7"/>
      <c r="AH316" s="7"/>
      <c r="AI316" s="7"/>
      <c r="AJ316" s="7"/>
      <c r="AK316" s="7"/>
      <c r="AL316" s="266"/>
      <c r="AM316" s="266"/>
    </row>
    <row r="317" spans="1:39" s="268" customFormat="1" x14ac:dyDescent="0.25">
      <c r="A317" s="107"/>
      <c r="B317" s="107"/>
      <c r="C317" s="7"/>
      <c r="D317" s="7"/>
      <c r="E317" s="10"/>
      <c r="F317" s="7"/>
      <c r="G317" s="7"/>
      <c r="H317" s="10"/>
      <c r="I317" s="7"/>
      <c r="J317" s="7"/>
      <c r="K317" s="7"/>
      <c r="L317" s="10"/>
      <c r="M317" s="7"/>
      <c r="N317" s="7"/>
      <c r="O317" s="10"/>
      <c r="P317" s="7"/>
      <c r="Q317" s="7"/>
      <c r="R317" s="10"/>
      <c r="S317" s="7"/>
      <c r="T317" s="7"/>
      <c r="U317" s="107"/>
      <c r="V317" s="7"/>
      <c r="W317" s="7"/>
      <c r="X317" s="7"/>
      <c r="Y317" s="7"/>
      <c r="Z317" s="7"/>
      <c r="AA317" s="7"/>
      <c r="AB317" s="7"/>
      <c r="AC317" s="10"/>
      <c r="AD317" s="10"/>
      <c r="AE317" s="7"/>
      <c r="AF317" s="7"/>
      <c r="AG317" s="7"/>
      <c r="AH317" s="7"/>
      <c r="AI317" s="7"/>
      <c r="AJ317" s="7"/>
      <c r="AK317" s="7"/>
      <c r="AL317" s="266"/>
      <c r="AM317" s="266"/>
    </row>
    <row r="318" spans="1:39" s="268" customFormat="1" x14ac:dyDescent="0.25">
      <c r="A318" s="107"/>
      <c r="B318" s="107"/>
      <c r="C318" s="7"/>
      <c r="D318" s="7"/>
      <c r="E318" s="10"/>
      <c r="F318" s="7"/>
      <c r="G318" s="7"/>
      <c r="H318" s="10"/>
      <c r="I318" s="7"/>
      <c r="J318" s="7"/>
      <c r="K318" s="7"/>
      <c r="L318" s="10"/>
      <c r="M318" s="7"/>
      <c r="N318" s="7"/>
      <c r="O318" s="10"/>
      <c r="P318" s="7"/>
      <c r="Q318" s="7"/>
      <c r="R318" s="10"/>
      <c r="S318" s="7"/>
      <c r="T318" s="7"/>
      <c r="U318" s="107"/>
      <c r="V318" s="7"/>
      <c r="W318" s="7"/>
      <c r="X318" s="7"/>
      <c r="Y318" s="7"/>
      <c r="Z318" s="7"/>
      <c r="AA318" s="7"/>
      <c r="AB318" s="7"/>
      <c r="AC318" s="10"/>
      <c r="AD318" s="10"/>
      <c r="AE318" s="7"/>
      <c r="AF318" s="7"/>
      <c r="AG318" s="7"/>
      <c r="AH318" s="7"/>
      <c r="AI318" s="7"/>
      <c r="AJ318" s="7"/>
      <c r="AK318" s="7"/>
      <c r="AL318" s="266"/>
      <c r="AM318" s="266"/>
    </row>
    <row r="319" spans="1:39" s="268" customFormat="1" x14ac:dyDescent="0.25">
      <c r="A319" s="107"/>
      <c r="B319" s="107"/>
      <c r="C319" s="7"/>
      <c r="D319" s="7"/>
      <c r="E319" s="10"/>
      <c r="F319" s="7"/>
      <c r="G319" s="7"/>
      <c r="H319" s="10"/>
      <c r="I319" s="7"/>
      <c r="J319" s="7"/>
      <c r="K319" s="7"/>
      <c r="L319" s="10"/>
      <c r="M319" s="7"/>
      <c r="N319" s="7"/>
      <c r="O319" s="10"/>
      <c r="P319" s="7"/>
      <c r="Q319" s="7"/>
      <c r="R319" s="10"/>
      <c r="S319" s="7"/>
      <c r="T319" s="7"/>
      <c r="U319" s="107"/>
      <c r="V319" s="7"/>
      <c r="W319" s="7"/>
      <c r="X319" s="7"/>
      <c r="Y319" s="7"/>
      <c r="Z319" s="7"/>
      <c r="AA319" s="7"/>
      <c r="AB319" s="7"/>
      <c r="AC319" s="10"/>
      <c r="AD319" s="10"/>
      <c r="AE319" s="7"/>
      <c r="AF319" s="7"/>
      <c r="AG319" s="7"/>
      <c r="AH319" s="7"/>
      <c r="AI319" s="7"/>
      <c r="AJ319" s="7"/>
      <c r="AK319" s="7"/>
      <c r="AL319" s="266"/>
      <c r="AM319" s="266"/>
    </row>
    <row r="320" spans="1:39" s="268" customFormat="1" x14ac:dyDescent="0.25">
      <c r="A320" s="107"/>
      <c r="B320" s="107"/>
      <c r="C320" s="7"/>
      <c r="D320" s="7"/>
      <c r="E320" s="10"/>
      <c r="F320" s="7"/>
      <c r="G320" s="7"/>
      <c r="H320" s="10"/>
      <c r="I320" s="7"/>
      <c r="J320" s="7"/>
      <c r="K320" s="7"/>
      <c r="L320" s="10"/>
      <c r="M320" s="7"/>
      <c r="N320" s="7"/>
      <c r="O320" s="10"/>
      <c r="P320" s="7"/>
      <c r="Q320" s="7"/>
      <c r="R320" s="10"/>
      <c r="S320" s="7"/>
      <c r="T320" s="7"/>
      <c r="U320" s="107"/>
      <c r="V320" s="7"/>
      <c r="W320" s="7"/>
      <c r="X320" s="7"/>
      <c r="Y320" s="7"/>
      <c r="Z320" s="7"/>
      <c r="AA320" s="7"/>
      <c r="AB320" s="7"/>
      <c r="AC320" s="10"/>
      <c r="AD320" s="10"/>
      <c r="AE320" s="7"/>
      <c r="AF320" s="7"/>
      <c r="AG320" s="7"/>
      <c r="AH320" s="7"/>
      <c r="AI320" s="7"/>
      <c r="AJ320" s="7"/>
      <c r="AK320" s="7"/>
      <c r="AL320" s="266"/>
      <c r="AM320" s="266"/>
    </row>
    <row r="321" spans="1:39" s="268" customFormat="1" x14ac:dyDescent="0.25">
      <c r="A321" s="107"/>
      <c r="B321" s="107"/>
      <c r="C321" s="7"/>
      <c r="D321" s="7"/>
      <c r="E321" s="10"/>
      <c r="F321" s="7"/>
      <c r="G321" s="7"/>
      <c r="H321" s="10"/>
      <c r="I321" s="7"/>
      <c r="J321" s="7"/>
      <c r="K321" s="7"/>
      <c r="L321" s="10"/>
      <c r="M321" s="7"/>
      <c r="N321" s="7"/>
      <c r="O321" s="10"/>
      <c r="P321" s="7"/>
      <c r="Q321" s="7"/>
      <c r="R321" s="10"/>
      <c r="S321" s="7"/>
      <c r="T321" s="7"/>
      <c r="U321" s="107"/>
      <c r="V321" s="7"/>
      <c r="W321" s="7"/>
      <c r="X321" s="7"/>
      <c r="Y321" s="7"/>
      <c r="Z321" s="7"/>
      <c r="AA321" s="7"/>
      <c r="AB321" s="7"/>
      <c r="AC321" s="10"/>
      <c r="AD321" s="10"/>
      <c r="AE321" s="7"/>
      <c r="AF321" s="7"/>
      <c r="AG321" s="7"/>
      <c r="AH321" s="7"/>
      <c r="AI321" s="7"/>
      <c r="AJ321" s="7"/>
      <c r="AK321" s="7"/>
      <c r="AL321" s="266"/>
      <c r="AM321" s="266"/>
    </row>
    <row r="322" spans="1:39" s="268" customFormat="1" x14ac:dyDescent="0.25">
      <c r="A322" s="107"/>
      <c r="B322" s="107"/>
      <c r="C322" s="7"/>
      <c r="D322" s="7"/>
      <c r="E322" s="10"/>
      <c r="F322" s="7"/>
      <c r="G322" s="7"/>
      <c r="H322" s="10"/>
      <c r="I322" s="7"/>
      <c r="J322" s="7"/>
      <c r="K322" s="7"/>
      <c r="L322" s="10"/>
      <c r="M322" s="7"/>
      <c r="N322" s="7"/>
      <c r="O322" s="10"/>
      <c r="P322" s="7"/>
      <c r="Q322" s="7"/>
      <c r="R322" s="10"/>
      <c r="S322" s="7"/>
      <c r="T322" s="7"/>
      <c r="U322" s="107"/>
      <c r="V322" s="7"/>
      <c r="W322" s="7"/>
      <c r="X322" s="7"/>
      <c r="Y322" s="7"/>
      <c r="Z322" s="7"/>
      <c r="AA322" s="7"/>
      <c r="AB322" s="7"/>
      <c r="AC322" s="10"/>
      <c r="AD322" s="10"/>
      <c r="AE322" s="7"/>
      <c r="AF322" s="7"/>
      <c r="AG322" s="7"/>
      <c r="AH322" s="7"/>
      <c r="AI322" s="7"/>
      <c r="AJ322" s="7"/>
      <c r="AK322" s="7"/>
      <c r="AL322" s="266"/>
      <c r="AM322" s="266"/>
    </row>
    <row r="323" spans="1:39" s="268" customFormat="1" x14ac:dyDescent="0.25">
      <c r="A323" s="107"/>
      <c r="B323" s="107"/>
      <c r="C323" s="7"/>
      <c r="D323" s="7"/>
      <c r="E323" s="10"/>
      <c r="F323" s="7"/>
      <c r="G323" s="7"/>
      <c r="H323" s="10"/>
      <c r="I323" s="7"/>
      <c r="J323" s="7"/>
      <c r="K323" s="7"/>
      <c r="L323" s="10"/>
      <c r="M323" s="7"/>
      <c r="N323" s="7"/>
      <c r="O323" s="10"/>
      <c r="P323" s="7"/>
      <c r="Q323" s="7"/>
      <c r="R323" s="10"/>
      <c r="S323" s="7"/>
      <c r="T323" s="7"/>
      <c r="U323" s="107"/>
      <c r="V323" s="7"/>
      <c r="W323" s="7"/>
      <c r="X323" s="7"/>
      <c r="Y323" s="7"/>
      <c r="Z323" s="7"/>
      <c r="AA323" s="7"/>
      <c r="AB323" s="7"/>
      <c r="AC323" s="10"/>
      <c r="AD323" s="10"/>
      <c r="AE323" s="7"/>
      <c r="AF323" s="7"/>
      <c r="AG323" s="7"/>
      <c r="AH323" s="7"/>
      <c r="AI323" s="7"/>
      <c r="AJ323" s="7"/>
      <c r="AK323" s="7"/>
      <c r="AL323" s="266"/>
      <c r="AM323" s="266"/>
    </row>
    <row r="324" spans="1:39" s="268" customFormat="1" x14ac:dyDescent="0.25">
      <c r="A324" s="107"/>
      <c r="B324" s="107"/>
      <c r="C324" s="7"/>
      <c r="D324" s="7"/>
      <c r="E324" s="10"/>
      <c r="F324" s="7"/>
      <c r="G324" s="7"/>
      <c r="H324" s="10"/>
      <c r="I324" s="7"/>
      <c r="J324" s="7"/>
      <c r="K324" s="7"/>
      <c r="L324" s="10"/>
      <c r="M324" s="7"/>
      <c r="N324" s="7"/>
      <c r="O324" s="10"/>
      <c r="P324" s="7"/>
      <c r="Q324" s="7"/>
      <c r="R324" s="10"/>
      <c r="S324" s="7"/>
      <c r="T324" s="7"/>
      <c r="U324" s="107"/>
      <c r="V324" s="7"/>
      <c r="W324" s="7"/>
      <c r="X324" s="7"/>
      <c r="Y324" s="7"/>
      <c r="Z324" s="7"/>
      <c r="AA324" s="7"/>
      <c r="AB324" s="7"/>
      <c r="AC324" s="10"/>
      <c r="AD324" s="10"/>
      <c r="AE324" s="7"/>
      <c r="AF324" s="7"/>
      <c r="AG324" s="7"/>
      <c r="AH324" s="7"/>
      <c r="AI324" s="7"/>
      <c r="AJ324" s="7"/>
      <c r="AK324" s="7"/>
      <c r="AL324" s="266"/>
      <c r="AM324" s="266"/>
    </row>
    <row r="325" spans="1:39" s="268" customFormat="1" x14ac:dyDescent="0.25">
      <c r="A325" s="107"/>
      <c r="B325" s="107"/>
      <c r="C325" s="7"/>
      <c r="D325" s="7"/>
      <c r="E325" s="10"/>
      <c r="F325" s="7"/>
      <c r="G325" s="7"/>
      <c r="H325" s="10"/>
      <c r="I325" s="7"/>
      <c r="J325" s="7"/>
      <c r="K325" s="7"/>
      <c r="L325" s="10"/>
      <c r="M325" s="7"/>
      <c r="N325" s="7"/>
      <c r="O325" s="10"/>
      <c r="P325" s="7"/>
      <c r="Q325" s="7"/>
      <c r="R325" s="10"/>
      <c r="S325" s="7"/>
      <c r="T325" s="7"/>
      <c r="U325" s="107"/>
      <c r="V325" s="7"/>
      <c r="W325" s="7"/>
      <c r="X325" s="7"/>
      <c r="Y325" s="7"/>
      <c r="Z325" s="7"/>
      <c r="AA325" s="7"/>
      <c r="AB325" s="7"/>
      <c r="AC325" s="10"/>
      <c r="AD325" s="10"/>
      <c r="AE325" s="7"/>
      <c r="AF325" s="7"/>
      <c r="AG325" s="7"/>
      <c r="AH325" s="7"/>
      <c r="AI325" s="7"/>
      <c r="AJ325" s="7"/>
      <c r="AK325" s="7"/>
      <c r="AL325" s="266"/>
      <c r="AM325" s="266"/>
    </row>
    <row r="326" spans="1:39" s="268" customFormat="1" x14ac:dyDescent="0.25">
      <c r="A326" s="107"/>
      <c r="B326" s="107"/>
      <c r="C326" s="7"/>
      <c r="D326" s="7"/>
      <c r="E326" s="10"/>
      <c r="F326" s="7"/>
      <c r="G326" s="7"/>
      <c r="H326" s="10"/>
      <c r="I326" s="7"/>
      <c r="J326" s="7"/>
      <c r="K326" s="7"/>
      <c r="L326" s="10"/>
      <c r="M326" s="7"/>
      <c r="N326" s="7"/>
      <c r="O326" s="10"/>
      <c r="P326" s="7"/>
      <c r="Q326" s="7"/>
      <c r="R326" s="10"/>
      <c r="S326" s="7"/>
      <c r="T326" s="7"/>
      <c r="U326" s="107"/>
      <c r="V326" s="7"/>
      <c r="W326" s="7"/>
      <c r="X326" s="7"/>
      <c r="Y326" s="7"/>
      <c r="Z326" s="7"/>
      <c r="AA326" s="7"/>
      <c r="AB326" s="7"/>
      <c r="AC326" s="10"/>
      <c r="AD326" s="10"/>
      <c r="AE326" s="7"/>
      <c r="AF326" s="7"/>
      <c r="AG326" s="7"/>
      <c r="AH326" s="7"/>
      <c r="AI326" s="7"/>
      <c r="AJ326" s="7"/>
      <c r="AK326" s="7"/>
      <c r="AL326" s="266"/>
      <c r="AM326" s="266"/>
    </row>
    <row r="327" spans="1:39" s="268" customFormat="1" x14ac:dyDescent="0.25">
      <c r="A327" s="107"/>
      <c r="B327" s="107"/>
      <c r="C327" s="7"/>
      <c r="D327" s="7"/>
      <c r="E327" s="10"/>
      <c r="F327" s="7"/>
      <c r="G327" s="7"/>
      <c r="H327" s="10"/>
      <c r="I327" s="7"/>
      <c r="J327" s="7"/>
      <c r="K327" s="7"/>
      <c r="L327" s="10"/>
      <c r="M327" s="7"/>
      <c r="N327" s="7"/>
      <c r="O327" s="10"/>
      <c r="P327" s="7"/>
      <c r="Q327" s="7"/>
      <c r="R327" s="10"/>
      <c r="S327" s="7"/>
      <c r="T327" s="7"/>
      <c r="U327" s="107"/>
      <c r="V327" s="7"/>
      <c r="W327" s="7"/>
      <c r="X327" s="7"/>
      <c r="Y327" s="7"/>
      <c r="Z327" s="7"/>
      <c r="AA327" s="7"/>
      <c r="AB327" s="7"/>
      <c r="AC327" s="10"/>
      <c r="AD327" s="10"/>
      <c r="AE327" s="7"/>
      <c r="AF327" s="7"/>
      <c r="AG327" s="7"/>
      <c r="AH327" s="7"/>
      <c r="AI327" s="7"/>
      <c r="AJ327" s="7"/>
      <c r="AK327" s="7"/>
      <c r="AL327" s="266"/>
      <c r="AM327" s="266"/>
    </row>
    <row r="328" spans="1:39" s="268" customFormat="1" x14ac:dyDescent="0.25">
      <c r="A328" s="107"/>
      <c r="B328" s="107"/>
      <c r="C328" s="7"/>
      <c r="D328" s="7"/>
      <c r="E328" s="10"/>
      <c r="F328" s="108"/>
      <c r="G328" s="108"/>
      <c r="H328" s="11"/>
      <c r="I328" s="108"/>
      <c r="J328" s="108"/>
      <c r="K328" s="108"/>
      <c r="L328" s="11"/>
      <c r="M328" s="108"/>
      <c r="N328" s="108"/>
      <c r="O328" s="11"/>
      <c r="P328" s="108"/>
      <c r="Q328" s="108"/>
      <c r="R328" s="11"/>
      <c r="S328" s="108"/>
      <c r="T328" s="108"/>
      <c r="U328" s="107"/>
      <c r="V328" s="108"/>
      <c r="W328" s="108"/>
      <c r="X328" s="108"/>
      <c r="Y328" s="108"/>
      <c r="Z328" s="108"/>
      <c r="AA328" s="108"/>
      <c r="AB328" s="108"/>
      <c r="AC328" s="11"/>
      <c r="AD328" s="11"/>
      <c r="AE328" s="108"/>
      <c r="AF328" s="108"/>
      <c r="AG328" s="108"/>
      <c r="AH328" s="108"/>
      <c r="AI328" s="108"/>
      <c r="AJ328" s="108"/>
      <c r="AK328" s="108"/>
      <c r="AL328" s="270"/>
      <c r="AM328" s="270"/>
    </row>
    <row r="329" spans="1:39" s="268" customFormat="1" x14ac:dyDescent="0.25">
      <c r="A329" s="107"/>
      <c r="B329" s="107"/>
      <c r="C329" s="7"/>
      <c r="D329" s="7"/>
      <c r="E329" s="10"/>
      <c r="F329" s="108"/>
      <c r="G329" s="108"/>
      <c r="H329" s="11"/>
      <c r="I329" s="108"/>
      <c r="J329" s="108"/>
      <c r="K329" s="108"/>
      <c r="L329" s="11"/>
      <c r="M329" s="108"/>
      <c r="N329" s="108"/>
      <c r="O329" s="11"/>
      <c r="P329" s="108"/>
      <c r="Q329" s="108"/>
      <c r="R329" s="11"/>
      <c r="S329" s="108"/>
      <c r="T329" s="108"/>
      <c r="U329" s="107"/>
      <c r="V329" s="108"/>
      <c r="W329" s="108"/>
      <c r="X329" s="108"/>
      <c r="Y329" s="108"/>
      <c r="Z329" s="108"/>
      <c r="AA329" s="108"/>
      <c r="AB329" s="108"/>
      <c r="AC329" s="11"/>
      <c r="AD329" s="11"/>
      <c r="AE329" s="108"/>
      <c r="AF329" s="108"/>
      <c r="AG329" s="108"/>
      <c r="AH329" s="108"/>
      <c r="AI329" s="108"/>
      <c r="AJ329" s="108"/>
      <c r="AK329" s="108"/>
      <c r="AL329" s="270"/>
      <c r="AM329" s="270"/>
    </row>
    <row r="330" spans="1:39" s="268" customFormat="1" x14ac:dyDescent="0.25">
      <c r="A330" s="107"/>
      <c r="B330" s="107"/>
      <c r="C330" s="7"/>
      <c r="D330" s="7"/>
      <c r="E330" s="10"/>
      <c r="F330" s="108"/>
      <c r="G330" s="108"/>
      <c r="H330" s="11"/>
      <c r="I330" s="108"/>
      <c r="J330" s="108"/>
      <c r="K330" s="108"/>
      <c r="L330" s="11"/>
      <c r="M330" s="108"/>
      <c r="N330" s="108"/>
      <c r="O330" s="11"/>
      <c r="P330" s="108"/>
      <c r="Q330" s="108"/>
      <c r="R330" s="11"/>
      <c r="S330" s="108"/>
      <c r="T330" s="108"/>
      <c r="U330" s="107"/>
      <c r="V330" s="108"/>
      <c r="W330" s="108"/>
      <c r="X330" s="108"/>
      <c r="Y330" s="108"/>
      <c r="Z330" s="108"/>
      <c r="AA330" s="108"/>
      <c r="AB330" s="108"/>
      <c r="AC330" s="11"/>
      <c r="AD330" s="11"/>
      <c r="AE330" s="108"/>
      <c r="AF330" s="108"/>
      <c r="AG330" s="108"/>
      <c r="AH330" s="108"/>
      <c r="AI330" s="108"/>
      <c r="AJ330" s="108"/>
      <c r="AK330" s="108"/>
      <c r="AL330" s="270"/>
      <c r="AM330" s="270"/>
    </row>
    <row r="331" spans="1:39" s="268" customFormat="1" x14ac:dyDescent="0.25">
      <c r="A331" s="107"/>
      <c r="B331" s="107"/>
      <c r="C331" s="7"/>
      <c r="D331" s="7"/>
      <c r="E331" s="10"/>
      <c r="F331" s="108"/>
      <c r="G331" s="108"/>
      <c r="H331" s="11"/>
      <c r="I331" s="108"/>
      <c r="J331" s="108"/>
      <c r="K331" s="108"/>
      <c r="L331" s="11"/>
      <c r="M331" s="108"/>
      <c r="N331" s="108"/>
      <c r="O331" s="11"/>
      <c r="P331" s="108"/>
      <c r="Q331" s="108"/>
      <c r="R331" s="11"/>
      <c r="S331" s="108"/>
      <c r="T331" s="108"/>
      <c r="U331" s="107"/>
      <c r="V331" s="108"/>
      <c r="W331" s="108"/>
      <c r="X331" s="108"/>
      <c r="Y331" s="108"/>
      <c r="Z331" s="108"/>
      <c r="AA331" s="108"/>
      <c r="AB331" s="108"/>
      <c r="AC331" s="11"/>
      <c r="AD331" s="11"/>
      <c r="AE331" s="108"/>
      <c r="AF331" s="108"/>
      <c r="AG331" s="108"/>
      <c r="AH331" s="108"/>
      <c r="AI331" s="108"/>
      <c r="AJ331" s="108"/>
      <c r="AK331" s="108"/>
      <c r="AL331" s="270"/>
      <c r="AM331" s="270"/>
    </row>
    <row r="332" spans="1:39" s="268" customFormat="1" x14ac:dyDescent="0.25">
      <c r="A332" s="107"/>
      <c r="B332" s="107"/>
      <c r="C332" s="7"/>
      <c r="D332" s="7"/>
      <c r="E332" s="10"/>
      <c r="F332" s="108"/>
      <c r="G332" s="108"/>
      <c r="H332" s="11"/>
      <c r="I332" s="108"/>
      <c r="J332" s="108"/>
      <c r="K332" s="108"/>
      <c r="L332" s="11"/>
      <c r="M332" s="108"/>
      <c r="N332" s="108"/>
      <c r="O332" s="11"/>
      <c r="P332" s="108"/>
      <c r="Q332" s="108"/>
      <c r="R332" s="11"/>
      <c r="S332" s="108"/>
      <c r="T332" s="108"/>
      <c r="U332" s="107"/>
      <c r="V332" s="108"/>
      <c r="W332" s="108"/>
      <c r="X332" s="108"/>
      <c r="Y332" s="108"/>
      <c r="Z332" s="108"/>
      <c r="AA332" s="108"/>
      <c r="AB332" s="108"/>
      <c r="AC332" s="11"/>
      <c r="AD332" s="11"/>
      <c r="AE332" s="108"/>
      <c r="AF332" s="108"/>
      <c r="AG332" s="108"/>
      <c r="AH332" s="108"/>
      <c r="AI332" s="108"/>
      <c r="AJ332" s="108"/>
      <c r="AK332" s="108"/>
      <c r="AL332" s="270"/>
      <c r="AM332" s="270"/>
    </row>
    <row r="333" spans="1:39" s="268" customFormat="1" x14ac:dyDescent="0.25">
      <c r="A333" s="107"/>
      <c r="B333" s="107"/>
      <c r="C333" s="7"/>
      <c r="D333" s="7"/>
      <c r="E333" s="10"/>
      <c r="F333" s="108"/>
      <c r="G333" s="108"/>
      <c r="H333" s="11"/>
      <c r="I333" s="108"/>
      <c r="J333" s="108"/>
      <c r="K333" s="108"/>
      <c r="L333" s="11"/>
      <c r="M333" s="108"/>
      <c r="N333" s="108"/>
      <c r="O333" s="11"/>
      <c r="P333" s="108"/>
      <c r="Q333" s="108"/>
      <c r="R333" s="11"/>
      <c r="S333" s="108"/>
      <c r="T333" s="108"/>
      <c r="U333" s="107"/>
      <c r="V333" s="108"/>
      <c r="W333" s="108"/>
      <c r="X333" s="108"/>
      <c r="Y333" s="108"/>
      <c r="Z333" s="108"/>
      <c r="AA333" s="108"/>
      <c r="AB333" s="108"/>
      <c r="AC333" s="11"/>
      <c r="AD333" s="11"/>
      <c r="AE333" s="108"/>
      <c r="AF333" s="108"/>
      <c r="AG333" s="108"/>
      <c r="AH333" s="108"/>
      <c r="AI333" s="108"/>
      <c r="AJ333" s="108"/>
      <c r="AK333" s="108"/>
      <c r="AL333" s="270"/>
      <c r="AM333" s="270"/>
    </row>
    <row r="334" spans="1:39" s="268" customFormat="1" x14ac:dyDescent="0.25">
      <c r="A334" s="107"/>
      <c r="B334" s="107"/>
      <c r="C334" s="7"/>
      <c r="D334" s="7"/>
      <c r="E334" s="10"/>
      <c r="F334" s="108"/>
      <c r="G334" s="108"/>
      <c r="H334" s="11"/>
      <c r="I334" s="108"/>
      <c r="J334" s="108"/>
      <c r="K334" s="108"/>
      <c r="L334" s="11"/>
      <c r="M334" s="108"/>
      <c r="N334" s="108"/>
      <c r="O334" s="11"/>
      <c r="P334" s="108"/>
      <c r="Q334" s="108"/>
      <c r="R334" s="11"/>
      <c r="S334" s="108"/>
      <c r="T334" s="108"/>
      <c r="U334" s="107"/>
      <c r="V334" s="108"/>
      <c r="W334" s="108"/>
      <c r="X334" s="108"/>
      <c r="Y334" s="108"/>
      <c r="Z334" s="108"/>
      <c r="AA334" s="108"/>
      <c r="AB334" s="108"/>
      <c r="AC334" s="11"/>
      <c r="AD334" s="11"/>
      <c r="AE334" s="108"/>
      <c r="AF334" s="108"/>
      <c r="AG334" s="108"/>
      <c r="AH334" s="108"/>
      <c r="AI334" s="108"/>
      <c r="AJ334" s="108"/>
      <c r="AK334" s="108"/>
      <c r="AL334" s="270"/>
      <c r="AM334" s="270"/>
    </row>
    <row r="335" spans="1:39" s="268" customFormat="1" x14ac:dyDescent="0.25">
      <c r="A335" s="107"/>
      <c r="B335" s="107"/>
      <c r="C335" s="7"/>
      <c r="D335" s="7"/>
      <c r="E335" s="10"/>
      <c r="F335" s="108"/>
      <c r="G335" s="108"/>
      <c r="H335" s="11"/>
      <c r="I335" s="108"/>
      <c r="J335" s="108"/>
      <c r="K335" s="108"/>
      <c r="L335" s="11"/>
      <c r="M335" s="108"/>
      <c r="N335" s="108"/>
      <c r="O335" s="11"/>
      <c r="P335" s="108"/>
      <c r="Q335" s="108"/>
      <c r="R335" s="11"/>
      <c r="S335" s="108"/>
      <c r="T335" s="108"/>
      <c r="U335" s="107"/>
      <c r="V335" s="108"/>
      <c r="W335" s="108"/>
      <c r="X335" s="108"/>
      <c r="Y335" s="108"/>
      <c r="Z335" s="108"/>
      <c r="AA335" s="108"/>
      <c r="AB335" s="108"/>
      <c r="AC335" s="11"/>
      <c r="AD335" s="11"/>
      <c r="AE335" s="108"/>
      <c r="AF335" s="108"/>
      <c r="AG335" s="108"/>
      <c r="AH335" s="108"/>
      <c r="AI335" s="108"/>
      <c r="AJ335" s="108"/>
      <c r="AK335" s="108"/>
      <c r="AL335" s="270"/>
      <c r="AM335" s="270"/>
    </row>
    <row r="336" spans="1:39" s="268" customFormat="1" x14ac:dyDescent="0.25">
      <c r="A336" s="107"/>
      <c r="B336" s="107"/>
      <c r="C336" s="7"/>
      <c r="D336" s="7"/>
      <c r="E336" s="10"/>
      <c r="F336" s="108"/>
      <c r="G336" s="108"/>
      <c r="H336" s="11"/>
      <c r="I336" s="108"/>
      <c r="J336" s="108"/>
      <c r="K336" s="108"/>
      <c r="L336" s="11"/>
      <c r="M336" s="108"/>
      <c r="N336" s="108"/>
      <c r="O336" s="11"/>
      <c r="P336" s="108"/>
      <c r="Q336" s="108"/>
      <c r="R336" s="11"/>
      <c r="S336" s="108"/>
      <c r="T336" s="108"/>
      <c r="U336" s="107"/>
      <c r="V336" s="108"/>
      <c r="W336" s="108"/>
      <c r="X336" s="108"/>
      <c r="Y336" s="108"/>
      <c r="Z336" s="108"/>
      <c r="AA336" s="108"/>
      <c r="AB336" s="108"/>
      <c r="AC336" s="11"/>
      <c r="AD336" s="11"/>
      <c r="AE336" s="108"/>
      <c r="AF336" s="108"/>
      <c r="AG336" s="108"/>
      <c r="AH336" s="108"/>
      <c r="AI336" s="108"/>
      <c r="AJ336" s="108"/>
      <c r="AK336" s="108"/>
      <c r="AL336" s="270"/>
      <c r="AM336" s="270"/>
    </row>
    <row r="337" spans="1:42" s="268" customFormat="1" x14ac:dyDescent="0.25">
      <c r="A337" s="107"/>
      <c r="B337" s="107"/>
      <c r="C337" s="7"/>
      <c r="D337" s="7"/>
      <c r="E337" s="10"/>
      <c r="F337" s="108"/>
      <c r="G337" s="108"/>
      <c r="H337" s="11"/>
      <c r="I337" s="108"/>
      <c r="J337" s="108"/>
      <c r="K337" s="108"/>
      <c r="L337" s="11"/>
      <c r="M337" s="108"/>
      <c r="N337" s="108"/>
      <c r="O337" s="11"/>
      <c r="P337" s="108"/>
      <c r="Q337" s="108"/>
      <c r="R337" s="11"/>
      <c r="S337" s="108"/>
      <c r="T337" s="108"/>
      <c r="U337" s="107"/>
      <c r="V337" s="108"/>
      <c r="W337" s="108"/>
      <c r="X337" s="108"/>
      <c r="Y337" s="108"/>
      <c r="Z337" s="108"/>
      <c r="AA337" s="108"/>
      <c r="AB337" s="108"/>
      <c r="AC337" s="11"/>
      <c r="AD337" s="11"/>
      <c r="AE337" s="108"/>
      <c r="AF337" s="108"/>
      <c r="AG337" s="108"/>
      <c r="AH337" s="108"/>
      <c r="AI337" s="108"/>
      <c r="AJ337" s="108"/>
      <c r="AK337" s="108"/>
      <c r="AL337" s="270"/>
      <c r="AM337" s="270"/>
    </row>
    <row r="338" spans="1:42" s="268" customFormat="1" x14ac:dyDescent="0.25">
      <c r="A338" s="107"/>
      <c r="B338" s="107"/>
      <c r="C338" s="7"/>
      <c r="D338" s="7"/>
      <c r="E338" s="10"/>
      <c r="F338" s="108"/>
      <c r="G338" s="108"/>
      <c r="H338" s="11"/>
      <c r="I338" s="108"/>
      <c r="J338" s="108"/>
      <c r="K338" s="108"/>
      <c r="L338" s="11"/>
      <c r="M338" s="108"/>
      <c r="N338" s="108"/>
      <c r="O338" s="11"/>
      <c r="P338" s="108"/>
      <c r="Q338" s="108"/>
      <c r="R338" s="11"/>
      <c r="S338" s="108"/>
      <c r="T338" s="108"/>
      <c r="U338" s="107"/>
      <c r="V338" s="108"/>
      <c r="W338" s="108"/>
      <c r="X338" s="108"/>
      <c r="Y338" s="108"/>
      <c r="Z338" s="108"/>
      <c r="AA338" s="108"/>
      <c r="AB338" s="108"/>
      <c r="AC338" s="11"/>
      <c r="AD338" s="11"/>
      <c r="AE338" s="108"/>
      <c r="AF338" s="108"/>
      <c r="AG338" s="108"/>
      <c r="AH338" s="108"/>
      <c r="AI338" s="108"/>
      <c r="AJ338" s="108"/>
      <c r="AK338" s="108"/>
      <c r="AL338" s="270"/>
      <c r="AM338" s="270"/>
    </row>
    <row r="339" spans="1:42" s="268" customFormat="1" x14ac:dyDescent="0.25">
      <c r="A339" s="107"/>
      <c r="B339" s="107"/>
      <c r="C339" s="7"/>
      <c r="D339" s="7"/>
      <c r="E339" s="10"/>
      <c r="F339" s="108"/>
      <c r="G339" s="108"/>
      <c r="H339" s="11"/>
      <c r="I339" s="108"/>
      <c r="J339" s="108"/>
      <c r="K339" s="108"/>
      <c r="L339" s="11"/>
      <c r="M339" s="108"/>
      <c r="N339" s="108"/>
      <c r="O339" s="11"/>
      <c r="P339" s="108"/>
      <c r="Q339" s="108"/>
      <c r="R339" s="11"/>
      <c r="S339" s="108"/>
      <c r="T339" s="108"/>
      <c r="U339" s="107"/>
      <c r="V339" s="108"/>
      <c r="W339" s="108"/>
      <c r="X339" s="108"/>
      <c r="Y339" s="108"/>
      <c r="Z339" s="108"/>
      <c r="AA339" s="108"/>
      <c r="AB339" s="108"/>
      <c r="AC339" s="11"/>
      <c r="AD339" s="11"/>
      <c r="AE339" s="108"/>
      <c r="AF339" s="108"/>
      <c r="AG339" s="108"/>
      <c r="AH339" s="108"/>
      <c r="AI339" s="108"/>
      <c r="AJ339" s="108"/>
      <c r="AK339" s="108"/>
      <c r="AL339" s="270"/>
      <c r="AM339" s="270"/>
    </row>
    <row r="340" spans="1:42" s="268" customFormat="1" x14ac:dyDescent="0.25">
      <c r="A340" s="107"/>
      <c r="B340" s="107"/>
      <c r="C340" s="7"/>
      <c r="D340" s="7"/>
      <c r="E340" s="10"/>
      <c r="F340" s="108"/>
      <c r="G340" s="108"/>
      <c r="H340" s="11"/>
      <c r="I340" s="108"/>
      <c r="J340" s="108"/>
      <c r="K340" s="108"/>
      <c r="L340" s="11"/>
      <c r="M340" s="108"/>
      <c r="N340" s="108"/>
      <c r="O340" s="11"/>
      <c r="P340" s="108"/>
      <c r="Q340" s="108"/>
      <c r="R340" s="11"/>
      <c r="S340" s="108"/>
      <c r="T340" s="108"/>
      <c r="U340" s="107"/>
      <c r="V340" s="108"/>
      <c r="W340" s="108"/>
      <c r="X340" s="108"/>
      <c r="Y340" s="108"/>
      <c r="Z340" s="108"/>
      <c r="AA340" s="108"/>
      <c r="AB340" s="108"/>
      <c r="AC340" s="11"/>
      <c r="AD340" s="11"/>
      <c r="AE340" s="108"/>
      <c r="AF340" s="108"/>
      <c r="AG340" s="108"/>
      <c r="AH340" s="108"/>
      <c r="AI340" s="108"/>
      <c r="AJ340" s="108"/>
      <c r="AK340" s="108"/>
      <c r="AL340" s="270"/>
      <c r="AM340" s="270"/>
    </row>
    <row r="341" spans="1:42" s="268" customFormat="1" x14ac:dyDescent="0.25">
      <c r="A341" s="107"/>
      <c r="B341" s="107"/>
      <c r="C341" s="7"/>
      <c r="D341" s="7"/>
      <c r="E341" s="10"/>
      <c r="F341" s="108"/>
      <c r="G341" s="108"/>
      <c r="H341" s="11"/>
      <c r="I341" s="108"/>
      <c r="J341" s="108"/>
      <c r="K341" s="108"/>
      <c r="L341" s="11"/>
      <c r="M341" s="108"/>
      <c r="N341" s="108"/>
      <c r="O341" s="11"/>
      <c r="P341" s="108"/>
      <c r="Q341" s="108"/>
      <c r="R341" s="11"/>
      <c r="S341" s="108"/>
      <c r="T341" s="108"/>
      <c r="U341" s="107"/>
      <c r="V341" s="108"/>
      <c r="W341" s="108"/>
      <c r="X341" s="108"/>
      <c r="Y341" s="108"/>
      <c r="Z341" s="108"/>
      <c r="AA341" s="108"/>
      <c r="AB341" s="108"/>
      <c r="AC341" s="11"/>
      <c r="AD341" s="11"/>
      <c r="AE341" s="108"/>
      <c r="AF341" s="108"/>
      <c r="AG341" s="108"/>
      <c r="AH341" s="108"/>
      <c r="AI341" s="108"/>
      <c r="AJ341" s="108"/>
      <c r="AK341" s="108"/>
      <c r="AL341" s="270"/>
      <c r="AM341" s="270"/>
    </row>
    <row r="342" spans="1:42" s="268" customFormat="1" x14ac:dyDescent="0.25">
      <c r="A342" s="107"/>
      <c r="B342" s="107"/>
      <c r="C342" s="7"/>
      <c r="D342" s="7"/>
      <c r="E342" s="10"/>
      <c r="F342" s="108"/>
      <c r="G342" s="108"/>
      <c r="H342" s="11"/>
      <c r="I342" s="108"/>
      <c r="J342" s="108"/>
      <c r="K342" s="108"/>
      <c r="L342" s="11"/>
      <c r="M342" s="108"/>
      <c r="N342" s="108"/>
      <c r="O342" s="11"/>
      <c r="P342" s="108"/>
      <c r="Q342" s="108"/>
      <c r="R342" s="11"/>
      <c r="S342" s="108"/>
      <c r="T342" s="108"/>
      <c r="U342" s="107"/>
      <c r="V342" s="108"/>
      <c r="W342" s="108"/>
      <c r="X342" s="108"/>
      <c r="Y342" s="108"/>
      <c r="Z342" s="108"/>
      <c r="AA342" s="108"/>
      <c r="AB342" s="108"/>
      <c r="AC342" s="11"/>
      <c r="AD342" s="11"/>
      <c r="AE342" s="108"/>
      <c r="AF342" s="108"/>
      <c r="AG342" s="108"/>
      <c r="AH342" s="108"/>
      <c r="AI342" s="108"/>
      <c r="AJ342" s="108"/>
      <c r="AK342" s="108"/>
      <c r="AL342" s="270"/>
      <c r="AM342" s="270"/>
    </row>
    <row r="343" spans="1:42" s="268" customFormat="1" x14ac:dyDescent="0.25">
      <c r="A343" s="107"/>
      <c r="B343" s="107"/>
      <c r="C343" s="7"/>
      <c r="D343" s="7"/>
      <c r="E343" s="10"/>
      <c r="F343" s="107"/>
      <c r="G343" s="107"/>
      <c r="H343" s="107"/>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P343" s="107"/>
    </row>
    <row r="344" spans="1:42" s="268" customFormat="1" x14ac:dyDescent="0.25">
      <c r="A344" s="107"/>
      <c r="B344" s="107"/>
      <c r="C344" s="7"/>
      <c r="D344" s="7"/>
      <c r="E344" s="10"/>
      <c r="F344" s="107"/>
      <c r="G344" s="107"/>
      <c r="H344" s="107"/>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P344" s="107"/>
    </row>
    <row r="345" spans="1:42" s="268" customFormat="1" x14ac:dyDescent="0.25">
      <c r="A345" s="107"/>
      <c r="B345" s="107"/>
      <c r="C345" s="7"/>
      <c r="D345" s="7"/>
      <c r="E345" s="10"/>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P345" s="107"/>
    </row>
    <row r="346" spans="1:42" s="268" customFormat="1" x14ac:dyDescent="0.25">
      <c r="A346" s="107"/>
      <c r="B346" s="107"/>
      <c r="C346" s="7"/>
      <c r="D346" s="7"/>
      <c r="E346" s="10"/>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P346" s="107"/>
    </row>
    <row r="347" spans="1:42" s="268" customFormat="1" x14ac:dyDescent="0.25">
      <c r="A347" s="107"/>
      <c r="B347" s="107"/>
      <c r="C347" s="7"/>
      <c r="D347" s="7"/>
      <c r="E347" s="10"/>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P347" s="107"/>
    </row>
    <row r="348" spans="1:42" s="268" customFormat="1" x14ac:dyDescent="0.25">
      <c r="A348" s="107"/>
      <c r="B348" s="107"/>
      <c r="C348" s="7"/>
      <c r="D348" s="7"/>
      <c r="E348" s="10"/>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P348" s="107"/>
    </row>
    <row r="349" spans="1:42" s="268" customFormat="1" x14ac:dyDescent="0.25">
      <c r="A349" s="107"/>
      <c r="B349" s="107"/>
      <c r="C349" s="7"/>
      <c r="D349" s="7"/>
      <c r="E349" s="10"/>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P349" s="107"/>
    </row>
    <row r="350" spans="1:42" s="268" customFormat="1" x14ac:dyDescent="0.25">
      <c r="A350" s="107"/>
      <c r="B350" s="107"/>
      <c r="C350" s="7"/>
      <c r="D350" s="7"/>
      <c r="E350" s="10"/>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P350" s="107"/>
    </row>
    <row r="351" spans="1:42" s="268" customFormat="1" x14ac:dyDescent="0.25">
      <c r="A351" s="107"/>
      <c r="B351" s="107"/>
      <c r="C351" s="7"/>
      <c r="D351" s="7"/>
      <c r="E351" s="10"/>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P351" s="107"/>
    </row>
    <row r="352" spans="1:42" s="268" customFormat="1" x14ac:dyDescent="0.25">
      <c r="A352" s="107"/>
      <c r="B352" s="107"/>
      <c r="C352" s="7"/>
      <c r="D352" s="7"/>
      <c r="E352" s="10"/>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P352" s="107"/>
    </row>
    <row r="353" spans="1:42" s="268" customFormat="1" x14ac:dyDescent="0.25">
      <c r="A353" s="107"/>
      <c r="B353" s="107"/>
      <c r="C353" s="108"/>
      <c r="D353" s="108"/>
      <c r="E353" s="11"/>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P353" s="107"/>
    </row>
    <row r="354" spans="1:42" s="268" customFormat="1" x14ac:dyDescent="0.25">
      <c r="A354" s="107"/>
      <c r="B354" s="107"/>
      <c r="C354" s="108"/>
      <c r="D354" s="108"/>
      <c r="E354" s="11"/>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P354" s="107"/>
    </row>
    <row r="355" spans="1:42" x14ac:dyDescent="0.25">
      <c r="C355" s="108"/>
      <c r="D355" s="108"/>
      <c r="E355" s="11"/>
    </row>
    <row r="356" spans="1:42" x14ac:dyDescent="0.25">
      <c r="C356" s="108"/>
      <c r="D356" s="108"/>
      <c r="E356" s="11"/>
    </row>
    <row r="357" spans="1:42" x14ac:dyDescent="0.25">
      <c r="C357" s="108"/>
      <c r="D357" s="108"/>
      <c r="E357" s="11"/>
    </row>
    <row r="358" spans="1:42" x14ac:dyDescent="0.25">
      <c r="C358" s="108"/>
      <c r="D358" s="108"/>
      <c r="E358" s="11"/>
    </row>
    <row r="359" spans="1:42" x14ac:dyDescent="0.25">
      <c r="C359" s="108"/>
      <c r="D359" s="108"/>
      <c r="E359" s="11"/>
    </row>
    <row r="360" spans="1:42" x14ac:dyDescent="0.25">
      <c r="C360" s="108"/>
      <c r="D360" s="108"/>
      <c r="E360" s="11"/>
    </row>
    <row r="361" spans="1:42" x14ac:dyDescent="0.25">
      <c r="C361" s="108"/>
      <c r="D361" s="108"/>
      <c r="E361" s="11"/>
    </row>
    <row r="362" spans="1:42" x14ac:dyDescent="0.25">
      <c r="C362" s="108"/>
      <c r="D362" s="108"/>
      <c r="E362" s="11"/>
    </row>
    <row r="363" spans="1:42" x14ac:dyDescent="0.25">
      <c r="C363" s="108"/>
      <c r="D363" s="108"/>
      <c r="E363" s="11"/>
    </row>
    <row r="364" spans="1:42" x14ac:dyDescent="0.25">
      <c r="C364" s="108"/>
      <c r="D364" s="108"/>
      <c r="E364" s="11"/>
    </row>
    <row r="365" spans="1:42" x14ac:dyDescent="0.25">
      <c r="C365" s="108"/>
      <c r="D365" s="108"/>
      <c r="E365" s="11"/>
    </row>
    <row r="366" spans="1:42" x14ac:dyDescent="0.25">
      <c r="C366" s="108"/>
      <c r="D366" s="108"/>
      <c r="E366" s="11"/>
    </row>
    <row r="367" spans="1:42" x14ac:dyDescent="0.25">
      <c r="C367" s="108"/>
      <c r="D367" s="108"/>
      <c r="E367" s="11"/>
    </row>
  </sheetData>
  <mergeCells count="27">
    <mergeCell ref="B1:AK1"/>
    <mergeCell ref="D2:D5"/>
    <mergeCell ref="E2:E5"/>
    <mergeCell ref="AI2:AK2"/>
    <mergeCell ref="B4:B5"/>
    <mergeCell ref="C4:C5"/>
    <mergeCell ref="AI3:AK4"/>
    <mergeCell ref="F4:I4"/>
    <mergeCell ref="U4:U5"/>
    <mergeCell ref="W4:W5"/>
    <mergeCell ref="Y4:Y5"/>
    <mergeCell ref="Z4:Z5"/>
    <mergeCell ref="AH4:AH5"/>
    <mergeCell ref="M3:Z3"/>
    <mergeCell ref="AA3:AH3"/>
    <mergeCell ref="J4:L4"/>
    <mergeCell ref="B2:C3"/>
    <mergeCell ref="F2:L3"/>
    <mergeCell ref="AA4:AE4"/>
    <mergeCell ref="AF4:AF5"/>
    <mergeCell ref="AG4:AG5"/>
    <mergeCell ref="M2:Z2"/>
    <mergeCell ref="M4:O4"/>
    <mergeCell ref="T4:T5"/>
    <mergeCell ref="V4:V5"/>
    <mergeCell ref="P4:S4"/>
    <mergeCell ref="X4:X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E245-7AF1-4426-BAD9-4820B63EDBA2}">
  <dimension ref="A1:FT367"/>
  <sheetViews>
    <sheetView topLeftCell="AQ1" zoomScale="70" zoomScaleNormal="70" workbookViewId="0">
      <pane ySplit="4" topLeftCell="A5" activePane="bottomLeft" state="frozen"/>
      <selection activeCell="T1" sqref="T1"/>
      <selection pane="bottomLeft" activeCell="AR5" sqref="AR5:AR14"/>
    </sheetView>
  </sheetViews>
  <sheetFormatPr baseColWidth="10" defaultRowHeight="15" x14ac:dyDescent="0.25"/>
  <cols>
    <col min="1" max="1" width="6.140625" style="107" customWidth="1"/>
    <col min="2" max="5" width="5.28515625" style="107" customWidth="1"/>
    <col min="6" max="6" width="21.42578125" style="107" bestFit="1" customWidth="1"/>
    <col min="7" max="10" width="5.7109375" style="107" customWidth="1"/>
    <col min="11" max="11" width="7.140625" style="107" customWidth="1"/>
    <col min="12" max="12" width="7" style="107" customWidth="1"/>
    <col min="13" max="13" width="7.140625" style="107" bestFit="1" customWidth="1"/>
    <col min="14" max="17" width="7.140625" style="107" customWidth="1"/>
    <col min="18" max="18" width="7" style="107" customWidth="1"/>
    <col min="19" max="19" width="7" style="107" bestFit="1" customWidth="1"/>
    <col min="20" max="22" width="5.7109375" style="107" customWidth="1"/>
    <col min="23" max="27" width="7.140625" style="107" customWidth="1"/>
    <col min="28" max="28" width="9.140625" style="107" customWidth="1"/>
    <col min="29" max="29" width="7.140625" style="107" bestFit="1" customWidth="1"/>
    <col min="30" max="35" width="7.140625" style="107" customWidth="1"/>
    <col min="36" max="40" width="5.7109375" style="107" customWidth="1"/>
    <col min="41" max="41" width="57.42578125" style="268" bestFit="1" customWidth="1"/>
    <col min="42" max="42" width="246.28515625" style="268" bestFit="1" customWidth="1"/>
    <col min="43" max="43" width="117.28515625" style="268" bestFit="1" customWidth="1"/>
    <col min="44" max="44" width="103.7109375" style="268" bestFit="1" customWidth="1"/>
    <col min="45" max="16384" width="11.42578125" style="107"/>
  </cols>
  <sheetData>
    <row r="1" spans="1:176" s="12" customFormat="1" ht="23.25" customHeight="1" thickTop="1" x14ac:dyDescent="0.25">
      <c r="B1" s="634" t="s">
        <v>987</v>
      </c>
      <c r="C1" s="634"/>
      <c r="D1" s="634"/>
      <c r="E1" s="634"/>
      <c r="F1" s="634"/>
      <c r="G1" s="634"/>
      <c r="H1" s="634"/>
      <c r="I1" s="634"/>
      <c r="J1" s="634"/>
      <c r="K1" s="634"/>
      <c r="L1" s="634"/>
      <c r="M1" s="634"/>
      <c r="N1" s="634"/>
      <c r="O1" s="634"/>
      <c r="P1" s="634"/>
      <c r="Q1" s="634"/>
      <c r="R1" s="634"/>
      <c r="S1" s="634"/>
      <c r="T1" s="634"/>
      <c r="U1" s="634"/>
      <c r="V1" s="634"/>
      <c r="W1" s="634"/>
      <c r="X1" s="634"/>
      <c r="Y1" s="634"/>
      <c r="Z1" s="634"/>
      <c r="AA1" s="634"/>
      <c r="AB1" s="634"/>
      <c r="AC1" s="634"/>
      <c r="AD1" s="634"/>
      <c r="AE1" s="634"/>
      <c r="AF1" s="634"/>
      <c r="AG1" s="634"/>
      <c r="AH1" s="634"/>
      <c r="AI1" s="634"/>
      <c r="AJ1" s="634"/>
      <c r="AK1" s="634"/>
      <c r="AL1" s="634"/>
      <c r="AM1" s="634"/>
      <c r="AN1" s="634"/>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59"/>
      <c r="CQ1" s="459"/>
      <c r="CR1" s="459"/>
      <c r="CS1" s="459"/>
      <c r="CT1" s="459"/>
      <c r="CU1" s="459"/>
      <c r="CV1" s="459"/>
      <c r="CW1" s="459"/>
      <c r="CX1" s="459"/>
      <c r="CY1" s="459"/>
      <c r="CZ1" s="459"/>
      <c r="DA1" s="459"/>
      <c r="DB1" s="459"/>
      <c r="DC1" s="459"/>
      <c r="DD1" s="459"/>
      <c r="DE1" s="459"/>
      <c r="DF1" s="459"/>
      <c r="DG1" s="459"/>
      <c r="DH1" s="459"/>
      <c r="DI1" s="459"/>
      <c r="DJ1" s="459"/>
      <c r="DK1" s="459"/>
      <c r="DL1" s="459"/>
      <c r="DM1" s="459"/>
      <c r="DN1" s="459"/>
      <c r="DO1" s="459"/>
      <c r="DP1" s="460"/>
      <c r="DQ1" s="359"/>
      <c r="DR1" s="362"/>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8"/>
      <c r="FQ1" s="263"/>
      <c r="FR1" s="264"/>
      <c r="FS1" s="264"/>
      <c r="FT1" s="264"/>
    </row>
    <row r="2" spans="1:176" s="12" customFormat="1" ht="30" customHeight="1" x14ac:dyDescent="0.25">
      <c r="B2" s="531" t="s">
        <v>554</v>
      </c>
      <c r="C2" s="524"/>
      <c r="D2" s="598" t="s">
        <v>456</v>
      </c>
      <c r="E2" s="598" t="s">
        <v>933</v>
      </c>
      <c r="F2" s="515" t="s">
        <v>658</v>
      </c>
      <c r="G2" s="524"/>
      <c r="H2" s="524"/>
      <c r="I2" s="524"/>
      <c r="J2" s="524"/>
      <c r="K2" s="524"/>
      <c r="L2" s="524"/>
      <c r="M2" s="524"/>
      <c r="N2" s="524"/>
      <c r="O2" s="524"/>
      <c r="P2" s="524"/>
      <c r="Q2" s="637" t="s">
        <v>1007</v>
      </c>
      <c r="R2" s="637" t="s">
        <v>993</v>
      </c>
      <c r="S2" s="515" t="s">
        <v>994</v>
      </c>
      <c r="T2" s="524"/>
      <c r="U2" s="524"/>
      <c r="V2" s="524"/>
      <c r="W2" s="524"/>
      <c r="X2" s="524"/>
      <c r="Y2" s="524"/>
      <c r="Z2" s="524"/>
      <c r="AA2" s="524"/>
      <c r="AB2" s="524"/>
      <c r="AC2" s="524"/>
      <c r="AD2" s="524"/>
      <c r="AE2" s="524"/>
      <c r="AF2" s="524"/>
      <c r="AG2" s="524"/>
      <c r="AH2" s="524"/>
      <c r="AI2" s="524"/>
      <c r="AJ2" s="524"/>
      <c r="AK2" s="524"/>
      <c r="AL2" s="524"/>
      <c r="AM2" s="524"/>
      <c r="AN2" s="516"/>
      <c r="AO2" s="263"/>
      <c r="AP2" s="263"/>
      <c r="AQ2" s="264"/>
      <c r="AR2" s="264"/>
    </row>
    <row r="3" spans="1:176" s="12" customFormat="1" ht="26.25" customHeight="1" x14ac:dyDescent="0.25">
      <c r="B3" s="614" t="s">
        <v>986</v>
      </c>
      <c r="C3" s="631" t="s">
        <v>335</v>
      </c>
      <c r="D3" s="636"/>
      <c r="E3" s="636"/>
      <c r="F3" s="548" t="s">
        <v>265</v>
      </c>
      <c r="G3" s="515" t="s">
        <v>70</v>
      </c>
      <c r="H3" s="524"/>
      <c r="I3" s="524"/>
      <c r="J3" s="516"/>
      <c r="K3" s="540" t="s">
        <v>988</v>
      </c>
      <c r="L3" s="540" t="s">
        <v>989</v>
      </c>
      <c r="M3" s="540" t="s">
        <v>990</v>
      </c>
      <c r="N3" s="540" t="s">
        <v>105</v>
      </c>
      <c r="O3" s="520" t="s">
        <v>991</v>
      </c>
      <c r="P3" s="520" t="s">
        <v>992</v>
      </c>
      <c r="Q3" s="638"/>
      <c r="R3" s="638"/>
      <c r="S3" s="561" t="s">
        <v>828</v>
      </c>
      <c r="T3" s="515" t="s">
        <v>70</v>
      </c>
      <c r="U3" s="524"/>
      <c r="V3" s="516"/>
      <c r="W3" s="540" t="s">
        <v>995</v>
      </c>
      <c r="X3" s="540" t="s">
        <v>989</v>
      </c>
      <c r="Y3" s="520" t="s">
        <v>996</v>
      </c>
      <c r="Z3" s="520" t="s">
        <v>997</v>
      </c>
      <c r="AA3" s="540" t="s">
        <v>998</v>
      </c>
      <c r="AB3" s="540" t="s">
        <v>999</v>
      </c>
      <c r="AC3" s="540" t="s">
        <v>1000</v>
      </c>
      <c r="AD3" s="540" t="s">
        <v>990</v>
      </c>
      <c r="AE3" s="520" t="s">
        <v>1001</v>
      </c>
      <c r="AF3" s="520" t="s">
        <v>1002</v>
      </c>
      <c r="AG3" s="520" t="s">
        <v>1006</v>
      </c>
      <c r="AH3" s="520" t="s">
        <v>1003</v>
      </c>
      <c r="AI3" s="520" t="s">
        <v>991</v>
      </c>
      <c r="AJ3" s="525" t="s">
        <v>70</v>
      </c>
      <c r="AK3" s="532"/>
      <c r="AL3" s="532"/>
      <c r="AM3" s="515" t="s">
        <v>554</v>
      </c>
      <c r="AN3" s="516"/>
      <c r="AO3" s="263"/>
      <c r="AP3" s="263"/>
      <c r="AQ3" s="264"/>
      <c r="AR3" s="264"/>
    </row>
    <row r="4" spans="1:176" s="12" customFormat="1" ht="78.75" customHeight="1" x14ac:dyDescent="0.25">
      <c r="B4" s="615"/>
      <c r="C4" s="632"/>
      <c r="D4" s="599"/>
      <c r="E4" s="599"/>
      <c r="F4" s="548"/>
      <c r="G4" s="366" t="s">
        <v>507</v>
      </c>
      <c r="H4" s="366" t="s">
        <v>539</v>
      </c>
      <c r="I4" s="445" t="s">
        <v>550</v>
      </c>
      <c r="J4" s="366" t="s">
        <v>551</v>
      </c>
      <c r="K4" s="540"/>
      <c r="L4" s="540"/>
      <c r="M4" s="540"/>
      <c r="N4" s="540"/>
      <c r="O4" s="521"/>
      <c r="P4" s="521"/>
      <c r="Q4" s="639"/>
      <c r="R4" s="639"/>
      <c r="S4" s="562"/>
      <c r="T4" s="366" t="s">
        <v>539</v>
      </c>
      <c r="U4" s="445" t="s">
        <v>550</v>
      </c>
      <c r="V4" s="366" t="s">
        <v>551</v>
      </c>
      <c r="W4" s="540"/>
      <c r="X4" s="540"/>
      <c r="Y4" s="521"/>
      <c r="Z4" s="521"/>
      <c r="AA4" s="540"/>
      <c r="AB4" s="540"/>
      <c r="AC4" s="540"/>
      <c r="AD4" s="540"/>
      <c r="AE4" s="521"/>
      <c r="AF4" s="521"/>
      <c r="AG4" s="521"/>
      <c r="AH4" s="521"/>
      <c r="AI4" s="521"/>
      <c r="AJ4" s="445" t="s">
        <v>178</v>
      </c>
      <c r="AK4" s="366" t="s">
        <v>1004</v>
      </c>
      <c r="AL4" s="445" t="s">
        <v>1005</v>
      </c>
      <c r="AM4" s="455" t="s">
        <v>668</v>
      </c>
      <c r="AN4" s="455" t="s">
        <v>355</v>
      </c>
      <c r="AO4" s="263" t="s">
        <v>549</v>
      </c>
      <c r="AP4" s="264" t="s">
        <v>981</v>
      </c>
      <c r="AQ4" s="264" t="s">
        <v>7</v>
      </c>
      <c r="AR4" s="265" t="s">
        <v>8</v>
      </c>
    </row>
    <row r="5" spans="1:176" s="109" customFormat="1" ht="15" customHeight="1" x14ac:dyDescent="0.25">
      <c r="A5" s="23"/>
      <c r="B5" s="20"/>
      <c r="C5" s="13"/>
      <c r="D5" s="13"/>
      <c r="E5" s="13">
        <v>1</v>
      </c>
      <c r="F5" s="111"/>
      <c r="G5" s="289">
        <v>1</v>
      </c>
      <c r="H5" s="289"/>
      <c r="I5" s="289"/>
      <c r="J5" s="289"/>
      <c r="K5" s="111"/>
      <c r="L5" s="13"/>
      <c r="M5" s="111"/>
      <c r="N5" s="111"/>
      <c r="O5" s="111"/>
      <c r="P5" s="111"/>
      <c r="Q5" s="111"/>
      <c r="R5" s="13"/>
      <c r="S5" s="289"/>
      <c r="T5" s="289"/>
      <c r="U5" s="289"/>
      <c r="V5" s="289"/>
      <c r="W5" s="111"/>
      <c r="X5" s="111"/>
      <c r="Y5" s="111"/>
      <c r="Z5" s="111"/>
      <c r="AA5" s="111"/>
      <c r="AB5" s="13"/>
      <c r="AC5" s="111"/>
      <c r="AD5" s="111"/>
      <c r="AE5" s="111"/>
      <c r="AF5" s="111"/>
      <c r="AG5" s="111"/>
      <c r="AH5" s="111"/>
      <c r="AI5" s="111"/>
      <c r="AJ5" s="111"/>
      <c r="AK5" s="289"/>
      <c r="AL5" s="289"/>
      <c r="AM5" s="289"/>
      <c r="AN5" s="289"/>
      <c r="AO5" s="266" t="s">
        <v>1035</v>
      </c>
      <c r="AP5" s="266" t="str">
        <f xml:space="preserve"> CONCATENATE("Acceder al sistema Gemma con usuario y perfil activo para la funcionalidad modulo Maestro - Documento Requeridos, hacer clic en el boton,"," ",IF(B5=1,"Modificar un registro","")," ",IF(C5=1,"Eliminar un registro","")," ",IF(D5=1,"Agregar un nuevo registro",""), " ",IF(E5=1,"Exportar Documento Excel","")," sin seleccionar valores en el filtro ",)</f>
        <v xml:space="preserve">Acceder al sistema Gemma con usuario y perfil activo para la funcionalidad modulo Maestro - Documento Requeridos, hacer clic en el boton,    Exportar Documento Excel sin seleccionar valores en el filtro </v>
      </c>
      <c r="AQ5" s="267" t="str">
        <f>CONCATENATE(" Validar funcionalidad Maestro Documentos Requeridos seleccionando la opcion "," ",IF(B5=1,$B$3,IF(C5=1,$C$3,IF(D5=1,$D$2,IF(E5=1,$E$2,""))))," sin seleccionar valores",)</f>
        <v xml:space="preserve"> Validar funcionalidad Maestro Documentos Requeridos seleccionando la opcion  Exportar Excel sin seleccionar valores</v>
      </c>
      <c r="AR5" s="267" t="s">
        <v>1008</v>
      </c>
    </row>
    <row r="6" spans="1:176" s="109" customFormat="1" ht="15" customHeight="1" x14ac:dyDescent="0.25">
      <c r="A6" s="23"/>
      <c r="B6" s="20"/>
      <c r="C6" s="13"/>
      <c r="D6" s="13">
        <v>1</v>
      </c>
      <c r="E6" s="103"/>
      <c r="F6" s="111"/>
      <c r="G6" s="289">
        <v>1</v>
      </c>
      <c r="H6" s="289"/>
      <c r="I6" s="289"/>
      <c r="J6" s="289"/>
      <c r="K6" s="111"/>
      <c r="L6" s="13"/>
      <c r="M6" s="111"/>
      <c r="N6" s="111"/>
      <c r="O6" s="111"/>
      <c r="P6" s="111"/>
      <c r="Q6" s="111"/>
      <c r="R6" s="13"/>
      <c r="S6" s="289">
        <v>1</v>
      </c>
      <c r="T6" s="289">
        <v>1</v>
      </c>
      <c r="U6" s="289"/>
      <c r="V6" s="289"/>
      <c r="W6" s="111">
        <v>1</v>
      </c>
      <c r="X6" s="111">
        <v>1</v>
      </c>
      <c r="Y6" s="111">
        <v>1</v>
      </c>
      <c r="Z6" s="111"/>
      <c r="AA6" s="111"/>
      <c r="AB6" s="13"/>
      <c r="AC6" s="111"/>
      <c r="AD6" s="111">
        <v>1</v>
      </c>
      <c r="AE6" s="111"/>
      <c r="AF6" s="111"/>
      <c r="AG6" s="111"/>
      <c r="AH6" s="111"/>
      <c r="AI6" s="111"/>
      <c r="AJ6" s="111"/>
      <c r="AK6" s="289"/>
      <c r="AL6" s="289"/>
      <c r="AM6" s="289">
        <v>1</v>
      </c>
      <c r="AN6" s="289"/>
      <c r="AO6" s="266" t="s">
        <v>1036</v>
      </c>
      <c r="AP6" s="266" t="str">
        <f xml:space="preserve"> CONCATENATE("Acceder al sistema Gemma con usuario y perfil activo para la funcionalidad modulo Maestro - Documento Requeridos, hacer clic en el boton,"," ",IF(B6=1,"Modificar un registro","")," ",IF(C6=1,"Eliminar un registro","")," ",IF(D6=1,"Agregar un nuevo registro",""), "con todos los campos obligatorios, luego presionar Confirmar ",IF(E6=1,"Exportar Documento Excel","")," ",)</f>
        <v xml:space="preserve">Acceder al sistema Gemma con usuario y perfil activo para la funcionalidad modulo Maestro - Documento Requeridos, hacer clic en el boton,   Agregar un nuevo registrocon todos los campos obligatorios, luego presionar Confirmar  </v>
      </c>
      <c r="AQ6" s="267" t="str">
        <f>CONCATENATE(" Validar funcionalidad Maestro Documentos Requeridos seleccionando la opcion "," ",IF(B6=1,$B$3,IF(C6=1,$C$3,IF(D6=1,$D$2,IF(E6=1,$E$2,""))))," ",)</f>
        <v xml:space="preserve"> Validar funcionalidad Maestro Documentos Requeridos seleccionando la opcion  Agregar </v>
      </c>
      <c r="AR6" s="267" t="s">
        <v>982</v>
      </c>
    </row>
    <row r="7" spans="1:176" s="109" customFormat="1" ht="15" customHeight="1" x14ac:dyDescent="0.25">
      <c r="A7" s="23"/>
      <c r="B7" s="20">
        <v>1</v>
      </c>
      <c r="C7" s="13"/>
      <c r="D7" s="13"/>
      <c r="E7" s="103"/>
      <c r="F7" s="111">
        <v>1</v>
      </c>
      <c r="G7" s="289"/>
      <c r="H7" s="289"/>
      <c r="I7" s="289">
        <v>1</v>
      </c>
      <c r="J7" s="289"/>
      <c r="K7" s="111"/>
      <c r="L7" s="13"/>
      <c r="M7" s="111"/>
      <c r="N7" s="111"/>
      <c r="O7" s="111"/>
      <c r="P7" s="111"/>
      <c r="Q7" s="111"/>
      <c r="R7" s="13"/>
      <c r="S7" s="289"/>
      <c r="T7" s="289"/>
      <c r="U7" s="289">
        <v>1</v>
      </c>
      <c r="V7" s="289"/>
      <c r="W7" s="111"/>
      <c r="X7" s="111"/>
      <c r="Y7" s="111"/>
      <c r="Z7" s="111">
        <v>1</v>
      </c>
      <c r="AA7" s="111"/>
      <c r="AB7" s="13"/>
      <c r="AC7" s="111">
        <v>1</v>
      </c>
      <c r="AD7" s="111"/>
      <c r="AE7" s="111"/>
      <c r="AF7" s="111"/>
      <c r="AG7" s="111"/>
      <c r="AH7" s="111"/>
      <c r="AI7" s="111"/>
      <c r="AJ7" s="111"/>
      <c r="AK7" s="289"/>
      <c r="AL7" s="289"/>
      <c r="AM7" s="289">
        <v>1</v>
      </c>
      <c r="AN7" s="289"/>
      <c r="AO7" s="266" t="s">
        <v>1037</v>
      </c>
      <c r="AP7" s="266" t="str">
        <f xml:space="preserve"> CONCATENATE("Acceder al sistema Gemma con usuario y perfil activo para la funcionalidad modulo Maestro - Documento Requeridos, considerando los datos seleccionados en el filtro, hacer clic en el boton,"," ",IF(B7=1,"Modificar un registro",""),", presionar el boton Confirmar ",IF(C7=1,"Eliminar un registro","")," ",IF(D7=1,"Agregar un nuevo registro",""), " ",IF(E7=1,"Exportar Documento Excel","")," ",)</f>
        <v xml:space="preserve">Acceder al sistema Gemma con usuario y perfil activo para la funcionalidad modulo Maestro - Documento Requeridos, considerando los datos seleccionados en el filtro, hacer clic en el boton, Modificar un registro, presionar el boton Confirmar    </v>
      </c>
      <c r="AQ7" s="267" t="str">
        <f>CONCATENATE(" Validar funcionalidad Maestro Documentos Requeridos seleccionando la opcion "," ",IF(B7=1,$B$3,IF(C7=1,$C$3,IF(D7=1,$D$2,IF(E7=1,$E$2,""))))," seleccionando valores",)</f>
        <v xml:space="preserve"> Validar funcionalidad Maestro Documentos Requeridos seleccionando la opcion   Modificar seleccionando valores</v>
      </c>
      <c r="AR7" s="267" t="s">
        <v>1009</v>
      </c>
    </row>
    <row r="8" spans="1:176" s="109" customFormat="1" ht="15" customHeight="1" x14ac:dyDescent="0.25">
      <c r="A8" s="23"/>
      <c r="B8" s="20">
        <v>1</v>
      </c>
      <c r="C8" s="13"/>
      <c r="D8" s="13"/>
      <c r="E8" s="103"/>
      <c r="F8" s="111"/>
      <c r="G8" s="289">
        <v>1</v>
      </c>
      <c r="H8" s="289"/>
      <c r="I8" s="289"/>
      <c r="J8" s="289"/>
      <c r="K8" s="111"/>
      <c r="L8" s="13"/>
      <c r="M8" s="111"/>
      <c r="N8" s="111"/>
      <c r="O8" s="111"/>
      <c r="P8" s="111"/>
      <c r="Q8" s="111"/>
      <c r="R8" s="13"/>
      <c r="S8" s="289"/>
      <c r="T8" s="289"/>
      <c r="U8" s="289"/>
      <c r="V8" s="289">
        <v>1</v>
      </c>
      <c r="W8" s="111"/>
      <c r="X8" s="111">
        <v>1</v>
      </c>
      <c r="Y8" s="111">
        <v>1</v>
      </c>
      <c r="Z8" s="111">
        <v>1</v>
      </c>
      <c r="AA8" s="111">
        <v>1</v>
      </c>
      <c r="AB8" s="13"/>
      <c r="AC8" s="111"/>
      <c r="AD8" s="111"/>
      <c r="AE8" s="111"/>
      <c r="AF8" s="111"/>
      <c r="AG8" s="111"/>
      <c r="AH8" s="111"/>
      <c r="AI8" s="111"/>
      <c r="AJ8" s="111"/>
      <c r="AK8" s="289"/>
      <c r="AL8" s="289"/>
      <c r="AM8" s="289">
        <v>1</v>
      </c>
      <c r="AN8" s="289"/>
      <c r="AO8" s="266" t="s">
        <v>1038</v>
      </c>
      <c r="AP8" s="266" t="str">
        <f xml:space="preserve"> CONCATENATE("Acceder al sistema Gemma con usuario y perfil activo para la funcionalidad modulo Maestro - Documento Requeridos, tomando un registro de la tabla consulta, hacer clic en el boton,"," ",IF(B8=1,"Modificar",""),", presionar el boton Confirmar ",IF(C8=1,"Eliminar un registro","")," ",IF(D8=1,"Agregar un nuevo registro",""), " ",IF(E8=1,"Exportar Documento Excel","")," ",)</f>
        <v xml:space="preserve">Acceder al sistema Gemma con usuario y perfil activo para la funcionalidad modulo Maestro - Documento Requeridos, tomando un registro de la tabla consulta, hacer clic en el boton, Modificar, presionar el boton Confirmar    </v>
      </c>
      <c r="AQ8" s="267" t="str">
        <f>CONCATENATE(" Validar funcionalidad Maestro Documentos Requeridos seleccionando la opcion "," ",IF(B8=1,$B$3,IF(C8=1,$C$3,IF(D8=1,$D$2,IF(E8=1,$E$2,""))))," sin seleccionar valores",)</f>
        <v xml:space="preserve"> Validar funcionalidad Maestro Documentos Requeridos seleccionando la opcion   Modificar sin seleccionar valores</v>
      </c>
      <c r="AR8" s="267" t="s">
        <v>1010</v>
      </c>
    </row>
    <row r="9" spans="1:176" s="109" customFormat="1" ht="15" customHeight="1" x14ac:dyDescent="0.25">
      <c r="A9" s="23"/>
      <c r="B9" s="20"/>
      <c r="C9" s="13">
        <v>1</v>
      </c>
      <c r="D9" s="13"/>
      <c r="E9" s="103"/>
      <c r="F9" s="111">
        <v>1</v>
      </c>
      <c r="G9" s="289"/>
      <c r="H9" s="289"/>
      <c r="I9" s="289"/>
      <c r="J9" s="289">
        <v>1</v>
      </c>
      <c r="K9" s="111">
        <v>1</v>
      </c>
      <c r="L9" s="13"/>
      <c r="M9" s="111"/>
      <c r="N9" s="111"/>
      <c r="O9" s="111"/>
      <c r="P9" s="111">
        <v>1</v>
      </c>
      <c r="Q9" s="111"/>
      <c r="R9" s="13"/>
      <c r="S9" s="289"/>
      <c r="T9" s="289"/>
      <c r="U9" s="289"/>
      <c r="V9" s="289"/>
      <c r="W9" s="111"/>
      <c r="X9" s="111"/>
      <c r="Y9" s="111"/>
      <c r="Z9" s="111"/>
      <c r="AA9" s="111"/>
      <c r="AB9" s="13"/>
      <c r="AC9" s="111"/>
      <c r="AD9" s="111"/>
      <c r="AE9" s="111"/>
      <c r="AF9" s="111"/>
      <c r="AG9" s="111"/>
      <c r="AH9" s="111"/>
      <c r="AI9" s="111"/>
      <c r="AJ9" s="111"/>
      <c r="AK9" s="289"/>
      <c r="AL9" s="289"/>
      <c r="AM9" s="289">
        <v>1</v>
      </c>
      <c r="AN9" s="289"/>
      <c r="AO9" s="266" t="s">
        <v>1039</v>
      </c>
      <c r="AP9" s="266" t="str">
        <f xml:space="preserve"> CONCATENATE("Acceder al sistema Gemma con usuario y perfil activo para la funcionalidad modulo Maestro - Documento Requeridos, considerando los datos seleccionados en el filtro, hacer clic en el boton,"," ",IF(B9=1,"Modificar un registro",""),"",IF(C9=1,"Eliminar",""),", presionar el boton Confirmar  ",IF(D9=1,"Agregar un nuevo registro",""), " ",IF(E9=1,"Exportar Documento Excel","")," ",)</f>
        <v xml:space="preserve">Acceder al sistema Gemma con usuario y perfil activo para la funcionalidad modulo Maestro - Documento Requeridos, considerando los datos seleccionados en el filtro, hacer clic en el boton, Eliminar, presionar el boton Confirmar    </v>
      </c>
      <c r="AQ9" s="267" t="str">
        <f>CONCATENATE(" Validar funcionalidad Maestro Documentos Requeridos seleccionando la opcion "," ",IF(B9=1,$B$3,IF(C9=1,$C$3,IF(D9=1,$D$2,IF(E9=1,$E$2,""))))," seleccionando valores",)</f>
        <v xml:space="preserve"> Validar funcionalidad Maestro Documentos Requeridos seleccionando la opcion  Eliminar seleccionando valores</v>
      </c>
      <c r="AR9" s="267" t="s">
        <v>1011</v>
      </c>
    </row>
    <row r="10" spans="1:176" s="109" customFormat="1" ht="15" customHeight="1" x14ac:dyDescent="0.25">
      <c r="A10" s="23"/>
      <c r="B10" s="20"/>
      <c r="C10" s="13">
        <v>1</v>
      </c>
      <c r="D10" s="13"/>
      <c r="E10" s="103"/>
      <c r="F10" s="111"/>
      <c r="G10" s="289"/>
      <c r="H10" s="289"/>
      <c r="I10" s="289"/>
      <c r="J10" s="289"/>
      <c r="K10" s="111"/>
      <c r="L10" s="13"/>
      <c r="M10" s="111"/>
      <c r="N10" s="111"/>
      <c r="O10" s="111"/>
      <c r="P10" s="111"/>
      <c r="Q10" s="111"/>
      <c r="R10" s="13"/>
      <c r="S10" s="289"/>
      <c r="T10" s="289"/>
      <c r="U10" s="289"/>
      <c r="V10" s="289"/>
      <c r="W10" s="111"/>
      <c r="X10" s="111"/>
      <c r="Y10" s="111"/>
      <c r="Z10" s="111"/>
      <c r="AA10" s="111"/>
      <c r="AB10" s="13"/>
      <c r="AC10" s="111"/>
      <c r="AD10" s="111"/>
      <c r="AE10" s="111"/>
      <c r="AF10" s="111"/>
      <c r="AG10" s="111"/>
      <c r="AH10" s="111"/>
      <c r="AI10" s="111"/>
      <c r="AJ10" s="111"/>
      <c r="AK10" s="289"/>
      <c r="AL10" s="289"/>
      <c r="AM10" s="289">
        <v>1</v>
      </c>
      <c r="AN10" s="289"/>
      <c r="AO10" s="266" t="s">
        <v>1040</v>
      </c>
      <c r="AP10" s="266" t="str">
        <f xml:space="preserve"> CONCATENATE("Acceder al sistema Gemma con usuario y perfil activo para la funcionalidad modulo Maestro - Documento Requeridos, tomando un registro de la tabla consulta, hacer clic en el boton,"," ",IF(B10=1,"Modificar",""),"",IF(C10=1,"Eliminar",""),", presionar el boton Confirmar  ",IF(D10=1,"Agregar un nuevo registro",""), " ",IF(E10=1,"Exportar Documento Excel","")," ",)</f>
        <v xml:space="preserve">Acceder al sistema Gemma con usuario y perfil activo para la funcionalidad modulo Maestro - Documento Requeridos, tomando un registro de la tabla consulta, hacer clic en el boton, Eliminar, presionar el boton Confirmar    </v>
      </c>
      <c r="AQ10" s="267" t="str">
        <f>CONCATENATE(" Validar funcionalidad Maestro Documentos Requeridos seleccionando la opcion "," ",IF(B10=1,$B$3,IF(C10=1,$C$3,IF(D10=1,$D$2,IF(E10=1,$E$2,""))))," sin seleccionar valores",)</f>
        <v xml:space="preserve"> Validar funcionalidad Maestro Documentos Requeridos seleccionando la opcion  Eliminar sin seleccionar valores</v>
      </c>
      <c r="AR10" s="267" t="s">
        <v>1012</v>
      </c>
    </row>
    <row r="11" spans="1:176" s="109" customFormat="1" ht="15" customHeight="1" x14ac:dyDescent="0.25">
      <c r="A11" s="23"/>
      <c r="B11" s="20">
        <v>1</v>
      </c>
      <c r="C11" s="13"/>
      <c r="D11" s="13"/>
      <c r="E11" s="103"/>
      <c r="F11" s="450">
        <v>1</v>
      </c>
      <c r="G11" s="13">
        <v>1</v>
      </c>
      <c r="H11" s="13">
        <v>1</v>
      </c>
      <c r="I11" s="103"/>
      <c r="J11" s="13"/>
      <c r="K11" s="450"/>
      <c r="L11" s="13"/>
      <c r="M11" s="450"/>
      <c r="N11" s="450"/>
      <c r="O11" s="450"/>
      <c r="P11" s="450"/>
      <c r="Q11" s="450">
        <v>1</v>
      </c>
      <c r="R11" s="13"/>
      <c r="S11" s="13">
        <v>1</v>
      </c>
      <c r="T11" s="13">
        <v>1</v>
      </c>
      <c r="U11" s="13"/>
      <c r="V11" s="13"/>
      <c r="W11" s="450">
        <v>1</v>
      </c>
      <c r="X11" s="450"/>
      <c r="Y11" s="450"/>
      <c r="Z11" s="450"/>
      <c r="AA11" s="450"/>
      <c r="AB11" s="13"/>
      <c r="AC11" s="450"/>
      <c r="AD11" s="450"/>
      <c r="AE11" s="450"/>
      <c r="AF11" s="450"/>
      <c r="AG11" s="450">
        <v>1</v>
      </c>
      <c r="AH11" s="450"/>
      <c r="AI11" s="450"/>
      <c r="AJ11" s="450"/>
      <c r="AK11" s="13"/>
      <c r="AL11" s="103"/>
      <c r="AM11" s="13">
        <v>1</v>
      </c>
      <c r="AN11" s="13"/>
      <c r="AO11" s="266" t="s">
        <v>1041</v>
      </c>
      <c r="AP11" s="266" t="str">
        <f xml:space="preserve"> CONCATENATE("Acceder al sistema Gemma con usuario y perfil activo para la funcionalidad modulo Maestro - Documento Requeridos, considerando los datos seleccionados en el filtro, hacer clic en el enlace Descripcion, hacer clic en el boton,"," ",IF(B11=1,"Modificar",""),"",IF(C11=1,"Eliminar",""),", presionar el boton Confirmar  ",IF(D11=1,"Agregar un nuevo registro",""), " ",IF(E11=1,"Exportar Documento Excel","")," ",)</f>
        <v xml:space="preserve">Acceder al sistema Gemma con usuario y perfil activo para la funcionalidad modulo Maestro - Documento Requeridos, considerando los datos seleccionados en el filtro, hacer clic en el enlace Descripcion, hacer clic en el boton, Modificar, presionar el boton Confirmar    </v>
      </c>
      <c r="AQ11" s="267" t="str">
        <f>CONCATENATE(" Validar funcionalidad Maestro Documentos Requeridos seleccionando la opcion "," ",IF(B11=1,$B$3,IF(C11=1,$C$3,IF(D11=1,$D$2,IF(E11=1,$E$2,""))))," mediante el link Descripcion y seleccionando valores",)</f>
        <v xml:space="preserve"> Validar funcionalidad Maestro Documentos Requeridos seleccionando la opcion   Modificar mediante el link Descripcion y seleccionando valores</v>
      </c>
      <c r="AR11" s="267" t="s">
        <v>1014</v>
      </c>
    </row>
    <row r="12" spans="1:176" s="109" customFormat="1" ht="15" customHeight="1" thickBot="1" x14ac:dyDescent="0.3">
      <c r="A12" s="23"/>
      <c r="B12" s="291"/>
      <c r="C12" s="272">
        <v>1</v>
      </c>
      <c r="D12" s="272"/>
      <c r="E12" s="318"/>
      <c r="F12" s="273"/>
      <c r="G12" s="396">
        <v>1</v>
      </c>
      <c r="H12" s="396"/>
      <c r="I12" s="396"/>
      <c r="J12" s="396"/>
      <c r="K12" s="273"/>
      <c r="L12" s="272"/>
      <c r="M12" s="273"/>
      <c r="N12" s="273"/>
      <c r="O12" s="273"/>
      <c r="P12" s="273"/>
      <c r="Q12" s="273">
        <v>1</v>
      </c>
      <c r="R12" s="272"/>
      <c r="S12" s="396"/>
      <c r="T12" s="396"/>
      <c r="U12" s="396"/>
      <c r="V12" s="396"/>
      <c r="W12" s="273"/>
      <c r="X12" s="273"/>
      <c r="Y12" s="273"/>
      <c r="Z12" s="273"/>
      <c r="AA12" s="273"/>
      <c r="AB12" s="272"/>
      <c r="AC12" s="273"/>
      <c r="AD12" s="273"/>
      <c r="AE12" s="273"/>
      <c r="AF12" s="273"/>
      <c r="AG12" s="273"/>
      <c r="AH12" s="273"/>
      <c r="AI12" s="273"/>
      <c r="AJ12" s="273"/>
      <c r="AK12" s="396"/>
      <c r="AL12" s="396"/>
      <c r="AM12" s="396">
        <v>1</v>
      </c>
      <c r="AN12" s="396"/>
      <c r="AO12" s="266" t="s">
        <v>1042</v>
      </c>
      <c r="AP12" s="266" t="str">
        <f xml:space="preserve"> CONCATENATE("Acceder al sistema Gemma con usuario y perfil activo para la funcionalidad modulo Maestro - Documento Requeridos, tomando un registro de la tabla consulta, hacer clic en el enlace Descripcion, hacer clic en el boton,"," ",IF(B12=1,"Modificar",""),"",IF(C12=1,"Eliminar",""),", presionar el boton Confirmar  ",IF(D12=1,"Agregar un nuevo registro",""), " ",IF(E12=1,"Exportar Documento Excel","")," ",)</f>
        <v xml:space="preserve">Acceder al sistema Gemma con usuario y perfil activo para la funcionalidad modulo Maestro - Documento Requeridos, tomando un registro de la tabla consulta, hacer clic en el enlace Descripcion, hacer clic en el boton, Eliminar, presionar el boton Confirmar    </v>
      </c>
      <c r="AQ12" s="267" t="str">
        <f>CONCATENATE(" Validar funcionalidad Maestro Documentos Requeridos seleccionando la opcion "," ",IF(B12=1,$B$3,IF(C12=1,$C$3,IF(D12=1,$D$2,IF(E12=1,$E$2,""))))," mediante el link Descripcion y sin seleccionar valores",)</f>
        <v xml:space="preserve"> Validar funcionalidad Maestro Documentos Requeridos seleccionando la opcion  Eliminar mediante el link Descripcion y sin seleccionar valores</v>
      </c>
      <c r="AR12" s="267" t="s">
        <v>1013</v>
      </c>
    </row>
    <row r="13" spans="1:176" s="109" customFormat="1" ht="15" customHeight="1" thickTop="1" x14ac:dyDescent="0.25">
      <c r="A13" s="23"/>
      <c r="B13" s="292"/>
      <c r="C13" s="293">
        <v>1</v>
      </c>
      <c r="D13" s="293"/>
      <c r="E13" s="293"/>
      <c r="F13" s="106"/>
      <c r="G13" s="398">
        <v>1</v>
      </c>
      <c r="H13" s="398"/>
      <c r="I13" s="398"/>
      <c r="J13" s="398"/>
      <c r="K13" s="106"/>
      <c r="L13" s="293"/>
      <c r="M13" s="106"/>
      <c r="N13" s="106"/>
      <c r="O13" s="106"/>
      <c r="P13" s="106"/>
      <c r="Q13" s="106"/>
      <c r="R13" s="293"/>
      <c r="S13" s="398">
        <v>1</v>
      </c>
      <c r="T13" s="398"/>
      <c r="U13" s="398">
        <v>1</v>
      </c>
      <c r="V13" s="398"/>
      <c r="W13" s="106"/>
      <c r="X13" s="106"/>
      <c r="Y13" s="106">
        <v>1</v>
      </c>
      <c r="Z13" s="106"/>
      <c r="AA13" s="106"/>
      <c r="AB13" s="293">
        <v>1</v>
      </c>
      <c r="AC13" s="106"/>
      <c r="AD13" s="106"/>
      <c r="AE13" s="106">
        <v>1</v>
      </c>
      <c r="AF13" s="106"/>
      <c r="AG13" s="106"/>
      <c r="AH13" s="106">
        <v>1</v>
      </c>
      <c r="AI13" s="106"/>
      <c r="AJ13" s="106"/>
      <c r="AK13" s="398"/>
      <c r="AL13" s="398"/>
      <c r="AM13" s="398"/>
      <c r="AN13" s="398">
        <v>1</v>
      </c>
      <c r="AO13" s="266" t="s">
        <v>1565</v>
      </c>
      <c r="AP13" s="266" t="str">
        <f xml:space="preserve"> CONCATENATE("Acceder al sistema Gemma con usuario y perfil activo para la funcionalidad modulo Maestro - Documento Requeridos, hacer clic en el boton,"," ",IF(B13=1,"Modificar un registro o","")," ",IF(C13=1,"Eliminar un registro o","")," ",IF(D13=1,"Agregar un nuevo registro",""), " ",IF(E13=1,"Exportar Documento Excel","")," que esta en uso",)</f>
        <v>Acceder al sistema Gemma con usuario y perfil activo para la funcionalidad modulo Maestro - Documento Requeridos, hacer clic en el boton,  Eliminar un registro o   que esta en uso</v>
      </c>
      <c r="AQ13" s="267" t="str">
        <f>CONCATENATE(" Validar funcionalidad Maestro Documentos Requeridos seleccionando la opcion "," ",IF(B13=1,$B$3,IF(C13=1,$C$3,IF(D13=1,$D$2,IF(E13=1,$E$2,""))))," un registro en uso",)</f>
        <v xml:space="preserve"> Validar funcionalidad Maestro Documentos Requeridos seleccionando la opcion  Eliminar un registro en uso</v>
      </c>
      <c r="AR13" s="267" t="s">
        <v>985</v>
      </c>
    </row>
    <row r="14" spans="1:176" s="109" customFormat="1" ht="15" customHeight="1" x14ac:dyDescent="0.25">
      <c r="A14" s="23"/>
      <c r="B14" s="20"/>
      <c r="C14" s="13"/>
      <c r="D14" s="13"/>
      <c r="E14" s="13"/>
      <c r="F14" s="21" t="s">
        <v>1015</v>
      </c>
      <c r="G14" s="451">
        <v>1</v>
      </c>
      <c r="H14" s="289"/>
      <c r="I14" s="451"/>
      <c r="J14" s="289"/>
      <c r="K14" s="450"/>
      <c r="L14" s="111"/>
      <c r="M14" s="21"/>
      <c r="N14" s="450"/>
      <c r="O14" s="450"/>
      <c r="P14" s="450"/>
      <c r="Q14" s="450"/>
      <c r="R14" s="111"/>
      <c r="S14" s="451"/>
      <c r="T14" s="451"/>
      <c r="U14" s="289"/>
      <c r="V14" s="289"/>
      <c r="W14" s="450"/>
      <c r="X14" s="450"/>
      <c r="Y14" s="450"/>
      <c r="Z14" s="450"/>
      <c r="AA14" s="450"/>
      <c r="AB14" s="111"/>
      <c r="AC14" s="21"/>
      <c r="AD14" s="450"/>
      <c r="AE14" s="450"/>
      <c r="AF14" s="450"/>
      <c r="AG14" s="450"/>
      <c r="AH14" s="450"/>
      <c r="AI14" s="450"/>
      <c r="AJ14" s="450"/>
      <c r="AK14" s="289"/>
      <c r="AL14" s="451"/>
      <c r="AM14" s="289"/>
      <c r="AN14" s="289"/>
      <c r="AO14" s="266" t="s">
        <v>1043</v>
      </c>
      <c r="AP14" s="266" t="str">
        <f xml:space="preserve"> CONCATENATE("Acceder al sistema Gemma con usuario y perfil activo para la funcionalidad modulo Maestro - Documento Requeridos, "," ",IF(B14=1,"Modificar un registro","")," ",IF(C14=1,"Eliminar un registro","")," ",IF(D14=1,"Agregar un nuevo registro",""), " ",IF(E14=1,"Exportar Documento Excel",""),"buscar una descripcion invalida en el filtro",)</f>
        <v>Acceder al sistema Gemma con usuario y perfil activo para la funcionalidad modulo Maestro - Documento Requeridos,     buscar una descripcion invalida en el filtro</v>
      </c>
      <c r="AQ14" s="267" t="str">
        <f>CONCATENATE(" Validar funcionalidad Maestro Documentos Requeridos seleccionando la opcion "," Descripcion invalida, en el filtro ",)</f>
        <v xml:space="preserve"> Validar funcionalidad Maestro Documentos Requeridos seleccionando la opcion  Descripcion invalida, en el filtro </v>
      </c>
      <c r="AR14" s="267" t="s">
        <v>1016</v>
      </c>
    </row>
    <row r="15" spans="1:176" s="109" customFormat="1" x14ac:dyDescent="0.25">
      <c r="B15" s="14"/>
      <c r="C15" s="110"/>
      <c r="D15" s="110"/>
      <c r="E15" s="110"/>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266"/>
      <c r="AP15" s="266"/>
      <c r="AQ15" s="267"/>
      <c r="AR15" s="267"/>
    </row>
    <row r="16" spans="1:176" s="109" customFormat="1" x14ac:dyDescent="0.25">
      <c r="B16" s="14"/>
      <c r="C16" s="110"/>
      <c r="D16" s="110"/>
      <c r="E16" s="110"/>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266"/>
      <c r="AP16" s="266"/>
      <c r="AQ16" s="267"/>
      <c r="AR16" s="267"/>
    </row>
    <row r="17" spans="2:44" s="109" customFormat="1" x14ac:dyDescent="0.25">
      <c r="B17" s="14"/>
      <c r="C17" s="110"/>
      <c r="D17" s="110"/>
      <c r="E17" s="110"/>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266"/>
      <c r="AP17" s="266"/>
      <c r="AQ17" s="267"/>
      <c r="AR17" s="267"/>
    </row>
    <row r="18" spans="2:44" s="109" customFormat="1" x14ac:dyDescent="0.25">
      <c r="B18" s="14"/>
      <c r="C18" s="110"/>
      <c r="D18" s="110"/>
      <c r="E18" s="110"/>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266"/>
      <c r="AP18" s="266"/>
      <c r="AQ18" s="267"/>
      <c r="AR18" s="267"/>
    </row>
    <row r="19" spans="2:44" s="109" customFormat="1" x14ac:dyDescent="0.25">
      <c r="B19" s="14"/>
      <c r="C19" s="110"/>
      <c r="D19" s="110"/>
      <c r="E19" s="110"/>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266"/>
      <c r="AP19" s="266"/>
      <c r="AQ19" s="267"/>
      <c r="AR19" s="267"/>
    </row>
    <row r="20" spans="2:44" s="109" customFormat="1" x14ac:dyDescent="0.25">
      <c r="B20" s="14"/>
      <c r="C20" s="110"/>
      <c r="D20" s="110"/>
      <c r="E20" s="110"/>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266"/>
      <c r="AP20" s="266"/>
      <c r="AQ20" s="267"/>
      <c r="AR20" s="267"/>
    </row>
    <row r="21" spans="2:44" s="109" customFormat="1" x14ac:dyDescent="0.25">
      <c r="B21" s="14"/>
      <c r="C21" s="110"/>
      <c r="D21" s="110"/>
      <c r="E21" s="110"/>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266"/>
      <c r="AP21" s="266"/>
      <c r="AQ21" s="267"/>
      <c r="AR21" s="267"/>
    </row>
    <row r="22" spans="2:44" s="109" customFormat="1" x14ac:dyDescent="0.25">
      <c r="B22" s="14"/>
      <c r="C22" s="110"/>
      <c r="D22" s="110"/>
      <c r="E22" s="110"/>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266"/>
      <c r="AP22" s="266"/>
      <c r="AQ22" s="267"/>
      <c r="AR22" s="267"/>
    </row>
    <row r="23" spans="2:44" s="109" customFormat="1" x14ac:dyDescent="0.25">
      <c r="B23" s="14"/>
      <c r="C23" s="110"/>
      <c r="D23" s="110"/>
      <c r="E23" s="110"/>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266"/>
      <c r="AP23" s="266"/>
      <c r="AQ23" s="267"/>
      <c r="AR23" s="267"/>
    </row>
    <row r="24" spans="2:44" s="109" customFormat="1" x14ac:dyDescent="0.25">
      <c r="B24" s="14"/>
      <c r="C24" s="110"/>
      <c r="D24" s="110"/>
      <c r="E24" s="110"/>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266"/>
      <c r="AP24" s="266"/>
      <c r="AQ24" s="267"/>
      <c r="AR24" s="267"/>
    </row>
    <row r="25" spans="2:44" s="109" customFormat="1" x14ac:dyDescent="0.25">
      <c r="B25" s="14"/>
      <c r="C25" s="110"/>
      <c r="D25" s="110"/>
      <c r="E25" s="110"/>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266"/>
      <c r="AP25" s="266"/>
      <c r="AQ25" s="267"/>
      <c r="AR25" s="267"/>
    </row>
    <row r="26" spans="2:44" s="109" customFormat="1" x14ac:dyDescent="0.25">
      <c r="B26" s="18"/>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266"/>
      <c r="AP26" s="266"/>
      <c r="AQ26" s="267"/>
      <c r="AR26" s="267"/>
    </row>
    <row r="27" spans="2:44" s="109" customFormat="1" x14ac:dyDescent="0.25">
      <c r="B27" s="18"/>
      <c r="C27" s="13"/>
      <c r="D27" s="13"/>
      <c r="E27" s="13"/>
      <c r="F27" s="110"/>
      <c r="G27" s="110"/>
      <c r="H27" s="110"/>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c r="AM27" s="110"/>
      <c r="AN27" s="110"/>
      <c r="AO27" s="270"/>
      <c r="AP27" s="270"/>
      <c r="AQ27" s="267"/>
      <c r="AR27" s="267"/>
    </row>
    <row r="28" spans="2:44" s="109" customFormat="1" x14ac:dyDescent="0.25">
      <c r="B28" s="18"/>
      <c r="C28" s="13"/>
      <c r="D28" s="13"/>
      <c r="E28" s="13"/>
      <c r="F28" s="110"/>
      <c r="G28" s="110"/>
      <c r="H28" s="110"/>
      <c r="I28" s="110"/>
      <c r="J28" s="110"/>
      <c r="K28" s="110"/>
      <c r="L28" s="110"/>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c r="AM28" s="110"/>
      <c r="AN28" s="110"/>
      <c r="AO28" s="270"/>
      <c r="AP28" s="270"/>
      <c r="AQ28" s="267"/>
      <c r="AR28" s="267"/>
    </row>
    <row r="29" spans="2:44" s="109" customFormat="1" x14ac:dyDescent="0.25">
      <c r="B29" s="18"/>
      <c r="C29" s="13"/>
      <c r="D29" s="13"/>
      <c r="E29" s="13"/>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c r="AM29" s="110"/>
      <c r="AN29" s="110"/>
      <c r="AO29" s="270"/>
      <c r="AP29" s="270"/>
      <c r="AQ29" s="267"/>
      <c r="AR29" s="267"/>
    </row>
    <row r="30" spans="2:44" s="109" customFormat="1" x14ac:dyDescent="0.25">
      <c r="B30" s="18"/>
      <c r="C30" s="13"/>
      <c r="D30" s="13"/>
      <c r="E30" s="13"/>
      <c r="F30" s="110"/>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270"/>
      <c r="AP30" s="270"/>
      <c r="AQ30" s="267"/>
      <c r="AR30" s="267"/>
    </row>
    <row r="31" spans="2:44" s="109" customFormat="1" x14ac:dyDescent="0.25">
      <c r="B31" s="18"/>
      <c r="C31" s="13"/>
      <c r="D31" s="13"/>
      <c r="E31" s="13"/>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270"/>
      <c r="AP31" s="270"/>
      <c r="AQ31" s="267"/>
      <c r="AR31" s="267"/>
    </row>
    <row r="32" spans="2:44" s="109" customFormat="1" x14ac:dyDescent="0.25">
      <c r="B32" s="18"/>
      <c r="C32" s="13"/>
      <c r="D32" s="13"/>
      <c r="E32" s="13"/>
      <c r="F32" s="110"/>
      <c r="G32" s="110"/>
      <c r="H32" s="110"/>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110"/>
      <c r="AO32" s="270"/>
      <c r="AP32" s="270"/>
      <c r="AQ32" s="267"/>
      <c r="AR32" s="267"/>
    </row>
    <row r="33" spans="2:44" s="109" customFormat="1" x14ac:dyDescent="0.25">
      <c r="B33" s="18"/>
      <c r="C33" s="13"/>
      <c r="D33" s="13"/>
      <c r="E33" s="13"/>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110"/>
      <c r="AO33" s="270"/>
      <c r="AP33" s="270"/>
      <c r="AQ33" s="267"/>
      <c r="AR33" s="267"/>
    </row>
    <row r="34" spans="2:44" s="109" customFormat="1" x14ac:dyDescent="0.25">
      <c r="B34" s="18"/>
      <c r="C34" s="13"/>
      <c r="D34" s="13"/>
      <c r="E34" s="13"/>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0"/>
      <c r="AO34" s="270"/>
      <c r="AP34" s="270"/>
      <c r="AQ34" s="267"/>
      <c r="AR34" s="267"/>
    </row>
    <row r="35" spans="2:44" s="109" customFormat="1" x14ac:dyDescent="0.25">
      <c r="B35" s="18"/>
      <c r="C35" s="13"/>
      <c r="D35" s="13"/>
      <c r="E35" s="13"/>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110"/>
      <c r="AO35" s="270"/>
      <c r="AP35" s="270"/>
      <c r="AQ35" s="267"/>
      <c r="AR35" s="267"/>
    </row>
    <row r="36" spans="2:44" s="109" customFormat="1" x14ac:dyDescent="0.25">
      <c r="B36" s="18"/>
      <c r="C36" s="13"/>
      <c r="D36" s="13"/>
      <c r="E36" s="13"/>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110"/>
      <c r="AO36" s="270"/>
      <c r="AP36" s="270"/>
      <c r="AQ36" s="267"/>
      <c r="AR36" s="267"/>
    </row>
    <row r="37" spans="2:44" s="109" customFormat="1" x14ac:dyDescent="0.25">
      <c r="B37" s="18"/>
      <c r="C37" s="13"/>
      <c r="D37" s="13"/>
      <c r="E37" s="13"/>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110"/>
      <c r="AO37" s="270"/>
      <c r="AP37" s="270"/>
      <c r="AQ37" s="267"/>
      <c r="AR37" s="267"/>
    </row>
    <row r="38" spans="2:44" s="109" customFormat="1" x14ac:dyDescent="0.25">
      <c r="B38" s="18"/>
      <c r="C38" s="13"/>
      <c r="D38" s="13"/>
      <c r="E38" s="13"/>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270"/>
      <c r="AP38" s="270"/>
      <c r="AQ38" s="267"/>
      <c r="AR38" s="267"/>
    </row>
    <row r="39" spans="2:44" s="109" customFormat="1" x14ac:dyDescent="0.25">
      <c r="B39" s="18"/>
      <c r="C39" s="13"/>
      <c r="D39" s="13"/>
      <c r="E39" s="13"/>
      <c r="F39" s="110"/>
      <c r="G39" s="110"/>
      <c r="H39" s="110"/>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c r="AM39" s="110"/>
      <c r="AN39" s="110"/>
      <c r="AO39" s="270"/>
      <c r="AP39" s="270"/>
      <c r="AQ39" s="267"/>
      <c r="AR39" s="267"/>
    </row>
    <row r="40" spans="2:44" s="109" customFormat="1" x14ac:dyDescent="0.25">
      <c r="B40" s="18"/>
      <c r="C40" s="13"/>
      <c r="D40" s="13"/>
      <c r="E40" s="13"/>
      <c r="F40" s="110"/>
      <c r="G40" s="110"/>
      <c r="H40" s="110"/>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c r="AM40" s="110"/>
      <c r="AN40" s="110"/>
      <c r="AO40" s="270"/>
      <c r="AP40" s="270"/>
      <c r="AQ40" s="267"/>
      <c r="AR40" s="267"/>
    </row>
    <row r="41" spans="2:44" s="109" customFormat="1" x14ac:dyDescent="0.25">
      <c r="B41" s="18"/>
      <c r="C41" s="13"/>
      <c r="D41" s="13"/>
      <c r="E41" s="13"/>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270"/>
      <c r="AP41" s="270"/>
      <c r="AQ41" s="267"/>
      <c r="AR41" s="267"/>
    </row>
    <row r="42" spans="2:44" s="109" customFormat="1" x14ac:dyDescent="0.25">
      <c r="B42" s="18"/>
      <c r="C42" s="13"/>
      <c r="D42" s="13"/>
      <c r="E42" s="13"/>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110"/>
      <c r="AO42" s="270"/>
      <c r="AP42" s="270"/>
      <c r="AQ42" s="267"/>
      <c r="AR42" s="267"/>
    </row>
    <row r="43" spans="2:44" s="109" customFormat="1" x14ac:dyDescent="0.25">
      <c r="B43" s="18"/>
      <c r="C43" s="13"/>
      <c r="D43" s="13"/>
      <c r="E43" s="13"/>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270"/>
      <c r="AP43" s="270"/>
      <c r="AQ43" s="267"/>
      <c r="AR43" s="267"/>
    </row>
    <row r="44" spans="2:44" s="109" customFormat="1" x14ac:dyDescent="0.25">
      <c r="B44" s="18"/>
      <c r="C44" s="13"/>
      <c r="D44" s="13"/>
      <c r="E44" s="13"/>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270"/>
      <c r="AP44" s="270"/>
      <c r="AQ44" s="267"/>
      <c r="AR44" s="267"/>
    </row>
    <row r="45" spans="2:44" s="109" customFormat="1" x14ac:dyDescent="0.25">
      <c r="B45" s="18"/>
      <c r="C45" s="13"/>
      <c r="D45" s="13"/>
      <c r="E45" s="13"/>
      <c r="F45" s="110"/>
      <c r="G45" s="110"/>
      <c r="H45" s="110"/>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270"/>
      <c r="AP45" s="270"/>
      <c r="AQ45" s="267"/>
      <c r="AR45" s="267"/>
    </row>
    <row r="46" spans="2:44" s="109" customFormat="1" x14ac:dyDescent="0.25">
      <c r="B46" s="18"/>
      <c r="C46" s="13"/>
      <c r="D46" s="13"/>
      <c r="E46" s="13"/>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110"/>
      <c r="AO46" s="270"/>
      <c r="AP46" s="270"/>
      <c r="AQ46" s="267"/>
      <c r="AR46" s="267"/>
    </row>
    <row r="47" spans="2:44" s="109" customFormat="1" x14ac:dyDescent="0.25">
      <c r="B47" s="18"/>
      <c r="C47" s="13"/>
      <c r="D47" s="13"/>
      <c r="E47" s="1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270"/>
      <c r="AP47" s="270"/>
      <c r="AQ47" s="267"/>
      <c r="AR47" s="267"/>
    </row>
    <row r="48" spans="2:44" s="109" customFormat="1" x14ac:dyDescent="0.25">
      <c r="B48" s="18"/>
      <c r="C48" s="13"/>
      <c r="D48" s="13"/>
      <c r="E48" s="13"/>
      <c r="F48" s="110"/>
      <c r="G48" s="110"/>
      <c r="H48" s="110"/>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c r="AM48" s="110"/>
      <c r="AN48" s="110"/>
      <c r="AO48" s="270"/>
      <c r="AP48" s="270"/>
      <c r="AQ48" s="267"/>
      <c r="AR48" s="267"/>
    </row>
    <row r="49" spans="2:44" s="109" customFormat="1" x14ac:dyDescent="0.25">
      <c r="B49" s="18"/>
      <c r="C49" s="13"/>
      <c r="D49" s="13"/>
      <c r="E49" s="1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270"/>
      <c r="AP49" s="270"/>
      <c r="AQ49" s="267"/>
      <c r="AR49" s="267"/>
    </row>
    <row r="50" spans="2:44" s="109" customFormat="1" x14ac:dyDescent="0.25">
      <c r="B50" s="18"/>
      <c r="C50" s="13"/>
      <c r="D50" s="13"/>
      <c r="E50" s="13"/>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270"/>
      <c r="AP50" s="270"/>
      <c r="AQ50" s="267"/>
      <c r="AR50" s="267"/>
    </row>
    <row r="51" spans="2:44" s="109" customFormat="1" ht="15.75" thickBot="1" x14ac:dyDescent="0.3">
      <c r="B51" s="323"/>
      <c r="C51" s="281"/>
      <c r="D51" s="281"/>
      <c r="E51" s="281"/>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270"/>
      <c r="AP51" s="270"/>
      <c r="AQ51" s="267"/>
      <c r="AR51" s="267"/>
    </row>
    <row r="52" spans="2:44" s="109" customFormat="1" ht="15.75" thickTop="1" x14ac:dyDescent="0.25">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c r="AL52" s="108"/>
      <c r="AM52" s="108"/>
      <c r="AN52" s="108"/>
      <c r="AO52" s="270"/>
      <c r="AP52" s="270"/>
      <c r="AQ52" s="267"/>
      <c r="AR52" s="267"/>
    </row>
    <row r="53" spans="2:44" s="109" customFormat="1" x14ac:dyDescent="0.25">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270"/>
      <c r="AP53" s="270"/>
      <c r="AQ53" s="267"/>
      <c r="AR53" s="267"/>
    </row>
    <row r="54" spans="2:44" s="109" customFormat="1" x14ac:dyDescent="0.25">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270"/>
      <c r="AP54" s="270"/>
      <c r="AQ54" s="267"/>
      <c r="AR54" s="267"/>
    </row>
    <row r="55" spans="2:44" s="109" customFormat="1" x14ac:dyDescent="0.25">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270"/>
      <c r="AP55" s="270"/>
      <c r="AQ55" s="267"/>
      <c r="AR55" s="267"/>
    </row>
    <row r="56" spans="2:44" s="109" customFormat="1" x14ac:dyDescent="0.25">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270"/>
      <c r="AP56" s="270"/>
      <c r="AQ56" s="267"/>
      <c r="AR56" s="267"/>
    </row>
    <row r="57" spans="2:44" s="109" customFormat="1" x14ac:dyDescent="0.25">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270"/>
      <c r="AP57" s="270"/>
      <c r="AQ57" s="267"/>
      <c r="AR57" s="267"/>
    </row>
    <row r="58" spans="2:44" s="109" customFormat="1" x14ac:dyDescent="0.25">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270"/>
      <c r="AP58" s="270"/>
      <c r="AQ58" s="267"/>
      <c r="AR58" s="267"/>
    </row>
    <row r="59" spans="2:44" s="109" customFormat="1" x14ac:dyDescent="0.25">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270"/>
      <c r="AP59" s="270"/>
      <c r="AQ59" s="267"/>
      <c r="AR59" s="267"/>
    </row>
    <row r="60" spans="2:44" s="109" customFormat="1" x14ac:dyDescent="0.25">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270"/>
      <c r="AP60" s="270"/>
      <c r="AQ60" s="267"/>
      <c r="AR60" s="267"/>
    </row>
    <row r="61" spans="2:44" s="109" customFormat="1" x14ac:dyDescent="0.25">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270"/>
      <c r="AP61" s="270"/>
      <c r="AQ61" s="267"/>
      <c r="AR61" s="267"/>
    </row>
    <row r="62" spans="2:44" s="109" customFormat="1" x14ac:dyDescent="0.25">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270"/>
      <c r="AP62" s="270"/>
      <c r="AQ62" s="267"/>
      <c r="AR62" s="267"/>
    </row>
    <row r="63" spans="2:44" s="109" customFormat="1" x14ac:dyDescent="0.25">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270"/>
      <c r="AP63" s="270"/>
      <c r="AQ63" s="267"/>
      <c r="AR63" s="267"/>
    </row>
    <row r="64" spans="2:44" s="109" customFormat="1" x14ac:dyDescent="0.25">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c r="AL64" s="108"/>
      <c r="AM64" s="108"/>
      <c r="AN64" s="108"/>
      <c r="AO64" s="270"/>
      <c r="AP64" s="270"/>
      <c r="AQ64" s="267"/>
      <c r="AR64" s="267"/>
    </row>
    <row r="65" spans="2:44" s="109" customFormat="1" x14ac:dyDescent="0.25">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8"/>
      <c r="AO65" s="270"/>
      <c r="AP65" s="270"/>
      <c r="AQ65" s="267"/>
      <c r="AR65" s="267"/>
    </row>
    <row r="66" spans="2:44" s="109" customFormat="1" x14ac:dyDescent="0.25">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270"/>
      <c r="AP66" s="270"/>
      <c r="AQ66" s="267"/>
      <c r="AR66" s="267"/>
    </row>
    <row r="67" spans="2:44" s="109" customFormat="1" x14ac:dyDescent="0.25">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8"/>
      <c r="AK67" s="108"/>
      <c r="AL67" s="108"/>
      <c r="AM67" s="108"/>
      <c r="AN67" s="108"/>
      <c r="AO67" s="270"/>
      <c r="AP67" s="270"/>
      <c r="AQ67" s="267"/>
      <c r="AR67" s="267"/>
    </row>
    <row r="68" spans="2:44" s="109" customFormat="1" x14ac:dyDescent="0.25">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270"/>
      <c r="AP68" s="270"/>
      <c r="AQ68" s="267"/>
      <c r="AR68" s="267"/>
    </row>
    <row r="69" spans="2:44" s="109" customFormat="1" x14ac:dyDescent="0.25">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8"/>
      <c r="AK69" s="108"/>
      <c r="AL69" s="108"/>
      <c r="AM69" s="108"/>
      <c r="AN69" s="108"/>
      <c r="AO69" s="270"/>
      <c r="AP69" s="270"/>
      <c r="AQ69" s="267"/>
      <c r="AR69" s="267"/>
    </row>
    <row r="70" spans="2:44" s="109" customFormat="1" x14ac:dyDescent="0.25">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8"/>
      <c r="AK70" s="108"/>
      <c r="AL70" s="108"/>
      <c r="AM70" s="108"/>
      <c r="AN70" s="108"/>
      <c r="AO70" s="270"/>
      <c r="AP70" s="270"/>
      <c r="AQ70" s="267"/>
      <c r="AR70" s="267"/>
    </row>
    <row r="71" spans="2:44" s="109" customFormat="1" x14ac:dyDescent="0.25">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8"/>
      <c r="AK71" s="108"/>
      <c r="AL71" s="108"/>
      <c r="AM71" s="108"/>
      <c r="AN71" s="108"/>
      <c r="AO71" s="270"/>
      <c r="AP71" s="270"/>
      <c r="AQ71" s="267"/>
      <c r="AR71" s="267"/>
    </row>
    <row r="72" spans="2:44" s="109" customFormat="1" x14ac:dyDescent="0.25">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270"/>
      <c r="AP72" s="270"/>
      <c r="AQ72" s="267"/>
      <c r="AR72" s="267"/>
    </row>
    <row r="73" spans="2:44" s="109" customFormat="1" x14ac:dyDescent="0.25">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270"/>
      <c r="AP73" s="270"/>
      <c r="AQ73" s="267"/>
      <c r="AR73" s="267"/>
    </row>
    <row r="74" spans="2:44" s="109" customFormat="1" x14ac:dyDescent="0.25">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270"/>
      <c r="AP74" s="270"/>
      <c r="AQ74" s="267"/>
      <c r="AR74" s="267"/>
    </row>
    <row r="75" spans="2:44" s="109" customFormat="1" x14ac:dyDescent="0.25">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270"/>
      <c r="AP75" s="270"/>
      <c r="AQ75" s="267"/>
      <c r="AR75" s="267"/>
    </row>
    <row r="76" spans="2:44" s="109" customFormat="1" x14ac:dyDescent="0.25">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270"/>
      <c r="AP76" s="270"/>
      <c r="AQ76" s="267"/>
      <c r="AR76" s="267"/>
    </row>
    <row r="77" spans="2:44" s="109" customFormat="1" x14ac:dyDescent="0.25">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270"/>
      <c r="AP77" s="270"/>
      <c r="AQ77" s="267"/>
      <c r="AR77" s="267"/>
    </row>
    <row r="78" spans="2:44" s="109" customFormat="1" x14ac:dyDescent="0.25">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270"/>
      <c r="AP78" s="270"/>
      <c r="AQ78" s="267"/>
      <c r="AR78" s="267"/>
    </row>
    <row r="79" spans="2:44" s="109" customFormat="1" x14ac:dyDescent="0.25">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270"/>
      <c r="AP79" s="270"/>
      <c r="AQ79" s="267"/>
      <c r="AR79" s="267"/>
    </row>
    <row r="80" spans="2:44" s="109" customFormat="1" x14ac:dyDescent="0.25">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270"/>
      <c r="AP80" s="270"/>
      <c r="AQ80" s="267"/>
      <c r="AR80" s="267"/>
    </row>
    <row r="81" spans="2:44" s="109" customFormat="1" x14ac:dyDescent="0.25">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270"/>
      <c r="AP81" s="270"/>
      <c r="AQ81" s="267"/>
      <c r="AR81" s="267"/>
    </row>
    <row r="82" spans="2:44" s="109" customFormat="1" x14ac:dyDescent="0.25">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108"/>
      <c r="AM82" s="108"/>
      <c r="AN82" s="108"/>
      <c r="AO82" s="270"/>
      <c r="AP82" s="270"/>
      <c r="AQ82" s="267"/>
      <c r="AR82" s="267"/>
    </row>
    <row r="83" spans="2:44" s="109" customFormat="1" x14ac:dyDescent="0.25">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108"/>
      <c r="AM83" s="108"/>
      <c r="AN83" s="108"/>
      <c r="AO83" s="270"/>
      <c r="AP83" s="270"/>
      <c r="AQ83" s="267"/>
      <c r="AR83" s="267"/>
    </row>
    <row r="84" spans="2:44" s="109" customFormat="1" x14ac:dyDescent="0.25">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270"/>
      <c r="AP84" s="270"/>
      <c r="AQ84" s="267"/>
      <c r="AR84" s="267"/>
    </row>
    <row r="85" spans="2:44" s="109" customFormat="1" x14ac:dyDescent="0.25">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270"/>
      <c r="AP85" s="270"/>
      <c r="AQ85" s="267"/>
      <c r="AR85" s="267"/>
    </row>
    <row r="86" spans="2:44" s="109" customFormat="1" x14ac:dyDescent="0.25">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270"/>
      <c r="AP86" s="270"/>
      <c r="AQ86" s="267"/>
      <c r="AR86" s="267"/>
    </row>
    <row r="87" spans="2:44" s="109" customFormat="1" x14ac:dyDescent="0.25">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270"/>
      <c r="AP87" s="270"/>
      <c r="AQ87" s="267"/>
      <c r="AR87" s="267"/>
    </row>
    <row r="88" spans="2:44" s="109" customFormat="1" x14ac:dyDescent="0.25">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270"/>
      <c r="AP88" s="270"/>
      <c r="AQ88" s="267"/>
      <c r="AR88" s="267"/>
    </row>
    <row r="89" spans="2:44" s="109" customFormat="1" x14ac:dyDescent="0.25">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270"/>
      <c r="AP89" s="270"/>
      <c r="AQ89" s="267"/>
      <c r="AR89" s="267"/>
    </row>
    <row r="90" spans="2:44" s="109" customFormat="1" x14ac:dyDescent="0.25">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270"/>
      <c r="AP90" s="270"/>
      <c r="AQ90" s="267"/>
      <c r="AR90" s="267"/>
    </row>
    <row r="91" spans="2:44" s="109" customFormat="1" x14ac:dyDescent="0.25">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270"/>
      <c r="AP91" s="270"/>
      <c r="AQ91" s="267"/>
      <c r="AR91" s="267"/>
    </row>
    <row r="92" spans="2:44" s="109" customFormat="1" x14ac:dyDescent="0.25">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270"/>
      <c r="AP92" s="270"/>
      <c r="AQ92" s="267"/>
      <c r="AR92" s="267"/>
    </row>
    <row r="93" spans="2:44" s="109" customFormat="1" x14ac:dyDescent="0.2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270"/>
      <c r="AP93" s="270"/>
      <c r="AQ93" s="268"/>
      <c r="AR93" s="267"/>
    </row>
    <row r="94" spans="2:44" x14ac:dyDescent="0.25">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270"/>
      <c r="AP94" s="270"/>
    </row>
    <row r="95" spans="2:44" x14ac:dyDescent="0.25">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270"/>
      <c r="AP95" s="270"/>
    </row>
    <row r="96" spans="2:44" x14ac:dyDescent="0.25">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270"/>
      <c r="AP96" s="270"/>
    </row>
    <row r="97" spans="1:45" s="268" customFormat="1" x14ac:dyDescent="0.25">
      <c r="A97" s="107"/>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270"/>
      <c r="AP97" s="270"/>
      <c r="AS97" s="107"/>
    </row>
    <row r="98" spans="1:45" s="268" customFormat="1" x14ac:dyDescent="0.25">
      <c r="A98" s="107"/>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270"/>
      <c r="AP98" s="270"/>
      <c r="AS98" s="107"/>
    </row>
    <row r="99" spans="1:45" s="268" customFormat="1" x14ac:dyDescent="0.25">
      <c r="A99" s="107"/>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270"/>
      <c r="AP99" s="270"/>
      <c r="AS99" s="107"/>
    </row>
    <row r="100" spans="1:45" s="268" customFormat="1" x14ac:dyDescent="0.25">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270"/>
      <c r="AP100" s="270"/>
      <c r="AS100" s="107"/>
    </row>
    <row r="101" spans="1:45" s="268" customFormat="1" x14ac:dyDescent="0.25">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270"/>
      <c r="AP101" s="270"/>
      <c r="AS101" s="107"/>
    </row>
    <row r="102" spans="1:45" s="268" customFormat="1" x14ac:dyDescent="0.25">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270"/>
      <c r="AP102" s="270"/>
      <c r="AS102" s="107"/>
    </row>
    <row r="103" spans="1:45" s="268" customFormat="1" x14ac:dyDescent="0.25">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270"/>
      <c r="AP103" s="270"/>
      <c r="AS103" s="107"/>
    </row>
    <row r="104" spans="1:45" s="268" customFormat="1" x14ac:dyDescent="0.25">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270"/>
      <c r="AP104" s="270"/>
      <c r="AS104" s="107"/>
    </row>
    <row r="105" spans="1:45" s="268" customFormat="1" x14ac:dyDescent="0.2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270"/>
      <c r="AP105" s="270"/>
    </row>
    <row r="106" spans="1:45" s="268" customFormat="1" x14ac:dyDescent="0.25">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270"/>
      <c r="AP106" s="270"/>
    </row>
    <row r="107" spans="1:45" s="268" customFormat="1" x14ac:dyDescent="0.25">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270"/>
      <c r="AP107" s="270"/>
    </row>
    <row r="108" spans="1:45" s="268" customFormat="1" x14ac:dyDescent="0.25">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270"/>
      <c r="AP108" s="270"/>
    </row>
    <row r="109" spans="1:45" s="268" customFormat="1" x14ac:dyDescent="0.25">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270"/>
      <c r="AP109" s="270"/>
    </row>
    <row r="110" spans="1:45" s="268" customFormat="1" x14ac:dyDescent="0.25">
      <c r="A110" s="107"/>
      <c r="B110" s="108"/>
      <c r="C110" s="108"/>
      <c r="D110" s="108"/>
      <c r="E110" s="108"/>
      <c r="F110" s="107"/>
      <c r="G110" s="9"/>
      <c r="H110" s="9"/>
      <c r="I110" s="107"/>
      <c r="J110" s="9"/>
      <c r="K110" s="107"/>
      <c r="L110" s="9"/>
      <c r="M110" s="107"/>
      <c r="N110" s="107"/>
      <c r="O110" s="107"/>
      <c r="P110" s="107"/>
      <c r="Q110" s="107"/>
      <c r="R110" s="9"/>
      <c r="S110" s="9"/>
      <c r="T110" s="9"/>
      <c r="U110" s="9"/>
      <c r="V110" s="9"/>
      <c r="W110" s="107"/>
      <c r="X110" s="107"/>
      <c r="Y110" s="107"/>
      <c r="Z110" s="107"/>
      <c r="AA110" s="107"/>
      <c r="AB110" s="9"/>
      <c r="AC110" s="107"/>
      <c r="AD110" s="107"/>
      <c r="AE110" s="107"/>
      <c r="AF110" s="107"/>
      <c r="AG110" s="107"/>
      <c r="AH110" s="107"/>
      <c r="AI110" s="107"/>
      <c r="AJ110" s="107"/>
      <c r="AK110" s="9"/>
      <c r="AL110" s="107"/>
      <c r="AM110" s="9"/>
      <c r="AN110" s="9"/>
    </row>
    <row r="111" spans="1:45" s="268" customFormat="1" x14ac:dyDescent="0.25">
      <c r="A111" s="107"/>
      <c r="B111" s="108"/>
      <c r="C111" s="108"/>
      <c r="D111" s="108"/>
      <c r="E111" s="108"/>
      <c r="F111" s="107"/>
      <c r="G111" s="9"/>
      <c r="H111" s="9"/>
      <c r="I111" s="107"/>
      <c r="J111" s="9"/>
      <c r="K111" s="107"/>
      <c r="L111" s="9"/>
      <c r="M111" s="107"/>
      <c r="N111" s="107"/>
      <c r="O111" s="107"/>
      <c r="P111" s="107"/>
      <c r="Q111" s="107"/>
      <c r="R111" s="9"/>
      <c r="S111" s="9"/>
      <c r="T111" s="9"/>
      <c r="U111" s="9"/>
      <c r="V111" s="9"/>
      <c r="W111" s="107"/>
      <c r="X111" s="107"/>
      <c r="Y111" s="107"/>
      <c r="Z111" s="107"/>
      <c r="AA111" s="107"/>
      <c r="AB111" s="9"/>
      <c r="AC111" s="107"/>
      <c r="AD111" s="107"/>
      <c r="AE111" s="107"/>
      <c r="AF111" s="107"/>
      <c r="AG111" s="107"/>
      <c r="AH111" s="107"/>
      <c r="AI111" s="107"/>
      <c r="AJ111" s="107"/>
      <c r="AK111" s="9"/>
      <c r="AL111" s="107"/>
      <c r="AM111" s="9"/>
      <c r="AN111" s="9"/>
    </row>
    <row r="112" spans="1:45" s="268" customFormat="1" x14ac:dyDescent="0.25">
      <c r="A112" s="107"/>
      <c r="B112" s="108"/>
      <c r="C112" s="108"/>
      <c r="D112" s="108"/>
      <c r="E112" s="108"/>
      <c r="F112" s="107"/>
      <c r="G112" s="9"/>
      <c r="H112" s="9"/>
      <c r="I112" s="107"/>
      <c r="J112" s="9"/>
      <c r="K112" s="107"/>
      <c r="L112" s="9"/>
      <c r="M112" s="107"/>
      <c r="N112" s="107"/>
      <c r="O112" s="107"/>
      <c r="P112" s="107"/>
      <c r="Q112" s="107"/>
      <c r="R112" s="9"/>
      <c r="S112" s="9"/>
      <c r="T112" s="9"/>
      <c r="U112" s="9"/>
      <c r="V112" s="9"/>
      <c r="W112" s="107"/>
      <c r="X112" s="107"/>
      <c r="Y112" s="107"/>
      <c r="Z112" s="107"/>
      <c r="AA112" s="107"/>
      <c r="AB112" s="9"/>
      <c r="AC112" s="107"/>
      <c r="AD112" s="107"/>
      <c r="AE112" s="107"/>
      <c r="AF112" s="107"/>
      <c r="AG112" s="107"/>
      <c r="AH112" s="107"/>
      <c r="AI112" s="107"/>
      <c r="AJ112" s="107"/>
      <c r="AK112" s="9"/>
      <c r="AL112" s="107"/>
      <c r="AM112" s="9"/>
      <c r="AN112" s="9"/>
    </row>
    <row r="113" spans="1:40" s="268" customFormat="1" x14ac:dyDescent="0.25">
      <c r="A113" s="107"/>
      <c r="B113" s="108"/>
      <c r="C113" s="108"/>
      <c r="D113" s="108"/>
      <c r="E113" s="108"/>
      <c r="F113" s="107"/>
      <c r="G113" s="9"/>
      <c r="H113" s="9"/>
      <c r="I113" s="107"/>
      <c r="J113" s="9"/>
      <c r="K113" s="107"/>
      <c r="L113" s="9"/>
      <c r="M113" s="107"/>
      <c r="N113" s="107"/>
      <c r="O113" s="107"/>
      <c r="P113" s="107"/>
      <c r="Q113" s="107"/>
      <c r="R113" s="9"/>
      <c r="S113" s="9"/>
      <c r="T113" s="9"/>
      <c r="U113" s="9"/>
      <c r="V113" s="9"/>
      <c r="W113" s="107"/>
      <c r="X113" s="107"/>
      <c r="Y113" s="107"/>
      <c r="Z113" s="107"/>
      <c r="AA113" s="107"/>
      <c r="AB113" s="9"/>
      <c r="AC113" s="107"/>
      <c r="AD113" s="107"/>
      <c r="AE113" s="107"/>
      <c r="AF113" s="107"/>
      <c r="AG113" s="107"/>
      <c r="AH113" s="107"/>
      <c r="AI113" s="107"/>
      <c r="AJ113" s="107"/>
      <c r="AK113" s="9"/>
      <c r="AL113" s="107"/>
      <c r="AM113" s="9"/>
      <c r="AN113" s="9"/>
    </row>
    <row r="114" spans="1:40" s="268" customFormat="1" x14ac:dyDescent="0.25">
      <c r="A114" s="107"/>
      <c r="B114" s="108"/>
      <c r="C114" s="108"/>
      <c r="D114" s="108"/>
      <c r="E114" s="108"/>
      <c r="F114" s="107"/>
      <c r="G114" s="9"/>
      <c r="H114" s="9"/>
      <c r="I114" s="107"/>
      <c r="J114" s="9"/>
      <c r="K114" s="107"/>
      <c r="L114" s="9"/>
      <c r="M114" s="107"/>
      <c r="N114" s="107"/>
      <c r="O114" s="107"/>
      <c r="P114" s="107"/>
      <c r="Q114" s="107"/>
      <c r="R114" s="9"/>
      <c r="S114" s="9"/>
      <c r="T114" s="9"/>
      <c r="U114" s="9"/>
      <c r="V114" s="9"/>
      <c r="W114" s="107"/>
      <c r="X114" s="107"/>
      <c r="Y114" s="107"/>
      <c r="Z114" s="107"/>
      <c r="AA114" s="107"/>
      <c r="AB114" s="9"/>
      <c r="AC114" s="107"/>
      <c r="AD114" s="107"/>
      <c r="AE114" s="107"/>
      <c r="AF114" s="107"/>
      <c r="AG114" s="107"/>
      <c r="AH114" s="107"/>
      <c r="AI114" s="107"/>
      <c r="AJ114" s="107"/>
      <c r="AK114" s="9"/>
      <c r="AL114" s="107"/>
      <c r="AM114" s="9"/>
      <c r="AN114" s="9"/>
    </row>
    <row r="115" spans="1:40" s="268" customFormat="1" x14ac:dyDescent="0.25">
      <c r="A115" s="107"/>
      <c r="B115" s="108"/>
      <c r="C115" s="108"/>
      <c r="D115" s="108"/>
      <c r="E115" s="108"/>
      <c r="F115" s="107"/>
      <c r="G115" s="9"/>
      <c r="H115" s="9"/>
      <c r="I115" s="107"/>
      <c r="J115" s="9"/>
      <c r="K115" s="107"/>
      <c r="L115" s="9"/>
      <c r="M115" s="107"/>
      <c r="N115" s="107"/>
      <c r="O115" s="107"/>
      <c r="P115" s="107"/>
      <c r="Q115" s="107"/>
      <c r="R115" s="9"/>
      <c r="S115" s="9"/>
      <c r="T115" s="9"/>
      <c r="U115" s="9"/>
      <c r="V115" s="9"/>
      <c r="W115" s="107"/>
      <c r="X115" s="107"/>
      <c r="Y115" s="107"/>
      <c r="Z115" s="107"/>
      <c r="AA115" s="107"/>
      <c r="AB115" s="9"/>
      <c r="AC115" s="107"/>
      <c r="AD115" s="107"/>
      <c r="AE115" s="107"/>
      <c r="AF115" s="107"/>
      <c r="AG115" s="107"/>
      <c r="AH115" s="107"/>
      <c r="AI115" s="107"/>
      <c r="AJ115" s="107"/>
      <c r="AK115" s="9"/>
      <c r="AL115" s="107"/>
      <c r="AM115" s="9"/>
      <c r="AN115" s="9"/>
    </row>
    <row r="116" spans="1:40" s="268" customFormat="1" x14ac:dyDescent="0.25">
      <c r="A116" s="107"/>
      <c r="B116" s="108"/>
      <c r="C116" s="108"/>
      <c r="D116" s="108"/>
      <c r="E116" s="108"/>
      <c r="F116" s="107"/>
      <c r="G116" s="9"/>
      <c r="H116" s="9"/>
      <c r="I116" s="107"/>
      <c r="J116" s="9"/>
      <c r="K116" s="107"/>
      <c r="L116" s="9"/>
      <c r="M116" s="107"/>
      <c r="N116" s="107"/>
      <c r="O116" s="107"/>
      <c r="P116" s="107"/>
      <c r="Q116" s="107"/>
      <c r="R116" s="9"/>
      <c r="S116" s="9"/>
      <c r="T116" s="9"/>
      <c r="U116" s="9"/>
      <c r="V116" s="9"/>
      <c r="W116" s="107"/>
      <c r="X116" s="107"/>
      <c r="Y116" s="107"/>
      <c r="Z116" s="107"/>
      <c r="AA116" s="107"/>
      <c r="AB116" s="9"/>
      <c r="AC116" s="107"/>
      <c r="AD116" s="107"/>
      <c r="AE116" s="107"/>
      <c r="AF116" s="107"/>
      <c r="AG116" s="107"/>
      <c r="AH116" s="107"/>
      <c r="AI116" s="107"/>
      <c r="AJ116" s="107"/>
      <c r="AK116" s="9"/>
      <c r="AL116" s="107"/>
      <c r="AM116" s="9"/>
      <c r="AN116" s="9"/>
    </row>
    <row r="117" spans="1:40" s="268" customFormat="1" x14ac:dyDescent="0.25">
      <c r="A117" s="107"/>
      <c r="B117" s="108"/>
      <c r="C117" s="108"/>
      <c r="D117" s="108"/>
      <c r="E117" s="108"/>
      <c r="F117" s="107"/>
      <c r="G117" s="9"/>
      <c r="H117" s="9"/>
      <c r="I117" s="107"/>
      <c r="J117" s="9"/>
      <c r="K117" s="107"/>
      <c r="L117" s="9"/>
      <c r="M117" s="107"/>
      <c r="N117" s="107"/>
      <c r="O117" s="107"/>
      <c r="P117" s="107"/>
      <c r="Q117" s="107"/>
      <c r="R117" s="9"/>
      <c r="S117" s="9"/>
      <c r="T117" s="9"/>
      <c r="U117" s="9"/>
      <c r="V117" s="9"/>
      <c r="W117" s="107"/>
      <c r="X117" s="107"/>
      <c r="Y117" s="107"/>
      <c r="Z117" s="107"/>
      <c r="AA117" s="107"/>
      <c r="AB117" s="9"/>
      <c r="AC117" s="107"/>
      <c r="AD117" s="107"/>
      <c r="AE117" s="107"/>
      <c r="AF117" s="107"/>
      <c r="AG117" s="107"/>
      <c r="AH117" s="107"/>
      <c r="AI117" s="107"/>
      <c r="AJ117" s="107"/>
      <c r="AK117" s="9"/>
      <c r="AL117" s="107"/>
      <c r="AM117" s="9"/>
      <c r="AN117" s="9"/>
    </row>
    <row r="118" spans="1:40" s="268" customFormat="1" x14ac:dyDescent="0.25">
      <c r="A118" s="107"/>
      <c r="B118" s="108"/>
      <c r="C118" s="108"/>
      <c r="D118" s="108"/>
      <c r="E118" s="108"/>
      <c r="F118" s="107"/>
      <c r="G118" s="9"/>
      <c r="H118" s="9"/>
      <c r="I118" s="107"/>
      <c r="J118" s="9"/>
      <c r="K118" s="107"/>
      <c r="L118" s="9"/>
      <c r="M118" s="107"/>
      <c r="N118" s="107"/>
      <c r="O118" s="107"/>
      <c r="P118" s="107"/>
      <c r="Q118" s="107"/>
      <c r="R118" s="9"/>
      <c r="S118" s="9"/>
      <c r="T118" s="9"/>
      <c r="U118" s="9"/>
      <c r="V118" s="9"/>
      <c r="W118" s="107"/>
      <c r="X118" s="107"/>
      <c r="Y118" s="107"/>
      <c r="Z118" s="107"/>
      <c r="AA118" s="107"/>
      <c r="AB118" s="9"/>
      <c r="AC118" s="107"/>
      <c r="AD118" s="107"/>
      <c r="AE118" s="107"/>
      <c r="AF118" s="107"/>
      <c r="AG118" s="107"/>
      <c r="AH118" s="107"/>
      <c r="AI118" s="107"/>
      <c r="AJ118" s="107"/>
      <c r="AK118" s="9"/>
      <c r="AL118" s="107"/>
      <c r="AM118" s="9"/>
      <c r="AN118" s="9"/>
    </row>
    <row r="119" spans="1:40" s="268" customFormat="1" x14ac:dyDescent="0.25">
      <c r="A119" s="107"/>
      <c r="B119" s="108"/>
      <c r="C119" s="108"/>
      <c r="D119" s="108"/>
      <c r="E119" s="108"/>
      <c r="F119" s="107"/>
      <c r="G119" s="9"/>
      <c r="H119" s="9"/>
      <c r="I119" s="107"/>
      <c r="J119" s="9"/>
      <c r="K119" s="107"/>
      <c r="L119" s="9"/>
      <c r="M119" s="107"/>
      <c r="N119" s="107"/>
      <c r="O119" s="107"/>
      <c r="P119" s="107"/>
      <c r="Q119" s="107"/>
      <c r="R119" s="9"/>
      <c r="S119" s="9"/>
      <c r="T119" s="9"/>
      <c r="U119" s="9"/>
      <c r="V119" s="9"/>
      <c r="W119" s="107"/>
      <c r="X119" s="107"/>
      <c r="Y119" s="107"/>
      <c r="Z119" s="107"/>
      <c r="AA119" s="107"/>
      <c r="AB119" s="9"/>
      <c r="AC119" s="107"/>
      <c r="AD119" s="107"/>
      <c r="AE119" s="107"/>
      <c r="AF119" s="107"/>
      <c r="AG119" s="107"/>
      <c r="AH119" s="107"/>
      <c r="AI119" s="107"/>
      <c r="AJ119" s="107"/>
      <c r="AK119" s="9"/>
      <c r="AL119" s="107"/>
      <c r="AM119" s="9"/>
      <c r="AN119" s="9"/>
    </row>
    <row r="120" spans="1:40" s="268" customFormat="1" x14ac:dyDescent="0.25">
      <c r="A120" s="107"/>
      <c r="B120" s="108"/>
      <c r="C120" s="108"/>
      <c r="D120" s="108"/>
      <c r="E120" s="108"/>
      <c r="F120" s="107"/>
      <c r="G120" s="9"/>
      <c r="H120" s="9"/>
      <c r="I120" s="107"/>
      <c r="J120" s="9"/>
      <c r="K120" s="107"/>
      <c r="L120" s="9"/>
      <c r="M120" s="107"/>
      <c r="N120" s="107"/>
      <c r="O120" s="107"/>
      <c r="P120" s="107"/>
      <c r="Q120" s="107"/>
      <c r="R120" s="9"/>
      <c r="S120" s="9"/>
      <c r="T120" s="9"/>
      <c r="U120" s="9"/>
      <c r="V120" s="9"/>
      <c r="W120" s="107"/>
      <c r="X120" s="107"/>
      <c r="Y120" s="107"/>
      <c r="Z120" s="107"/>
      <c r="AA120" s="107"/>
      <c r="AB120" s="9"/>
      <c r="AC120" s="107"/>
      <c r="AD120" s="107"/>
      <c r="AE120" s="107"/>
      <c r="AF120" s="107"/>
      <c r="AG120" s="107"/>
      <c r="AH120" s="107"/>
      <c r="AI120" s="107"/>
      <c r="AJ120" s="107"/>
      <c r="AK120" s="9"/>
      <c r="AL120" s="107"/>
      <c r="AM120" s="9"/>
      <c r="AN120" s="9"/>
    </row>
    <row r="121" spans="1:40" s="268" customFormat="1" x14ac:dyDescent="0.25">
      <c r="A121" s="107"/>
      <c r="B121" s="108"/>
      <c r="C121" s="108"/>
      <c r="D121" s="108"/>
      <c r="E121" s="108"/>
      <c r="F121" s="107"/>
      <c r="G121" s="9"/>
      <c r="H121" s="9"/>
      <c r="I121" s="107"/>
      <c r="J121" s="9"/>
      <c r="K121" s="107"/>
      <c r="L121" s="9"/>
      <c r="M121" s="107"/>
      <c r="N121" s="107"/>
      <c r="O121" s="107"/>
      <c r="P121" s="107"/>
      <c r="Q121" s="107"/>
      <c r="R121" s="9"/>
      <c r="S121" s="9"/>
      <c r="T121" s="9"/>
      <c r="U121" s="9"/>
      <c r="V121" s="9"/>
      <c r="W121" s="107"/>
      <c r="X121" s="107"/>
      <c r="Y121" s="107"/>
      <c r="Z121" s="107"/>
      <c r="AA121" s="107"/>
      <c r="AB121" s="9"/>
      <c r="AC121" s="107"/>
      <c r="AD121" s="107"/>
      <c r="AE121" s="107"/>
      <c r="AF121" s="107"/>
      <c r="AG121" s="107"/>
      <c r="AH121" s="107"/>
      <c r="AI121" s="107"/>
      <c r="AJ121" s="107"/>
      <c r="AK121" s="9"/>
      <c r="AL121" s="107"/>
      <c r="AM121" s="9"/>
      <c r="AN121" s="9"/>
    </row>
    <row r="122" spans="1:40" s="268" customFormat="1" x14ac:dyDescent="0.25">
      <c r="A122" s="107"/>
      <c r="B122" s="108"/>
      <c r="C122" s="108"/>
      <c r="D122" s="108"/>
      <c r="E122" s="108"/>
      <c r="F122" s="107"/>
      <c r="G122" s="9"/>
      <c r="H122" s="9"/>
      <c r="I122" s="107"/>
      <c r="J122" s="9"/>
      <c r="K122" s="107"/>
      <c r="L122" s="9"/>
      <c r="M122" s="107"/>
      <c r="N122" s="107"/>
      <c r="O122" s="107"/>
      <c r="P122" s="107"/>
      <c r="Q122" s="107"/>
      <c r="R122" s="9"/>
      <c r="S122" s="9"/>
      <c r="T122" s="9"/>
      <c r="U122" s="9"/>
      <c r="V122" s="9"/>
      <c r="W122" s="107"/>
      <c r="X122" s="107"/>
      <c r="Y122" s="107"/>
      <c r="Z122" s="107"/>
      <c r="AA122" s="107"/>
      <c r="AB122" s="9"/>
      <c r="AC122" s="107"/>
      <c r="AD122" s="107"/>
      <c r="AE122" s="107"/>
      <c r="AF122" s="107"/>
      <c r="AG122" s="107"/>
      <c r="AH122" s="107"/>
      <c r="AI122" s="107"/>
      <c r="AJ122" s="107"/>
      <c r="AK122" s="9"/>
      <c r="AL122" s="107"/>
      <c r="AM122" s="9"/>
      <c r="AN122" s="9"/>
    </row>
    <row r="123" spans="1:40" s="268" customFormat="1" x14ac:dyDescent="0.25">
      <c r="A123" s="107"/>
      <c r="B123" s="108"/>
      <c r="C123" s="108"/>
      <c r="D123" s="108"/>
      <c r="E123" s="108"/>
      <c r="F123" s="107"/>
      <c r="G123" s="9"/>
      <c r="H123" s="9"/>
      <c r="I123" s="107"/>
      <c r="J123" s="9"/>
      <c r="K123" s="107"/>
      <c r="L123" s="9"/>
      <c r="M123" s="107"/>
      <c r="N123" s="107"/>
      <c r="O123" s="107"/>
      <c r="P123" s="107"/>
      <c r="Q123" s="107"/>
      <c r="R123" s="9"/>
      <c r="S123" s="9"/>
      <c r="T123" s="9"/>
      <c r="U123" s="9"/>
      <c r="V123" s="9"/>
      <c r="W123" s="107"/>
      <c r="X123" s="107"/>
      <c r="Y123" s="107"/>
      <c r="Z123" s="107"/>
      <c r="AA123" s="107"/>
      <c r="AB123" s="9"/>
      <c r="AC123" s="107"/>
      <c r="AD123" s="107"/>
      <c r="AE123" s="107"/>
      <c r="AF123" s="107"/>
      <c r="AG123" s="107"/>
      <c r="AH123" s="107"/>
      <c r="AI123" s="107"/>
      <c r="AJ123" s="107"/>
      <c r="AK123" s="9"/>
      <c r="AL123" s="107"/>
      <c r="AM123" s="9"/>
      <c r="AN123" s="9"/>
    </row>
    <row r="124" spans="1:40" s="268" customFormat="1" x14ac:dyDescent="0.25">
      <c r="A124" s="107"/>
      <c r="B124" s="108"/>
      <c r="C124" s="108"/>
      <c r="D124" s="108"/>
      <c r="E124" s="108"/>
      <c r="F124" s="107"/>
      <c r="G124" s="9"/>
      <c r="H124" s="9"/>
      <c r="I124" s="107"/>
      <c r="J124" s="9"/>
      <c r="K124" s="107"/>
      <c r="L124" s="9"/>
      <c r="M124" s="107"/>
      <c r="N124" s="107"/>
      <c r="O124" s="107"/>
      <c r="P124" s="107"/>
      <c r="Q124" s="107"/>
      <c r="R124" s="9"/>
      <c r="S124" s="9"/>
      <c r="T124" s="9"/>
      <c r="U124" s="9"/>
      <c r="V124" s="9"/>
      <c r="W124" s="107"/>
      <c r="X124" s="107"/>
      <c r="Y124" s="107"/>
      <c r="Z124" s="107"/>
      <c r="AA124" s="107"/>
      <c r="AB124" s="9"/>
      <c r="AC124" s="107"/>
      <c r="AD124" s="107"/>
      <c r="AE124" s="107"/>
      <c r="AF124" s="107"/>
      <c r="AG124" s="107"/>
      <c r="AH124" s="107"/>
      <c r="AI124" s="107"/>
      <c r="AJ124" s="107"/>
      <c r="AK124" s="9"/>
      <c r="AL124" s="107"/>
      <c r="AM124" s="9"/>
      <c r="AN124" s="9"/>
    </row>
    <row r="125" spans="1:40" s="268" customFormat="1" x14ac:dyDescent="0.25">
      <c r="A125" s="107"/>
      <c r="B125" s="108"/>
      <c r="C125" s="108"/>
      <c r="D125" s="108"/>
      <c r="E125" s="108"/>
      <c r="F125" s="107"/>
      <c r="G125" s="9"/>
      <c r="H125" s="9"/>
      <c r="I125" s="107"/>
      <c r="J125" s="9"/>
      <c r="K125" s="107"/>
      <c r="L125" s="9"/>
      <c r="M125" s="107"/>
      <c r="N125" s="107"/>
      <c r="O125" s="107"/>
      <c r="P125" s="107"/>
      <c r="Q125" s="107"/>
      <c r="R125" s="9"/>
      <c r="S125" s="9"/>
      <c r="T125" s="9"/>
      <c r="U125" s="9"/>
      <c r="V125" s="9"/>
      <c r="W125" s="107"/>
      <c r="X125" s="107"/>
      <c r="Y125" s="107"/>
      <c r="Z125" s="107"/>
      <c r="AA125" s="107"/>
      <c r="AB125" s="9"/>
      <c r="AC125" s="107"/>
      <c r="AD125" s="107"/>
      <c r="AE125" s="107"/>
      <c r="AF125" s="107"/>
      <c r="AG125" s="107"/>
      <c r="AH125" s="107"/>
      <c r="AI125" s="107"/>
      <c r="AJ125" s="107"/>
      <c r="AK125" s="9"/>
      <c r="AL125" s="107"/>
      <c r="AM125" s="9"/>
      <c r="AN125" s="9"/>
    </row>
    <row r="126" spans="1:40" s="268" customFormat="1" x14ac:dyDescent="0.25">
      <c r="A126" s="107"/>
      <c r="B126" s="108"/>
      <c r="C126" s="108"/>
      <c r="D126" s="108"/>
      <c r="E126" s="108"/>
      <c r="F126" s="107"/>
      <c r="G126" s="9"/>
      <c r="H126" s="9"/>
      <c r="I126" s="107"/>
      <c r="J126" s="9"/>
      <c r="K126" s="107"/>
      <c r="L126" s="9"/>
      <c r="M126" s="107"/>
      <c r="N126" s="107"/>
      <c r="O126" s="107"/>
      <c r="P126" s="107"/>
      <c r="Q126" s="107"/>
      <c r="R126" s="9"/>
      <c r="S126" s="9"/>
      <c r="T126" s="9"/>
      <c r="U126" s="9"/>
      <c r="V126" s="9"/>
      <c r="W126" s="107"/>
      <c r="X126" s="107"/>
      <c r="Y126" s="107"/>
      <c r="Z126" s="107"/>
      <c r="AA126" s="107"/>
      <c r="AB126" s="9"/>
      <c r="AC126" s="107"/>
      <c r="AD126" s="107"/>
      <c r="AE126" s="107"/>
      <c r="AF126" s="107"/>
      <c r="AG126" s="107"/>
      <c r="AH126" s="107"/>
      <c r="AI126" s="107"/>
      <c r="AJ126" s="107"/>
      <c r="AK126" s="9"/>
      <c r="AL126" s="107"/>
      <c r="AM126" s="9"/>
      <c r="AN126" s="9"/>
    </row>
    <row r="127" spans="1:40" s="268" customFormat="1" x14ac:dyDescent="0.25">
      <c r="A127" s="107"/>
      <c r="B127" s="108"/>
      <c r="C127" s="108"/>
      <c r="D127" s="108"/>
      <c r="E127" s="108"/>
      <c r="F127" s="107"/>
      <c r="G127" s="9"/>
      <c r="H127" s="9"/>
      <c r="I127" s="107"/>
      <c r="J127" s="9"/>
      <c r="K127" s="107"/>
      <c r="L127" s="9"/>
      <c r="M127" s="107"/>
      <c r="N127" s="107"/>
      <c r="O127" s="107"/>
      <c r="P127" s="107"/>
      <c r="Q127" s="107"/>
      <c r="R127" s="9"/>
      <c r="S127" s="9"/>
      <c r="T127" s="9"/>
      <c r="U127" s="9"/>
      <c r="V127" s="9"/>
      <c r="W127" s="107"/>
      <c r="X127" s="107"/>
      <c r="Y127" s="107"/>
      <c r="Z127" s="107"/>
      <c r="AA127" s="107"/>
      <c r="AB127" s="9"/>
      <c r="AC127" s="107"/>
      <c r="AD127" s="107"/>
      <c r="AE127" s="107"/>
      <c r="AF127" s="107"/>
      <c r="AG127" s="107"/>
      <c r="AH127" s="107"/>
      <c r="AI127" s="107"/>
      <c r="AJ127" s="107"/>
      <c r="AK127" s="9"/>
      <c r="AL127" s="107"/>
      <c r="AM127" s="9"/>
      <c r="AN127" s="9"/>
    </row>
    <row r="128" spans="1:40" s="268" customFormat="1" x14ac:dyDescent="0.25">
      <c r="A128" s="107"/>
      <c r="B128" s="108"/>
      <c r="C128" s="108"/>
      <c r="D128" s="108"/>
      <c r="E128" s="108"/>
      <c r="F128" s="107"/>
      <c r="G128" s="9"/>
      <c r="H128" s="9"/>
      <c r="I128" s="107"/>
      <c r="J128" s="9"/>
      <c r="K128" s="107"/>
      <c r="L128" s="9"/>
      <c r="M128" s="107"/>
      <c r="N128" s="107"/>
      <c r="O128" s="107"/>
      <c r="P128" s="107"/>
      <c r="Q128" s="107"/>
      <c r="R128" s="9"/>
      <c r="S128" s="9"/>
      <c r="T128" s="9"/>
      <c r="U128" s="9"/>
      <c r="V128" s="9"/>
      <c r="W128" s="107"/>
      <c r="X128" s="107"/>
      <c r="Y128" s="107"/>
      <c r="Z128" s="107"/>
      <c r="AA128" s="107"/>
      <c r="AB128" s="9"/>
      <c r="AC128" s="107"/>
      <c r="AD128" s="107"/>
      <c r="AE128" s="107"/>
      <c r="AF128" s="107"/>
      <c r="AG128" s="107"/>
      <c r="AH128" s="107"/>
      <c r="AI128" s="107"/>
      <c r="AJ128" s="107"/>
      <c r="AK128" s="9"/>
      <c r="AL128" s="107"/>
      <c r="AM128" s="9"/>
      <c r="AN128" s="9"/>
    </row>
    <row r="129" spans="1:44" s="268" customFormat="1" x14ac:dyDescent="0.25">
      <c r="A129" s="107"/>
      <c r="B129" s="108"/>
      <c r="C129" s="108"/>
      <c r="D129" s="108"/>
      <c r="E129" s="108"/>
      <c r="F129" s="107"/>
      <c r="G129" s="9"/>
      <c r="H129" s="9"/>
      <c r="I129" s="107"/>
      <c r="J129" s="9"/>
      <c r="K129" s="107"/>
      <c r="L129" s="9"/>
      <c r="M129" s="107"/>
      <c r="N129" s="107"/>
      <c r="O129" s="107"/>
      <c r="P129" s="107"/>
      <c r="Q129" s="107"/>
      <c r="R129" s="9"/>
      <c r="S129" s="9"/>
      <c r="T129" s="9"/>
      <c r="U129" s="9"/>
      <c r="V129" s="9"/>
      <c r="W129" s="107"/>
      <c r="X129" s="107"/>
      <c r="Y129" s="107"/>
      <c r="Z129" s="107"/>
      <c r="AA129" s="107"/>
      <c r="AB129" s="9"/>
      <c r="AC129" s="107"/>
      <c r="AD129" s="107"/>
      <c r="AE129" s="107"/>
      <c r="AF129" s="107"/>
      <c r="AG129" s="107"/>
      <c r="AH129" s="107"/>
      <c r="AI129" s="107"/>
      <c r="AJ129" s="107"/>
      <c r="AK129" s="9"/>
      <c r="AL129" s="107"/>
      <c r="AM129" s="9"/>
      <c r="AN129" s="9"/>
    </row>
    <row r="130" spans="1:44" s="268" customFormat="1" x14ac:dyDescent="0.25">
      <c r="A130" s="107"/>
      <c r="B130" s="108"/>
      <c r="C130" s="108"/>
      <c r="D130" s="108"/>
      <c r="E130" s="108"/>
      <c r="F130" s="107"/>
      <c r="G130" s="9"/>
      <c r="H130" s="9"/>
      <c r="I130" s="107"/>
      <c r="J130" s="9"/>
      <c r="K130" s="107"/>
      <c r="L130" s="9"/>
      <c r="M130" s="107"/>
      <c r="N130" s="107"/>
      <c r="O130" s="107"/>
      <c r="P130" s="107"/>
      <c r="Q130" s="107"/>
      <c r="R130" s="9"/>
      <c r="S130" s="9"/>
      <c r="T130" s="9"/>
      <c r="U130" s="9"/>
      <c r="V130" s="9"/>
      <c r="W130" s="107"/>
      <c r="X130" s="107"/>
      <c r="Y130" s="107"/>
      <c r="Z130" s="107"/>
      <c r="AA130" s="107"/>
      <c r="AB130" s="9"/>
      <c r="AC130" s="107"/>
      <c r="AD130" s="107"/>
      <c r="AE130" s="107"/>
      <c r="AF130" s="107"/>
      <c r="AG130" s="107"/>
      <c r="AH130" s="107"/>
      <c r="AI130" s="107"/>
      <c r="AJ130" s="107"/>
      <c r="AK130" s="9"/>
      <c r="AL130" s="107"/>
      <c r="AM130" s="9"/>
      <c r="AN130" s="9"/>
    </row>
    <row r="131" spans="1:44" s="268" customFormat="1" x14ac:dyDescent="0.25">
      <c r="A131" s="107"/>
      <c r="B131" s="108"/>
      <c r="C131" s="108"/>
      <c r="D131" s="108"/>
      <c r="E131" s="108"/>
      <c r="F131" s="107"/>
      <c r="G131" s="9"/>
      <c r="H131" s="9"/>
      <c r="I131" s="107"/>
      <c r="J131" s="9"/>
      <c r="K131" s="107"/>
      <c r="L131" s="9"/>
      <c r="M131" s="107"/>
      <c r="N131" s="107"/>
      <c r="O131" s="107"/>
      <c r="P131" s="107"/>
      <c r="Q131" s="107"/>
      <c r="R131" s="9"/>
      <c r="S131" s="9"/>
      <c r="T131" s="9"/>
      <c r="U131" s="9"/>
      <c r="V131" s="9"/>
      <c r="W131" s="107"/>
      <c r="X131" s="107"/>
      <c r="Y131" s="107"/>
      <c r="Z131" s="107"/>
      <c r="AA131" s="107"/>
      <c r="AB131" s="9"/>
      <c r="AC131" s="107"/>
      <c r="AD131" s="107"/>
      <c r="AE131" s="107"/>
      <c r="AF131" s="107"/>
      <c r="AG131" s="107"/>
      <c r="AH131" s="107"/>
      <c r="AI131" s="107"/>
      <c r="AJ131" s="107"/>
      <c r="AK131" s="9"/>
      <c r="AL131" s="107"/>
      <c r="AM131" s="9"/>
      <c r="AN131" s="9"/>
    </row>
    <row r="132" spans="1:44" s="268" customFormat="1" x14ac:dyDescent="0.25">
      <c r="A132" s="107"/>
      <c r="B132" s="108"/>
      <c r="C132" s="108"/>
      <c r="D132" s="108"/>
      <c r="E132" s="108"/>
      <c r="F132" s="107"/>
      <c r="G132" s="9"/>
      <c r="H132" s="9"/>
      <c r="I132" s="107"/>
      <c r="J132" s="9"/>
      <c r="K132" s="107"/>
      <c r="L132" s="9"/>
      <c r="M132" s="107"/>
      <c r="N132" s="107"/>
      <c r="O132" s="107"/>
      <c r="P132" s="107"/>
      <c r="Q132" s="107"/>
      <c r="R132" s="9"/>
      <c r="S132" s="9"/>
      <c r="T132" s="9"/>
      <c r="U132" s="9"/>
      <c r="V132" s="9"/>
      <c r="W132" s="107"/>
      <c r="X132" s="107"/>
      <c r="Y132" s="107"/>
      <c r="Z132" s="107"/>
      <c r="AA132" s="107"/>
      <c r="AB132" s="9"/>
      <c r="AC132" s="107"/>
      <c r="AD132" s="107"/>
      <c r="AE132" s="107"/>
      <c r="AF132" s="107"/>
      <c r="AG132" s="107"/>
      <c r="AH132" s="107"/>
      <c r="AI132" s="107"/>
      <c r="AJ132" s="107"/>
      <c r="AK132" s="9"/>
      <c r="AL132" s="107"/>
      <c r="AM132" s="9"/>
      <c r="AN132" s="9"/>
    </row>
    <row r="133" spans="1:44" s="268" customFormat="1" x14ac:dyDescent="0.25">
      <c r="A133" s="107"/>
      <c r="B133" s="108"/>
      <c r="C133" s="108"/>
      <c r="D133" s="108"/>
      <c r="E133" s="108"/>
      <c r="F133" s="107"/>
      <c r="G133" s="9"/>
      <c r="H133" s="9"/>
      <c r="I133" s="107"/>
      <c r="J133" s="9"/>
      <c r="K133" s="107"/>
      <c r="L133" s="9"/>
      <c r="M133" s="107"/>
      <c r="N133" s="107"/>
      <c r="O133" s="107"/>
      <c r="P133" s="107"/>
      <c r="Q133" s="107"/>
      <c r="R133" s="9"/>
      <c r="S133" s="9"/>
      <c r="T133" s="9"/>
      <c r="U133" s="9"/>
      <c r="V133" s="9"/>
      <c r="W133" s="107"/>
      <c r="X133" s="107"/>
      <c r="Y133" s="107"/>
      <c r="Z133" s="107"/>
      <c r="AA133" s="107"/>
      <c r="AB133" s="9"/>
      <c r="AC133" s="107"/>
      <c r="AD133" s="107"/>
      <c r="AE133" s="107"/>
      <c r="AF133" s="107"/>
      <c r="AG133" s="107"/>
      <c r="AH133" s="107"/>
      <c r="AI133" s="107"/>
      <c r="AJ133" s="107"/>
      <c r="AK133" s="9"/>
      <c r="AL133" s="107"/>
      <c r="AM133" s="9"/>
      <c r="AN133" s="9"/>
    </row>
    <row r="134" spans="1:44" s="268" customFormat="1" x14ac:dyDescent="0.25">
      <c r="A134" s="107"/>
      <c r="B134" s="108"/>
      <c r="C134" s="108"/>
      <c r="D134" s="108"/>
      <c r="E134" s="108"/>
      <c r="F134" s="107"/>
      <c r="G134" s="9"/>
      <c r="H134" s="9"/>
      <c r="I134" s="107"/>
      <c r="J134" s="9"/>
      <c r="K134" s="107"/>
      <c r="L134" s="9"/>
      <c r="M134" s="107"/>
      <c r="N134" s="107"/>
      <c r="O134" s="107"/>
      <c r="P134" s="107"/>
      <c r="Q134" s="107"/>
      <c r="R134" s="9"/>
      <c r="S134" s="9"/>
      <c r="T134" s="9"/>
      <c r="U134" s="9"/>
      <c r="V134" s="9"/>
      <c r="W134" s="107"/>
      <c r="X134" s="107"/>
      <c r="Y134" s="107"/>
      <c r="Z134" s="107"/>
      <c r="AA134" s="107"/>
      <c r="AB134" s="9"/>
      <c r="AC134" s="107"/>
      <c r="AD134" s="107"/>
      <c r="AE134" s="107"/>
      <c r="AF134" s="107"/>
      <c r="AG134" s="107"/>
      <c r="AH134" s="107"/>
      <c r="AI134" s="107"/>
      <c r="AJ134" s="107"/>
      <c r="AK134" s="9"/>
      <c r="AL134" s="107"/>
      <c r="AM134" s="9"/>
      <c r="AN134" s="9"/>
    </row>
    <row r="135" spans="1:44" s="268" customFormat="1" x14ac:dyDescent="0.25">
      <c r="A135" s="107"/>
      <c r="B135" s="107"/>
      <c r="C135" s="9"/>
      <c r="D135" s="9"/>
      <c r="E135" s="107"/>
      <c r="F135" s="107"/>
      <c r="G135" s="9"/>
      <c r="H135" s="9"/>
      <c r="I135" s="107"/>
      <c r="J135" s="9"/>
      <c r="K135" s="107"/>
      <c r="L135" s="9"/>
      <c r="M135" s="107"/>
      <c r="N135" s="107"/>
      <c r="O135" s="107"/>
      <c r="P135" s="107"/>
      <c r="Q135" s="107"/>
      <c r="R135" s="9"/>
      <c r="S135" s="9"/>
      <c r="T135" s="9"/>
      <c r="U135" s="9"/>
      <c r="V135" s="9"/>
      <c r="W135" s="107"/>
      <c r="X135" s="107"/>
      <c r="Y135" s="107"/>
      <c r="Z135" s="107"/>
      <c r="AA135" s="107"/>
      <c r="AB135" s="9"/>
      <c r="AC135" s="107"/>
      <c r="AD135" s="107"/>
      <c r="AE135" s="107"/>
      <c r="AF135" s="107"/>
      <c r="AG135" s="107"/>
      <c r="AH135" s="107"/>
      <c r="AI135" s="107"/>
      <c r="AJ135" s="107"/>
      <c r="AK135" s="9"/>
      <c r="AL135" s="107"/>
      <c r="AM135" s="9"/>
      <c r="AN135" s="9"/>
    </row>
    <row r="136" spans="1:44" s="268" customFormat="1" x14ac:dyDescent="0.25">
      <c r="A136" s="107"/>
      <c r="B136" s="107"/>
      <c r="C136" s="9"/>
      <c r="D136" s="9"/>
      <c r="E136" s="107"/>
      <c r="F136" s="107"/>
      <c r="G136" s="9"/>
      <c r="H136" s="9"/>
      <c r="I136" s="107"/>
      <c r="J136" s="9"/>
      <c r="K136" s="107"/>
      <c r="L136" s="9"/>
      <c r="M136" s="107"/>
      <c r="N136" s="107"/>
      <c r="O136" s="107"/>
      <c r="P136" s="107"/>
      <c r="Q136" s="107"/>
      <c r="R136" s="9"/>
      <c r="S136" s="9"/>
      <c r="T136" s="9"/>
      <c r="U136" s="9"/>
      <c r="V136" s="9"/>
      <c r="W136" s="107"/>
      <c r="X136" s="107"/>
      <c r="Y136" s="107"/>
      <c r="Z136" s="107"/>
      <c r="AA136" s="107"/>
      <c r="AB136" s="9"/>
      <c r="AC136" s="107"/>
      <c r="AD136" s="107"/>
      <c r="AE136" s="107"/>
      <c r="AF136" s="107"/>
      <c r="AG136" s="107"/>
      <c r="AH136" s="107"/>
      <c r="AI136" s="107"/>
      <c r="AJ136" s="107"/>
      <c r="AK136" s="9"/>
      <c r="AL136" s="107"/>
      <c r="AM136" s="9"/>
      <c r="AN136" s="9"/>
    </row>
    <row r="137" spans="1:44" x14ac:dyDescent="0.25">
      <c r="C137" s="9"/>
      <c r="D137" s="9"/>
      <c r="G137" s="9"/>
      <c r="H137" s="9"/>
      <c r="J137" s="9"/>
      <c r="L137" s="9"/>
      <c r="R137" s="9"/>
      <c r="S137" s="9"/>
      <c r="T137" s="9"/>
      <c r="U137" s="9"/>
      <c r="V137" s="9"/>
      <c r="AB137" s="9"/>
      <c r="AK137" s="9"/>
      <c r="AM137" s="9"/>
      <c r="AN137" s="9"/>
      <c r="AO137" s="107"/>
      <c r="AP137" s="107"/>
      <c r="AQ137" s="107"/>
      <c r="AR137" s="107"/>
    </row>
    <row r="138" spans="1:44" x14ac:dyDescent="0.25">
      <c r="C138" s="9"/>
      <c r="D138" s="9"/>
      <c r="G138" s="9"/>
      <c r="H138" s="9"/>
      <c r="J138" s="9"/>
      <c r="L138" s="9"/>
      <c r="R138" s="9"/>
      <c r="S138" s="9"/>
      <c r="T138" s="9"/>
      <c r="U138" s="9"/>
      <c r="V138" s="9"/>
      <c r="AB138" s="9"/>
      <c r="AK138" s="9"/>
      <c r="AM138" s="9"/>
      <c r="AN138" s="9"/>
      <c r="AO138" s="107"/>
      <c r="AP138" s="107"/>
      <c r="AQ138" s="107"/>
      <c r="AR138" s="107"/>
    </row>
    <row r="139" spans="1:44" x14ac:dyDescent="0.25">
      <c r="C139" s="9"/>
      <c r="D139" s="9"/>
      <c r="G139" s="9"/>
      <c r="H139" s="9"/>
      <c r="J139" s="9"/>
      <c r="L139" s="9"/>
      <c r="R139" s="9"/>
      <c r="S139" s="9"/>
      <c r="T139" s="9"/>
      <c r="U139" s="9"/>
      <c r="V139" s="9"/>
      <c r="AB139" s="9"/>
      <c r="AK139" s="9"/>
      <c r="AM139" s="9"/>
      <c r="AN139" s="9"/>
      <c r="AO139" s="107"/>
      <c r="AP139" s="107"/>
      <c r="AQ139" s="107"/>
      <c r="AR139" s="107"/>
    </row>
    <row r="140" spans="1:44" x14ac:dyDescent="0.25">
      <c r="C140" s="9"/>
      <c r="D140" s="9"/>
      <c r="G140" s="9"/>
      <c r="H140" s="9"/>
      <c r="J140" s="9"/>
      <c r="L140" s="9"/>
      <c r="R140" s="9"/>
      <c r="S140" s="9"/>
      <c r="T140" s="9"/>
      <c r="U140" s="9"/>
      <c r="V140" s="9"/>
      <c r="AB140" s="9"/>
      <c r="AK140" s="9"/>
      <c r="AM140" s="9"/>
      <c r="AN140" s="9"/>
      <c r="AO140" s="107"/>
      <c r="AP140" s="107"/>
      <c r="AQ140" s="107"/>
      <c r="AR140" s="107"/>
    </row>
    <row r="141" spans="1:44" x14ac:dyDescent="0.25">
      <c r="C141" s="9"/>
      <c r="D141" s="9"/>
      <c r="G141" s="9"/>
      <c r="H141" s="9"/>
      <c r="J141" s="9"/>
      <c r="L141" s="9"/>
      <c r="R141" s="9"/>
      <c r="S141" s="9"/>
      <c r="T141" s="9"/>
      <c r="U141" s="9"/>
      <c r="V141" s="9"/>
      <c r="AB141" s="9"/>
      <c r="AK141" s="9"/>
      <c r="AM141" s="9"/>
      <c r="AN141" s="9"/>
      <c r="AO141" s="107"/>
      <c r="AP141" s="107"/>
      <c r="AQ141" s="107"/>
      <c r="AR141" s="107"/>
    </row>
    <row r="142" spans="1:44" x14ac:dyDescent="0.25">
      <c r="C142" s="9"/>
      <c r="D142" s="9"/>
      <c r="G142" s="9"/>
      <c r="H142" s="9"/>
      <c r="J142" s="9"/>
      <c r="L142" s="9"/>
      <c r="R142" s="9"/>
      <c r="S142" s="9"/>
      <c r="T142" s="9"/>
      <c r="U142" s="9"/>
      <c r="V142" s="9"/>
      <c r="AB142" s="9"/>
      <c r="AK142" s="9"/>
      <c r="AM142" s="9"/>
      <c r="AN142" s="9"/>
      <c r="AO142" s="107"/>
      <c r="AP142" s="107"/>
      <c r="AQ142" s="107"/>
      <c r="AR142" s="107"/>
    </row>
    <row r="143" spans="1:44" x14ac:dyDescent="0.25">
      <c r="C143" s="9"/>
      <c r="D143" s="9"/>
      <c r="G143" s="9"/>
      <c r="H143" s="9"/>
      <c r="J143" s="9"/>
      <c r="L143" s="9"/>
      <c r="R143" s="9"/>
      <c r="S143" s="9"/>
      <c r="T143" s="9"/>
      <c r="U143" s="9"/>
      <c r="V143" s="9"/>
      <c r="AB143" s="9"/>
      <c r="AK143" s="9"/>
      <c r="AM143" s="9"/>
      <c r="AN143" s="9"/>
      <c r="AO143" s="107"/>
      <c r="AP143" s="107"/>
      <c r="AQ143" s="107"/>
      <c r="AR143" s="107"/>
    </row>
    <row r="144" spans="1:44" x14ac:dyDescent="0.25">
      <c r="C144" s="9"/>
      <c r="D144" s="9"/>
      <c r="G144" s="9"/>
      <c r="H144" s="9"/>
      <c r="J144" s="9"/>
      <c r="L144" s="9"/>
      <c r="R144" s="9"/>
      <c r="S144" s="9"/>
      <c r="T144" s="9"/>
      <c r="U144" s="9"/>
      <c r="V144" s="9"/>
      <c r="AB144" s="9"/>
      <c r="AK144" s="9"/>
      <c r="AM144" s="9"/>
      <c r="AN144" s="9"/>
      <c r="AO144" s="107"/>
      <c r="AP144" s="107"/>
      <c r="AQ144" s="107"/>
      <c r="AR144" s="107"/>
    </row>
    <row r="145" spans="3:44" x14ac:dyDescent="0.25">
      <c r="C145" s="9"/>
      <c r="D145" s="9"/>
      <c r="G145" s="9"/>
      <c r="H145" s="9"/>
      <c r="J145" s="9"/>
      <c r="L145" s="9"/>
      <c r="R145" s="9"/>
      <c r="S145" s="9"/>
      <c r="T145" s="9"/>
      <c r="U145" s="9"/>
      <c r="V145" s="9"/>
      <c r="AB145" s="9"/>
      <c r="AK145" s="9"/>
      <c r="AM145" s="9"/>
      <c r="AN145" s="9"/>
      <c r="AO145" s="107"/>
      <c r="AP145" s="107"/>
      <c r="AQ145" s="107"/>
      <c r="AR145" s="107"/>
    </row>
    <row r="146" spans="3:44" x14ac:dyDescent="0.25">
      <c r="C146" s="9"/>
      <c r="D146" s="9"/>
      <c r="G146" s="9"/>
      <c r="H146" s="9"/>
      <c r="J146" s="9"/>
      <c r="L146" s="9"/>
      <c r="R146" s="9"/>
      <c r="S146" s="9"/>
      <c r="T146" s="9"/>
      <c r="U146" s="9"/>
      <c r="V146" s="9"/>
      <c r="AB146" s="9"/>
      <c r="AK146" s="9"/>
      <c r="AM146" s="9"/>
      <c r="AN146" s="9"/>
      <c r="AO146" s="107"/>
      <c r="AP146" s="107"/>
      <c r="AQ146" s="107"/>
      <c r="AR146" s="107"/>
    </row>
    <row r="147" spans="3:44" x14ac:dyDescent="0.25">
      <c r="C147" s="9"/>
      <c r="D147" s="9"/>
      <c r="G147" s="9"/>
      <c r="H147" s="9"/>
      <c r="J147" s="9"/>
      <c r="L147" s="9"/>
      <c r="R147" s="9"/>
      <c r="S147" s="9"/>
      <c r="T147" s="9"/>
      <c r="U147" s="9"/>
      <c r="V147" s="9"/>
      <c r="AB147" s="9"/>
      <c r="AK147" s="9"/>
      <c r="AM147" s="9"/>
      <c r="AN147" s="9"/>
      <c r="AO147" s="107"/>
      <c r="AP147" s="107"/>
      <c r="AQ147" s="107"/>
      <c r="AR147" s="107"/>
    </row>
    <row r="148" spans="3:44" x14ac:dyDescent="0.25">
      <c r="C148" s="9"/>
      <c r="D148" s="9"/>
      <c r="G148" s="9"/>
      <c r="H148" s="9"/>
      <c r="J148" s="9"/>
      <c r="L148" s="9"/>
      <c r="R148" s="9"/>
      <c r="S148" s="9"/>
      <c r="T148" s="9"/>
      <c r="U148" s="9"/>
      <c r="V148" s="9"/>
      <c r="AB148" s="9"/>
      <c r="AK148" s="9"/>
      <c r="AM148" s="9"/>
      <c r="AN148" s="9"/>
      <c r="AO148" s="107"/>
      <c r="AP148" s="107"/>
      <c r="AQ148" s="107"/>
      <c r="AR148" s="107"/>
    </row>
    <row r="149" spans="3:44" x14ac:dyDescent="0.25">
      <c r="C149" s="9"/>
      <c r="D149" s="9"/>
      <c r="G149" s="9"/>
      <c r="H149" s="9"/>
      <c r="J149" s="9"/>
      <c r="L149" s="9"/>
      <c r="R149" s="9"/>
      <c r="S149" s="9"/>
      <c r="T149" s="9"/>
      <c r="U149" s="9"/>
      <c r="V149" s="9"/>
      <c r="AB149" s="9"/>
      <c r="AK149" s="9"/>
      <c r="AM149" s="9"/>
      <c r="AN149" s="9"/>
      <c r="AO149" s="107"/>
      <c r="AP149" s="107"/>
      <c r="AQ149" s="107"/>
      <c r="AR149" s="107"/>
    </row>
    <row r="150" spans="3:44" x14ac:dyDescent="0.25">
      <c r="C150" s="9"/>
      <c r="D150" s="9"/>
      <c r="G150" s="9"/>
      <c r="H150" s="9"/>
      <c r="J150" s="9"/>
      <c r="L150" s="9"/>
      <c r="R150" s="9"/>
      <c r="S150" s="9"/>
      <c r="T150" s="9"/>
      <c r="U150" s="9"/>
      <c r="V150" s="9"/>
      <c r="AB150" s="9"/>
      <c r="AK150" s="9"/>
      <c r="AM150" s="9"/>
      <c r="AN150" s="9"/>
      <c r="AO150" s="107"/>
      <c r="AP150" s="107"/>
      <c r="AQ150" s="107"/>
      <c r="AR150" s="107"/>
    </row>
    <row r="151" spans="3:44" x14ac:dyDescent="0.25">
      <c r="C151" s="9"/>
      <c r="D151" s="9"/>
      <c r="G151" s="9"/>
      <c r="H151" s="9"/>
      <c r="J151" s="9"/>
      <c r="L151" s="9"/>
      <c r="R151" s="9"/>
      <c r="S151" s="9"/>
      <c r="T151" s="9"/>
      <c r="U151" s="9"/>
      <c r="V151" s="9"/>
      <c r="AB151" s="9"/>
      <c r="AK151" s="9"/>
      <c r="AM151" s="9"/>
      <c r="AN151" s="9"/>
      <c r="AO151" s="107"/>
      <c r="AP151" s="107"/>
      <c r="AQ151" s="107"/>
      <c r="AR151" s="107"/>
    </row>
    <row r="152" spans="3:44" x14ac:dyDescent="0.25">
      <c r="C152" s="9"/>
      <c r="D152" s="9"/>
      <c r="G152" s="9"/>
      <c r="H152" s="9"/>
      <c r="J152" s="9"/>
      <c r="L152" s="9"/>
      <c r="R152" s="9"/>
      <c r="S152" s="9"/>
      <c r="T152" s="9"/>
      <c r="U152" s="9"/>
      <c r="V152" s="9"/>
      <c r="AB152" s="9"/>
      <c r="AK152" s="9"/>
      <c r="AM152" s="9"/>
      <c r="AN152" s="9"/>
      <c r="AO152" s="107"/>
      <c r="AP152" s="107"/>
      <c r="AQ152" s="107"/>
      <c r="AR152" s="107"/>
    </row>
    <row r="153" spans="3:44" x14ac:dyDescent="0.25">
      <c r="C153" s="9"/>
      <c r="D153" s="9"/>
      <c r="G153" s="9"/>
      <c r="H153" s="9"/>
      <c r="J153" s="9"/>
      <c r="L153" s="9"/>
      <c r="R153" s="9"/>
      <c r="S153" s="9"/>
      <c r="T153" s="9"/>
      <c r="U153" s="9"/>
      <c r="V153" s="9"/>
      <c r="AB153" s="9"/>
      <c r="AK153" s="9"/>
      <c r="AM153" s="9"/>
      <c r="AN153" s="9"/>
      <c r="AO153" s="107"/>
      <c r="AP153" s="107"/>
      <c r="AQ153" s="107"/>
      <c r="AR153" s="107"/>
    </row>
    <row r="154" spans="3:44" x14ac:dyDescent="0.25">
      <c r="C154" s="9"/>
      <c r="D154" s="9"/>
      <c r="G154" s="9"/>
      <c r="H154" s="9"/>
      <c r="J154" s="9"/>
      <c r="L154" s="9"/>
      <c r="R154" s="9"/>
      <c r="S154" s="9"/>
      <c r="T154" s="9"/>
      <c r="U154" s="9"/>
      <c r="V154" s="9"/>
      <c r="AB154" s="9"/>
      <c r="AK154" s="9"/>
      <c r="AM154" s="9"/>
      <c r="AN154" s="9"/>
      <c r="AO154" s="107"/>
      <c r="AP154" s="107"/>
      <c r="AQ154" s="107"/>
      <c r="AR154" s="107"/>
    </row>
    <row r="155" spans="3:44" x14ac:dyDescent="0.25">
      <c r="C155" s="9"/>
      <c r="D155" s="9"/>
      <c r="G155" s="9"/>
      <c r="H155" s="9"/>
      <c r="J155" s="9"/>
      <c r="L155" s="9"/>
      <c r="R155" s="9"/>
      <c r="S155" s="9"/>
      <c r="T155" s="9"/>
      <c r="U155" s="9"/>
      <c r="V155" s="9"/>
      <c r="AB155" s="9"/>
      <c r="AK155" s="9"/>
      <c r="AM155" s="9"/>
      <c r="AN155" s="9"/>
      <c r="AO155" s="107"/>
      <c r="AP155" s="107"/>
      <c r="AQ155" s="107"/>
      <c r="AR155" s="107"/>
    </row>
    <row r="156" spans="3:44" x14ac:dyDescent="0.25">
      <c r="C156" s="9"/>
      <c r="D156" s="9"/>
      <c r="G156" s="9"/>
      <c r="H156" s="9"/>
      <c r="J156" s="9"/>
      <c r="L156" s="9"/>
      <c r="R156" s="9"/>
      <c r="S156" s="9"/>
      <c r="T156" s="9"/>
      <c r="U156" s="9"/>
      <c r="V156" s="9"/>
      <c r="AB156" s="9"/>
      <c r="AK156" s="9"/>
      <c r="AM156" s="9"/>
      <c r="AN156" s="9"/>
      <c r="AO156" s="107"/>
      <c r="AP156" s="107"/>
      <c r="AQ156" s="107"/>
      <c r="AR156" s="107"/>
    </row>
    <row r="157" spans="3:44" x14ac:dyDescent="0.25">
      <c r="C157" s="9"/>
      <c r="D157" s="9"/>
      <c r="G157" s="9"/>
      <c r="H157" s="9"/>
      <c r="J157" s="9"/>
      <c r="L157" s="9"/>
      <c r="R157" s="9"/>
      <c r="S157" s="9"/>
      <c r="T157" s="9"/>
      <c r="U157" s="9"/>
      <c r="V157" s="9"/>
      <c r="AB157" s="9"/>
      <c r="AK157" s="9"/>
      <c r="AM157" s="9"/>
      <c r="AN157" s="9"/>
      <c r="AO157" s="107"/>
      <c r="AP157" s="107"/>
      <c r="AQ157" s="107"/>
      <c r="AR157" s="107"/>
    </row>
    <row r="158" spans="3:44" x14ac:dyDescent="0.25">
      <c r="C158" s="9"/>
      <c r="D158" s="9"/>
      <c r="G158" s="9"/>
      <c r="H158" s="9"/>
      <c r="J158" s="9"/>
      <c r="L158" s="9"/>
      <c r="R158" s="9"/>
      <c r="S158" s="9"/>
      <c r="T158" s="9"/>
      <c r="U158" s="9"/>
      <c r="V158" s="9"/>
      <c r="AB158" s="9"/>
      <c r="AK158" s="9"/>
      <c r="AM158" s="9"/>
      <c r="AN158" s="9"/>
      <c r="AO158" s="107"/>
      <c r="AP158" s="107"/>
      <c r="AQ158" s="107"/>
      <c r="AR158" s="107"/>
    </row>
    <row r="159" spans="3:44" x14ac:dyDescent="0.25">
      <c r="C159" s="9"/>
      <c r="D159" s="9"/>
      <c r="G159" s="9"/>
      <c r="H159" s="9"/>
      <c r="J159" s="9"/>
      <c r="L159" s="9"/>
      <c r="R159" s="9"/>
      <c r="S159" s="9"/>
      <c r="T159" s="9"/>
      <c r="U159" s="9"/>
      <c r="V159" s="9"/>
      <c r="AB159" s="9"/>
      <c r="AK159" s="9"/>
      <c r="AM159" s="9"/>
      <c r="AN159" s="9"/>
      <c r="AO159" s="107"/>
      <c r="AP159" s="107"/>
      <c r="AQ159" s="107"/>
      <c r="AR159" s="107"/>
    </row>
    <row r="160" spans="3:44" x14ac:dyDescent="0.25">
      <c r="C160" s="9"/>
      <c r="D160" s="9"/>
      <c r="G160" s="9"/>
      <c r="H160" s="9"/>
      <c r="J160" s="9"/>
      <c r="L160" s="9"/>
      <c r="R160" s="9"/>
      <c r="S160" s="9"/>
      <c r="T160" s="9"/>
      <c r="U160" s="9"/>
      <c r="V160" s="9"/>
      <c r="AB160" s="9"/>
      <c r="AK160" s="9"/>
      <c r="AM160" s="9"/>
      <c r="AN160" s="9"/>
      <c r="AO160" s="107"/>
      <c r="AP160" s="107"/>
      <c r="AQ160" s="107"/>
      <c r="AR160" s="107"/>
    </row>
    <row r="161" spans="1:44" x14ac:dyDescent="0.25">
      <c r="C161" s="9"/>
      <c r="D161" s="9"/>
      <c r="G161" s="9"/>
      <c r="H161" s="9"/>
      <c r="J161" s="9"/>
      <c r="L161" s="9"/>
      <c r="R161" s="9"/>
      <c r="S161" s="9"/>
      <c r="T161" s="9"/>
      <c r="U161" s="9"/>
      <c r="V161" s="9"/>
      <c r="AB161" s="9"/>
      <c r="AK161" s="9"/>
      <c r="AM161" s="9"/>
      <c r="AN161" s="9"/>
      <c r="AO161" s="107"/>
      <c r="AP161" s="107"/>
      <c r="AQ161" s="107"/>
      <c r="AR161" s="107"/>
    </row>
    <row r="162" spans="1:44" x14ac:dyDescent="0.25">
      <c r="C162" s="9"/>
      <c r="D162" s="9"/>
      <c r="G162" s="9"/>
      <c r="H162" s="9"/>
      <c r="J162" s="9"/>
      <c r="L162" s="9"/>
      <c r="R162" s="9"/>
      <c r="S162" s="9"/>
      <c r="T162" s="9"/>
      <c r="U162" s="9"/>
      <c r="V162" s="9"/>
      <c r="AB162" s="9"/>
      <c r="AK162" s="9"/>
      <c r="AM162" s="9"/>
      <c r="AN162" s="9"/>
      <c r="AO162" s="107"/>
      <c r="AP162" s="107"/>
      <c r="AQ162" s="107"/>
      <c r="AR162" s="107"/>
    </row>
    <row r="163" spans="1:44" x14ac:dyDescent="0.25">
      <c r="C163" s="9"/>
      <c r="D163" s="9"/>
      <c r="G163" s="9"/>
      <c r="H163" s="9"/>
      <c r="J163" s="9"/>
      <c r="L163" s="9"/>
      <c r="R163" s="9"/>
      <c r="S163" s="9"/>
      <c r="T163" s="9"/>
      <c r="U163" s="9"/>
      <c r="V163" s="9"/>
      <c r="AB163" s="9"/>
      <c r="AK163" s="9"/>
      <c r="AM163" s="9"/>
      <c r="AN163" s="9"/>
      <c r="AO163" s="107"/>
      <c r="AP163" s="107"/>
      <c r="AQ163" s="107"/>
      <c r="AR163" s="107"/>
    </row>
    <row r="164" spans="1:44" x14ac:dyDescent="0.25">
      <c r="C164" s="9"/>
      <c r="D164" s="9"/>
      <c r="G164" s="9"/>
      <c r="H164" s="9"/>
      <c r="J164" s="9"/>
      <c r="L164" s="9"/>
      <c r="R164" s="9"/>
      <c r="S164" s="9"/>
      <c r="T164" s="9"/>
      <c r="U164" s="9"/>
      <c r="V164" s="9"/>
      <c r="AB164" s="9"/>
      <c r="AK164" s="9"/>
      <c r="AM164" s="9"/>
      <c r="AN164" s="9"/>
      <c r="AO164" s="107"/>
      <c r="AP164" s="107"/>
      <c r="AQ164" s="107"/>
      <c r="AR164" s="107"/>
    </row>
    <row r="165" spans="1:44" x14ac:dyDescent="0.25">
      <c r="C165" s="9"/>
      <c r="D165" s="9"/>
      <c r="G165" s="9"/>
      <c r="H165" s="9"/>
      <c r="J165" s="9"/>
      <c r="L165" s="9"/>
      <c r="R165" s="9"/>
      <c r="S165" s="9"/>
      <c r="T165" s="9"/>
      <c r="U165" s="9"/>
      <c r="V165" s="9"/>
      <c r="AB165" s="9"/>
      <c r="AK165" s="9"/>
      <c r="AM165" s="9"/>
      <c r="AN165" s="9"/>
      <c r="AO165" s="107"/>
      <c r="AP165" s="107"/>
      <c r="AQ165" s="107"/>
      <c r="AR165" s="107"/>
    </row>
    <row r="166" spans="1:44" x14ac:dyDescent="0.25">
      <c r="C166" s="9"/>
      <c r="D166" s="9"/>
      <c r="G166" s="9"/>
      <c r="H166" s="9"/>
      <c r="J166" s="9"/>
      <c r="L166" s="9"/>
      <c r="R166" s="9"/>
      <c r="S166" s="9"/>
      <c r="T166" s="9"/>
      <c r="U166" s="9"/>
      <c r="V166" s="9"/>
      <c r="AB166" s="9"/>
      <c r="AK166" s="9"/>
      <c r="AM166" s="9"/>
      <c r="AN166" s="9"/>
      <c r="AO166" s="107"/>
      <c r="AP166" s="107"/>
      <c r="AQ166" s="107"/>
      <c r="AR166" s="107"/>
    </row>
    <row r="167" spans="1:44" x14ac:dyDescent="0.25">
      <c r="C167" s="9"/>
      <c r="D167" s="9"/>
      <c r="G167" s="9"/>
      <c r="H167" s="9"/>
      <c r="J167" s="9"/>
      <c r="L167" s="9"/>
      <c r="R167" s="9"/>
      <c r="S167" s="9"/>
      <c r="T167" s="9"/>
      <c r="U167" s="9"/>
      <c r="V167" s="9"/>
      <c r="AB167" s="9"/>
      <c r="AK167" s="9"/>
      <c r="AM167" s="9"/>
      <c r="AN167" s="9"/>
      <c r="AO167" s="107"/>
      <c r="AP167" s="107"/>
      <c r="AQ167" s="107"/>
      <c r="AR167" s="107"/>
    </row>
    <row r="168" spans="1:44" x14ac:dyDescent="0.25">
      <c r="C168" s="9"/>
      <c r="D168" s="9"/>
      <c r="G168" s="9"/>
      <c r="H168" s="9"/>
      <c r="J168" s="9"/>
      <c r="L168" s="9"/>
      <c r="R168" s="9"/>
      <c r="S168" s="9"/>
      <c r="T168" s="9"/>
      <c r="U168" s="9"/>
      <c r="V168" s="9"/>
      <c r="AB168" s="9"/>
      <c r="AK168" s="9"/>
      <c r="AM168" s="9"/>
      <c r="AN168" s="9"/>
      <c r="AO168" s="107"/>
      <c r="AP168" s="107"/>
      <c r="AQ168" s="107"/>
      <c r="AR168" s="107"/>
    </row>
    <row r="169" spans="1:44" s="268" customFormat="1" x14ac:dyDescent="0.25">
      <c r="A169" s="107"/>
      <c r="B169" s="107"/>
      <c r="C169" s="9"/>
      <c r="D169" s="9"/>
      <c r="E169" s="107"/>
      <c r="F169" s="107"/>
      <c r="G169" s="9"/>
      <c r="H169" s="9"/>
      <c r="I169" s="107"/>
      <c r="J169" s="9"/>
      <c r="K169" s="107"/>
      <c r="L169" s="9"/>
      <c r="M169" s="107"/>
      <c r="N169" s="107"/>
      <c r="O169" s="107"/>
      <c r="P169" s="107"/>
      <c r="Q169" s="107"/>
      <c r="R169" s="9"/>
      <c r="S169" s="9"/>
      <c r="T169" s="9"/>
      <c r="U169" s="9"/>
      <c r="V169" s="9"/>
      <c r="W169" s="107"/>
      <c r="X169" s="107"/>
      <c r="Y169" s="107"/>
      <c r="Z169" s="107"/>
      <c r="AA169" s="107"/>
      <c r="AB169" s="9"/>
      <c r="AC169" s="107"/>
      <c r="AD169" s="107"/>
      <c r="AE169" s="107"/>
      <c r="AF169" s="107"/>
      <c r="AG169" s="107"/>
      <c r="AH169" s="107"/>
      <c r="AI169" s="107"/>
      <c r="AJ169" s="107"/>
      <c r="AK169" s="9"/>
      <c r="AL169" s="107"/>
      <c r="AM169" s="9"/>
      <c r="AN169" s="9"/>
    </row>
    <row r="170" spans="1:44" s="268" customFormat="1" x14ac:dyDescent="0.25">
      <c r="A170" s="107"/>
      <c r="B170" s="107"/>
      <c r="C170" s="9"/>
      <c r="D170" s="9"/>
      <c r="E170" s="107"/>
      <c r="F170" s="107"/>
      <c r="G170" s="9"/>
      <c r="H170" s="9"/>
      <c r="I170" s="107"/>
      <c r="J170" s="9"/>
      <c r="K170" s="107"/>
      <c r="L170" s="9"/>
      <c r="M170" s="107"/>
      <c r="N170" s="107"/>
      <c r="O170" s="107"/>
      <c r="P170" s="107"/>
      <c r="Q170" s="107"/>
      <c r="R170" s="9"/>
      <c r="S170" s="9"/>
      <c r="T170" s="9"/>
      <c r="U170" s="9"/>
      <c r="V170" s="9"/>
      <c r="W170" s="107"/>
      <c r="X170" s="107"/>
      <c r="Y170" s="107"/>
      <c r="Z170" s="107"/>
      <c r="AA170" s="107"/>
      <c r="AB170" s="9"/>
      <c r="AC170" s="107"/>
      <c r="AD170" s="107"/>
      <c r="AE170" s="107"/>
      <c r="AF170" s="107"/>
      <c r="AG170" s="107"/>
      <c r="AH170" s="107"/>
      <c r="AI170" s="107"/>
      <c r="AJ170" s="107"/>
      <c r="AK170" s="9"/>
      <c r="AL170" s="107"/>
      <c r="AM170" s="9"/>
      <c r="AN170" s="9"/>
    </row>
    <row r="171" spans="1:44" s="268" customFormat="1" x14ac:dyDescent="0.25">
      <c r="A171" s="107"/>
      <c r="B171" s="107"/>
      <c r="C171" s="9"/>
      <c r="D171" s="9"/>
      <c r="E171" s="107"/>
      <c r="F171" s="107"/>
      <c r="G171" s="9"/>
      <c r="H171" s="9"/>
      <c r="I171" s="107"/>
      <c r="J171" s="9"/>
      <c r="K171" s="107"/>
      <c r="L171" s="9"/>
      <c r="M171" s="107"/>
      <c r="N171" s="107"/>
      <c r="O171" s="107"/>
      <c r="P171" s="107"/>
      <c r="Q171" s="107"/>
      <c r="R171" s="9"/>
      <c r="S171" s="9"/>
      <c r="T171" s="9"/>
      <c r="U171" s="9"/>
      <c r="V171" s="9"/>
      <c r="W171" s="107"/>
      <c r="X171" s="107"/>
      <c r="Y171" s="107"/>
      <c r="Z171" s="107"/>
      <c r="AA171" s="107"/>
      <c r="AB171" s="9"/>
      <c r="AC171" s="107"/>
      <c r="AD171" s="107"/>
      <c r="AE171" s="107"/>
      <c r="AF171" s="107"/>
      <c r="AG171" s="107"/>
      <c r="AH171" s="107"/>
      <c r="AI171" s="107"/>
      <c r="AJ171" s="107"/>
      <c r="AK171" s="9"/>
      <c r="AL171" s="107"/>
      <c r="AM171" s="9"/>
      <c r="AN171" s="9"/>
    </row>
    <row r="172" spans="1:44" s="268" customFormat="1" x14ac:dyDescent="0.25">
      <c r="A172" s="107"/>
      <c r="B172" s="107"/>
      <c r="C172" s="9"/>
      <c r="D172" s="9"/>
      <c r="E172" s="107"/>
      <c r="F172" s="107"/>
      <c r="G172" s="9"/>
      <c r="H172" s="9"/>
      <c r="I172" s="107"/>
      <c r="J172" s="9"/>
      <c r="K172" s="107"/>
      <c r="L172" s="9"/>
      <c r="M172" s="107"/>
      <c r="N172" s="107"/>
      <c r="O172" s="107"/>
      <c r="P172" s="107"/>
      <c r="Q172" s="107"/>
      <c r="R172" s="9"/>
      <c r="S172" s="9"/>
      <c r="T172" s="9"/>
      <c r="U172" s="9"/>
      <c r="V172" s="9"/>
      <c r="W172" s="107"/>
      <c r="X172" s="107"/>
      <c r="Y172" s="107"/>
      <c r="Z172" s="107"/>
      <c r="AA172" s="107"/>
      <c r="AB172" s="9"/>
      <c r="AC172" s="107"/>
      <c r="AD172" s="107"/>
      <c r="AE172" s="107"/>
      <c r="AF172" s="107"/>
      <c r="AG172" s="107"/>
      <c r="AH172" s="107"/>
      <c r="AI172" s="107"/>
      <c r="AJ172" s="107"/>
      <c r="AK172" s="9"/>
      <c r="AL172" s="107"/>
      <c r="AM172" s="9"/>
      <c r="AN172" s="9"/>
    </row>
    <row r="173" spans="1:44" s="268" customFormat="1" x14ac:dyDescent="0.25">
      <c r="A173" s="107"/>
      <c r="B173" s="107"/>
      <c r="C173" s="9"/>
      <c r="D173" s="9"/>
      <c r="E173" s="107"/>
      <c r="F173" s="107"/>
      <c r="G173" s="9"/>
      <c r="H173" s="9"/>
      <c r="I173" s="107"/>
      <c r="J173" s="9"/>
      <c r="K173" s="107"/>
      <c r="L173" s="9"/>
      <c r="M173" s="107"/>
      <c r="N173" s="107"/>
      <c r="O173" s="107"/>
      <c r="P173" s="107"/>
      <c r="Q173" s="107"/>
      <c r="R173" s="9"/>
      <c r="S173" s="9"/>
      <c r="T173" s="9"/>
      <c r="U173" s="9"/>
      <c r="V173" s="9"/>
      <c r="W173" s="107"/>
      <c r="X173" s="107"/>
      <c r="Y173" s="107"/>
      <c r="Z173" s="107"/>
      <c r="AA173" s="107"/>
      <c r="AB173" s="9"/>
      <c r="AC173" s="107"/>
      <c r="AD173" s="107"/>
      <c r="AE173" s="107"/>
      <c r="AF173" s="107"/>
      <c r="AG173" s="107"/>
      <c r="AH173" s="107"/>
      <c r="AI173" s="107"/>
      <c r="AJ173" s="107"/>
      <c r="AK173" s="9"/>
      <c r="AL173" s="107"/>
      <c r="AM173" s="9"/>
      <c r="AN173" s="9"/>
    </row>
    <row r="174" spans="1:44" s="268" customFormat="1" x14ac:dyDescent="0.25">
      <c r="A174" s="107"/>
      <c r="B174" s="107"/>
      <c r="C174" s="9"/>
      <c r="D174" s="9"/>
      <c r="E174" s="107"/>
      <c r="F174" s="107"/>
      <c r="G174" s="9"/>
      <c r="H174" s="9"/>
      <c r="I174" s="107"/>
      <c r="J174" s="9"/>
      <c r="K174" s="107"/>
      <c r="L174" s="9"/>
      <c r="M174" s="107"/>
      <c r="N174" s="107"/>
      <c r="O174" s="107"/>
      <c r="P174" s="107"/>
      <c r="Q174" s="107"/>
      <c r="R174" s="9"/>
      <c r="S174" s="9"/>
      <c r="T174" s="9"/>
      <c r="U174" s="9"/>
      <c r="V174" s="9"/>
      <c r="W174" s="107"/>
      <c r="X174" s="107"/>
      <c r="Y174" s="107"/>
      <c r="Z174" s="107"/>
      <c r="AA174" s="107"/>
      <c r="AB174" s="9"/>
      <c r="AC174" s="107"/>
      <c r="AD174" s="107"/>
      <c r="AE174" s="107"/>
      <c r="AF174" s="107"/>
      <c r="AG174" s="107"/>
      <c r="AH174" s="107"/>
      <c r="AI174" s="107"/>
      <c r="AJ174" s="107"/>
      <c r="AK174" s="9"/>
      <c r="AL174" s="107"/>
      <c r="AM174" s="9"/>
      <c r="AN174" s="9"/>
    </row>
    <row r="175" spans="1:44" s="268" customFormat="1" x14ac:dyDescent="0.25">
      <c r="A175" s="107"/>
      <c r="B175" s="107"/>
      <c r="C175" s="9"/>
      <c r="D175" s="9"/>
      <c r="E175" s="107"/>
      <c r="F175" s="107"/>
      <c r="G175" s="9"/>
      <c r="H175" s="9"/>
      <c r="I175" s="107"/>
      <c r="J175" s="9"/>
      <c r="K175" s="107"/>
      <c r="L175" s="9"/>
      <c r="M175" s="107"/>
      <c r="N175" s="107"/>
      <c r="O175" s="107"/>
      <c r="P175" s="107"/>
      <c r="Q175" s="107"/>
      <c r="R175" s="9"/>
      <c r="S175" s="9"/>
      <c r="T175" s="9"/>
      <c r="U175" s="9"/>
      <c r="V175" s="9"/>
      <c r="W175" s="107"/>
      <c r="X175" s="107"/>
      <c r="Y175" s="107"/>
      <c r="Z175" s="107"/>
      <c r="AA175" s="107"/>
      <c r="AB175" s="9"/>
      <c r="AC175" s="107"/>
      <c r="AD175" s="107"/>
      <c r="AE175" s="107"/>
      <c r="AF175" s="107"/>
      <c r="AG175" s="107"/>
      <c r="AH175" s="107"/>
      <c r="AI175" s="107"/>
      <c r="AJ175" s="107"/>
      <c r="AK175" s="9"/>
      <c r="AL175" s="107"/>
      <c r="AM175" s="9"/>
      <c r="AN175" s="9"/>
    </row>
    <row r="176" spans="1:44" s="268" customFormat="1" x14ac:dyDescent="0.25">
      <c r="A176" s="107"/>
      <c r="B176" s="107"/>
      <c r="C176" s="9"/>
      <c r="D176" s="9"/>
      <c r="E176" s="107"/>
      <c r="F176" s="107"/>
      <c r="G176" s="9"/>
      <c r="H176" s="9"/>
      <c r="I176" s="107"/>
      <c r="J176" s="9"/>
      <c r="K176" s="107"/>
      <c r="L176" s="9"/>
      <c r="M176" s="107"/>
      <c r="N176" s="107"/>
      <c r="O176" s="107"/>
      <c r="P176" s="107"/>
      <c r="Q176" s="107"/>
      <c r="R176" s="9"/>
      <c r="S176" s="9"/>
      <c r="T176" s="9"/>
      <c r="U176" s="9"/>
      <c r="V176" s="9"/>
      <c r="W176" s="107"/>
      <c r="X176" s="107"/>
      <c r="Y176" s="107"/>
      <c r="Z176" s="107"/>
      <c r="AA176" s="107"/>
      <c r="AB176" s="9"/>
      <c r="AC176" s="107"/>
      <c r="AD176" s="107"/>
      <c r="AE176" s="107"/>
      <c r="AF176" s="107"/>
      <c r="AG176" s="107"/>
      <c r="AH176" s="107"/>
      <c r="AI176" s="107"/>
      <c r="AJ176" s="107"/>
      <c r="AK176" s="9"/>
      <c r="AL176" s="107"/>
      <c r="AM176" s="9"/>
      <c r="AN176" s="9"/>
    </row>
    <row r="177" spans="1:42" s="268" customFormat="1" x14ac:dyDescent="0.25">
      <c r="A177" s="107"/>
      <c r="B177" s="107"/>
      <c r="C177" s="9"/>
      <c r="D177" s="9"/>
      <c r="E177" s="107"/>
      <c r="F177" s="107"/>
      <c r="G177" s="9"/>
      <c r="H177" s="9"/>
      <c r="I177" s="107"/>
      <c r="J177" s="9"/>
      <c r="K177" s="107"/>
      <c r="L177" s="9"/>
      <c r="M177" s="107"/>
      <c r="N177" s="107"/>
      <c r="O177" s="107"/>
      <c r="P177" s="107"/>
      <c r="Q177" s="107"/>
      <c r="R177" s="9"/>
      <c r="S177" s="9"/>
      <c r="T177" s="9"/>
      <c r="U177" s="9"/>
      <c r="V177" s="9"/>
      <c r="W177" s="107"/>
      <c r="X177" s="107"/>
      <c r="Y177" s="107"/>
      <c r="Z177" s="107"/>
      <c r="AA177" s="107"/>
      <c r="AB177" s="9"/>
      <c r="AC177" s="107"/>
      <c r="AD177" s="107"/>
      <c r="AE177" s="107"/>
      <c r="AF177" s="107"/>
      <c r="AG177" s="107"/>
      <c r="AH177" s="107"/>
      <c r="AI177" s="107"/>
      <c r="AJ177" s="107"/>
      <c r="AK177" s="9"/>
      <c r="AL177" s="107"/>
      <c r="AM177" s="9"/>
      <c r="AN177" s="9"/>
    </row>
    <row r="178" spans="1:42" s="268" customFormat="1" x14ac:dyDescent="0.25">
      <c r="A178" s="107"/>
      <c r="B178" s="107"/>
      <c r="C178" s="9"/>
      <c r="D178" s="9"/>
      <c r="E178" s="107"/>
      <c r="F178" s="107"/>
      <c r="G178" s="9"/>
      <c r="H178" s="9"/>
      <c r="I178" s="107"/>
      <c r="J178" s="9"/>
      <c r="K178" s="107"/>
      <c r="L178" s="9"/>
      <c r="M178" s="107"/>
      <c r="N178" s="107"/>
      <c r="O178" s="107"/>
      <c r="P178" s="107"/>
      <c r="Q178" s="107"/>
      <c r="R178" s="9"/>
      <c r="S178" s="9"/>
      <c r="T178" s="9"/>
      <c r="U178" s="9"/>
      <c r="V178" s="9"/>
      <c r="W178" s="107"/>
      <c r="X178" s="107"/>
      <c r="Y178" s="107"/>
      <c r="Z178" s="107"/>
      <c r="AA178" s="107"/>
      <c r="AB178" s="9"/>
      <c r="AC178" s="107"/>
      <c r="AD178" s="107"/>
      <c r="AE178" s="107"/>
      <c r="AF178" s="107"/>
      <c r="AG178" s="107"/>
      <c r="AH178" s="107"/>
      <c r="AI178" s="107"/>
      <c r="AJ178" s="107"/>
      <c r="AK178" s="9"/>
      <c r="AL178" s="107"/>
      <c r="AM178" s="9"/>
      <c r="AN178" s="9"/>
    </row>
    <row r="179" spans="1:42" s="268" customFormat="1" x14ac:dyDescent="0.25">
      <c r="A179" s="107"/>
      <c r="B179" s="107"/>
      <c r="C179" s="9"/>
      <c r="D179" s="9"/>
      <c r="E179" s="107"/>
      <c r="F179" s="107"/>
      <c r="G179" s="9"/>
      <c r="H179" s="9"/>
      <c r="I179" s="107"/>
      <c r="J179" s="9"/>
      <c r="K179" s="107"/>
      <c r="L179" s="9"/>
      <c r="M179" s="107"/>
      <c r="N179" s="107"/>
      <c r="O179" s="107"/>
      <c r="P179" s="107"/>
      <c r="Q179" s="107"/>
      <c r="R179" s="9"/>
      <c r="S179" s="9"/>
      <c r="T179" s="9"/>
      <c r="U179" s="9"/>
      <c r="V179" s="9"/>
      <c r="W179" s="107"/>
      <c r="X179" s="107"/>
      <c r="Y179" s="107"/>
      <c r="Z179" s="107"/>
      <c r="AA179" s="107"/>
      <c r="AB179" s="9"/>
      <c r="AC179" s="107"/>
      <c r="AD179" s="107"/>
      <c r="AE179" s="107"/>
      <c r="AF179" s="107"/>
      <c r="AG179" s="107"/>
      <c r="AH179" s="107"/>
      <c r="AI179" s="107"/>
      <c r="AJ179" s="107"/>
      <c r="AK179" s="9"/>
      <c r="AL179" s="107"/>
      <c r="AM179" s="9"/>
      <c r="AN179" s="9"/>
    </row>
    <row r="180" spans="1:42" s="268" customFormat="1" x14ac:dyDescent="0.25">
      <c r="A180" s="107"/>
      <c r="B180" s="107"/>
      <c r="C180" s="9"/>
      <c r="D180" s="9"/>
      <c r="E180" s="107"/>
      <c r="F180" s="107"/>
      <c r="G180" s="9"/>
      <c r="H180" s="9"/>
      <c r="I180" s="107"/>
      <c r="J180" s="9"/>
      <c r="K180" s="107"/>
      <c r="L180" s="9"/>
      <c r="M180" s="107"/>
      <c r="N180" s="107"/>
      <c r="O180" s="107"/>
      <c r="P180" s="107"/>
      <c r="Q180" s="107"/>
      <c r="R180" s="9"/>
      <c r="S180" s="9"/>
      <c r="T180" s="9"/>
      <c r="U180" s="9"/>
      <c r="V180" s="9"/>
      <c r="W180" s="107"/>
      <c r="X180" s="107"/>
      <c r="Y180" s="107"/>
      <c r="Z180" s="107"/>
      <c r="AA180" s="107"/>
      <c r="AB180" s="9"/>
      <c r="AC180" s="107"/>
      <c r="AD180" s="107"/>
      <c r="AE180" s="107"/>
      <c r="AF180" s="107"/>
      <c r="AG180" s="107"/>
      <c r="AH180" s="107"/>
      <c r="AI180" s="107"/>
      <c r="AJ180" s="107"/>
      <c r="AK180" s="9"/>
      <c r="AL180" s="107"/>
      <c r="AM180" s="9"/>
      <c r="AN180" s="9"/>
    </row>
    <row r="181" spans="1:42" s="268" customFormat="1" x14ac:dyDescent="0.25">
      <c r="A181" s="107"/>
      <c r="B181" s="107"/>
      <c r="C181" s="9"/>
      <c r="D181" s="9"/>
      <c r="E181" s="107"/>
      <c r="F181" s="107"/>
      <c r="G181" s="9"/>
      <c r="H181" s="9"/>
      <c r="I181" s="107"/>
      <c r="J181" s="9"/>
      <c r="K181" s="107"/>
      <c r="L181" s="9"/>
      <c r="M181" s="107"/>
      <c r="N181" s="107"/>
      <c r="O181" s="107"/>
      <c r="P181" s="107"/>
      <c r="Q181" s="107"/>
      <c r="R181" s="9"/>
      <c r="S181" s="9"/>
      <c r="T181" s="9"/>
      <c r="U181" s="9"/>
      <c r="V181" s="9"/>
      <c r="W181" s="107"/>
      <c r="X181" s="107"/>
      <c r="Y181" s="107"/>
      <c r="Z181" s="107"/>
      <c r="AA181" s="107"/>
      <c r="AB181" s="9"/>
      <c r="AC181" s="107"/>
      <c r="AD181" s="107"/>
      <c r="AE181" s="107"/>
      <c r="AF181" s="107"/>
      <c r="AG181" s="107"/>
      <c r="AH181" s="107"/>
      <c r="AI181" s="107"/>
      <c r="AJ181" s="107"/>
      <c r="AK181" s="9"/>
      <c r="AL181" s="107"/>
      <c r="AM181" s="9"/>
      <c r="AN181" s="9"/>
    </row>
    <row r="182" spans="1:42" s="268" customFormat="1" x14ac:dyDescent="0.25">
      <c r="A182" s="107"/>
      <c r="B182" s="107"/>
      <c r="C182" s="9"/>
      <c r="D182" s="9"/>
      <c r="E182" s="107"/>
      <c r="F182" s="107"/>
      <c r="G182" s="9"/>
      <c r="H182" s="9"/>
      <c r="I182" s="107"/>
      <c r="J182" s="9"/>
      <c r="K182" s="107"/>
      <c r="L182" s="9"/>
      <c r="M182" s="107"/>
      <c r="N182" s="107"/>
      <c r="O182" s="107"/>
      <c r="P182" s="107"/>
      <c r="Q182" s="107"/>
      <c r="R182" s="9"/>
      <c r="S182" s="9"/>
      <c r="T182" s="9"/>
      <c r="U182" s="9"/>
      <c r="V182" s="9"/>
      <c r="W182" s="107"/>
      <c r="X182" s="107"/>
      <c r="Y182" s="107"/>
      <c r="Z182" s="107"/>
      <c r="AA182" s="107"/>
      <c r="AB182" s="9"/>
      <c r="AC182" s="107"/>
      <c r="AD182" s="107"/>
      <c r="AE182" s="107"/>
      <c r="AF182" s="107"/>
      <c r="AG182" s="107"/>
      <c r="AH182" s="107"/>
      <c r="AI182" s="107"/>
      <c r="AJ182" s="107"/>
      <c r="AK182" s="9"/>
      <c r="AL182" s="107"/>
      <c r="AM182" s="9"/>
      <c r="AN182" s="9"/>
    </row>
    <row r="183" spans="1:42" s="268" customFormat="1" x14ac:dyDescent="0.25">
      <c r="A183" s="107"/>
      <c r="B183" s="107"/>
      <c r="C183" s="9"/>
      <c r="D183" s="9"/>
      <c r="E183" s="107"/>
      <c r="F183" s="107"/>
      <c r="G183" s="7"/>
      <c r="H183" s="7"/>
      <c r="I183" s="10"/>
      <c r="J183" s="7"/>
      <c r="K183" s="107"/>
      <c r="L183" s="7"/>
      <c r="M183" s="107"/>
      <c r="N183" s="107"/>
      <c r="O183" s="107"/>
      <c r="P183" s="107"/>
      <c r="Q183" s="107"/>
      <c r="R183" s="7"/>
      <c r="S183" s="7"/>
      <c r="T183" s="7"/>
      <c r="U183" s="7"/>
      <c r="V183" s="7"/>
      <c r="W183" s="107"/>
      <c r="X183" s="107"/>
      <c r="Y183" s="107"/>
      <c r="Z183" s="107"/>
      <c r="AA183" s="107"/>
      <c r="AB183" s="7"/>
      <c r="AC183" s="107"/>
      <c r="AD183" s="107"/>
      <c r="AE183" s="107"/>
      <c r="AF183" s="107"/>
      <c r="AG183" s="107"/>
      <c r="AH183" s="107"/>
      <c r="AI183" s="107"/>
      <c r="AJ183" s="107"/>
      <c r="AK183" s="7"/>
      <c r="AL183" s="10"/>
      <c r="AM183" s="7"/>
      <c r="AN183" s="7"/>
      <c r="AO183" s="266"/>
      <c r="AP183" s="266"/>
    </row>
    <row r="184" spans="1:42" s="268" customFormat="1" x14ac:dyDescent="0.25">
      <c r="A184" s="107"/>
      <c r="B184" s="107"/>
      <c r="C184" s="9"/>
      <c r="D184" s="9"/>
      <c r="E184" s="107"/>
      <c r="F184" s="107"/>
      <c r="G184" s="7"/>
      <c r="H184" s="7"/>
      <c r="I184" s="10"/>
      <c r="J184" s="7"/>
      <c r="K184" s="107"/>
      <c r="L184" s="7"/>
      <c r="M184" s="107"/>
      <c r="N184" s="107"/>
      <c r="O184" s="107"/>
      <c r="P184" s="107"/>
      <c r="Q184" s="107"/>
      <c r="R184" s="7"/>
      <c r="S184" s="7"/>
      <c r="T184" s="7"/>
      <c r="U184" s="7"/>
      <c r="V184" s="7"/>
      <c r="W184" s="107"/>
      <c r="X184" s="107"/>
      <c r="Y184" s="107"/>
      <c r="Z184" s="107"/>
      <c r="AA184" s="107"/>
      <c r="AB184" s="7"/>
      <c r="AC184" s="107"/>
      <c r="AD184" s="107"/>
      <c r="AE184" s="107"/>
      <c r="AF184" s="107"/>
      <c r="AG184" s="107"/>
      <c r="AH184" s="107"/>
      <c r="AI184" s="107"/>
      <c r="AJ184" s="107"/>
      <c r="AK184" s="7"/>
      <c r="AL184" s="10"/>
      <c r="AM184" s="7"/>
      <c r="AN184" s="7"/>
      <c r="AO184" s="266"/>
      <c r="AP184" s="266"/>
    </row>
    <row r="185" spans="1:42" s="268" customFormat="1" x14ac:dyDescent="0.25">
      <c r="A185" s="107"/>
      <c r="B185" s="107"/>
      <c r="C185" s="9"/>
      <c r="D185" s="9"/>
      <c r="E185" s="107"/>
      <c r="F185" s="107"/>
      <c r="G185" s="7"/>
      <c r="H185" s="7"/>
      <c r="I185" s="10"/>
      <c r="J185" s="7"/>
      <c r="K185" s="107"/>
      <c r="L185" s="7"/>
      <c r="M185" s="107"/>
      <c r="N185" s="107"/>
      <c r="O185" s="107"/>
      <c r="P185" s="107"/>
      <c r="Q185" s="107"/>
      <c r="R185" s="7"/>
      <c r="S185" s="7"/>
      <c r="T185" s="7"/>
      <c r="U185" s="7"/>
      <c r="V185" s="7"/>
      <c r="W185" s="107"/>
      <c r="X185" s="107"/>
      <c r="Y185" s="107"/>
      <c r="Z185" s="107"/>
      <c r="AA185" s="107"/>
      <c r="AB185" s="7"/>
      <c r="AC185" s="107"/>
      <c r="AD185" s="107"/>
      <c r="AE185" s="107"/>
      <c r="AF185" s="107"/>
      <c r="AG185" s="107"/>
      <c r="AH185" s="107"/>
      <c r="AI185" s="107"/>
      <c r="AJ185" s="107"/>
      <c r="AK185" s="7"/>
      <c r="AL185" s="10"/>
      <c r="AM185" s="7"/>
      <c r="AN185" s="7"/>
      <c r="AO185" s="266"/>
      <c r="AP185" s="266"/>
    </row>
    <row r="186" spans="1:42" s="268" customFormat="1" x14ac:dyDescent="0.25">
      <c r="A186" s="107"/>
      <c r="B186" s="107"/>
      <c r="C186" s="9"/>
      <c r="D186" s="9"/>
      <c r="E186" s="107"/>
      <c r="F186" s="107"/>
      <c r="G186" s="7"/>
      <c r="H186" s="7"/>
      <c r="I186" s="10"/>
      <c r="J186" s="7"/>
      <c r="K186" s="107"/>
      <c r="L186" s="7"/>
      <c r="M186" s="107"/>
      <c r="N186" s="107"/>
      <c r="O186" s="107"/>
      <c r="P186" s="107"/>
      <c r="Q186" s="107"/>
      <c r="R186" s="7"/>
      <c r="S186" s="7"/>
      <c r="T186" s="7"/>
      <c r="U186" s="7"/>
      <c r="V186" s="7"/>
      <c r="W186" s="107"/>
      <c r="X186" s="107"/>
      <c r="Y186" s="107"/>
      <c r="Z186" s="107"/>
      <c r="AA186" s="107"/>
      <c r="AB186" s="7"/>
      <c r="AC186" s="107"/>
      <c r="AD186" s="107"/>
      <c r="AE186" s="107"/>
      <c r="AF186" s="107"/>
      <c r="AG186" s="107"/>
      <c r="AH186" s="107"/>
      <c r="AI186" s="107"/>
      <c r="AJ186" s="107"/>
      <c r="AK186" s="7"/>
      <c r="AL186" s="10"/>
      <c r="AM186" s="7"/>
      <c r="AN186" s="7"/>
      <c r="AO186" s="266"/>
      <c r="AP186" s="266"/>
    </row>
    <row r="187" spans="1:42" s="268" customFormat="1" x14ac:dyDescent="0.25">
      <c r="A187" s="107"/>
      <c r="B187" s="107"/>
      <c r="C187" s="9"/>
      <c r="D187" s="9"/>
      <c r="E187" s="107"/>
      <c r="F187" s="107"/>
      <c r="G187" s="7"/>
      <c r="H187" s="7"/>
      <c r="I187" s="10"/>
      <c r="J187" s="7"/>
      <c r="K187" s="107"/>
      <c r="L187" s="7"/>
      <c r="M187" s="107"/>
      <c r="N187" s="107"/>
      <c r="O187" s="107"/>
      <c r="P187" s="107"/>
      <c r="Q187" s="107"/>
      <c r="R187" s="7"/>
      <c r="S187" s="7"/>
      <c r="T187" s="7"/>
      <c r="U187" s="7"/>
      <c r="V187" s="7"/>
      <c r="W187" s="107"/>
      <c r="X187" s="107"/>
      <c r="Y187" s="107"/>
      <c r="Z187" s="107"/>
      <c r="AA187" s="107"/>
      <c r="AB187" s="7"/>
      <c r="AC187" s="107"/>
      <c r="AD187" s="107"/>
      <c r="AE187" s="107"/>
      <c r="AF187" s="107"/>
      <c r="AG187" s="107"/>
      <c r="AH187" s="107"/>
      <c r="AI187" s="107"/>
      <c r="AJ187" s="107"/>
      <c r="AK187" s="7"/>
      <c r="AL187" s="10"/>
      <c r="AM187" s="7"/>
      <c r="AN187" s="7"/>
      <c r="AO187" s="266"/>
      <c r="AP187" s="266"/>
    </row>
    <row r="188" spans="1:42" s="268" customFormat="1" x14ac:dyDescent="0.25">
      <c r="A188" s="107"/>
      <c r="B188" s="107"/>
      <c r="C188" s="9"/>
      <c r="D188" s="9"/>
      <c r="E188" s="107"/>
      <c r="F188" s="107"/>
      <c r="G188" s="7"/>
      <c r="H188" s="7"/>
      <c r="I188" s="10"/>
      <c r="J188" s="7"/>
      <c r="K188" s="107"/>
      <c r="L188" s="7"/>
      <c r="M188" s="107"/>
      <c r="N188" s="107"/>
      <c r="O188" s="107"/>
      <c r="P188" s="107"/>
      <c r="Q188" s="107"/>
      <c r="R188" s="7"/>
      <c r="S188" s="7"/>
      <c r="T188" s="7"/>
      <c r="U188" s="7"/>
      <c r="V188" s="7"/>
      <c r="W188" s="107"/>
      <c r="X188" s="107"/>
      <c r="Y188" s="107"/>
      <c r="Z188" s="107"/>
      <c r="AA188" s="107"/>
      <c r="AB188" s="7"/>
      <c r="AC188" s="107"/>
      <c r="AD188" s="107"/>
      <c r="AE188" s="107"/>
      <c r="AF188" s="107"/>
      <c r="AG188" s="107"/>
      <c r="AH188" s="107"/>
      <c r="AI188" s="107"/>
      <c r="AJ188" s="107"/>
      <c r="AK188" s="7"/>
      <c r="AL188" s="10"/>
      <c r="AM188" s="7"/>
      <c r="AN188" s="7"/>
      <c r="AO188" s="266"/>
      <c r="AP188" s="266"/>
    </row>
    <row r="189" spans="1:42" s="268" customFormat="1" x14ac:dyDescent="0.25">
      <c r="A189" s="107"/>
      <c r="B189" s="107"/>
      <c r="C189" s="9"/>
      <c r="D189" s="9"/>
      <c r="E189" s="107"/>
      <c r="F189" s="107"/>
      <c r="G189" s="7"/>
      <c r="H189" s="7"/>
      <c r="I189" s="10"/>
      <c r="J189" s="7"/>
      <c r="K189" s="107"/>
      <c r="L189" s="7"/>
      <c r="M189" s="107"/>
      <c r="N189" s="107"/>
      <c r="O189" s="107"/>
      <c r="P189" s="107"/>
      <c r="Q189" s="107"/>
      <c r="R189" s="7"/>
      <c r="S189" s="7"/>
      <c r="T189" s="7"/>
      <c r="U189" s="7"/>
      <c r="V189" s="7"/>
      <c r="W189" s="107"/>
      <c r="X189" s="107"/>
      <c r="Y189" s="107"/>
      <c r="Z189" s="107"/>
      <c r="AA189" s="107"/>
      <c r="AB189" s="7"/>
      <c r="AC189" s="107"/>
      <c r="AD189" s="107"/>
      <c r="AE189" s="107"/>
      <c r="AF189" s="107"/>
      <c r="AG189" s="107"/>
      <c r="AH189" s="107"/>
      <c r="AI189" s="107"/>
      <c r="AJ189" s="107"/>
      <c r="AK189" s="7"/>
      <c r="AL189" s="10"/>
      <c r="AM189" s="7"/>
      <c r="AN189" s="7"/>
      <c r="AO189" s="266"/>
      <c r="AP189" s="266"/>
    </row>
    <row r="190" spans="1:42" s="268" customFormat="1" x14ac:dyDescent="0.25">
      <c r="A190" s="107"/>
      <c r="B190" s="107"/>
      <c r="C190" s="9"/>
      <c r="D190" s="9"/>
      <c r="E190" s="107"/>
      <c r="F190" s="107"/>
      <c r="G190" s="7"/>
      <c r="H190" s="7"/>
      <c r="I190" s="10"/>
      <c r="J190" s="7"/>
      <c r="K190" s="107"/>
      <c r="L190" s="7"/>
      <c r="M190" s="107"/>
      <c r="N190" s="107"/>
      <c r="O190" s="107"/>
      <c r="P190" s="107"/>
      <c r="Q190" s="107"/>
      <c r="R190" s="7"/>
      <c r="S190" s="7"/>
      <c r="T190" s="7"/>
      <c r="U190" s="7"/>
      <c r="V190" s="7"/>
      <c r="W190" s="107"/>
      <c r="X190" s="107"/>
      <c r="Y190" s="107"/>
      <c r="Z190" s="107"/>
      <c r="AA190" s="107"/>
      <c r="AB190" s="7"/>
      <c r="AC190" s="107"/>
      <c r="AD190" s="107"/>
      <c r="AE190" s="107"/>
      <c r="AF190" s="107"/>
      <c r="AG190" s="107"/>
      <c r="AH190" s="107"/>
      <c r="AI190" s="107"/>
      <c r="AJ190" s="107"/>
      <c r="AK190" s="7"/>
      <c r="AL190" s="10"/>
      <c r="AM190" s="7"/>
      <c r="AN190" s="7"/>
      <c r="AO190" s="266"/>
      <c r="AP190" s="266"/>
    </row>
    <row r="191" spans="1:42" s="268" customFormat="1" x14ac:dyDescent="0.25">
      <c r="A191" s="107"/>
      <c r="B191" s="107"/>
      <c r="C191" s="9"/>
      <c r="D191" s="9"/>
      <c r="E191" s="107"/>
      <c r="F191" s="107"/>
      <c r="G191" s="7"/>
      <c r="H191" s="7"/>
      <c r="I191" s="10"/>
      <c r="J191" s="7"/>
      <c r="K191" s="107"/>
      <c r="L191" s="7"/>
      <c r="M191" s="107"/>
      <c r="N191" s="107"/>
      <c r="O191" s="107"/>
      <c r="P191" s="107"/>
      <c r="Q191" s="107"/>
      <c r="R191" s="7"/>
      <c r="S191" s="7"/>
      <c r="T191" s="7"/>
      <c r="U191" s="7"/>
      <c r="V191" s="7"/>
      <c r="W191" s="107"/>
      <c r="X191" s="107"/>
      <c r="Y191" s="107"/>
      <c r="Z191" s="107"/>
      <c r="AA191" s="107"/>
      <c r="AB191" s="7"/>
      <c r="AC191" s="107"/>
      <c r="AD191" s="107"/>
      <c r="AE191" s="107"/>
      <c r="AF191" s="107"/>
      <c r="AG191" s="107"/>
      <c r="AH191" s="107"/>
      <c r="AI191" s="107"/>
      <c r="AJ191" s="107"/>
      <c r="AK191" s="7"/>
      <c r="AL191" s="10"/>
      <c r="AM191" s="7"/>
      <c r="AN191" s="7"/>
      <c r="AO191" s="266"/>
      <c r="AP191" s="266"/>
    </row>
    <row r="192" spans="1:42" s="268" customFormat="1" x14ac:dyDescent="0.25">
      <c r="A192" s="107"/>
      <c r="B192" s="107"/>
      <c r="C192" s="9"/>
      <c r="D192" s="9"/>
      <c r="E192" s="107"/>
      <c r="F192" s="107"/>
      <c r="G192" s="7"/>
      <c r="H192" s="7"/>
      <c r="I192" s="10"/>
      <c r="J192" s="7"/>
      <c r="K192" s="107"/>
      <c r="L192" s="7"/>
      <c r="M192" s="107"/>
      <c r="N192" s="107"/>
      <c r="O192" s="107"/>
      <c r="P192" s="107"/>
      <c r="Q192" s="107"/>
      <c r="R192" s="7"/>
      <c r="S192" s="7"/>
      <c r="T192" s="7"/>
      <c r="U192" s="7"/>
      <c r="V192" s="7"/>
      <c r="W192" s="107"/>
      <c r="X192" s="107"/>
      <c r="Y192" s="107"/>
      <c r="Z192" s="107"/>
      <c r="AA192" s="107"/>
      <c r="AB192" s="7"/>
      <c r="AC192" s="107"/>
      <c r="AD192" s="107"/>
      <c r="AE192" s="107"/>
      <c r="AF192" s="107"/>
      <c r="AG192" s="107"/>
      <c r="AH192" s="107"/>
      <c r="AI192" s="107"/>
      <c r="AJ192" s="107"/>
      <c r="AK192" s="7"/>
      <c r="AL192" s="10"/>
      <c r="AM192" s="7"/>
      <c r="AN192" s="7"/>
      <c r="AO192" s="266"/>
      <c r="AP192" s="266"/>
    </row>
    <row r="193" spans="1:42" s="268" customFormat="1" x14ac:dyDescent="0.25">
      <c r="A193" s="107"/>
      <c r="B193" s="107"/>
      <c r="C193" s="9"/>
      <c r="D193" s="9"/>
      <c r="E193" s="107"/>
      <c r="F193" s="107"/>
      <c r="G193" s="7"/>
      <c r="H193" s="7"/>
      <c r="I193" s="10"/>
      <c r="J193" s="7"/>
      <c r="K193" s="107"/>
      <c r="L193" s="7"/>
      <c r="M193" s="107"/>
      <c r="N193" s="107"/>
      <c r="O193" s="107"/>
      <c r="P193" s="107"/>
      <c r="Q193" s="107"/>
      <c r="R193" s="7"/>
      <c r="S193" s="7"/>
      <c r="T193" s="7"/>
      <c r="U193" s="7"/>
      <c r="V193" s="7"/>
      <c r="W193" s="107"/>
      <c r="X193" s="107"/>
      <c r="Y193" s="107"/>
      <c r="Z193" s="107"/>
      <c r="AA193" s="107"/>
      <c r="AB193" s="7"/>
      <c r="AC193" s="107"/>
      <c r="AD193" s="107"/>
      <c r="AE193" s="107"/>
      <c r="AF193" s="107"/>
      <c r="AG193" s="107"/>
      <c r="AH193" s="107"/>
      <c r="AI193" s="107"/>
      <c r="AJ193" s="107"/>
      <c r="AK193" s="7"/>
      <c r="AL193" s="10"/>
      <c r="AM193" s="7"/>
      <c r="AN193" s="7"/>
      <c r="AO193" s="266"/>
      <c r="AP193" s="266"/>
    </row>
    <row r="194" spans="1:42" s="268" customFormat="1" x14ac:dyDescent="0.25">
      <c r="A194" s="107"/>
      <c r="B194" s="107"/>
      <c r="C194" s="9"/>
      <c r="D194" s="9"/>
      <c r="E194" s="107"/>
      <c r="F194" s="107"/>
      <c r="G194" s="7"/>
      <c r="H194" s="7"/>
      <c r="I194" s="10"/>
      <c r="J194" s="7"/>
      <c r="K194" s="107"/>
      <c r="L194" s="7"/>
      <c r="M194" s="107"/>
      <c r="N194" s="107"/>
      <c r="O194" s="107"/>
      <c r="P194" s="107"/>
      <c r="Q194" s="107"/>
      <c r="R194" s="7"/>
      <c r="S194" s="7"/>
      <c r="T194" s="7"/>
      <c r="U194" s="7"/>
      <c r="V194" s="7"/>
      <c r="W194" s="107"/>
      <c r="X194" s="107"/>
      <c r="Y194" s="107"/>
      <c r="Z194" s="107"/>
      <c r="AA194" s="107"/>
      <c r="AB194" s="7"/>
      <c r="AC194" s="107"/>
      <c r="AD194" s="107"/>
      <c r="AE194" s="107"/>
      <c r="AF194" s="107"/>
      <c r="AG194" s="107"/>
      <c r="AH194" s="107"/>
      <c r="AI194" s="107"/>
      <c r="AJ194" s="107"/>
      <c r="AK194" s="7"/>
      <c r="AL194" s="10"/>
      <c r="AM194" s="7"/>
      <c r="AN194" s="7"/>
      <c r="AO194" s="266"/>
      <c r="AP194" s="266"/>
    </row>
    <row r="195" spans="1:42" s="268" customFormat="1" x14ac:dyDescent="0.25">
      <c r="A195" s="107"/>
      <c r="B195" s="107"/>
      <c r="C195" s="9"/>
      <c r="D195" s="9"/>
      <c r="E195" s="107"/>
      <c r="F195" s="107"/>
      <c r="G195" s="7"/>
      <c r="H195" s="7"/>
      <c r="I195" s="10"/>
      <c r="J195" s="7"/>
      <c r="K195" s="107"/>
      <c r="L195" s="7"/>
      <c r="M195" s="107"/>
      <c r="N195" s="107"/>
      <c r="O195" s="107"/>
      <c r="P195" s="107"/>
      <c r="Q195" s="107"/>
      <c r="R195" s="7"/>
      <c r="S195" s="7"/>
      <c r="T195" s="7"/>
      <c r="U195" s="7"/>
      <c r="V195" s="7"/>
      <c r="W195" s="107"/>
      <c r="X195" s="107"/>
      <c r="Y195" s="107"/>
      <c r="Z195" s="107"/>
      <c r="AA195" s="107"/>
      <c r="AB195" s="7"/>
      <c r="AC195" s="107"/>
      <c r="AD195" s="107"/>
      <c r="AE195" s="107"/>
      <c r="AF195" s="107"/>
      <c r="AG195" s="107"/>
      <c r="AH195" s="107"/>
      <c r="AI195" s="107"/>
      <c r="AJ195" s="107"/>
      <c r="AK195" s="7"/>
      <c r="AL195" s="10"/>
      <c r="AM195" s="7"/>
      <c r="AN195" s="7"/>
      <c r="AO195" s="266"/>
      <c r="AP195" s="266"/>
    </row>
    <row r="196" spans="1:42" s="268" customFormat="1" x14ac:dyDescent="0.25">
      <c r="A196" s="107"/>
      <c r="B196" s="107"/>
      <c r="C196" s="9"/>
      <c r="D196" s="9"/>
      <c r="E196" s="107"/>
      <c r="F196" s="107"/>
      <c r="G196" s="7"/>
      <c r="H196" s="7"/>
      <c r="I196" s="10"/>
      <c r="J196" s="7"/>
      <c r="K196" s="107"/>
      <c r="L196" s="7"/>
      <c r="M196" s="107"/>
      <c r="N196" s="107"/>
      <c r="O196" s="107"/>
      <c r="P196" s="107"/>
      <c r="Q196" s="107"/>
      <c r="R196" s="7"/>
      <c r="S196" s="7"/>
      <c r="T196" s="7"/>
      <c r="U196" s="7"/>
      <c r="V196" s="7"/>
      <c r="W196" s="107"/>
      <c r="X196" s="107"/>
      <c r="Y196" s="107"/>
      <c r="Z196" s="107"/>
      <c r="AA196" s="107"/>
      <c r="AB196" s="7"/>
      <c r="AC196" s="107"/>
      <c r="AD196" s="107"/>
      <c r="AE196" s="107"/>
      <c r="AF196" s="107"/>
      <c r="AG196" s="107"/>
      <c r="AH196" s="107"/>
      <c r="AI196" s="107"/>
      <c r="AJ196" s="107"/>
      <c r="AK196" s="7"/>
      <c r="AL196" s="10"/>
      <c r="AM196" s="7"/>
      <c r="AN196" s="7"/>
      <c r="AO196" s="266"/>
      <c r="AP196" s="266"/>
    </row>
    <row r="197" spans="1:42" s="268" customFormat="1" x14ac:dyDescent="0.25">
      <c r="A197" s="107"/>
      <c r="B197" s="107"/>
      <c r="C197" s="9"/>
      <c r="D197" s="9"/>
      <c r="E197" s="107"/>
      <c r="F197" s="107"/>
      <c r="G197" s="7"/>
      <c r="H197" s="7"/>
      <c r="I197" s="10"/>
      <c r="J197" s="7"/>
      <c r="K197" s="107"/>
      <c r="L197" s="7"/>
      <c r="M197" s="107"/>
      <c r="N197" s="107"/>
      <c r="O197" s="107"/>
      <c r="P197" s="107"/>
      <c r="Q197" s="107"/>
      <c r="R197" s="7"/>
      <c r="S197" s="7"/>
      <c r="T197" s="7"/>
      <c r="U197" s="7"/>
      <c r="V197" s="7"/>
      <c r="W197" s="107"/>
      <c r="X197" s="107"/>
      <c r="Y197" s="107"/>
      <c r="Z197" s="107"/>
      <c r="AA197" s="107"/>
      <c r="AB197" s="7"/>
      <c r="AC197" s="107"/>
      <c r="AD197" s="107"/>
      <c r="AE197" s="107"/>
      <c r="AF197" s="107"/>
      <c r="AG197" s="107"/>
      <c r="AH197" s="107"/>
      <c r="AI197" s="107"/>
      <c r="AJ197" s="107"/>
      <c r="AK197" s="7"/>
      <c r="AL197" s="10"/>
      <c r="AM197" s="7"/>
      <c r="AN197" s="7"/>
      <c r="AO197" s="266"/>
      <c r="AP197" s="266"/>
    </row>
    <row r="198" spans="1:42" s="268" customFormat="1" x14ac:dyDescent="0.25">
      <c r="A198" s="107"/>
      <c r="B198" s="107"/>
      <c r="C198" s="9"/>
      <c r="D198" s="9"/>
      <c r="E198" s="107"/>
      <c r="F198" s="107"/>
      <c r="G198" s="7"/>
      <c r="H198" s="7"/>
      <c r="I198" s="10"/>
      <c r="J198" s="7"/>
      <c r="K198" s="107"/>
      <c r="L198" s="7"/>
      <c r="M198" s="107"/>
      <c r="N198" s="107"/>
      <c r="O198" s="107"/>
      <c r="P198" s="107"/>
      <c r="Q198" s="107"/>
      <c r="R198" s="7"/>
      <c r="S198" s="7"/>
      <c r="T198" s="7"/>
      <c r="U198" s="7"/>
      <c r="V198" s="7"/>
      <c r="W198" s="107"/>
      <c r="X198" s="107"/>
      <c r="Y198" s="107"/>
      <c r="Z198" s="107"/>
      <c r="AA198" s="107"/>
      <c r="AB198" s="7"/>
      <c r="AC198" s="107"/>
      <c r="AD198" s="107"/>
      <c r="AE198" s="107"/>
      <c r="AF198" s="107"/>
      <c r="AG198" s="107"/>
      <c r="AH198" s="107"/>
      <c r="AI198" s="107"/>
      <c r="AJ198" s="107"/>
      <c r="AK198" s="7"/>
      <c r="AL198" s="10"/>
      <c r="AM198" s="7"/>
      <c r="AN198" s="7"/>
      <c r="AO198" s="266"/>
      <c r="AP198" s="266"/>
    </row>
    <row r="199" spans="1:42" s="268" customFormat="1" x14ac:dyDescent="0.25">
      <c r="A199" s="107"/>
      <c r="B199" s="107"/>
      <c r="C199" s="9"/>
      <c r="D199" s="9"/>
      <c r="E199" s="107"/>
      <c r="F199" s="107"/>
      <c r="G199" s="7"/>
      <c r="H199" s="7"/>
      <c r="I199" s="10"/>
      <c r="J199" s="7"/>
      <c r="K199" s="107"/>
      <c r="L199" s="7"/>
      <c r="M199" s="107"/>
      <c r="N199" s="107"/>
      <c r="O199" s="107"/>
      <c r="P199" s="107"/>
      <c r="Q199" s="107"/>
      <c r="R199" s="7"/>
      <c r="S199" s="7"/>
      <c r="T199" s="7"/>
      <c r="U199" s="7"/>
      <c r="V199" s="7"/>
      <c r="W199" s="107"/>
      <c r="X199" s="107"/>
      <c r="Y199" s="107"/>
      <c r="Z199" s="107"/>
      <c r="AA199" s="107"/>
      <c r="AB199" s="7"/>
      <c r="AC199" s="107"/>
      <c r="AD199" s="107"/>
      <c r="AE199" s="107"/>
      <c r="AF199" s="107"/>
      <c r="AG199" s="107"/>
      <c r="AH199" s="107"/>
      <c r="AI199" s="107"/>
      <c r="AJ199" s="107"/>
      <c r="AK199" s="7"/>
      <c r="AL199" s="10"/>
      <c r="AM199" s="7"/>
      <c r="AN199" s="7"/>
      <c r="AO199" s="266"/>
      <c r="AP199" s="266"/>
    </row>
    <row r="200" spans="1:42" s="268" customFormat="1" x14ac:dyDescent="0.25">
      <c r="A200" s="107"/>
      <c r="B200" s="107"/>
      <c r="C200" s="9"/>
      <c r="D200" s="9"/>
      <c r="E200" s="107"/>
      <c r="F200" s="107"/>
      <c r="G200" s="7"/>
      <c r="H200" s="7"/>
      <c r="I200" s="10"/>
      <c r="J200" s="7"/>
      <c r="K200" s="107"/>
      <c r="L200" s="7"/>
      <c r="M200" s="107"/>
      <c r="N200" s="107"/>
      <c r="O200" s="107"/>
      <c r="P200" s="107"/>
      <c r="Q200" s="107"/>
      <c r="R200" s="7"/>
      <c r="S200" s="7"/>
      <c r="T200" s="7"/>
      <c r="U200" s="7"/>
      <c r="V200" s="7"/>
      <c r="W200" s="107"/>
      <c r="X200" s="107"/>
      <c r="Y200" s="107"/>
      <c r="Z200" s="107"/>
      <c r="AA200" s="107"/>
      <c r="AB200" s="7"/>
      <c r="AC200" s="107"/>
      <c r="AD200" s="107"/>
      <c r="AE200" s="107"/>
      <c r="AF200" s="107"/>
      <c r="AG200" s="107"/>
      <c r="AH200" s="107"/>
      <c r="AI200" s="107"/>
      <c r="AJ200" s="107"/>
      <c r="AK200" s="7"/>
      <c r="AL200" s="10"/>
      <c r="AM200" s="7"/>
      <c r="AN200" s="7"/>
      <c r="AO200" s="266"/>
      <c r="AP200" s="266"/>
    </row>
    <row r="201" spans="1:42" s="268" customFormat="1" x14ac:dyDescent="0.25">
      <c r="A201" s="107"/>
      <c r="B201" s="107"/>
      <c r="C201" s="9"/>
      <c r="D201" s="9"/>
      <c r="E201" s="107"/>
      <c r="F201" s="107"/>
      <c r="G201" s="7"/>
      <c r="H201" s="7"/>
      <c r="I201" s="10"/>
      <c r="J201" s="7"/>
      <c r="K201" s="107"/>
      <c r="L201" s="7"/>
      <c r="M201" s="107"/>
      <c r="N201" s="107"/>
      <c r="O201" s="107"/>
      <c r="P201" s="107"/>
      <c r="Q201" s="107"/>
      <c r="R201" s="7"/>
      <c r="S201" s="7"/>
      <c r="T201" s="7"/>
      <c r="U201" s="7"/>
      <c r="V201" s="7"/>
      <c r="W201" s="107"/>
      <c r="X201" s="107"/>
      <c r="Y201" s="107"/>
      <c r="Z201" s="107"/>
      <c r="AA201" s="107"/>
      <c r="AB201" s="7"/>
      <c r="AC201" s="107"/>
      <c r="AD201" s="107"/>
      <c r="AE201" s="107"/>
      <c r="AF201" s="107"/>
      <c r="AG201" s="107"/>
      <c r="AH201" s="107"/>
      <c r="AI201" s="107"/>
      <c r="AJ201" s="107"/>
      <c r="AK201" s="7"/>
      <c r="AL201" s="10"/>
      <c r="AM201" s="7"/>
      <c r="AN201" s="7"/>
      <c r="AO201" s="266"/>
      <c r="AP201" s="266"/>
    </row>
    <row r="202" spans="1:42" s="268" customFormat="1" x14ac:dyDescent="0.25">
      <c r="A202" s="107"/>
      <c r="B202" s="107"/>
      <c r="C202" s="9"/>
      <c r="D202" s="9"/>
      <c r="E202" s="107"/>
      <c r="F202" s="107"/>
      <c r="G202" s="7"/>
      <c r="H202" s="7"/>
      <c r="I202" s="10"/>
      <c r="J202" s="7"/>
      <c r="K202" s="107"/>
      <c r="L202" s="7"/>
      <c r="M202" s="107"/>
      <c r="N202" s="107"/>
      <c r="O202" s="107"/>
      <c r="P202" s="107"/>
      <c r="Q202" s="107"/>
      <c r="R202" s="7"/>
      <c r="S202" s="7"/>
      <c r="T202" s="7"/>
      <c r="U202" s="7"/>
      <c r="V202" s="7"/>
      <c r="W202" s="107"/>
      <c r="X202" s="107"/>
      <c r="Y202" s="107"/>
      <c r="Z202" s="107"/>
      <c r="AA202" s="107"/>
      <c r="AB202" s="7"/>
      <c r="AC202" s="107"/>
      <c r="AD202" s="107"/>
      <c r="AE202" s="107"/>
      <c r="AF202" s="107"/>
      <c r="AG202" s="107"/>
      <c r="AH202" s="107"/>
      <c r="AI202" s="107"/>
      <c r="AJ202" s="107"/>
      <c r="AK202" s="7"/>
      <c r="AL202" s="10"/>
      <c r="AM202" s="7"/>
      <c r="AN202" s="7"/>
      <c r="AO202" s="266"/>
      <c r="AP202" s="266"/>
    </row>
    <row r="203" spans="1:42" s="268" customFormat="1" x14ac:dyDescent="0.25">
      <c r="A203" s="107"/>
      <c r="B203" s="107"/>
      <c r="C203" s="9"/>
      <c r="D203" s="9"/>
      <c r="E203" s="107"/>
      <c r="F203" s="107"/>
      <c r="G203" s="7"/>
      <c r="H203" s="7"/>
      <c r="I203" s="10"/>
      <c r="J203" s="7"/>
      <c r="K203" s="107"/>
      <c r="L203" s="7"/>
      <c r="M203" s="107"/>
      <c r="N203" s="107"/>
      <c r="O203" s="107"/>
      <c r="P203" s="107"/>
      <c r="Q203" s="107"/>
      <c r="R203" s="7"/>
      <c r="S203" s="7"/>
      <c r="T203" s="7"/>
      <c r="U203" s="7"/>
      <c r="V203" s="7"/>
      <c r="W203" s="107"/>
      <c r="X203" s="107"/>
      <c r="Y203" s="107"/>
      <c r="Z203" s="107"/>
      <c r="AA203" s="107"/>
      <c r="AB203" s="7"/>
      <c r="AC203" s="107"/>
      <c r="AD203" s="107"/>
      <c r="AE203" s="107"/>
      <c r="AF203" s="107"/>
      <c r="AG203" s="107"/>
      <c r="AH203" s="107"/>
      <c r="AI203" s="107"/>
      <c r="AJ203" s="107"/>
      <c r="AK203" s="7"/>
      <c r="AL203" s="10"/>
      <c r="AM203" s="7"/>
      <c r="AN203" s="7"/>
      <c r="AO203" s="266"/>
      <c r="AP203" s="266"/>
    </row>
    <row r="204" spans="1:42" s="268" customFormat="1" x14ac:dyDescent="0.25">
      <c r="A204" s="107"/>
      <c r="B204" s="107"/>
      <c r="C204" s="9"/>
      <c r="D204" s="9"/>
      <c r="E204" s="107"/>
      <c r="F204" s="107"/>
      <c r="G204" s="7"/>
      <c r="H204" s="7"/>
      <c r="I204" s="10"/>
      <c r="J204" s="7"/>
      <c r="K204" s="107"/>
      <c r="L204" s="7"/>
      <c r="M204" s="107"/>
      <c r="N204" s="107"/>
      <c r="O204" s="107"/>
      <c r="P204" s="107"/>
      <c r="Q204" s="107"/>
      <c r="R204" s="7"/>
      <c r="S204" s="7"/>
      <c r="T204" s="7"/>
      <c r="U204" s="7"/>
      <c r="V204" s="7"/>
      <c r="W204" s="107"/>
      <c r="X204" s="107"/>
      <c r="Y204" s="107"/>
      <c r="Z204" s="107"/>
      <c r="AA204" s="107"/>
      <c r="AB204" s="7"/>
      <c r="AC204" s="107"/>
      <c r="AD204" s="107"/>
      <c r="AE204" s="107"/>
      <c r="AF204" s="107"/>
      <c r="AG204" s="107"/>
      <c r="AH204" s="107"/>
      <c r="AI204" s="107"/>
      <c r="AJ204" s="107"/>
      <c r="AK204" s="7"/>
      <c r="AL204" s="10"/>
      <c r="AM204" s="7"/>
      <c r="AN204" s="7"/>
      <c r="AO204" s="266"/>
      <c r="AP204" s="266"/>
    </row>
    <row r="205" spans="1:42" s="268" customFormat="1" x14ac:dyDescent="0.25">
      <c r="A205" s="107"/>
      <c r="B205" s="107"/>
      <c r="C205" s="9"/>
      <c r="D205" s="9"/>
      <c r="E205" s="107"/>
      <c r="F205" s="107"/>
      <c r="G205" s="7"/>
      <c r="H205" s="7"/>
      <c r="I205" s="10"/>
      <c r="J205" s="7"/>
      <c r="K205" s="107"/>
      <c r="L205" s="7"/>
      <c r="M205" s="107"/>
      <c r="N205" s="107"/>
      <c r="O205" s="107"/>
      <c r="P205" s="107"/>
      <c r="Q205" s="107"/>
      <c r="R205" s="7"/>
      <c r="S205" s="7"/>
      <c r="T205" s="7"/>
      <c r="U205" s="7"/>
      <c r="V205" s="7"/>
      <c r="W205" s="107"/>
      <c r="X205" s="107"/>
      <c r="Y205" s="107"/>
      <c r="Z205" s="107"/>
      <c r="AA205" s="107"/>
      <c r="AB205" s="7"/>
      <c r="AC205" s="107"/>
      <c r="AD205" s="107"/>
      <c r="AE205" s="107"/>
      <c r="AF205" s="107"/>
      <c r="AG205" s="107"/>
      <c r="AH205" s="107"/>
      <c r="AI205" s="107"/>
      <c r="AJ205" s="107"/>
      <c r="AK205" s="7"/>
      <c r="AL205" s="10"/>
      <c r="AM205" s="7"/>
      <c r="AN205" s="7"/>
      <c r="AO205" s="266"/>
      <c r="AP205" s="266"/>
    </row>
    <row r="206" spans="1:42" s="268" customFormat="1" x14ac:dyDescent="0.25">
      <c r="A206" s="107"/>
      <c r="B206" s="107"/>
      <c r="C206" s="9"/>
      <c r="D206" s="9"/>
      <c r="E206" s="107"/>
      <c r="F206" s="107"/>
      <c r="G206" s="7"/>
      <c r="H206" s="7"/>
      <c r="I206" s="10"/>
      <c r="J206" s="7"/>
      <c r="K206" s="107"/>
      <c r="L206" s="7"/>
      <c r="M206" s="107"/>
      <c r="N206" s="107"/>
      <c r="O206" s="107"/>
      <c r="P206" s="107"/>
      <c r="Q206" s="107"/>
      <c r="R206" s="7"/>
      <c r="S206" s="7"/>
      <c r="T206" s="7"/>
      <c r="U206" s="7"/>
      <c r="V206" s="7"/>
      <c r="W206" s="107"/>
      <c r="X206" s="107"/>
      <c r="Y206" s="107"/>
      <c r="Z206" s="107"/>
      <c r="AA206" s="107"/>
      <c r="AB206" s="7"/>
      <c r="AC206" s="107"/>
      <c r="AD206" s="107"/>
      <c r="AE206" s="107"/>
      <c r="AF206" s="107"/>
      <c r="AG206" s="107"/>
      <c r="AH206" s="107"/>
      <c r="AI206" s="107"/>
      <c r="AJ206" s="107"/>
      <c r="AK206" s="7"/>
      <c r="AL206" s="10"/>
      <c r="AM206" s="7"/>
      <c r="AN206" s="7"/>
      <c r="AO206" s="266"/>
      <c r="AP206" s="266"/>
    </row>
    <row r="207" spans="1:42" s="268" customFormat="1" x14ac:dyDescent="0.25">
      <c r="A207" s="107"/>
      <c r="B207" s="107"/>
      <c r="C207" s="9"/>
      <c r="D207" s="9"/>
      <c r="E207" s="107"/>
      <c r="F207" s="107"/>
      <c r="G207" s="7"/>
      <c r="H207" s="7"/>
      <c r="I207" s="10"/>
      <c r="J207" s="7"/>
      <c r="K207" s="107"/>
      <c r="L207" s="7"/>
      <c r="M207" s="107"/>
      <c r="N207" s="107"/>
      <c r="O207" s="107"/>
      <c r="P207" s="107"/>
      <c r="Q207" s="107"/>
      <c r="R207" s="7"/>
      <c r="S207" s="7"/>
      <c r="T207" s="7"/>
      <c r="U207" s="7"/>
      <c r="V207" s="7"/>
      <c r="W207" s="107"/>
      <c r="X207" s="107"/>
      <c r="Y207" s="107"/>
      <c r="Z207" s="107"/>
      <c r="AA207" s="107"/>
      <c r="AB207" s="7"/>
      <c r="AC207" s="107"/>
      <c r="AD207" s="107"/>
      <c r="AE207" s="107"/>
      <c r="AF207" s="107"/>
      <c r="AG207" s="107"/>
      <c r="AH207" s="107"/>
      <c r="AI207" s="107"/>
      <c r="AJ207" s="107"/>
      <c r="AK207" s="7"/>
      <c r="AL207" s="10"/>
      <c r="AM207" s="7"/>
      <c r="AN207" s="7"/>
      <c r="AO207" s="266"/>
      <c r="AP207" s="266"/>
    </row>
    <row r="208" spans="1:42" s="268" customFormat="1" x14ac:dyDescent="0.25">
      <c r="A208" s="107"/>
      <c r="B208" s="107"/>
      <c r="C208" s="7"/>
      <c r="D208" s="7"/>
      <c r="E208" s="10"/>
      <c r="F208" s="107"/>
      <c r="G208" s="7"/>
      <c r="H208" s="7"/>
      <c r="I208" s="10"/>
      <c r="J208" s="7"/>
      <c r="K208" s="107"/>
      <c r="L208" s="7"/>
      <c r="M208" s="107"/>
      <c r="N208" s="107"/>
      <c r="O208" s="107"/>
      <c r="P208" s="107"/>
      <c r="Q208" s="107"/>
      <c r="R208" s="7"/>
      <c r="S208" s="7"/>
      <c r="T208" s="7"/>
      <c r="U208" s="7"/>
      <c r="V208" s="7"/>
      <c r="W208" s="107"/>
      <c r="X208" s="107"/>
      <c r="Y208" s="107"/>
      <c r="Z208" s="107"/>
      <c r="AA208" s="107"/>
      <c r="AB208" s="7"/>
      <c r="AC208" s="107"/>
      <c r="AD208" s="107"/>
      <c r="AE208" s="107"/>
      <c r="AF208" s="107"/>
      <c r="AG208" s="107"/>
      <c r="AH208" s="107"/>
      <c r="AI208" s="107"/>
      <c r="AJ208" s="107"/>
      <c r="AK208" s="7"/>
      <c r="AL208" s="10"/>
      <c r="AM208" s="7"/>
      <c r="AN208" s="7"/>
      <c r="AO208" s="266"/>
      <c r="AP208" s="266"/>
    </row>
    <row r="209" spans="1:42" s="268" customFormat="1" x14ac:dyDescent="0.25">
      <c r="A209" s="107"/>
      <c r="B209" s="107"/>
      <c r="C209" s="7"/>
      <c r="D209" s="7"/>
      <c r="E209" s="10"/>
      <c r="F209" s="107"/>
      <c r="G209" s="7"/>
      <c r="H209" s="7"/>
      <c r="I209" s="10"/>
      <c r="J209" s="7"/>
      <c r="K209" s="107"/>
      <c r="L209" s="7"/>
      <c r="M209" s="107"/>
      <c r="N209" s="107"/>
      <c r="O209" s="107"/>
      <c r="P209" s="107"/>
      <c r="Q209" s="107"/>
      <c r="R209" s="7"/>
      <c r="S209" s="7"/>
      <c r="T209" s="7"/>
      <c r="U209" s="7"/>
      <c r="V209" s="7"/>
      <c r="W209" s="107"/>
      <c r="X209" s="107"/>
      <c r="Y209" s="107"/>
      <c r="Z209" s="107"/>
      <c r="AA209" s="107"/>
      <c r="AB209" s="7"/>
      <c r="AC209" s="107"/>
      <c r="AD209" s="107"/>
      <c r="AE209" s="107"/>
      <c r="AF209" s="107"/>
      <c r="AG209" s="107"/>
      <c r="AH209" s="107"/>
      <c r="AI209" s="107"/>
      <c r="AJ209" s="107"/>
      <c r="AK209" s="7"/>
      <c r="AL209" s="10"/>
      <c r="AM209" s="7"/>
      <c r="AN209" s="7"/>
      <c r="AO209" s="266"/>
      <c r="AP209" s="266"/>
    </row>
    <row r="210" spans="1:42" s="268" customFormat="1" x14ac:dyDescent="0.25">
      <c r="A210" s="107"/>
      <c r="B210" s="107"/>
      <c r="C210" s="7"/>
      <c r="D210" s="7"/>
      <c r="E210" s="10"/>
      <c r="F210" s="107"/>
      <c r="G210" s="7"/>
      <c r="H210" s="7"/>
      <c r="I210" s="10"/>
      <c r="J210" s="7"/>
      <c r="K210" s="107"/>
      <c r="L210" s="7"/>
      <c r="M210" s="107"/>
      <c r="N210" s="107"/>
      <c r="O210" s="107"/>
      <c r="P210" s="107"/>
      <c r="Q210" s="107"/>
      <c r="R210" s="7"/>
      <c r="S210" s="7"/>
      <c r="T210" s="7"/>
      <c r="U210" s="7"/>
      <c r="V210" s="7"/>
      <c r="W210" s="107"/>
      <c r="X210" s="107"/>
      <c r="Y210" s="107"/>
      <c r="Z210" s="107"/>
      <c r="AA210" s="107"/>
      <c r="AB210" s="7"/>
      <c r="AC210" s="107"/>
      <c r="AD210" s="107"/>
      <c r="AE210" s="107"/>
      <c r="AF210" s="107"/>
      <c r="AG210" s="107"/>
      <c r="AH210" s="107"/>
      <c r="AI210" s="107"/>
      <c r="AJ210" s="107"/>
      <c r="AK210" s="7"/>
      <c r="AL210" s="10"/>
      <c r="AM210" s="7"/>
      <c r="AN210" s="7"/>
      <c r="AO210" s="266"/>
      <c r="AP210" s="266"/>
    </row>
    <row r="211" spans="1:42" s="268" customFormat="1" x14ac:dyDescent="0.25">
      <c r="A211" s="107"/>
      <c r="B211" s="107"/>
      <c r="C211" s="7"/>
      <c r="D211" s="7"/>
      <c r="E211" s="10"/>
      <c r="F211" s="107"/>
      <c r="G211" s="7"/>
      <c r="H211" s="7"/>
      <c r="I211" s="10"/>
      <c r="J211" s="7"/>
      <c r="K211" s="107"/>
      <c r="L211" s="7"/>
      <c r="M211" s="107"/>
      <c r="N211" s="107"/>
      <c r="O211" s="107"/>
      <c r="P211" s="107"/>
      <c r="Q211" s="107"/>
      <c r="R211" s="7"/>
      <c r="S211" s="7"/>
      <c r="T211" s="7"/>
      <c r="U211" s="7"/>
      <c r="V211" s="7"/>
      <c r="W211" s="107"/>
      <c r="X211" s="107"/>
      <c r="Y211" s="107"/>
      <c r="Z211" s="107"/>
      <c r="AA211" s="107"/>
      <c r="AB211" s="7"/>
      <c r="AC211" s="107"/>
      <c r="AD211" s="107"/>
      <c r="AE211" s="107"/>
      <c r="AF211" s="107"/>
      <c r="AG211" s="107"/>
      <c r="AH211" s="107"/>
      <c r="AI211" s="107"/>
      <c r="AJ211" s="107"/>
      <c r="AK211" s="7"/>
      <c r="AL211" s="10"/>
      <c r="AM211" s="7"/>
      <c r="AN211" s="7"/>
      <c r="AO211" s="266"/>
      <c r="AP211" s="266"/>
    </row>
    <row r="212" spans="1:42" s="268" customFormat="1" x14ac:dyDescent="0.25">
      <c r="A212" s="107"/>
      <c r="B212" s="107"/>
      <c r="C212" s="7"/>
      <c r="D212" s="7"/>
      <c r="E212" s="10"/>
      <c r="F212" s="107"/>
      <c r="G212" s="7"/>
      <c r="H212" s="7"/>
      <c r="I212" s="10"/>
      <c r="J212" s="7"/>
      <c r="K212" s="107"/>
      <c r="L212" s="7"/>
      <c r="M212" s="107"/>
      <c r="N212" s="107"/>
      <c r="O212" s="107"/>
      <c r="P212" s="107"/>
      <c r="Q212" s="107"/>
      <c r="R212" s="7"/>
      <c r="S212" s="7"/>
      <c r="T212" s="7"/>
      <c r="U212" s="7"/>
      <c r="V212" s="7"/>
      <c r="W212" s="107"/>
      <c r="X212" s="107"/>
      <c r="Y212" s="107"/>
      <c r="Z212" s="107"/>
      <c r="AA212" s="107"/>
      <c r="AB212" s="7"/>
      <c r="AC212" s="107"/>
      <c r="AD212" s="107"/>
      <c r="AE212" s="107"/>
      <c r="AF212" s="107"/>
      <c r="AG212" s="107"/>
      <c r="AH212" s="107"/>
      <c r="AI212" s="107"/>
      <c r="AJ212" s="107"/>
      <c r="AK212" s="7"/>
      <c r="AL212" s="10"/>
      <c r="AM212" s="7"/>
      <c r="AN212" s="7"/>
      <c r="AO212" s="266"/>
      <c r="AP212" s="266"/>
    </row>
    <row r="213" spans="1:42" s="268" customFormat="1" x14ac:dyDescent="0.25">
      <c r="A213" s="107"/>
      <c r="B213" s="107"/>
      <c r="C213" s="7"/>
      <c r="D213" s="7"/>
      <c r="E213" s="10"/>
      <c r="F213" s="107"/>
      <c r="G213" s="7"/>
      <c r="H213" s="7"/>
      <c r="I213" s="10"/>
      <c r="J213" s="7"/>
      <c r="K213" s="107"/>
      <c r="L213" s="7"/>
      <c r="M213" s="107"/>
      <c r="N213" s="107"/>
      <c r="O213" s="107"/>
      <c r="P213" s="107"/>
      <c r="Q213" s="107"/>
      <c r="R213" s="7"/>
      <c r="S213" s="7"/>
      <c r="T213" s="7"/>
      <c r="U213" s="7"/>
      <c r="V213" s="7"/>
      <c r="W213" s="107"/>
      <c r="X213" s="107"/>
      <c r="Y213" s="107"/>
      <c r="Z213" s="107"/>
      <c r="AA213" s="107"/>
      <c r="AB213" s="7"/>
      <c r="AC213" s="107"/>
      <c r="AD213" s="107"/>
      <c r="AE213" s="107"/>
      <c r="AF213" s="107"/>
      <c r="AG213" s="107"/>
      <c r="AH213" s="107"/>
      <c r="AI213" s="107"/>
      <c r="AJ213" s="107"/>
      <c r="AK213" s="7"/>
      <c r="AL213" s="10"/>
      <c r="AM213" s="7"/>
      <c r="AN213" s="7"/>
      <c r="AO213" s="266"/>
      <c r="AP213" s="266"/>
    </row>
    <row r="214" spans="1:42" s="268" customFormat="1" x14ac:dyDescent="0.25">
      <c r="A214" s="107"/>
      <c r="B214" s="107"/>
      <c r="C214" s="7"/>
      <c r="D214" s="7"/>
      <c r="E214" s="10"/>
      <c r="F214" s="107"/>
      <c r="G214" s="7"/>
      <c r="H214" s="7"/>
      <c r="I214" s="10"/>
      <c r="J214" s="7"/>
      <c r="K214" s="107"/>
      <c r="L214" s="7"/>
      <c r="M214" s="107"/>
      <c r="N214" s="107"/>
      <c r="O214" s="107"/>
      <c r="P214" s="107"/>
      <c r="Q214" s="107"/>
      <c r="R214" s="7"/>
      <c r="S214" s="7"/>
      <c r="T214" s="7"/>
      <c r="U214" s="7"/>
      <c r="V214" s="7"/>
      <c r="W214" s="107"/>
      <c r="X214" s="107"/>
      <c r="Y214" s="107"/>
      <c r="Z214" s="107"/>
      <c r="AA214" s="107"/>
      <c r="AB214" s="7"/>
      <c r="AC214" s="107"/>
      <c r="AD214" s="107"/>
      <c r="AE214" s="107"/>
      <c r="AF214" s="107"/>
      <c r="AG214" s="107"/>
      <c r="AH214" s="107"/>
      <c r="AI214" s="107"/>
      <c r="AJ214" s="107"/>
      <c r="AK214" s="7"/>
      <c r="AL214" s="10"/>
      <c r="AM214" s="7"/>
      <c r="AN214" s="7"/>
      <c r="AO214" s="266"/>
      <c r="AP214" s="266"/>
    </row>
    <row r="215" spans="1:42" s="268" customFormat="1" x14ac:dyDescent="0.25">
      <c r="A215" s="107"/>
      <c r="B215" s="107"/>
      <c r="C215" s="7"/>
      <c r="D215" s="7"/>
      <c r="E215" s="10"/>
      <c r="F215" s="107"/>
      <c r="G215" s="7"/>
      <c r="H215" s="7"/>
      <c r="I215" s="10"/>
      <c r="J215" s="7"/>
      <c r="K215" s="107"/>
      <c r="L215" s="7"/>
      <c r="M215" s="107"/>
      <c r="N215" s="107"/>
      <c r="O215" s="107"/>
      <c r="P215" s="107"/>
      <c r="Q215" s="107"/>
      <c r="R215" s="7"/>
      <c r="S215" s="7"/>
      <c r="T215" s="7"/>
      <c r="U215" s="7"/>
      <c r="V215" s="7"/>
      <c r="W215" s="107"/>
      <c r="X215" s="107"/>
      <c r="Y215" s="107"/>
      <c r="Z215" s="107"/>
      <c r="AA215" s="107"/>
      <c r="AB215" s="7"/>
      <c r="AC215" s="107"/>
      <c r="AD215" s="107"/>
      <c r="AE215" s="107"/>
      <c r="AF215" s="107"/>
      <c r="AG215" s="107"/>
      <c r="AH215" s="107"/>
      <c r="AI215" s="107"/>
      <c r="AJ215" s="107"/>
      <c r="AK215" s="7"/>
      <c r="AL215" s="10"/>
      <c r="AM215" s="7"/>
      <c r="AN215" s="7"/>
      <c r="AO215" s="266"/>
      <c r="AP215" s="266"/>
    </row>
    <row r="216" spans="1:42" s="268" customFormat="1" x14ac:dyDescent="0.25">
      <c r="A216" s="107"/>
      <c r="B216" s="107"/>
      <c r="C216" s="7"/>
      <c r="D216" s="7"/>
      <c r="E216" s="10"/>
      <c r="F216" s="107"/>
      <c r="G216" s="7"/>
      <c r="H216" s="7"/>
      <c r="I216" s="10"/>
      <c r="J216" s="7"/>
      <c r="K216" s="107"/>
      <c r="L216" s="7"/>
      <c r="M216" s="107"/>
      <c r="N216" s="107"/>
      <c r="O216" s="107"/>
      <c r="P216" s="107"/>
      <c r="Q216" s="107"/>
      <c r="R216" s="7"/>
      <c r="S216" s="7"/>
      <c r="T216" s="7"/>
      <c r="U216" s="7"/>
      <c r="V216" s="7"/>
      <c r="W216" s="107"/>
      <c r="X216" s="107"/>
      <c r="Y216" s="107"/>
      <c r="Z216" s="107"/>
      <c r="AA216" s="107"/>
      <c r="AB216" s="7"/>
      <c r="AC216" s="107"/>
      <c r="AD216" s="107"/>
      <c r="AE216" s="107"/>
      <c r="AF216" s="107"/>
      <c r="AG216" s="107"/>
      <c r="AH216" s="107"/>
      <c r="AI216" s="107"/>
      <c r="AJ216" s="107"/>
      <c r="AK216" s="7"/>
      <c r="AL216" s="10"/>
      <c r="AM216" s="7"/>
      <c r="AN216" s="7"/>
      <c r="AO216" s="266"/>
      <c r="AP216" s="266"/>
    </row>
    <row r="217" spans="1:42" s="268" customFormat="1" x14ac:dyDescent="0.25">
      <c r="A217" s="107"/>
      <c r="B217" s="107"/>
      <c r="C217" s="7"/>
      <c r="D217" s="7"/>
      <c r="E217" s="10"/>
      <c r="F217" s="107"/>
      <c r="G217" s="7"/>
      <c r="H217" s="7"/>
      <c r="I217" s="10"/>
      <c r="J217" s="7"/>
      <c r="K217" s="107"/>
      <c r="L217" s="7"/>
      <c r="M217" s="107"/>
      <c r="N217" s="107"/>
      <c r="O217" s="107"/>
      <c r="P217" s="107"/>
      <c r="Q217" s="107"/>
      <c r="R217" s="7"/>
      <c r="S217" s="7"/>
      <c r="T217" s="7"/>
      <c r="U217" s="7"/>
      <c r="V217" s="7"/>
      <c r="W217" s="107"/>
      <c r="X217" s="107"/>
      <c r="Y217" s="107"/>
      <c r="Z217" s="107"/>
      <c r="AA217" s="107"/>
      <c r="AB217" s="7"/>
      <c r="AC217" s="107"/>
      <c r="AD217" s="107"/>
      <c r="AE217" s="107"/>
      <c r="AF217" s="107"/>
      <c r="AG217" s="107"/>
      <c r="AH217" s="107"/>
      <c r="AI217" s="107"/>
      <c r="AJ217" s="107"/>
      <c r="AK217" s="7"/>
      <c r="AL217" s="10"/>
      <c r="AM217" s="7"/>
      <c r="AN217" s="7"/>
      <c r="AO217" s="266"/>
      <c r="AP217" s="266"/>
    </row>
    <row r="218" spans="1:42" s="268" customFormat="1" x14ac:dyDescent="0.25">
      <c r="A218" s="107"/>
      <c r="B218" s="107"/>
      <c r="C218" s="7"/>
      <c r="D218" s="7"/>
      <c r="E218" s="10"/>
      <c r="F218" s="107"/>
      <c r="G218" s="7"/>
      <c r="H218" s="7"/>
      <c r="I218" s="10"/>
      <c r="J218" s="7"/>
      <c r="K218" s="107"/>
      <c r="L218" s="7"/>
      <c r="M218" s="107"/>
      <c r="N218" s="107"/>
      <c r="O218" s="107"/>
      <c r="P218" s="107"/>
      <c r="Q218" s="107"/>
      <c r="R218" s="7"/>
      <c r="S218" s="7"/>
      <c r="T218" s="7"/>
      <c r="U218" s="7"/>
      <c r="V218" s="7"/>
      <c r="W218" s="107"/>
      <c r="X218" s="107"/>
      <c r="Y218" s="107"/>
      <c r="Z218" s="107"/>
      <c r="AA218" s="107"/>
      <c r="AB218" s="7"/>
      <c r="AC218" s="107"/>
      <c r="AD218" s="107"/>
      <c r="AE218" s="107"/>
      <c r="AF218" s="107"/>
      <c r="AG218" s="107"/>
      <c r="AH218" s="107"/>
      <c r="AI218" s="107"/>
      <c r="AJ218" s="107"/>
      <c r="AK218" s="7"/>
      <c r="AL218" s="10"/>
      <c r="AM218" s="7"/>
      <c r="AN218" s="7"/>
      <c r="AO218" s="266"/>
      <c r="AP218" s="266"/>
    </row>
    <row r="219" spans="1:42" s="268" customFormat="1" x14ac:dyDescent="0.25">
      <c r="A219" s="107"/>
      <c r="B219" s="107"/>
      <c r="C219" s="7"/>
      <c r="D219" s="7"/>
      <c r="E219" s="10"/>
      <c r="F219" s="107"/>
      <c r="G219" s="7"/>
      <c r="H219" s="7"/>
      <c r="I219" s="10"/>
      <c r="J219" s="7"/>
      <c r="K219" s="107"/>
      <c r="L219" s="7"/>
      <c r="M219" s="107"/>
      <c r="N219" s="107"/>
      <c r="O219" s="107"/>
      <c r="P219" s="107"/>
      <c r="Q219" s="107"/>
      <c r="R219" s="7"/>
      <c r="S219" s="7"/>
      <c r="T219" s="7"/>
      <c r="U219" s="7"/>
      <c r="V219" s="7"/>
      <c r="W219" s="107"/>
      <c r="X219" s="107"/>
      <c r="Y219" s="107"/>
      <c r="Z219" s="107"/>
      <c r="AA219" s="107"/>
      <c r="AB219" s="7"/>
      <c r="AC219" s="107"/>
      <c r="AD219" s="107"/>
      <c r="AE219" s="107"/>
      <c r="AF219" s="107"/>
      <c r="AG219" s="107"/>
      <c r="AH219" s="107"/>
      <c r="AI219" s="107"/>
      <c r="AJ219" s="107"/>
      <c r="AK219" s="7"/>
      <c r="AL219" s="10"/>
      <c r="AM219" s="7"/>
      <c r="AN219" s="7"/>
      <c r="AO219" s="266"/>
      <c r="AP219" s="266"/>
    </row>
    <row r="220" spans="1:42" s="268" customFormat="1" x14ac:dyDescent="0.25">
      <c r="A220" s="107"/>
      <c r="B220" s="107"/>
      <c r="C220" s="7"/>
      <c r="D220" s="7"/>
      <c r="E220" s="10"/>
      <c r="F220" s="107"/>
      <c r="G220" s="7"/>
      <c r="H220" s="7"/>
      <c r="I220" s="10"/>
      <c r="J220" s="7"/>
      <c r="K220" s="107"/>
      <c r="L220" s="7"/>
      <c r="M220" s="107"/>
      <c r="N220" s="107"/>
      <c r="O220" s="107"/>
      <c r="P220" s="107"/>
      <c r="Q220" s="107"/>
      <c r="R220" s="7"/>
      <c r="S220" s="7"/>
      <c r="T220" s="7"/>
      <c r="U220" s="7"/>
      <c r="V220" s="7"/>
      <c r="W220" s="107"/>
      <c r="X220" s="107"/>
      <c r="Y220" s="107"/>
      <c r="Z220" s="107"/>
      <c r="AA220" s="107"/>
      <c r="AB220" s="7"/>
      <c r="AC220" s="107"/>
      <c r="AD220" s="107"/>
      <c r="AE220" s="107"/>
      <c r="AF220" s="107"/>
      <c r="AG220" s="107"/>
      <c r="AH220" s="107"/>
      <c r="AI220" s="107"/>
      <c r="AJ220" s="107"/>
      <c r="AK220" s="7"/>
      <c r="AL220" s="10"/>
      <c r="AM220" s="7"/>
      <c r="AN220" s="7"/>
      <c r="AO220" s="266"/>
      <c r="AP220" s="266"/>
    </row>
    <row r="221" spans="1:42" s="268" customFormat="1" x14ac:dyDescent="0.25">
      <c r="A221" s="107"/>
      <c r="B221" s="107"/>
      <c r="C221" s="7"/>
      <c r="D221" s="7"/>
      <c r="E221" s="10"/>
      <c r="F221" s="107"/>
      <c r="G221" s="7"/>
      <c r="H221" s="7"/>
      <c r="I221" s="10"/>
      <c r="J221" s="7"/>
      <c r="K221" s="107"/>
      <c r="L221" s="7"/>
      <c r="M221" s="107"/>
      <c r="N221" s="107"/>
      <c r="O221" s="107"/>
      <c r="P221" s="107"/>
      <c r="Q221" s="107"/>
      <c r="R221" s="7"/>
      <c r="S221" s="7"/>
      <c r="T221" s="7"/>
      <c r="U221" s="7"/>
      <c r="V221" s="7"/>
      <c r="W221" s="107"/>
      <c r="X221" s="107"/>
      <c r="Y221" s="107"/>
      <c r="Z221" s="107"/>
      <c r="AA221" s="107"/>
      <c r="AB221" s="7"/>
      <c r="AC221" s="107"/>
      <c r="AD221" s="107"/>
      <c r="AE221" s="107"/>
      <c r="AF221" s="107"/>
      <c r="AG221" s="107"/>
      <c r="AH221" s="107"/>
      <c r="AI221" s="107"/>
      <c r="AJ221" s="107"/>
      <c r="AK221" s="7"/>
      <c r="AL221" s="10"/>
      <c r="AM221" s="7"/>
      <c r="AN221" s="7"/>
      <c r="AO221" s="266"/>
      <c r="AP221" s="266"/>
    </row>
    <row r="222" spans="1:42" s="268" customFormat="1" x14ac:dyDescent="0.25">
      <c r="A222" s="107"/>
      <c r="B222" s="107"/>
      <c r="C222" s="7"/>
      <c r="D222" s="7"/>
      <c r="E222" s="10"/>
      <c r="F222" s="107"/>
      <c r="G222" s="7"/>
      <c r="H222" s="7"/>
      <c r="I222" s="10"/>
      <c r="J222" s="7"/>
      <c r="K222" s="107"/>
      <c r="L222" s="7"/>
      <c r="M222" s="107"/>
      <c r="N222" s="107"/>
      <c r="O222" s="107"/>
      <c r="P222" s="107"/>
      <c r="Q222" s="107"/>
      <c r="R222" s="7"/>
      <c r="S222" s="7"/>
      <c r="T222" s="7"/>
      <c r="U222" s="7"/>
      <c r="V222" s="7"/>
      <c r="W222" s="107"/>
      <c r="X222" s="107"/>
      <c r="Y222" s="107"/>
      <c r="Z222" s="107"/>
      <c r="AA222" s="107"/>
      <c r="AB222" s="7"/>
      <c r="AC222" s="107"/>
      <c r="AD222" s="107"/>
      <c r="AE222" s="107"/>
      <c r="AF222" s="107"/>
      <c r="AG222" s="107"/>
      <c r="AH222" s="107"/>
      <c r="AI222" s="107"/>
      <c r="AJ222" s="107"/>
      <c r="AK222" s="7"/>
      <c r="AL222" s="10"/>
      <c r="AM222" s="7"/>
      <c r="AN222" s="7"/>
      <c r="AO222" s="266"/>
      <c r="AP222" s="266"/>
    </row>
    <row r="223" spans="1:42" s="268" customFormat="1" x14ac:dyDescent="0.25">
      <c r="A223" s="107"/>
      <c r="B223" s="107"/>
      <c r="C223" s="7"/>
      <c r="D223" s="7"/>
      <c r="E223" s="10"/>
      <c r="F223" s="107"/>
      <c r="G223" s="7"/>
      <c r="H223" s="7"/>
      <c r="I223" s="10"/>
      <c r="J223" s="7"/>
      <c r="K223" s="107"/>
      <c r="L223" s="7"/>
      <c r="M223" s="107"/>
      <c r="N223" s="107"/>
      <c r="O223" s="107"/>
      <c r="P223" s="107"/>
      <c r="Q223" s="107"/>
      <c r="R223" s="7"/>
      <c r="S223" s="7"/>
      <c r="T223" s="7"/>
      <c r="U223" s="7"/>
      <c r="V223" s="7"/>
      <c r="W223" s="107"/>
      <c r="X223" s="107"/>
      <c r="Y223" s="107"/>
      <c r="Z223" s="107"/>
      <c r="AA223" s="107"/>
      <c r="AB223" s="7"/>
      <c r="AC223" s="107"/>
      <c r="AD223" s="107"/>
      <c r="AE223" s="107"/>
      <c r="AF223" s="107"/>
      <c r="AG223" s="107"/>
      <c r="AH223" s="107"/>
      <c r="AI223" s="107"/>
      <c r="AJ223" s="107"/>
      <c r="AK223" s="7"/>
      <c r="AL223" s="10"/>
      <c r="AM223" s="7"/>
      <c r="AN223" s="7"/>
      <c r="AO223" s="266"/>
      <c r="AP223" s="266"/>
    </row>
    <row r="224" spans="1:42" s="268" customFormat="1" x14ac:dyDescent="0.25">
      <c r="A224" s="107"/>
      <c r="B224" s="107"/>
      <c r="C224" s="7"/>
      <c r="D224" s="7"/>
      <c r="E224" s="10"/>
      <c r="F224" s="107"/>
      <c r="G224" s="7"/>
      <c r="H224" s="7"/>
      <c r="I224" s="10"/>
      <c r="J224" s="7"/>
      <c r="K224" s="107"/>
      <c r="L224" s="7"/>
      <c r="M224" s="107"/>
      <c r="N224" s="107"/>
      <c r="O224" s="107"/>
      <c r="P224" s="107"/>
      <c r="Q224" s="107"/>
      <c r="R224" s="7"/>
      <c r="S224" s="7"/>
      <c r="T224" s="7"/>
      <c r="U224" s="7"/>
      <c r="V224" s="7"/>
      <c r="W224" s="107"/>
      <c r="X224" s="107"/>
      <c r="Y224" s="107"/>
      <c r="Z224" s="107"/>
      <c r="AA224" s="107"/>
      <c r="AB224" s="7"/>
      <c r="AC224" s="107"/>
      <c r="AD224" s="107"/>
      <c r="AE224" s="107"/>
      <c r="AF224" s="107"/>
      <c r="AG224" s="107"/>
      <c r="AH224" s="107"/>
      <c r="AI224" s="107"/>
      <c r="AJ224" s="107"/>
      <c r="AK224" s="7"/>
      <c r="AL224" s="10"/>
      <c r="AM224" s="7"/>
      <c r="AN224" s="7"/>
      <c r="AO224" s="266"/>
      <c r="AP224" s="266"/>
    </row>
    <row r="225" spans="1:42" s="268" customFormat="1" x14ac:dyDescent="0.25">
      <c r="A225" s="107"/>
      <c r="B225" s="107"/>
      <c r="C225" s="7"/>
      <c r="D225" s="7"/>
      <c r="E225" s="10"/>
      <c r="F225" s="107"/>
      <c r="G225" s="7"/>
      <c r="H225" s="7"/>
      <c r="I225" s="10"/>
      <c r="J225" s="7"/>
      <c r="K225" s="107"/>
      <c r="L225" s="7"/>
      <c r="M225" s="107"/>
      <c r="N225" s="107"/>
      <c r="O225" s="107"/>
      <c r="P225" s="107"/>
      <c r="Q225" s="107"/>
      <c r="R225" s="7"/>
      <c r="S225" s="7"/>
      <c r="T225" s="7"/>
      <c r="U225" s="7"/>
      <c r="V225" s="7"/>
      <c r="W225" s="107"/>
      <c r="X225" s="107"/>
      <c r="Y225" s="107"/>
      <c r="Z225" s="107"/>
      <c r="AA225" s="107"/>
      <c r="AB225" s="7"/>
      <c r="AC225" s="107"/>
      <c r="AD225" s="107"/>
      <c r="AE225" s="107"/>
      <c r="AF225" s="107"/>
      <c r="AG225" s="107"/>
      <c r="AH225" s="107"/>
      <c r="AI225" s="107"/>
      <c r="AJ225" s="107"/>
      <c r="AK225" s="7"/>
      <c r="AL225" s="10"/>
      <c r="AM225" s="7"/>
      <c r="AN225" s="7"/>
      <c r="AO225" s="266"/>
      <c r="AP225" s="266"/>
    </row>
    <row r="226" spans="1:42" s="268" customFormat="1" x14ac:dyDescent="0.25">
      <c r="A226" s="107"/>
      <c r="B226" s="107"/>
      <c r="C226" s="7"/>
      <c r="D226" s="7"/>
      <c r="E226" s="10"/>
      <c r="F226" s="107"/>
      <c r="G226" s="7"/>
      <c r="H226" s="7"/>
      <c r="I226" s="10"/>
      <c r="J226" s="7"/>
      <c r="K226" s="107"/>
      <c r="L226" s="7"/>
      <c r="M226" s="107"/>
      <c r="N226" s="107"/>
      <c r="O226" s="107"/>
      <c r="P226" s="107"/>
      <c r="Q226" s="107"/>
      <c r="R226" s="7"/>
      <c r="S226" s="7"/>
      <c r="T226" s="7"/>
      <c r="U226" s="7"/>
      <c r="V226" s="7"/>
      <c r="W226" s="107"/>
      <c r="X226" s="107"/>
      <c r="Y226" s="107"/>
      <c r="Z226" s="107"/>
      <c r="AA226" s="107"/>
      <c r="AB226" s="7"/>
      <c r="AC226" s="107"/>
      <c r="AD226" s="107"/>
      <c r="AE226" s="107"/>
      <c r="AF226" s="107"/>
      <c r="AG226" s="107"/>
      <c r="AH226" s="107"/>
      <c r="AI226" s="107"/>
      <c r="AJ226" s="107"/>
      <c r="AK226" s="7"/>
      <c r="AL226" s="10"/>
      <c r="AM226" s="7"/>
      <c r="AN226" s="7"/>
      <c r="AO226" s="266"/>
      <c r="AP226" s="266"/>
    </row>
    <row r="227" spans="1:42" s="268" customFormat="1" x14ac:dyDescent="0.25">
      <c r="A227" s="107"/>
      <c r="B227" s="107"/>
      <c r="C227" s="7"/>
      <c r="D227" s="7"/>
      <c r="E227" s="10"/>
      <c r="F227" s="107"/>
      <c r="G227" s="7"/>
      <c r="H227" s="7"/>
      <c r="I227" s="10"/>
      <c r="J227" s="7"/>
      <c r="K227" s="107"/>
      <c r="L227" s="7"/>
      <c r="M227" s="107"/>
      <c r="N227" s="107"/>
      <c r="O227" s="107"/>
      <c r="P227" s="107"/>
      <c r="Q227" s="107"/>
      <c r="R227" s="7"/>
      <c r="S227" s="7"/>
      <c r="T227" s="7"/>
      <c r="U227" s="7"/>
      <c r="V227" s="7"/>
      <c r="W227" s="107"/>
      <c r="X227" s="107"/>
      <c r="Y227" s="107"/>
      <c r="Z227" s="107"/>
      <c r="AA227" s="107"/>
      <c r="AB227" s="7"/>
      <c r="AC227" s="107"/>
      <c r="AD227" s="107"/>
      <c r="AE227" s="107"/>
      <c r="AF227" s="107"/>
      <c r="AG227" s="107"/>
      <c r="AH227" s="107"/>
      <c r="AI227" s="107"/>
      <c r="AJ227" s="107"/>
      <c r="AK227" s="7"/>
      <c r="AL227" s="10"/>
      <c r="AM227" s="7"/>
      <c r="AN227" s="7"/>
      <c r="AO227" s="266"/>
      <c r="AP227" s="266"/>
    </row>
    <row r="228" spans="1:42" s="268" customFormat="1" x14ac:dyDescent="0.25">
      <c r="A228" s="107"/>
      <c r="B228" s="107"/>
      <c r="C228" s="7"/>
      <c r="D228" s="7"/>
      <c r="E228" s="10"/>
      <c r="F228" s="107"/>
      <c r="G228" s="7"/>
      <c r="H228" s="7"/>
      <c r="I228" s="10"/>
      <c r="J228" s="7"/>
      <c r="K228" s="107"/>
      <c r="L228" s="7"/>
      <c r="M228" s="107"/>
      <c r="N228" s="107"/>
      <c r="O228" s="107"/>
      <c r="P228" s="107"/>
      <c r="Q228" s="107"/>
      <c r="R228" s="7"/>
      <c r="S228" s="7"/>
      <c r="T228" s="7"/>
      <c r="U228" s="7"/>
      <c r="V228" s="7"/>
      <c r="W228" s="107"/>
      <c r="X228" s="107"/>
      <c r="Y228" s="107"/>
      <c r="Z228" s="107"/>
      <c r="AA228" s="107"/>
      <c r="AB228" s="7"/>
      <c r="AC228" s="107"/>
      <c r="AD228" s="107"/>
      <c r="AE228" s="107"/>
      <c r="AF228" s="107"/>
      <c r="AG228" s="107"/>
      <c r="AH228" s="107"/>
      <c r="AI228" s="107"/>
      <c r="AJ228" s="107"/>
      <c r="AK228" s="7"/>
      <c r="AL228" s="10"/>
      <c r="AM228" s="7"/>
      <c r="AN228" s="7"/>
      <c r="AO228" s="266"/>
      <c r="AP228" s="266"/>
    </row>
    <row r="229" spans="1:42" s="268" customFormat="1" x14ac:dyDescent="0.25">
      <c r="A229" s="107"/>
      <c r="B229" s="107"/>
      <c r="C229" s="7"/>
      <c r="D229" s="7"/>
      <c r="E229" s="10"/>
      <c r="F229" s="107"/>
      <c r="G229" s="7"/>
      <c r="H229" s="7"/>
      <c r="I229" s="10"/>
      <c r="J229" s="7"/>
      <c r="K229" s="107"/>
      <c r="L229" s="7"/>
      <c r="M229" s="107"/>
      <c r="N229" s="107"/>
      <c r="O229" s="107"/>
      <c r="P229" s="107"/>
      <c r="Q229" s="107"/>
      <c r="R229" s="7"/>
      <c r="S229" s="7"/>
      <c r="T229" s="7"/>
      <c r="U229" s="7"/>
      <c r="V229" s="7"/>
      <c r="W229" s="107"/>
      <c r="X229" s="107"/>
      <c r="Y229" s="107"/>
      <c r="Z229" s="107"/>
      <c r="AA229" s="107"/>
      <c r="AB229" s="7"/>
      <c r="AC229" s="107"/>
      <c r="AD229" s="107"/>
      <c r="AE229" s="107"/>
      <c r="AF229" s="107"/>
      <c r="AG229" s="107"/>
      <c r="AH229" s="107"/>
      <c r="AI229" s="107"/>
      <c r="AJ229" s="107"/>
      <c r="AK229" s="7"/>
      <c r="AL229" s="10"/>
      <c r="AM229" s="7"/>
      <c r="AN229" s="7"/>
      <c r="AO229" s="266"/>
      <c r="AP229" s="266"/>
    </row>
    <row r="230" spans="1:42" s="268" customFormat="1" x14ac:dyDescent="0.25">
      <c r="A230" s="107"/>
      <c r="B230" s="107"/>
      <c r="C230" s="7"/>
      <c r="D230" s="7"/>
      <c r="E230" s="10"/>
      <c r="F230" s="107"/>
      <c r="G230" s="7"/>
      <c r="H230" s="7"/>
      <c r="I230" s="10"/>
      <c r="J230" s="7"/>
      <c r="K230" s="107"/>
      <c r="L230" s="7"/>
      <c r="M230" s="107"/>
      <c r="N230" s="107"/>
      <c r="O230" s="107"/>
      <c r="P230" s="107"/>
      <c r="Q230" s="107"/>
      <c r="R230" s="7"/>
      <c r="S230" s="7"/>
      <c r="T230" s="7"/>
      <c r="U230" s="7"/>
      <c r="V230" s="7"/>
      <c r="W230" s="107"/>
      <c r="X230" s="107"/>
      <c r="Y230" s="107"/>
      <c r="Z230" s="107"/>
      <c r="AA230" s="107"/>
      <c r="AB230" s="7"/>
      <c r="AC230" s="107"/>
      <c r="AD230" s="107"/>
      <c r="AE230" s="107"/>
      <c r="AF230" s="107"/>
      <c r="AG230" s="107"/>
      <c r="AH230" s="107"/>
      <c r="AI230" s="107"/>
      <c r="AJ230" s="107"/>
      <c r="AK230" s="7"/>
      <c r="AL230" s="10"/>
      <c r="AM230" s="7"/>
      <c r="AN230" s="7"/>
      <c r="AO230" s="266"/>
      <c r="AP230" s="266"/>
    </row>
    <row r="231" spans="1:42" s="268" customFormat="1" x14ac:dyDescent="0.25">
      <c r="A231" s="107"/>
      <c r="B231" s="107"/>
      <c r="C231" s="7"/>
      <c r="D231" s="7"/>
      <c r="E231" s="10"/>
      <c r="F231" s="107"/>
      <c r="G231" s="7"/>
      <c r="H231" s="7"/>
      <c r="I231" s="10"/>
      <c r="J231" s="7"/>
      <c r="K231" s="107"/>
      <c r="L231" s="7"/>
      <c r="M231" s="107"/>
      <c r="N231" s="107"/>
      <c r="O231" s="107"/>
      <c r="P231" s="107"/>
      <c r="Q231" s="107"/>
      <c r="R231" s="7"/>
      <c r="S231" s="7"/>
      <c r="T231" s="7"/>
      <c r="U231" s="7"/>
      <c r="V231" s="7"/>
      <c r="W231" s="107"/>
      <c r="X231" s="107"/>
      <c r="Y231" s="107"/>
      <c r="Z231" s="107"/>
      <c r="AA231" s="107"/>
      <c r="AB231" s="7"/>
      <c r="AC231" s="107"/>
      <c r="AD231" s="107"/>
      <c r="AE231" s="107"/>
      <c r="AF231" s="107"/>
      <c r="AG231" s="107"/>
      <c r="AH231" s="107"/>
      <c r="AI231" s="107"/>
      <c r="AJ231" s="107"/>
      <c r="AK231" s="7"/>
      <c r="AL231" s="10"/>
      <c r="AM231" s="7"/>
      <c r="AN231" s="7"/>
      <c r="AO231" s="266"/>
      <c r="AP231" s="266"/>
    </row>
    <row r="232" spans="1:42" s="268" customFormat="1" x14ac:dyDescent="0.25">
      <c r="A232" s="107"/>
      <c r="B232" s="107"/>
      <c r="C232" s="7"/>
      <c r="D232" s="7"/>
      <c r="E232" s="10"/>
      <c r="F232" s="107"/>
      <c r="G232" s="7"/>
      <c r="H232" s="7"/>
      <c r="I232" s="10"/>
      <c r="J232" s="7"/>
      <c r="K232" s="107"/>
      <c r="L232" s="7"/>
      <c r="M232" s="107"/>
      <c r="N232" s="107"/>
      <c r="O232" s="107"/>
      <c r="P232" s="107"/>
      <c r="Q232" s="107"/>
      <c r="R232" s="7"/>
      <c r="S232" s="7"/>
      <c r="T232" s="7"/>
      <c r="U232" s="7"/>
      <c r="V232" s="7"/>
      <c r="W232" s="107"/>
      <c r="X232" s="107"/>
      <c r="Y232" s="107"/>
      <c r="Z232" s="107"/>
      <c r="AA232" s="107"/>
      <c r="AB232" s="7"/>
      <c r="AC232" s="107"/>
      <c r="AD232" s="107"/>
      <c r="AE232" s="107"/>
      <c r="AF232" s="107"/>
      <c r="AG232" s="107"/>
      <c r="AH232" s="107"/>
      <c r="AI232" s="107"/>
      <c r="AJ232" s="107"/>
      <c r="AK232" s="7"/>
      <c r="AL232" s="10"/>
      <c r="AM232" s="7"/>
      <c r="AN232" s="7"/>
      <c r="AO232" s="266"/>
      <c r="AP232" s="266"/>
    </row>
    <row r="233" spans="1:42" s="268" customFormat="1" x14ac:dyDescent="0.25">
      <c r="A233" s="107"/>
      <c r="B233" s="107"/>
      <c r="C233" s="7"/>
      <c r="D233" s="7"/>
      <c r="E233" s="10"/>
      <c r="F233" s="107"/>
      <c r="G233" s="7"/>
      <c r="H233" s="7"/>
      <c r="I233" s="10"/>
      <c r="J233" s="7"/>
      <c r="K233" s="107"/>
      <c r="L233" s="7"/>
      <c r="M233" s="107"/>
      <c r="N233" s="107"/>
      <c r="O233" s="107"/>
      <c r="P233" s="107"/>
      <c r="Q233" s="107"/>
      <c r="R233" s="7"/>
      <c r="S233" s="7"/>
      <c r="T233" s="7"/>
      <c r="U233" s="7"/>
      <c r="V233" s="7"/>
      <c r="W233" s="107"/>
      <c r="X233" s="107"/>
      <c r="Y233" s="107"/>
      <c r="Z233" s="107"/>
      <c r="AA233" s="107"/>
      <c r="AB233" s="7"/>
      <c r="AC233" s="107"/>
      <c r="AD233" s="107"/>
      <c r="AE233" s="107"/>
      <c r="AF233" s="107"/>
      <c r="AG233" s="107"/>
      <c r="AH233" s="107"/>
      <c r="AI233" s="107"/>
      <c r="AJ233" s="107"/>
      <c r="AK233" s="7"/>
      <c r="AL233" s="10"/>
      <c r="AM233" s="7"/>
      <c r="AN233" s="7"/>
      <c r="AO233" s="266"/>
      <c r="AP233" s="266"/>
    </row>
    <row r="234" spans="1:42" s="268" customFormat="1" x14ac:dyDescent="0.25">
      <c r="A234" s="107"/>
      <c r="B234" s="107"/>
      <c r="C234" s="7"/>
      <c r="D234" s="7"/>
      <c r="E234" s="10"/>
      <c r="F234" s="107"/>
      <c r="G234" s="7"/>
      <c r="H234" s="7"/>
      <c r="I234" s="10"/>
      <c r="J234" s="7"/>
      <c r="K234" s="107"/>
      <c r="L234" s="7"/>
      <c r="M234" s="107"/>
      <c r="N234" s="107"/>
      <c r="O234" s="107"/>
      <c r="P234" s="107"/>
      <c r="Q234" s="107"/>
      <c r="R234" s="7"/>
      <c r="S234" s="7"/>
      <c r="T234" s="7"/>
      <c r="U234" s="7"/>
      <c r="V234" s="7"/>
      <c r="W234" s="107"/>
      <c r="X234" s="107"/>
      <c r="Y234" s="107"/>
      <c r="Z234" s="107"/>
      <c r="AA234" s="107"/>
      <c r="AB234" s="7"/>
      <c r="AC234" s="107"/>
      <c r="AD234" s="107"/>
      <c r="AE234" s="107"/>
      <c r="AF234" s="107"/>
      <c r="AG234" s="107"/>
      <c r="AH234" s="107"/>
      <c r="AI234" s="107"/>
      <c r="AJ234" s="107"/>
      <c r="AK234" s="7"/>
      <c r="AL234" s="10"/>
      <c r="AM234" s="7"/>
      <c r="AN234" s="7"/>
      <c r="AO234" s="266"/>
      <c r="AP234" s="266"/>
    </row>
    <row r="235" spans="1:42" s="268" customFormat="1" x14ac:dyDescent="0.25">
      <c r="A235" s="107"/>
      <c r="B235" s="107"/>
      <c r="C235" s="7"/>
      <c r="D235" s="7"/>
      <c r="E235" s="10"/>
      <c r="F235" s="107"/>
      <c r="G235" s="7"/>
      <c r="H235" s="7"/>
      <c r="I235" s="10"/>
      <c r="J235" s="7"/>
      <c r="K235" s="107"/>
      <c r="L235" s="7"/>
      <c r="M235" s="107"/>
      <c r="N235" s="107"/>
      <c r="O235" s="107"/>
      <c r="P235" s="107"/>
      <c r="Q235" s="107"/>
      <c r="R235" s="7"/>
      <c r="S235" s="7"/>
      <c r="T235" s="7"/>
      <c r="U235" s="7"/>
      <c r="V235" s="7"/>
      <c r="W235" s="107"/>
      <c r="X235" s="107"/>
      <c r="Y235" s="107"/>
      <c r="Z235" s="107"/>
      <c r="AA235" s="107"/>
      <c r="AB235" s="7"/>
      <c r="AC235" s="107"/>
      <c r="AD235" s="107"/>
      <c r="AE235" s="107"/>
      <c r="AF235" s="107"/>
      <c r="AG235" s="107"/>
      <c r="AH235" s="107"/>
      <c r="AI235" s="107"/>
      <c r="AJ235" s="107"/>
      <c r="AK235" s="7"/>
      <c r="AL235" s="10"/>
      <c r="AM235" s="7"/>
      <c r="AN235" s="7"/>
      <c r="AO235" s="266"/>
      <c r="AP235" s="266"/>
    </row>
    <row r="236" spans="1:42" s="268" customFormat="1" x14ac:dyDescent="0.25">
      <c r="A236" s="107"/>
      <c r="B236" s="107"/>
      <c r="C236" s="7"/>
      <c r="D236" s="7"/>
      <c r="E236" s="10"/>
      <c r="F236" s="107"/>
      <c r="G236" s="7"/>
      <c r="H236" s="7"/>
      <c r="I236" s="10"/>
      <c r="J236" s="7"/>
      <c r="K236" s="107"/>
      <c r="L236" s="7"/>
      <c r="M236" s="107"/>
      <c r="N236" s="107"/>
      <c r="O236" s="107"/>
      <c r="P236" s="107"/>
      <c r="Q236" s="107"/>
      <c r="R236" s="7"/>
      <c r="S236" s="7"/>
      <c r="T236" s="7"/>
      <c r="U236" s="7"/>
      <c r="V236" s="7"/>
      <c r="W236" s="107"/>
      <c r="X236" s="107"/>
      <c r="Y236" s="107"/>
      <c r="Z236" s="107"/>
      <c r="AA236" s="107"/>
      <c r="AB236" s="7"/>
      <c r="AC236" s="107"/>
      <c r="AD236" s="107"/>
      <c r="AE236" s="107"/>
      <c r="AF236" s="107"/>
      <c r="AG236" s="107"/>
      <c r="AH236" s="107"/>
      <c r="AI236" s="107"/>
      <c r="AJ236" s="107"/>
      <c r="AK236" s="7"/>
      <c r="AL236" s="10"/>
      <c r="AM236" s="7"/>
      <c r="AN236" s="7"/>
      <c r="AO236" s="266"/>
      <c r="AP236" s="266"/>
    </row>
    <row r="237" spans="1:42" s="268" customFormat="1" x14ac:dyDescent="0.25">
      <c r="A237" s="107"/>
      <c r="B237" s="107"/>
      <c r="C237" s="7"/>
      <c r="D237" s="7"/>
      <c r="E237" s="10"/>
      <c r="F237" s="107"/>
      <c r="G237" s="7"/>
      <c r="H237" s="7"/>
      <c r="I237" s="10"/>
      <c r="J237" s="7"/>
      <c r="K237" s="107"/>
      <c r="L237" s="7"/>
      <c r="M237" s="107"/>
      <c r="N237" s="107"/>
      <c r="O237" s="107"/>
      <c r="P237" s="107"/>
      <c r="Q237" s="107"/>
      <c r="R237" s="7"/>
      <c r="S237" s="7"/>
      <c r="T237" s="7"/>
      <c r="U237" s="7"/>
      <c r="V237" s="7"/>
      <c r="W237" s="107"/>
      <c r="X237" s="107"/>
      <c r="Y237" s="107"/>
      <c r="Z237" s="107"/>
      <c r="AA237" s="107"/>
      <c r="AB237" s="7"/>
      <c r="AC237" s="107"/>
      <c r="AD237" s="107"/>
      <c r="AE237" s="107"/>
      <c r="AF237" s="107"/>
      <c r="AG237" s="107"/>
      <c r="AH237" s="107"/>
      <c r="AI237" s="107"/>
      <c r="AJ237" s="107"/>
      <c r="AK237" s="7"/>
      <c r="AL237" s="10"/>
      <c r="AM237" s="7"/>
      <c r="AN237" s="7"/>
      <c r="AO237" s="266"/>
      <c r="AP237" s="266"/>
    </row>
    <row r="238" spans="1:42" s="268" customFormat="1" x14ac:dyDescent="0.25">
      <c r="A238" s="107"/>
      <c r="B238" s="107"/>
      <c r="C238" s="7"/>
      <c r="D238" s="7"/>
      <c r="E238" s="10"/>
      <c r="F238" s="107"/>
      <c r="G238" s="7"/>
      <c r="H238" s="7"/>
      <c r="I238" s="10"/>
      <c r="J238" s="7"/>
      <c r="K238" s="107"/>
      <c r="L238" s="7"/>
      <c r="M238" s="107"/>
      <c r="N238" s="107"/>
      <c r="O238" s="107"/>
      <c r="P238" s="107"/>
      <c r="Q238" s="107"/>
      <c r="R238" s="7"/>
      <c r="S238" s="7"/>
      <c r="T238" s="7"/>
      <c r="U238" s="7"/>
      <c r="V238" s="7"/>
      <c r="W238" s="107"/>
      <c r="X238" s="107"/>
      <c r="Y238" s="107"/>
      <c r="Z238" s="107"/>
      <c r="AA238" s="107"/>
      <c r="AB238" s="7"/>
      <c r="AC238" s="107"/>
      <c r="AD238" s="107"/>
      <c r="AE238" s="107"/>
      <c r="AF238" s="107"/>
      <c r="AG238" s="107"/>
      <c r="AH238" s="107"/>
      <c r="AI238" s="107"/>
      <c r="AJ238" s="107"/>
      <c r="AK238" s="7"/>
      <c r="AL238" s="10"/>
      <c r="AM238" s="7"/>
      <c r="AN238" s="7"/>
      <c r="AO238" s="266"/>
      <c r="AP238" s="266"/>
    </row>
    <row r="239" spans="1:42" s="268" customFormat="1" x14ac:dyDescent="0.25">
      <c r="A239" s="107"/>
      <c r="B239" s="107"/>
      <c r="C239" s="7"/>
      <c r="D239" s="7"/>
      <c r="E239" s="10"/>
      <c r="F239" s="107"/>
      <c r="G239" s="7"/>
      <c r="H239" s="7"/>
      <c r="I239" s="10"/>
      <c r="J239" s="7"/>
      <c r="K239" s="107"/>
      <c r="L239" s="7"/>
      <c r="M239" s="107"/>
      <c r="N239" s="107"/>
      <c r="O239" s="107"/>
      <c r="P239" s="107"/>
      <c r="Q239" s="107"/>
      <c r="R239" s="7"/>
      <c r="S239" s="7"/>
      <c r="T239" s="7"/>
      <c r="U239" s="7"/>
      <c r="V239" s="7"/>
      <c r="W239" s="107"/>
      <c r="X239" s="107"/>
      <c r="Y239" s="107"/>
      <c r="Z239" s="107"/>
      <c r="AA239" s="107"/>
      <c r="AB239" s="7"/>
      <c r="AC239" s="107"/>
      <c r="AD239" s="107"/>
      <c r="AE239" s="107"/>
      <c r="AF239" s="107"/>
      <c r="AG239" s="107"/>
      <c r="AH239" s="107"/>
      <c r="AI239" s="107"/>
      <c r="AJ239" s="107"/>
      <c r="AK239" s="7"/>
      <c r="AL239" s="10"/>
      <c r="AM239" s="7"/>
      <c r="AN239" s="7"/>
      <c r="AO239" s="266"/>
      <c r="AP239" s="266"/>
    </row>
    <row r="240" spans="1:42" s="268" customFormat="1" x14ac:dyDescent="0.25">
      <c r="A240" s="107"/>
      <c r="B240" s="107"/>
      <c r="C240" s="7"/>
      <c r="D240" s="7"/>
      <c r="E240" s="10"/>
      <c r="F240" s="107"/>
      <c r="G240" s="7"/>
      <c r="H240" s="7"/>
      <c r="I240" s="10"/>
      <c r="J240" s="7"/>
      <c r="K240" s="107"/>
      <c r="L240" s="7"/>
      <c r="M240" s="107"/>
      <c r="N240" s="107"/>
      <c r="O240" s="107"/>
      <c r="P240" s="107"/>
      <c r="Q240" s="107"/>
      <c r="R240" s="7"/>
      <c r="S240" s="7"/>
      <c r="T240" s="7"/>
      <c r="U240" s="7"/>
      <c r="V240" s="7"/>
      <c r="W240" s="107"/>
      <c r="X240" s="107"/>
      <c r="Y240" s="107"/>
      <c r="Z240" s="107"/>
      <c r="AA240" s="107"/>
      <c r="AB240" s="7"/>
      <c r="AC240" s="107"/>
      <c r="AD240" s="107"/>
      <c r="AE240" s="107"/>
      <c r="AF240" s="107"/>
      <c r="AG240" s="107"/>
      <c r="AH240" s="107"/>
      <c r="AI240" s="107"/>
      <c r="AJ240" s="107"/>
      <c r="AK240" s="7"/>
      <c r="AL240" s="10"/>
      <c r="AM240" s="7"/>
      <c r="AN240" s="7"/>
      <c r="AO240" s="266"/>
      <c r="AP240" s="266"/>
    </row>
    <row r="241" spans="1:42" s="268" customFormat="1" x14ac:dyDescent="0.25">
      <c r="A241" s="107"/>
      <c r="B241" s="107"/>
      <c r="C241" s="7"/>
      <c r="D241" s="7"/>
      <c r="E241" s="10"/>
      <c r="F241" s="107"/>
      <c r="G241" s="7"/>
      <c r="H241" s="7"/>
      <c r="I241" s="10"/>
      <c r="J241" s="7"/>
      <c r="K241" s="107"/>
      <c r="L241" s="7"/>
      <c r="M241" s="107"/>
      <c r="N241" s="107"/>
      <c r="O241" s="107"/>
      <c r="P241" s="107"/>
      <c r="Q241" s="107"/>
      <c r="R241" s="7"/>
      <c r="S241" s="7"/>
      <c r="T241" s="7"/>
      <c r="U241" s="7"/>
      <c r="V241" s="7"/>
      <c r="W241" s="107"/>
      <c r="X241" s="107"/>
      <c r="Y241" s="107"/>
      <c r="Z241" s="107"/>
      <c r="AA241" s="107"/>
      <c r="AB241" s="7"/>
      <c r="AC241" s="107"/>
      <c r="AD241" s="107"/>
      <c r="AE241" s="107"/>
      <c r="AF241" s="107"/>
      <c r="AG241" s="107"/>
      <c r="AH241" s="107"/>
      <c r="AI241" s="107"/>
      <c r="AJ241" s="107"/>
      <c r="AK241" s="7"/>
      <c r="AL241" s="10"/>
      <c r="AM241" s="7"/>
      <c r="AN241" s="7"/>
      <c r="AO241" s="266"/>
      <c r="AP241" s="266"/>
    </row>
    <row r="242" spans="1:42" s="268" customFormat="1" x14ac:dyDescent="0.25">
      <c r="A242" s="107"/>
      <c r="B242" s="107"/>
      <c r="C242" s="7"/>
      <c r="D242" s="7"/>
      <c r="E242" s="10"/>
      <c r="F242" s="107"/>
      <c r="G242" s="7"/>
      <c r="H242" s="7"/>
      <c r="I242" s="10"/>
      <c r="J242" s="7"/>
      <c r="K242" s="107"/>
      <c r="L242" s="7"/>
      <c r="M242" s="107"/>
      <c r="N242" s="107"/>
      <c r="O242" s="107"/>
      <c r="P242" s="107"/>
      <c r="Q242" s="107"/>
      <c r="R242" s="7"/>
      <c r="S242" s="7"/>
      <c r="T242" s="7"/>
      <c r="U242" s="7"/>
      <c r="V242" s="7"/>
      <c r="W242" s="107"/>
      <c r="X242" s="107"/>
      <c r="Y242" s="107"/>
      <c r="Z242" s="107"/>
      <c r="AA242" s="107"/>
      <c r="AB242" s="7"/>
      <c r="AC242" s="107"/>
      <c r="AD242" s="107"/>
      <c r="AE242" s="107"/>
      <c r="AF242" s="107"/>
      <c r="AG242" s="107"/>
      <c r="AH242" s="107"/>
      <c r="AI242" s="107"/>
      <c r="AJ242" s="107"/>
      <c r="AK242" s="7"/>
      <c r="AL242" s="10"/>
      <c r="AM242" s="7"/>
      <c r="AN242" s="7"/>
      <c r="AO242" s="266"/>
      <c r="AP242" s="266"/>
    </row>
    <row r="243" spans="1:42" s="268" customFormat="1" x14ac:dyDescent="0.25">
      <c r="A243" s="107"/>
      <c r="B243" s="107"/>
      <c r="C243" s="7"/>
      <c r="D243" s="7"/>
      <c r="E243" s="10"/>
      <c r="F243" s="107"/>
      <c r="G243" s="7"/>
      <c r="H243" s="7"/>
      <c r="I243" s="10"/>
      <c r="J243" s="7"/>
      <c r="K243" s="107"/>
      <c r="L243" s="7"/>
      <c r="M243" s="107"/>
      <c r="N243" s="107"/>
      <c r="O243" s="107"/>
      <c r="P243" s="107"/>
      <c r="Q243" s="107"/>
      <c r="R243" s="7"/>
      <c r="S243" s="7"/>
      <c r="T243" s="7"/>
      <c r="U243" s="7"/>
      <c r="V243" s="7"/>
      <c r="W243" s="107"/>
      <c r="X243" s="107"/>
      <c r="Y243" s="107"/>
      <c r="Z243" s="107"/>
      <c r="AA243" s="107"/>
      <c r="AB243" s="7"/>
      <c r="AC243" s="107"/>
      <c r="AD243" s="107"/>
      <c r="AE243" s="107"/>
      <c r="AF243" s="107"/>
      <c r="AG243" s="107"/>
      <c r="AH243" s="107"/>
      <c r="AI243" s="107"/>
      <c r="AJ243" s="107"/>
      <c r="AK243" s="7"/>
      <c r="AL243" s="10"/>
      <c r="AM243" s="7"/>
      <c r="AN243" s="7"/>
      <c r="AO243" s="266"/>
      <c r="AP243" s="266"/>
    </row>
    <row r="244" spans="1:42" s="268" customFormat="1" x14ac:dyDescent="0.25">
      <c r="A244" s="107"/>
      <c r="B244" s="107"/>
      <c r="C244" s="7"/>
      <c r="D244" s="7"/>
      <c r="E244" s="10"/>
      <c r="F244" s="107"/>
      <c r="G244" s="7"/>
      <c r="H244" s="7"/>
      <c r="I244" s="10"/>
      <c r="J244" s="7"/>
      <c r="K244" s="107"/>
      <c r="L244" s="7"/>
      <c r="M244" s="107"/>
      <c r="N244" s="107"/>
      <c r="O244" s="107"/>
      <c r="P244" s="107"/>
      <c r="Q244" s="107"/>
      <c r="R244" s="7"/>
      <c r="S244" s="7"/>
      <c r="T244" s="7"/>
      <c r="U244" s="7"/>
      <c r="V244" s="7"/>
      <c r="W244" s="107"/>
      <c r="X244" s="107"/>
      <c r="Y244" s="107"/>
      <c r="Z244" s="107"/>
      <c r="AA244" s="107"/>
      <c r="AB244" s="7"/>
      <c r="AC244" s="107"/>
      <c r="AD244" s="107"/>
      <c r="AE244" s="107"/>
      <c r="AF244" s="107"/>
      <c r="AG244" s="107"/>
      <c r="AH244" s="107"/>
      <c r="AI244" s="107"/>
      <c r="AJ244" s="107"/>
      <c r="AK244" s="7"/>
      <c r="AL244" s="10"/>
      <c r="AM244" s="7"/>
      <c r="AN244" s="7"/>
      <c r="AO244" s="266"/>
      <c r="AP244" s="266"/>
    </row>
    <row r="245" spans="1:42" s="268" customFormat="1" x14ac:dyDescent="0.25">
      <c r="A245" s="107"/>
      <c r="B245" s="107"/>
      <c r="C245" s="7"/>
      <c r="D245" s="7"/>
      <c r="E245" s="10"/>
      <c r="F245" s="107"/>
      <c r="G245" s="7"/>
      <c r="H245" s="7"/>
      <c r="I245" s="10"/>
      <c r="J245" s="7"/>
      <c r="K245" s="107"/>
      <c r="L245" s="7"/>
      <c r="M245" s="107"/>
      <c r="N245" s="107"/>
      <c r="O245" s="107"/>
      <c r="P245" s="107"/>
      <c r="Q245" s="107"/>
      <c r="R245" s="7"/>
      <c r="S245" s="7"/>
      <c r="T245" s="7"/>
      <c r="U245" s="7"/>
      <c r="V245" s="7"/>
      <c r="W245" s="107"/>
      <c r="X245" s="107"/>
      <c r="Y245" s="107"/>
      <c r="Z245" s="107"/>
      <c r="AA245" s="107"/>
      <c r="AB245" s="7"/>
      <c r="AC245" s="107"/>
      <c r="AD245" s="107"/>
      <c r="AE245" s="107"/>
      <c r="AF245" s="107"/>
      <c r="AG245" s="107"/>
      <c r="AH245" s="107"/>
      <c r="AI245" s="107"/>
      <c r="AJ245" s="107"/>
      <c r="AK245" s="7"/>
      <c r="AL245" s="10"/>
      <c r="AM245" s="7"/>
      <c r="AN245" s="7"/>
      <c r="AO245" s="266"/>
      <c r="AP245" s="266"/>
    </row>
    <row r="246" spans="1:42" s="268" customFormat="1" x14ac:dyDescent="0.25">
      <c r="A246" s="107"/>
      <c r="B246" s="107"/>
      <c r="C246" s="7"/>
      <c r="D246" s="7"/>
      <c r="E246" s="10"/>
      <c r="F246" s="107"/>
      <c r="G246" s="7"/>
      <c r="H246" s="7"/>
      <c r="I246" s="10"/>
      <c r="J246" s="7"/>
      <c r="K246" s="107"/>
      <c r="L246" s="7"/>
      <c r="M246" s="107"/>
      <c r="N246" s="107"/>
      <c r="O246" s="107"/>
      <c r="P246" s="107"/>
      <c r="Q246" s="107"/>
      <c r="R246" s="7"/>
      <c r="S246" s="7"/>
      <c r="T246" s="7"/>
      <c r="U246" s="7"/>
      <c r="V246" s="7"/>
      <c r="W246" s="107"/>
      <c r="X246" s="107"/>
      <c r="Y246" s="107"/>
      <c r="Z246" s="107"/>
      <c r="AA246" s="107"/>
      <c r="AB246" s="7"/>
      <c r="AC246" s="107"/>
      <c r="AD246" s="107"/>
      <c r="AE246" s="107"/>
      <c r="AF246" s="107"/>
      <c r="AG246" s="107"/>
      <c r="AH246" s="107"/>
      <c r="AI246" s="107"/>
      <c r="AJ246" s="107"/>
      <c r="AK246" s="7"/>
      <c r="AL246" s="10"/>
      <c r="AM246" s="7"/>
      <c r="AN246" s="7"/>
      <c r="AO246" s="266"/>
      <c r="AP246" s="266"/>
    </row>
    <row r="247" spans="1:42" s="268" customFormat="1" x14ac:dyDescent="0.25">
      <c r="A247" s="107"/>
      <c r="B247" s="107"/>
      <c r="C247" s="7"/>
      <c r="D247" s="7"/>
      <c r="E247" s="10"/>
      <c r="F247" s="107"/>
      <c r="G247" s="7"/>
      <c r="H247" s="7"/>
      <c r="I247" s="10"/>
      <c r="J247" s="7"/>
      <c r="K247" s="107"/>
      <c r="L247" s="7"/>
      <c r="M247" s="107"/>
      <c r="N247" s="107"/>
      <c r="O247" s="107"/>
      <c r="P247" s="107"/>
      <c r="Q247" s="107"/>
      <c r="R247" s="7"/>
      <c r="S247" s="7"/>
      <c r="T247" s="7"/>
      <c r="U247" s="7"/>
      <c r="V247" s="7"/>
      <c r="W247" s="107"/>
      <c r="X247" s="107"/>
      <c r="Y247" s="107"/>
      <c r="Z247" s="107"/>
      <c r="AA247" s="107"/>
      <c r="AB247" s="7"/>
      <c r="AC247" s="107"/>
      <c r="AD247" s="107"/>
      <c r="AE247" s="107"/>
      <c r="AF247" s="107"/>
      <c r="AG247" s="107"/>
      <c r="AH247" s="107"/>
      <c r="AI247" s="107"/>
      <c r="AJ247" s="107"/>
      <c r="AK247" s="7"/>
      <c r="AL247" s="10"/>
      <c r="AM247" s="7"/>
      <c r="AN247" s="7"/>
      <c r="AO247" s="266"/>
      <c r="AP247" s="266"/>
    </row>
    <row r="248" spans="1:42" s="268" customFormat="1" x14ac:dyDescent="0.25">
      <c r="A248" s="107"/>
      <c r="B248" s="107"/>
      <c r="C248" s="7"/>
      <c r="D248" s="7"/>
      <c r="E248" s="10"/>
      <c r="F248" s="107"/>
      <c r="G248" s="7"/>
      <c r="H248" s="7"/>
      <c r="I248" s="10"/>
      <c r="J248" s="7"/>
      <c r="K248" s="107"/>
      <c r="L248" s="7"/>
      <c r="M248" s="107"/>
      <c r="N248" s="107"/>
      <c r="O248" s="107"/>
      <c r="P248" s="107"/>
      <c r="Q248" s="107"/>
      <c r="R248" s="7"/>
      <c r="S248" s="7"/>
      <c r="T248" s="7"/>
      <c r="U248" s="7"/>
      <c r="V248" s="7"/>
      <c r="W248" s="107"/>
      <c r="X248" s="107"/>
      <c r="Y248" s="107"/>
      <c r="Z248" s="107"/>
      <c r="AA248" s="107"/>
      <c r="AB248" s="7"/>
      <c r="AC248" s="107"/>
      <c r="AD248" s="107"/>
      <c r="AE248" s="107"/>
      <c r="AF248" s="107"/>
      <c r="AG248" s="107"/>
      <c r="AH248" s="107"/>
      <c r="AI248" s="107"/>
      <c r="AJ248" s="107"/>
      <c r="AK248" s="7"/>
      <c r="AL248" s="10"/>
      <c r="AM248" s="7"/>
      <c r="AN248" s="7"/>
      <c r="AO248" s="266"/>
      <c r="AP248" s="266"/>
    </row>
    <row r="249" spans="1:42" s="268" customFormat="1" x14ac:dyDescent="0.25">
      <c r="A249" s="107"/>
      <c r="B249" s="107"/>
      <c r="C249" s="7"/>
      <c r="D249" s="7"/>
      <c r="E249" s="10"/>
      <c r="F249" s="107"/>
      <c r="G249" s="108"/>
      <c r="H249" s="108"/>
      <c r="I249" s="11"/>
      <c r="J249" s="108"/>
      <c r="K249" s="107"/>
      <c r="L249" s="108"/>
      <c r="M249" s="107"/>
      <c r="N249" s="107"/>
      <c r="O249" s="107"/>
      <c r="P249" s="107"/>
      <c r="Q249" s="107"/>
      <c r="R249" s="108"/>
      <c r="S249" s="108"/>
      <c r="T249" s="108"/>
      <c r="U249" s="108"/>
      <c r="V249" s="108"/>
      <c r="W249" s="107"/>
      <c r="X249" s="107"/>
      <c r="Y249" s="107"/>
      <c r="Z249" s="107"/>
      <c r="AA249" s="107"/>
      <c r="AB249" s="108"/>
      <c r="AC249" s="107"/>
      <c r="AD249" s="107"/>
      <c r="AE249" s="107"/>
      <c r="AF249" s="107"/>
      <c r="AG249" s="107"/>
      <c r="AH249" s="107"/>
      <c r="AI249" s="107"/>
      <c r="AJ249" s="107"/>
      <c r="AK249" s="108"/>
      <c r="AL249" s="11"/>
      <c r="AM249" s="108"/>
      <c r="AN249" s="108"/>
      <c r="AO249" s="270"/>
      <c r="AP249" s="270"/>
    </row>
    <row r="250" spans="1:42" s="268" customFormat="1" x14ac:dyDescent="0.25">
      <c r="A250" s="107"/>
      <c r="B250" s="107"/>
      <c r="C250" s="7"/>
      <c r="D250" s="7"/>
      <c r="E250" s="10"/>
      <c r="F250" s="107"/>
      <c r="G250" s="108"/>
      <c r="H250" s="108"/>
      <c r="I250" s="11"/>
      <c r="J250" s="108"/>
      <c r="K250" s="107"/>
      <c r="L250" s="108"/>
      <c r="M250" s="107"/>
      <c r="N250" s="107"/>
      <c r="O250" s="107"/>
      <c r="P250" s="107"/>
      <c r="Q250" s="107"/>
      <c r="R250" s="108"/>
      <c r="S250" s="108"/>
      <c r="T250" s="108"/>
      <c r="U250" s="108"/>
      <c r="V250" s="108"/>
      <c r="W250" s="107"/>
      <c r="X250" s="107"/>
      <c r="Y250" s="107"/>
      <c r="Z250" s="107"/>
      <c r="AA250" s="107"/>
      <c r="AB250" s="108"/>
      <c r="AC250" s="107"/>
      <c r="AD250" s="107"/>
      <c r="AE250" s="107"/>
      <c r="AF250" s="107"/>
      <c r="AG250" s="107"/>
      <c r="AH250" s="107"/>
      <c r="AI250" s="107"/>
      <c r="AJ250" s="107"/>
      <c r="AK250" s="108"/>
      <c r="AL250" s="11"/>
      <c r="AM250" s="108"/>
      <c r="AN250" s="108"/>
      <c r="AO250" s="270"/>
      <c r="AP250" s="270"/>
    </row>
    <row r="251" spans="1:42" s="268" customFormat="1" x14ac:dyDescent="0.25">
      <c r="A251" s="107"/>
      <c r="B251" s="107"/>
      <c r="C251" s="7"/>
      <c r="D251" s="7"/>
      <c r="E251" s="10"/>
      <c r="F251" s="107"/>
      <c r="G251" s="108"/>
      <c r="H251" s="108"/>
      <c r="I251" s="11"/>
      <c r="J251" s="108"/>
      <c r="K251" s="107"/>
      <c r="L251" s="108"/>
      <c r="M251" s="107"/>
      <c r="N251" s="107"/>
      <c r="O251" s="107"/>
      <c r="P251" s="107"/>
      <c r="Q251" s="107"/>
      <c r="R251" s="108"/>
      <c r="S251" s="108"/>
      <c r="T251" s="108"/>
      <c r="U251" s="108"/>
      <c r="V251" s="108"/>
      <c r="W251" s="107"/>
      <c r="X251" s="107"/>
      <c r="Y251" s="107"/>
      <c r="Z251" s="107"/>
      <c r="AA251" s="107"/>
      <c r="AB251" s="108"/>
      <c r="AC251" s="107"/>
      <c r="AD251" s="107"/>
      <c r="AE251" s="107"/>
      <c r="AF251" s="107"/>
      <c r="AG251" s="107"/>
      <c r="AH251" s="107"/>
      <c r="AI251" s="107"/>
      <c r="AJ251" s="107"/>
      <c r="AK251" s="108"/>
      <c r="AL251" s="11"/>
      <c r="AM251" s="108"/>
      <c r="AN251" s="108"/>
      <c r="AO251" s="270"/>
      <c r="AP251" s="270"/>
    </row>
    <row r="252" spans="1:42" s="268" customFormat="1" x14ac:dyDescent="0.25">
      <c r="A252" s="107"/>
      <c r="B252" s="107"/>
      <c r="C252" s="7"/>
      <c r="D252" s="7"/>
      <c r="E252" s="10"/>
      <c r="F252" s="107"/>
      <c r="G252" s="108"/>
      <c r="H252" s="108"/>
      <c r="I252" s="11"/>
      <c r="J252" s="108"/>
      <c r="K252" s="107"/>
      <c r="L252" s="108"/>
      <c r="M252" s="107"/>
      <c r="N252" s="107"/>
      <c r="O252" s="107"/>
      <c r="P252" s="107"/>
      <c r="Q252" s="107"/>
      <c r="R252" s="108"/>
      <c r="S252" s="108"/>
      <c r="T252" s="108"/>
      <c r="U252" s="108"/>
      <c r="V252" s="108"/>
      <c r="W252" s="107"/>
      <c r="X252" s="107"/>
      <c r="Y252" s="107"/>
      <c r="Z252" s="107"/>
      <c r="AA252" s="107"/>
      <c r="AB252" s="108"/>
      <c r="AC252" s="107"/>
      <c r="AD252" s="107"/>
      <c r="AE252" s="107"/>
      <c r="AF252" s="107"/>
      <c r="AG252" s="107"/>
      <c r="AH252" s="107"/>
      <c r="AI252" s="107"/>
      <c r="AJ252" s="107"/>
      <c r="AK252" s="108"/>
      <c r="AL252" s="11"/>
      <c r="AM252" s="108"/>
      <c r="AN252" s="108"/>
      <c r="AO252" s="270"/>
      <c r="AP252" s="270"/>
    </row>
    <row r="253" spans="1:42" s="268" customFormat="1" x14ac:dyDescent="0.25">
      <c r="A253" s="107"/>
      <c r="B253" s="107"/>
      <c r="C253" s="7"/>
      <c r="D253" s="7"/>
      <c r="E253" s="10"/>
      <c r="F253" s="107"/>
      <c r="G253" s="108"/>
      <c r="H253" s="108"/>
      <c r="I253" s="11"/>
      <c r="J253" s="108"/>
      <c r="K253" s="107"/>
      <c r="L253" s="108"/>
      <c r="M253" s="107"/>
      <c r="N253" s="107"/>
      <c r="O253" s="107"/>
      <c r="P253" s="107"/>
      <c r="Q253" s="107"/>
      <c r="R253" s="108"/>
      <c r="S253" s="108"/>
      <c r="T253" s="108"/>
      <c r="U253" s="108"/>
      <c r="V253" s="108"/>
      <c r="W253" s="107"/>
      <c r="X253" s="107"/>
      <c r="Y253" s="107"/>
      <c r="Z253" s="107"/>
      <c r="AA253" s="107"/>
      <c r="AB253" s="108"/>
      <c r="AC253" s="107"/>
      <c r="AD253" s="107"/>
      <c r="AE253" s="107"/>
      <c r="AF253" s="107"/>
      <c r="AG253" s="107"/>
      <c r="AH253" s="107"/>
      <c r="AI253" s="107"/>
      <c r="AJ253" s="107"/>
      <c r="AK253" s="108"/>
      <c r="AL253" s="11"/>
      <c r="AM253" s="108"/>
      <c r="AN253" s="108"/>
      <c r="AO253" s="270"/>
      <c r="AP253" s="270"/>
    </row>
    <row r="254" spans="1:42" s="268" customFormat="1" x14ac:dyDescent="0.25">
      <c r="A254" s="107"/>
      <c r="B254" s="107"/>
      <c r="C254" s="7"/>
      <c r="D254" s="7"/>
      <c r="E254" s="10"/>
      <c r="F254" s="107"/>
      <c r="G254" s="108"/>
      <c r="H254" s="108"/>
      <c r="I254" s="11"/>
      <c r="J254" s="108"/>
      <c r="K254" s="107"/>
      <c r="L254" s="108"/>
      <c r="M254" s="107"/>
      <c r="N254" s="107"/>
      <c r="O254" s="107"/>
      <c r="P254" s="107"/>
      <c r="Q254" s="107"/>
      <c r="R254" s="108"/>
      <c r="S254" s="108"/>
      <c r="T254" s="108"/>
      <c r="U254" s="108"/>
      <c r="V254" s="108"/>
      <c r="W254" s="107"/>
      <c r="X254" s="107"/>
      <c r="Y254" s="107"/>
      <c r="Z254" s="107"/>
      <c r="AA254" s="107"/>
      <c r="AB254" s="108"/>
      <c r="AC254" s="107"/>
      <c r="AD254" s="107"/>
      <c r="AE254" s="107"/>
      <c r="AF254" s="107"/>
      <c r="AG254" s="107"/>
      <c r="AH254" s="107"/>
      <c r="AI254" s="107"/>
      <c r="AJ254" s="107"/>
      <c r="AK254" s="108"/>
      <c r="AL254" s="11"/>
      <c r="AM254" s="108"/>
      <c r="AN254" s="108"/>
      <c r="AO254" s="270"/>
      <c r="AP254" s="270"/>
    </row>
    <row r="255" spans="1:42" s="268" customFormat="1" x14ac:dyDescent="0.25">
      <c r="A255" s="107"/>
      <c r="B255" s="107"/>
      <c r="C255" s="7"/>
      <c r="D255" s="7"/>
      <c r="E255" s="10"/>
      <c r="F255" s="107"/>
      <c r="G255" s="108"/>
      <c r="H255" s="108"/>
      <c r="I255" s="11"/>
      <c r="J255" s="108"/>
      <c r="K255" s="107"/>
      <c r="L255" s="108"/>
      <c r="M255" s="107"/>
      <c r="N255" s="107"/>
      <c r="O255" s="107"/>
      <c r="P255" s="107"/>
      <c r="Q255" s="107"/>
      <c r="R255" s="108"/>
      <c r="S255" s="108"/>
      <c r="T255" s="108"/>
      <c r="U255" s="108"/>
      <c r="V255" s="108"/>
      <c r="W255" s="107"/>
      <c r="X255" s="107"/>
      <c r="Y255" s="107"/>
      <c r="Z255" s="107"/>
      <c r="AA255" s="107"/>
      <c r="AB255" s="108"/>
      <c r="AC255" s="107"/>
      <c r="AD255" s="107"/>
      <c r="AE255" s="107"/>
      <c r="AF255" s="107"/>
      <c r="AG255" s="107"/>
      <c r="AH255" s="107"/>
      <c r="AI255" s="107"/>
      <c r="AJ255" s="107"/>
      <c r="AK255" s="108"/>
      <c r="AL255" s="11"/>
      <c r="AM255" s="108"/>
      <c r="AN255" s="108"/>
      <c r="AO255" s="270"/>
      <c r="AP255" s="270"/>
    </row>
    <row r="256" spans="1:42" s="268" customFormat="1" x14ac:dyDescent="0.25">
      <c r="A256" s="107"/>
      <c r="B256" s="107"/>
      <c r="C256" s="7"/>
      <c r="D256" s="7"/>
      <c r="E256" s="10"/>
      <c r="F256" s="107"/>
      <c r="G256" s="108"/>
      <c r="H256" s="108"/>
      <c r="I256" s="11"/>
      <c r="J256" s="108"/>
      <c r="K256" s="107"/>
      <c r="L256" s="108"/>
      <c r="M256" s="107"/>
      <c r="N256" s="107"/>
      <c r="O256" s="107"/>
      <c r="P256" s="107"/>
      <c r="Q256" s="107"/>
      <c r="R256" s="108"/>
      <c r="S256" s="108"/>
      <c r="T256" s="108"/>
      <c r="U256" s="108"/>
      <c r="V256" s="108"/>
      <c r="W256" s="107"/>
      <c r="X256" s="107"/>
      <c r="Y256" s="107"/>
      <c r="Z256" s="107"/>
      <c r="AA256" s="107"/>
      <c r="AB256" s="108"/>
      <c r="AC256" s="107"/>
      <c r="AD256" s="107"/>
      <c r="AE256" s="107"/>
      <c r="AF256" s="107"/>
      <c r="AG256" s="107"/>
      <c r="AH256" s="107"/>
      <c r="AI256" s="107"/>
      <c r="AJ256" s="107"/>
      <c r="AK256" s="108"/>
      <c r="AL256" s="11"/>
      <c r="AM256" s="108"/>
      <c r="AN256" s="108"/>
      <c r="AO256" s="270"/>
      <c r="AP256" s="270"/>
    </row>
    <row r="257" spans="1:42" s="268" customFormat="1" x14ac:dyDescent="0.25">
      <c r="A257" s="107"/>
      <c r="B257" s="107"/>
      <c r="C257" s="7"/>
      <c r="D257" s="7"/>
      <c r="E257" s="10"/>
      <c r="F257" s="107"/>
      <c r="G257" s="108"/>
      <c r="H257" s="108"/>
      <c r="I257" s="11"/>
      <c r="J257" s="108"/>
      <c r="K257" s="107"/>
      <c r="L257" s="108"/>
      <c r="M257" s="107"/>
      <c r="N257" s="107"/>
      <c r="O257" s="107"/>
      <c r="P257" s="107"/>
      <c r="Q257" s="107"/>
      <c r="R257" s="108"/>
      <c r="S257" s="108"/>
      <c r="T257" s="108"/>
      <c r="U257" s="108"/>
      <c r="V257" s="108"/>
      <c r="W257" s="107"/>
      <c r="X257" s="107"/>
      <c r="Y257" s="107"/>
      <c r="Z257" s="107"/>
      <c r="AA257" s="107"/>
      <c r="AB257" s="108"/>
      <c r="AC257" s="107"/>
      <c r="AD257" s="107"/>
      <c r="AE257" s="107"/>
      <c r="AF257" s="107"/>
      <c r="AG257" s="107"/>
      <c r="AH257" s="107"/>
      <c r="AI257" s="107"/>
      <c r="AJ257" s="107"/>
      <c r="AK257" s="108"/>
      <c r="AL257" s="11"/>
      <c r="AM257" s="108"/>
      <c r="AN257" s="108"/>
      <c r="AO257" s="270"/>
      <c r="AP257" s="270"/>
    </row>
    <row r="258" spans="1:42" s="268" customFormat="1" x14ac:dyDescent="0.25">
      <c r="A258" s="107"/>
      <c r="B258" s="107"/>
      <c r="C258" s="7"/>
      <c r="D258" s="7"/>
      <c r="E258" s="10"/>
      <c r="F258" s="107"/>
      <c r="G258" s="108"/>
      <c r="H258" s="108"/>
      <c r="I258" s="11"/>
      <c r="J258" s="108"/>
      <c r="K258" s="107"/>
      <c r="L258" s="108"/>
      <c r="M258" s="107"/>
      <c r="N258" s="107"/>
      <c r="O258" s="107"/>
      <c r="P258" s="107"/>
      <c r="Q258" s="107"/>
      <c r="R258" s="108"/>
      <c r="S258" s="108"/>
      <c r="T258" s="108"/>
      <c r="U258" s="108"/>
      <c r="V258" s="108"/>
      <c r="W258" s="107"/>
      <c r="X258" s="107"/>
      <c r="Y258" s="107"/>
      <c r="Z258" s="107"/>
      <c r="AA258" s="107"/>
      <c r="AB258" s="108"/>
      <c r="AC258" s="107"/>
      <c r="AD258" s="107"/>
      <c r="AE258" s="107"/>
      <c r="AF258" s="107"/>
      <c r="AG258" s="107"/>
      <c r="AH258" s="107"/>
      <c r="AI258" s="107"/>
      <c r="AJ258" s="107"/>
      <c r="AK258" s="108"/>
      <c r="AL258" s="11"/>
      <c r="AM258" s="108"/>
      <c r="AN258" s="108"/>
      <c r="AO258" s="270"/>
      <c r="AP258" s="270"/>
    </row>
    <row r="259" spans="1:42" s="268" customFormat="1" x14ac:dyDescent="0.25">
      <c r="A259" s="107"/>
      <c r="B259" s="107"/>
      <c r="C259" s="7"/>
      <c r="D259" s="7"/>
      <c r="E259" s="10"/>
      <c r="F259" s="107"/>
      <c r="G259" s="108"/>
      <c r="H259" s="108"/>
      <c r="I259" s="11"/>
      <c r="J259" s="108"/>
      <c r="K259" s="107"/>
      <c r="L259" s="108"/>
      <c r="M259" s="107"/>
      <c r="N259" s="107"/>
      <c r="O259" s="107"/>
      <c r="P259" s="107"/>
      <c r="Q259" s="107"/>
      <c r="R259" s="108"/>
      <c r="S259" s="108"/>
      <c r="T259" s="108"/>
      <c r="U259" s="108"/>
      <c r="V259" s="108"/>
      <c r="W259" s="107"/>
      <c r="X259" s="107"/>
      <c r="Y259" s="107"/>
      <c r="Z259" s="107"/>
      <c r="AA259" s="107"/>
      <c r="AB259" s="108"/>
      <c r="AC259" s="107"/>
      <c r="AD259" s="107"/>
      <c r="AE259" s="107"/>
      <c r="AF259" s="107"/>
      <c r="AG259" s="107"/>
      <c r="AH259" s="107"/>
      <c r="AI259" s="107"/>
      <c r="AJ259" s="107"/>
      <c r="AK259" s="108"/>
      <c r="AL259" s="11"/>
      <c r="AM259" s="108"/>
      <c r="AN259" s="108"/>
      <c r="AO259" s="270"/>
      <c r="AP259" s="270"/>
    </row>
    <row r="260" spans="1:42" s="268" customFormat="1" x14ac:dyDescent="0.25">
      <c r="A260" s="107"/>
      <c r="B260" s="107"/>
      <c r="C260" s="7"/>
      <c r="D260" s="7"/>
      <c r="E260" s="10"/>
      <c r="F260" s="107"/>
      <c r="G260" s="108"/>
      <c r="H260" s="108"/>
      <c r="I260" s="11"/>
      <c r="J260" s="108"/>
      <c r="K260" s="107"/>
      <c r="L260" s="108"/>
      <c r="M260" s="107"/>
      <c r="N260" s="107"/>
      <c r="O260" s="107"/>
      <c r="P260" s="107"/>
      <c r="Q260" s="107"/>
      <c r="R260" s="108"/>
      <c r="S260" s="108"/>
      <c r="T260" s="108"/>
      <c r="U260" s="108"/>
      <c r="V260" s="108"/>
      <c r="W260" s="107"/>
      <c r="X260" s="107"/>
      <c r="Y260" s="107"/>
      <c r="Z260" s="107"/>
      <c r="AA260" s="107"/>
      <c r="AB260" s="108"/>
      <c r="AC260" s="107"/>
      <c r="AD260" s="107"/>
      <c r="AE260" s="107"/>
      <c r="AF260" s="107"/>
      <c r="AG260" s="107"/>
      <c r="AH260" s="107"/>
      <c r="AI260" s="107"/>
      <c r="AJ260" s="107"/>
      <c r="AK260" s="108"/>
      <c r="AL260" s="11"/>
      <c r="AM260" s="108"/>
      <c r="AN260" s="108"/>
      <c r="AO260" s="270"/>
      <c r="AP260" s="270"/>
    </row>
    <row r="261" spans="1:42" s="268" customFormat="1" x14ac:dyDescent="0.25">
      <c r="A261" s="107"/>
      <c r="B261" s="107"/>
      <c r="C261" s="7"/>
      <c r="D261" s="7"/>
      <c r="E261" s="10"/>
      <c r="F261" s="107"/>
      <c r="G261" s="108"/>
      <c r="H261" s="108"/>
      <c r="I261" s="11"/>
      <c r="J261" s="108"/>
      <c r="K261" s="107"/>
      <c r="L261" s="108"/>
      <c r="M261" s="107"/>
      <c r="N261" s="107"/>
      <c r="O261" s="107"/>
      <c r="P261" s="107"/>
      <c r="Q261" s="107"/>
      <c r="R261" s="108"/>
      <c r="S261" s="108"/>
      <c r="T261" s="108"/>
      <c r="U261" s="108"/>
      <c r="V261" s="108"/>
      <c r="W261" s="107"/>
      <c r="X261" s="107"/>
      <c r="Y261" s="107"/>
      <c r="Z261" s="107"/>
      <c r="AA261" s="107"/>
      <c r="AB261" s="108"/>
      <c r="AC261" s="107"/>
      <c r="AD261" s="107"/>
      <c r="AE261" s="107"/>
      <c r="AF261" s="107"/>
      <c r="AG261" s="107"/>
      <c r="AH261" s="107"/>
      <c r="AI261" s="107"/>
      <c r="AJ261" s="107"/>
      <c r="AK261" s="108"/>
      <c r="AL261" s="11"/>
      <c r="AM261" s="108"/>
      <c r="AN261" s="108"/>
      <c r="AO261" s="270"/>
      <c r="AP261" s="270"/>
    </row>
    <row r="262" spans="1:42" s="268" customFormat="1" x14ac:dyDescent="0.25">
      <c r="A262" s="107"/>
      <c r="B262" s="107"/>
      <c r="C262" s="7"/>
      <c r="D262" s="7"/>
      <c r="E262" s="10"/>
      <c r="F262" s="107"/>
      <c r="G262" s="7"/>
      <c r="H262" s="7"/>
      <c r="I262" s="10"/>
      <c r="J262" s="7"/>
      <c r="K262" s="107"/>
      <c r="L262" s="7"/>
      <c r="M262" s="107"/>
      <c r="N262" s="107"/>
      <c r="O262" s="107"/>
      <c r="P262" s="107"/>
      <c r="Q262" s="107"/>
      <c r="R262" s="7"/>
      <c r="S262" s="7"/>
      <c r="T262" s="7"/>
      <c r="U262" s="7"/>
      <c r="V262" s="7"/>
      <c r="W262" s="107"/>
      <c r="X262" s="107"/>
      <c r="Y262" s="107"/>
      <c r="Z262" s="107"/>
      <c r="AA262" s="107"/>
      <c r="AB262" s="7"/>
      <c r="AC262" s="107"/>
      <c r="AD262" s="107"/>
      <c r="AE262" s="107"/>
      <c r="AF262" s="107"/>
      <c r="AG262" s="107"/>
      <c r="AH262" s="107"/>
      <c r="AI262" s="107"/>
      <c r="AJ262" s="107"/>
      <c r="AK262" s="7"/>
      <c r="AL262" s="10"/>
      <c r="AM262" s="7"/>
      <c r="AN262" s="7"/>
      <c r="AO262" s="266"/>
      <c r="AP262" s="266"/>
    </row>
    <row r="263" spans="1:42" s="268" customFormat="1" x14ac:dyDescent="0.25">
      <c r="A263" s="107"/>
      <c r="B263" s="107"/>
      <c r="C263" s="7"/>
      <c r="D263" s="7"/>
      <c r="E263" s="10"/>
      <c r="F263" s="107"/>
      <c r="G263" s="7"/>
      <c r="H263" s="7"/>
      <c r="I263" s="10"/>
      <c r="J263" s="7"/>
      <c r="K263" s="107"/>
      <c r="L263" s="7"/>
      <c r="M263" s="107"/>
      <c r="N263" s="107"/>
      <c r="O263" s="107"/>
      <c r="P263" s="107"/>
      <c r="Q263" s="107"/>
      <c r="R263" s="7"/>
      <c r="S263" s="7"/>
      <c r="T263" s="7"/>
      <c r="U263" s="7"/>
      <c r="V263" s="7"/>
      <c r="W263" s="107"/>
      <c r="X263" s="107"/>
      <c r="Y263" s="107"/>
      <c r="Z263" s="107"/>
      <c r="AA263" s="107"/>
      <c r="AB263" s="7"/>
      <c r="AC263" s="107"/>
      <c r="AD263" s="107"/>
      <c r="AE263" s="107"/>
      <c r="AF263" s="107"/>
      <c r="AG263" s="107"/>
      <c r="AH263" s="107"/>
      <c r="AI263" s="107"/>
      <c r="AJ263" s="107"/>
      <c r="AK263" s="7"/>
      <c r="AL263" s="10"/>
      <c r="AM263" s="7"/>
      <c r="AN263" s="7"/>
      <c r="AO263" s="266"/>
      <c r="AP263" s="266"/>
    </row>
    <row r="264" spans="1:42" s="268" customFormat="1" x14ac:dyDescent="0.25">
      <c r="A264" s="107"/>
      <c r="B264" s="107"/>
      <c r="C264" s="7"/>
      <c r="D264" s="7"/>
      <c r="E264" s="10"/>
      <c r="F264" s="107"/>
      <c r="G264" s="7"/>
      <c r="H264" s="7"/>
      <c r="I264" s="10"/>
      <c r="J264" s="7"/>
      <c r="K264" s="107"/>
      <c r="L264" s="7"/>
      <c r="M264" s="107"/>
      <c r="N264" s="107"/>
      <c r="O264" s="107"/>
      <c r="P264" s="107"/>
      <c r="Q264" s="107"/>
      <c r="R264" s="7"/>
      <c r="S264" s="7"/>
      <c r="T264" s="7"/>
      <c r="U264" s="7"/>
      <c r="V264" s="7"/>
      <c r="W264" s="107"/>
      <c r="X264" s="107"/>
      <c r="Y264" s="107"/>
      <c r="Z264" s="107"/>
      <c r="AA264" s="107"/>
      <c r="AB264" s="7"/>
      <c r="AC264" s="107"/>
      <c r="AD264" s="107"/>
      <c r="AE264" s="107"/>
      <c r="AF264" s="107"/>
      <c r="AG264" s="107"/>
      <c r="AH264" s="107"/>
      <c r="AI264" s="107"/>
      <c r="AJ264" s="107"/>
      <c r="AK264" s="7"/>
      <c r="AL264" s="10"/>
      <c r="AM264" s="7"/>
      <c r="AN264" s="7"/>
      <c r="AO264" s="266"/>
      <c r="AP264" s="266"/>
    </row>
    <row r="265" spans="1:42" s="268" customFormat="1" x14ac:dyDescent="0.25">
      <c r="A265" s="107"/>
      <c r="B265" s="107"/>
      <c r="C265" s="7"/>
      <c r="D265" s="7"/>
      <c r="E265" s="10"/>
      <c r="F265" s="107"/>
      <c r="G265" s="7"/>
      <c r="H265" s="7"/>
      <c r="I265" s="10"/>
      <c r="J265" s="7"/>
      <c r="K265" s="107"/>
      <c r="L265" s="7"/>
      <c r="M265" s="107"/>
      <c r="N265" s="107"/>
      <c r="O265" s="107"/>
      <c r="P265" s="107"/>
      <c r="Q265" s="107"/>
      <c r="R265" s="7"/>
      <c r="S265" s="7"/>
      <c r="T265" s="7"/>
      <c r="U265" s="7"/>
      <c r="V265" s="7"/>
      <c r="W265" s="107"/>
      <c r="X265" s="107"/>
      <c r="Y265" s="107"/>
      <c r="Z265" s="107"/>
      <c r="AA265" s="107"/>
      <c r="AB265" s="7"/>
      <c r="AC265" s="107"/>
      <c r="AD265" s="107"/>
      <c r="AE265" s="107"/>
      <c r="AF265" s="107"/>
      <c r="AG265" s="107"/>
      <c r="AH265" s="107"/>
      <c r="AI265" s="107"/>
      <c r="AJ265" s="107"/>
      <c r="AK265" s="7"/>
      <c r="AL265" s="10"/>
      <c r="AM265" s="7"/>
      <c r="AN265" s="7"/>
      <c r="AO265" s="266"/>
      <c r="AP265" s="266"/>
    </row>
    <row r="266" spans="1:42" s="268" customFormat="1" x14ac:dyDescent="0.25">
      <c r="A266" s="107"/>
      <c r="B266" s="107"/>
      <c r="C266" s="7"/>
      <c r="D266" s="7"/>
      <c r="E266" s="10"/>
      <c r="F266" s="107"/>
      <c r="G266" s="7"/>
      <c r="H266" s="7"/>
      <c r="I266" s="10"/>
      <c r="J266" s="7"/>
      <c r="K266" s="107"/>
      <c r="L266" s="7"/>
      <c r="M266" s="107"/>
      <c r="N266" s="107"/>
      <c r="O266" s="107"/>
      <c r="P266" s="107"/>
      <c r="Q266" s="107"/>
      <c r="R266" s="7"/>
      <c r="S266" s="7"/>
      <c r="T266" s="7"/>
      <c r="U266" s="7"/>
      <c r="V266" s="7"/>
      <c r="W266" s="107"/>
      <c r="X266" s="107"/>
      <c r="Y266" s="107"/>
      <c r="Z266" s="107"/>
      <c r="AA266" s="107"/>
      <c r="AB266" s="7"/>
      <c r="AC266" s="107"/>
      <c r="AD266" s="107"/>
      <c r="AE266" s="107"/>
      <c r="AF266" s="107"/>
      <c r="AG266" s="107"/>
      <c r="AH266" s="107"/>
      <c r="AI266" s="107"/>
      <c r="AJ266" s="107"/>
      <c r="AK266" s="7"/>
      <c r="AL266" s="10"/>
      <c r="AM266" s="7"/>
      <c r="AN266" s="7"/>
      <c r="AO266" s="266"/>
      <c r="AP266" s="266"/>
    </row>
    <row r="267" spans="1:42" s="268" customFormat="1" x14ac:dyDescent="0.25">
      <c r="A267" s="107"/>
      <c r="B267" s="107"/>
      <c r="C267" s="7"/>
      <c r="D267" s="7"/>
      <c r="E267" s="10"/>
      <c r="F267" s="107"/>
      <c r="G267" s="7"/>
      <c r="H267" s="7"/>
      <c r="I267" s="10"/>
      <c r="J267" s="7"/>
      <c r="K267" s="107"/>
      <c r="L267" s="7"/>
      <c r="M267" s="107"/>
      <c r="N267" s="107"/>
      <c r="O267" s="107"/>
      <c r="P267" s="107"/>
      <c r="Q267" s="107"/>
      <c r="R267" s="7"/>
      <c r="S267" s="7"/>
      <c r="T267" s="7"/>
      <c r="U267" s="7"/>
      <c r="V267" s="7"/>
      <c r="W267" s="107"/>
      <c r="X267" s="107"/>
      <c r="Y267" s="107"/>
      <c r="Z267" s="107"/>
      <c r="AA267" s="107"/>
      <c r="AB267" s="7"/>
      <c r="AC267" s="107"/>
      <c r="AD267" s="107"/>
      <c r="AE267" s="107"/>
      <c r="AF267" s="107"/>
      <c r="AG267" s="107"/>
      <c r="AH267" s="107"/>
      <c r="AI267" s="107"/>
      <c r="AJ267" s="107"/>
      <c r="AK267" s="7"/>
      <c r="AL267" s="10"/>
      <c r="AM267" s="7"/>
      <c r="AN267" s="7"/>
      <c r="AO267" s="266"/>
      <c r="AP267" s="266"/>
    </row>
    <row r="268" spans="1:42" s="268" customFormat="1" x14ac:dyDescent="0.25">
      <c r="A268" s="107"/>
      <c r="B268" s="107"/>
      <c r="C268" s="7"/>
      <c r="D268" s="7"/>
      <c r="E268" s="10"/>
      <c r="F268" s="107"/>
      <c r="G268" s="7"/>
      <c r="H268" s="7"/>
      <c r="I268" s="10"/>
      <c r="J268" s="7"/>
      <c r="K268" s="107"/>
      <c r="L268" s="7"/>
      <c r="M268" s="107"/>
      <c r="N268" s="107"/>
      <c r="O268" s="107"/>
      <c r="P268" s="107"/>
      <c r="Q268" s="107"/>
      <c r="R268" s="7"/>
      <c r="S268" s="7"/>
      <c r="T268" s="7"/>
      <c r="U268" s="7"/>
      <c r="V268" s="7"/>
      <c r="W268" s="107"/>
      <c r="X268" s="107"/>
      <c r="Y268" s="107"/>
      <c r="Z268" s="107"/>
      <c r="AA268" s="107"/>
      <c r="AB268" s="7"/>
      <c r="AC268" s="107"/>
      <c r="AD268" s="107"/>
      <c r="AE268" s="107"/>
      <c r="AF268" s="107"/>
      <c r="AG268" s="107"/>
      <c r="AH268" s="107"/>
      <c r="AI268" s="107"/>
      <c r="AJ268" s="107"/>
      <c r="AK268" s="7"/>
      <c r="AL268" s="10"/>
      <c r="AM268" s="7"/>
      <c r="AN268" s="7"/>
      <c r="AO268" s="266"/>
      <c r="AP268" s="266"/>
    </row>
    <row r="269" spans="1:42" s="268" customFormat="1" x14ac:dyDescent="0.25">
      <c r="A269" s="107"/>
      <c r="B269" s="107"/>
      <c r="C269" s="7"/>
      <c r="D269" s="7"/>
      <c r="E269" s="10"/>
      <c r="F269" s="107"/>
      <c r="G269" s="7"/>
      <c r="H269" s="7"/>
      <c r="I269" s="10"/>
      <c r="J269" s="7"/>
      <c r="K269" s="107"/>
      <c r="L269" s="7"/>
      <c r="M269" s="107"/>
      <c r="N269" s="107"/>
      <c r="O269" s="107"/>
      <c r="P269" s="107"/>
      <c r="Q269" s="107"/>
      <c r="R269" s="7"/>
      <c r="S269" s="7"/>
      <c r="T269" s="7"/>
      <c r="U269" s="7"/>
      <c r="V269" s="7"/>
      <c r="W269" s="107"/>
      <c r="X269" s="107"/>
      <c r="Y269" s="107"/>
      <c r="Z269" s="107"/>
      <c r="AA269" s="107"/>
      <c r="AB269" s="7"/>
      <c r="AC269" s="107"/>
      <c r="AD269" s="107"/>
      <c r="AE269" s="107"/>
      <c r="AF269" s="107"/>
      <c r="AG269" s="107"/>
      <c r="AH269" s="107"/>
      <c r="AI269" s="107"/>
      <c r="AJ269" s="107"/>
      <c r="AK269" s="7"/>
      <c r="AL269" s="10"/>
      <c r="AM269" s="7"/>
      <c r="AN269" s="7"/>
      <c r="AO269" s="266"/>
      <c r="AP269" s="266"/>
    </row>
    <row r="270" spans="1:42" s="268" customFormat="1" x14ac:dyDescent="0.25">
      <c r="A270" s="107"/>
      <c r="B270" s="107"/>
      <c r="C270" s="7"/>
      <c r="D270" s="7"/>
      <c r="E270" s="10"/>
      <c r="F270" s="107"/>
      <c r="G270" s="7"/>
      <c r="H270" s="7"/>
      <c r="I270" s="10"/>
      <c r="J270" s="7"/>
      <c r="K270" s="107"/>
      <c r="L270" s="7"/>
      <c r="M270" s="107"/>
      <c r="N270" s="107"/>
      <c r="O270" s="107"/>
      <c r="P270" s="107"/>
      <c r="Q270" s="107"/>
      <c r="R270" s="7"/>
      <c r="S270" s="7"/>
      <c r="T270" s="7"/>
      <c r="U270" s="7"/>
      <c r="V270" s="7"/>
      <c r="W270" s="107"/>
      <c r="X270" s="107"/>
      <c r="Y270" s="107"/>
      <c r="Z270" s="107"/>
      <c r="AA270" s="107"/>
      <c r="AB270" s="7"/>
      <c r="AC270" s="107"/>
      <c r="AD270" s="107"/>
      <c r="AE270" s="107"/>
      <c r="AF270" s="107"/>
      <c r="AG270" s="107"/>
      <c r="AH270" s="107"/>
      <c r="AI270" s="107"/>
      <c r="AJ270" s="107"/>
      <c r="AK270" s="7"/>
      <c r="AL270" s="10"/>
      <c r="AM270" s="7"/>
      <c r="AN270" s="7"/>
      <c r="AO270" s="266"/>
      <c r="AP270" s="266"/>
    </row>
    <row r="271" spans="1:42" s="268" customFormat="1" x14ac:dyDescent="0.25">
      <c r="A271" s="107"/>
      <c r="B271" s="107"/>
      <c r="C271" s="7"/>
      <c r="D271" s="7"/>
      <c r="E271" s="10"/>
      <c r="F271" s="107"/>
      <c r="G271" s="7"/>
      <c r="H271" s="7"/>
      <c r="I271" s="10"/>
      <c r="J271" s="7"/>
      <c r="K271" s="107"/>
      <c r="L271" s="7"/>
      <c r="M271" s="107"/>
      <c r="N271" s="107"/>
      <c r="O271" s="107"/>
      <c r="P271" s="107"/>
      <c r="Q271" s="107"/>
      <c r="R271" s="7"/>
      <c r="S271" s="7"/>
      <c r="T271" s="7"/>
      <c r="U271" s="7"/>
      <c r="V271" s="7"/>
      <c r="W271" s="107"/>
      <c r="X271" s="107"/>
      <c r="Y271" s="107"/>
      <c r="Z271" s="107"/>
      <c r="AA271" s="107"/>
      <c r="AB271" s="7"/>
      <c r="AC271" s="107"/>
      <c r="AD271" s="107"/>
      <c r="AE271" s="107"/>
      <c r="AF271" s="107"/>
      <c r="AG271" s="107"/>
      <c r="AH271" s="107"/>
      <c r="AI271" s="107"/>
      <c r="AJ271" s="107"/>
      <c r="AK271" s="7"/>
      <c r="AL271" s="10"/>
      <c r="AM271" s="7"/>
      <c r="AN271" s="7"/>
      <c r="AO271" s="266"/>
      <c r="AP271" s="266"/>
    </row>
    <row r="272" spans="1:42" s="268" customFormat="1" x14ac:dyDescent="0.25">
      <c r="A272" s="107"/>
      <c r="B272" s="107"/>
      <c r="C272" s="7"/>
      <c r="D272" s="7"/>
      <c r="E272" s="10"/>
      <c r="F272" s="107"/>
      <c r="G272" s="7"/>
      <c r="H272" s="7"/>
      <c r="I272" s="10"/>
      <c r="J272" s="7"/>
      <c r="K272" s="107"/>
      <c r="L272" s="7"/>
      <c r="M272" s="107"/>
      <c r="N272" s="107"/>
      <c r="O272" s="107"/>
      <c r="P272" s="107"/>
      <c r="Q272" s="107"/>
      <c r="R272" s="7"/>
      <c r="S272" s="7"/>
      <c r="T272" s="7"/>
      <c r="U272" s="7"/>
      <c r="V272" s="7"/>
      <c r="W272" s="107"/>
      <c r="X272" s="107"/>
      <c r="Y272" s="107"/>
      <c r="Z272" s="107"/>
      <c r="AA272" s="107"/>
      <c r="AB272" s="7"/>
      <c r="AC272" s="107"/>
      <c r="AD272" s="107"/>
      <c r="AE272" s="107"/>
      <c r="AF272" s="107"/>
      <c r="AG272" s="107"/>
      <c r="AH272" s="107"/>
      <c r="AI272" s="107"/>
      <c r="AJ272" s="107"/>
      <c r="AK272" s="7"/>
      <c r="AL272" s="10"/>
      <c r="AM272" s="7"/>
      <c r="AN272" s="7"/>
      <c r="AO272" s="266"/>
      <c r="AP272" s="266"/>
    </row>
    <row r="273" spans="1:42" s="268" customFormat="1" x14ac:dyDescent="0.25">
      <c r="A273" s="107"/>
      <c r="B273" s="107"/>
      <c r="C273" s="7"/>
      <c r="D273" s="7"/>
      <c r="E273" s="10"/>
      <c r="F273" s="107"/>
      <c r="G273" s="7"/>
      <c r="H273" s="7"/>
      <c r="I273" s="10"/>
      <c r="J273" s="7"/>
      <c r="K273" s="107"/>
      <c r="L273" s="7"/>
      <c r="M273" s="107"/>
      <c r="N273" s="107"/>
      <c r="O273" s="107"/>
      <c r="P273" s="107"/>
      <c r="Q273" s="107"/>
      <c r="R273" s="7"/>
      <c r="S273" s="7"/>
      <c r="T273" s="7"/>
      <c r="U273" s="7"/>
      <c r="V273" s="7"/>
      <c r="W273" s="107"/>
      <c r="X273" s="107"/>
      <c r="Y273" s="107"/>
      <c r="Z273" s="107"/>
      <c r="AA273" s="107"/>
      <c r="AB273" s="7"/>
      <c r="AC273" s="107"/>
      <c r="AD273" s="107"/>
      <c r="AE273" s="107"/>
      <c r="AF273" s="107"/>
      <c r="AG273" s="107"/>
      <c r="AH273" s="107"/>
      <c r="AI273" s="107"/>
      <c r="AJ273" s="107"/>
      <c r="AK273" s="7"/>
      <c r="AL273" s="10"/>
      <c r="AM273" s="7"/>
      <c r="AN273" s="7"/>
      <c r="AO273" s="266"/>
      <c r="AP273" s="266"/>
    </row>
    <row r="274" spans="1:42" s="268" customFormat="1" x14ac:dyDescent="0.25">
      <c r="A274" s="107"/>
      <c r="B274" s="107"/>
      <c r="C274" s="108"/>
      <c r="D274" s="108"/>
      <c r="E274" s="11"/>
      <c r="F274" s="107"/>
      <c r="G274" s="7"/>
      <c r="H274" s="7"/>
      <c r="I274" s="10"/>
      <c r="J274" s="7"/>
      <c r="K274" s="107"/>
      <c r="L274" s="7"/>
      <c r="M274" s="107"/>
      <c r="N274" s="107"/>
      <c r="O274" s="107"/>
      <c r="P274" s="107"/>
      <c r="Q274" s="107"/>
      <c r="R274" s="7"/>
      <c r="S274" s="7"/>
      <c r="T274" s="7"/>
      <c r="U274" s="7"/>
      <c r="V274" s="7"/>
      <c r="W274" s="107"/>
      <c r="X274" s="107"/>
      <c r="Y274" s="107"/>
      <c r="Z274" s="107"/>
      <c r="AA274" s="107"/>
      <c r="AB274" s="7"/>
      <c r="AC274" s="107"/>
      <c r="AD274" s="107"/>
      <c r="AE274" s="107"/>
      <c r="AF274" s="107"/>
      <c r="AG274" s="107"/>
      <c r="AH274" s="107"/>
      <c r="AI274" s="107"/>
      <c r="AJ274" s="107"/>
      <c r="AK274" s="7"/>
      <c r="AL274" s="10"/>
      <c r="AM274" s="7"/>
      <c r="AN274" s="7"/>
      <c r="AO274" s="266"/>
      <c r="AP274" s="266"/>
    </row>
    <row r="275" spans="1:42" s="268" customFormat="1" x14ac:dyDescent="0.25">
      <c r="A275" s="107"/>
      <c r="B275" s="107"/>
      <c r="C275" s="108"/>
      <c r="D275" s="108"/>
      <c r="E275" s="11"/>
      <c r="F275" s="107"/>
      <c r="G275" s="7"/>
      <c r="H275" s="7"/>
      <c r="I275" s="10"/>
      <c r="J275" s="7"/>
      <c r="K275" s="107"/>
      <c r="L275" s="7"/>
      <c r="M275" s="107"/>
      <c r="N275" s="107"/>
      <c r="O275" s="107"/>
      <c r="P275" s="107"/>
      <c r="Q275" s="107"/>
      <c r="R275" s="7"/>
      <c r="S275" s="7"/>
      <c r="T275" s="7"/>
      <c r="U275" s="7"/>
      <c r="V275" s="7"/>
      <c r="W275" s="107"/>
      <c r="X275" s="107"/>
      <c r="Y275" s="107"/>
      <c r="Z275" s="107"/>
      <c r="AA275" s="107"/>
      <c r="AB275" s="7"/>
      <c r="AC275" s="107"/>
      <c r="AD275" s="107"/>
      <c r="AE275" s="107"/>
      <c r="AF275" s="107"/>
      <c r="AG275" s="107"/>
      <c r="AH275" s="107"/>
      <c r="AI275" s="107"/>
      <c r="AJ275" s="107"/>
      <c r="AK275" s="7"/>
      <c r="AL275" s="10"/>
      <c r="AM275" s="7"/>
      <c r="AN275" s="7"/>
      <c r="AO275" s="266"/>
      <c r="AP275" s="266"/>
    </row>
    <row r="276" spans="1:42" s="268" customFormat="1" x14ac:dyDescent="0.25">
      <c r="A276" s="107"/>
      <c r="B276" s="107"/>
      <c r="C276" s="108"/>
      <c r="D276" s="108"/>
      <c r="E276" s="11"/>
      <c r="F276" s="107"/>
      <c r="G276" s="7"/>
      <c r="H276" s="7"/>
      <c r="I276" s="10"/>
      <c r="J276" s="7"/>
      <c r="K276" s="107"/>
      <c r="L276" s="7"/>
      <c r="M276" s="107"/>
      <c r="N276" s="107"/>
      <c r="O276" s="107"/>
      <c r="P276" s="107"/>
      <c r="Q276" s="107"/>
      <c r="R276" s="7"/>
      <c r="S276" s="7"/>
      <c r="T276" s="7"/>
      <c r="U276" s="7"/>
      <c r="V276" s="7"/>
      <c r="W276" s="107"/>
      <c r="X276" s="107"/>
      <c r="Y276" s="107"/>
      <c r="Z276" s="107"/>
      <c r="AA276" s="107"/>
      <c r="AB276" s="7"/>
      <c r="AC276" s="107"/>
      <c r="AD276" s="107"/>
      <c r="AE276" s="107"/>
      <c r="AF276" s="107"/>
      <c r="AG276" s="107"/>
      <c r="AH276" s="107"/>
      <c r="AI276" s="107"/>
      <c r="AJ276" s="107"/>
      <c r="AK276" s="7"/>
      <c r="AL276" s="10"/>
      <c r="AM276" s="7"/>
      <c r="AN276" s="7"/>
      <c r="AO276" s="266"/>
      <c r="AP276" s="266"/>
    </row>
    <row r="277" spans="1:42" s="268" customFormat="1" x14ac:dyDescent="0.25">
      <c r="A277" s="107"/>
      <c r="B277" s="107"/>
      <c r="C277" s="108"/>
      <c r="D277" s="108"/>
      <c r="E277" s="11"/>
      <c r="F277" s="107"/>
      <c r="G277" s="7"/>
      <c r="H277" s="7"/>
      <c r="I277" s="10"/>
      <c r="J277" s="7"/>
      <c r="K277" s="107"/>
      <c r="L277" s="7"/>
      <c r="M277" s="107"/>
      <c r="N277" s="107"/>
      <c r="O277" s="107"/>
      <c r="P277" s="107"/>
      <c r="Q277" s="107"/>
      <c r="R277" s="7"/>
      <c r="S277" s="7"/>
      <c r="T277" s="7"/>
      <c r="U277" s="7"/>
      <c r="V277" s="7"/>
      <c r="W277" s="107"/>
      <c r="X277" s="107"/>
      <c r="Y277" s="107"/>
      <c r="Z277" s="107"/>
      <c r="AA277" s="107"/>
      <c r="AB277" s="7"/>
      <c r="AC277" s="107"/>
      <c r="AD277" s="107"/>
      <c r="AE277" s="107"/>
      <c r="AF277" s="107"/>
      <c r="AG277" s="107"/>
      <c r="AH277" s="107"/>
      <c r="AI277" s="107"/>
      <c r="AJ277" s="107"/>
      <c r="AK277" s="7"/>
      <c r="AL277" s="10"/>
      <c r="AM277" s="7"/>
      <c r="AN277" s="7"/>
      <c r="AO277" s="266"/>
      <c r="AP277" s="266"/>
    </row>
    <row r="278" spans="1:42" s="268" customFormat="1" x14ac:dyDescent="0.25">
      <c r="A278" s="107"/>
      <c r="B278" s="107"/>
      <c r="C278" s="108"/>
      <c r="D278" s="108"/>
      <c r="E278" s="11"/>
      <c r="F278" s="107"/>
      <c r="G278" s="7"/>
      <c r="H278" s="7"/>
      <c r="I278" s="10"/>
      <c r="J278" s="7"/>
      <c r="K278" s="107"/>
      <c r="L278" s="7"/>
      <c r="M278" s="107"/>
      <c r="N278" s="107"/>
      <c r="O278" s="107"/>
      <c r="P278" s="107"/>
      <c r="Q278" s="107"/>
      <c r="R278" s="7"/>
      <c r="S278" s="7"/>
      <c r="T278" s="7"/>
      <c r="U278" s="7"/>
      <c r="V278" s="7"/>
      <c r="W278" s="107"/>
      <c r="X278" s="107"/>
      <c r="Y278" s="107"/>
      <c r="Z278" s="107"/>
      <c r="AA278" s="107"/>
      <c r="AB278" s="7"/>
      <c r="AC278" s="107"/>
      <c r="AD278" s="107"/>
      <c r="AE278" s="107"/>
      <c r="AF278" s="107"/>
      <c r="AG278" s="107"/>
      <c r="AH278" s="107"/>
      <c r="AI278" s="107"/>
      <c r="AJ278" s="107"/>
      <c r="AK278" s="7"/>
      <c r="AL278" s="10"/>
      <c r="AM278" s="7"/>
      <c r="AN278" s="7"/>
      <c r="AO278" s="266"/>
      <c r="AP278" s="266"/>
    </row>
    <row r="279" spans="1:42" s="268" customFormat="1" x14ac:dyDescent="0.25">
      <c r="A279" s="107"/>
      <c r="B279" s="107"/>
      <c r="C279" s="108"/>
      <c r="D279" s="108"/>
      <c r="E279" s="11"/>
      <c r="F279" s="107"/>
      <c r="G279" s="7"/>
      <c r="H279" s="7"/>
      <c r="I279" s="10"/>
      <c r="J279" s="7"/>
      <c r="K279" s="107"/>
      <c r="L279" s="7"/>
      <c r="M279" s="107"/>
      <c r="N279" s="107"/>
      <c r="O279" s="107"/>
      <c r="P279" s="107"/>
      <c r="Q279" s="107"/>
      <c r="R279" s="7"/>
      <c r="S279" s="7"/>
      <c r="T279" s="7"/>
      <c r="U279" s="7"/>
      <c r="V279" s="7"/>
      <c r="W279" s="107"/>
      <c r="X279" s="107"/>
      <c r="Y279" s="107"/>
      <c r="Z279" s="107"/>
      <c r="AA279" s="107"/>
      <c r="AB279" s="7"/>
      <c r="AC279" s="107"/>
      <c r="AD279" s="107"/>
      <c r="AE279" s="107"/>
      <c r="AF279" s="107"/>
      <c r="AG279" s="107"/>
      <c r="AH279" s="107"/>
      <c r="AI279" s="107"/>
      <c r="AJ279" s="107"/>
      <c r="AK279" s="7"/>
      <c r="AL279" s="10"/>
      <c r="AM279" s="7"/>
      <c r="AN279" s="7"/>
      <c r="AO279" s="266"/>
      <c r="AP279" s="266"/>
    </row>
    <row r="280" spans="1:42" s="268" customFormat="1" x14ac:dyDescent="0.25">
      <c r="A280" s="107"/>
      <c r="B280" s="107"/>
      <c r="C280" s="108"/>
      <c r="D280" s="108"/>
      <c r="E280" s="11"/>
      <c r="F280" s="107"/>
      <c r="G280" s="7"/>
      <c r="H280" s="7"/>
      <c r="I280" s="10"/>
      <c r="J280" s="7"/>
      <c r="K280" s="107"/>
      <c r="L280" s="7"/>
      <c r="M280" s="107"/>
      <c r="N280" s="107"/>
      <c r="O280" s="107"/>
      <c r="P280" s="107"/>
      <c r="Q280" s="107"/>
      <c r="R280" s="7"/>
      <c r="S280" s="7"/>
      <c r="T280" s="7"/>
      <c r="U280" s="7"/>
      <c r="V280" s="7"/>
      <c r="W280" s="107"/>
      <c r="X280" s="107"/>
      <c r="Y280" s="107"/>
      <c r="Z280" s="107"/>
      <c r="AA280" s="107"/>
      <c r="AB280" s="7"/>
      <c r="AC280" s="107"/>
      <c r="AD280" s="107"/>
      <c r="AE280" s="107"/>
      <c r="AF280" s="107"/>
      <c r="AG280" s="107"/>
      <c r="AH280" s="107"/>
      <c r="AI280" s="107"/>
      <c r="AJ280" s="107"/>
      <c r="AK280" s="7"/>
      <c r="AL280" s="10"/>
      <c r="AM280" s="7"/>
      <c r="AN280" s="7"/>
      <c r="AO280" s="266"/>
      <c r="AP280" s="266"/>
    </row>
    <row r="281" spans="1:42" s="268" customFormat="1" x14ac:dyDescent="0.25">
      <c r="A281" s="107"/>
      <c r="B281" s="107"/>
      <c r="C281" s="108"/>
      <c r="D281" s="108"/>
      <c r="E281" s="11"/>
      <c r="F281" s="107"/>
      <c r="G281" s="7"/>
      <c r="H281" s="7"/>
      <c r="I281" s="10"/>
      <c r="J281" s="7"/>
      <c r="K281" s="107"/>
      <c r="L281" s="7"/>
      <c r="M281" s="107"/>
      <c r="N281" s="107"/>
      <c r="O281" s="107"/>
      <c r="P281" s="107"/>
      <c r="Q281" s="107"/>
      <c r="R281" s="7"/>
      <c r="S281" s="7"/>
      <c r="T281" s="7"/>
      <c r="U281" s="7"/>
      <c r="V281" s="7"/>
      <c r="W281" s="107"/>
      <c r="X281" s="107"/>
      <c r="Y281" s="107"/>
      <c r="Z281" s="107"/>
      <c r="AA281" s="107"/>
      <c r="AB281" s="7"/>
      <c r="AC281" s="107"/>
      <c r="AD281" s="107"/>
      <c r="AE281" s="107"/>
      <c r="AF281" s="107"/>
      <c r="AG281" s="107"/>
      <c r="AH281" s="107"/>
      <c r="AI281" s="107"/>
      <c r="AJ281" s="107"/>
      <c r="AK281" s="7"/>
      <c r="AL281" s="10"/>
      <c r="AM281" s="7"/>
      <c r="AN281" s="7"/>
      <c r="AO281" s="266"/>
      <c r="AP281" s="266"/>
    </row>
    <row r="282" spans="1:42" s="268" customFormat="1" x14ac:dyDescent="0.25">
      <c r="A282" s="107"/>
      <c r="B282" s="107"/>
      <c r="C282" s="108"/>
      <c r="D282" s="108"/>
      <c r="E282" s="11"/>
      <c r="F282" s="107"/>
      <c r="G282" s="7"/>
      <c r="H282" s="7"/>
      <c r="I282" s="10"/>
      <c r="J282" s="7"/>
      <c r="K282" s="107"/>
      <c r="L282" s="7"/>
      <c r="M282" s="107"/>
      <c r="N282" s="107"/>
      <c r="O282" s="107"/>
      <c r="P282" s="107"/>
      <c r="Q282" s="107"/>
      <c r="R282" s="7"/>
      <c r="S282" s="7"/>
      <c r="T282" s="7"/>
      <c r="U282" s="7"/>
      <c r="V282" s="7"/>
      <c r="W282" s="107"/>
      <c r="X282" s="107"/>
      <c r="Y282" s="107"/>
      <c r="Z282" s="107"/>
      <c r="AA282" s="107"/>
      <c r="AB282" s="7"/>
      <c r="AC282" s="107"/>
      <c r="AD282" s="107"/>
      <c r="AE282" s="107"/>
      <c r="AF282" s="107"/>
      <c r="AG282" s="107"/>
      <c r="AH282" s="107"/>
      <c r="AI282" s="107"/>
      <c r="AJ282" s="107"/>
      <c r="AK282" s="7"/>
      <c r="AL282" s="10"/>
      <c r="AM282" s="7"/>
      <c r="AN282" s="7"/>
      <c r="AO282" s="266"/>
      <c r="AP282" s="266"/>
    </row>
    <row r="283" spans="1:42" s="268" customFormat="1" x14ac:dyDescent="0.25">
      <c r="A283" s="107"/>
      <c r="B283" s="107"/>
      <c r="C283" s="108"/>
      <c r="D283" s="108"/>
      <c r="E283" s="11"/>
      <c r="F283" s="107"/>
      <c r="G283" s="7"/>
      <c r="H283" s="7"/>
      <c r="I283" s="10"/>
      <c r="J283" s="7"/>
      <c r="K283" s="107"/>
      <c r="L283" s="7"/>
      <c r="M283" s="107"/>
      <c r="N283" s="107"/>
      <c r="O283" s="107"/>
      <c r="P283" s="107"/>
      <c r="Q283" s="107"/>
      <c r="R283" s="7"/>
      <c r="S283" s="7"/>
      <c r="T283" s="7"/>
      <c r="U283" s="7"/>
      <c r="V283" s="7"/>
      <c r="W283" s="107"/>
      <c r="X283" s="107"/>
      <c r="Y283" s="107"/>
      <c r="Z283" s="107"/>
      <c r="AA283" s="107"/>
      <c r="AB283" s="7"/>
      <c r="AC283" s="107"/>
      <c r="AD283" s="107"/>
      <c r="AE283" s="107"/>
      <c r="AF283" s="107"/>
      <c r="AG283" s="107"/>
      <c r="AH283" s="107"/>
      <c r="AI283" s="107"/>
      <c r="AJ283" s="107"/>
      <c r="AK283" s="7"/>
      <c r="AL283" s="10"/>
      <c r="AM283" s="7"/>
      <c r="AN283" s="7"/>
      <c r="AO283" s="266"/>
      <c r="AP283" s="266"/>
    </row>
    <row r="284" spans="1:42" s="268" customFormat="1" x14ac:dyDescent="0.25">
      <c r="A284" s="107"/>
      <c r="B284" s="107"/>
      <c r="C284" s="108"/>
      <c r="D284" s="108"/>
      <c r="E284" s="11"/>
      <c r="F284" s="107"/>
      <c r="G284" s="7"/>
      <c r="H284" s="7"/>
      <c r="I284" s="10"/>
      <c r="J284" s="7"/>
      <c r="K284" s="107"/>
      <c r="L284" s="7"/>
      <c r="M284" s="107"/>
      <c r="N284" s="107"/>
      <c r="O284" s="107"/>
      <c r="P284" s="107"/>
      <c r="Q284" s="107"/>
      <c r="R284" s="7"/>
      <c r="S284" s="7"/>
      <c r="T284" s="7"/>
      <c r="U284" s="7"/>
      <c r="V284" s="7"/>
      <c r="W284" s="107"/>
      <c r="X284" s="107"/>
      <c r="Y284" s="107"/>
      <c r="Z284" s="107"/>
      <c r="AA284" s="107"/>
      <c r="AB284" s="7"/>
      <c r="AC284" s="107"/>
      <c r="AD284" s="107"/>
      <c r="AE284" s="107"/>
      <c r="AF284" s="107"/>
      <c r="AG284" s="107"/>
      <c r="AH284" s="107"/>
      <c r="AI284" s="107"/>
      <c r="AJ284" s="107"/>
      <c r="AK284" s="7"/>
      <c r="AL284" s="10"/>
      <c r="AM284" s="7"/>
      <c r="AN284" s="7"/>
      <c r="AO284" s="266"/>
      <c r="AP284" s="266"/>
    </row>
    <row r="285" spans="1:42" s="268" customFormat="1" x14ac:dyDescent="0.25">
      <c r="A285" s="107"/>
      <c r="B285" s="107"/>
      <c r="C285" s="108"/>
      <c r="D285" s="108"/>
      <c r="E285" s="11"/>
      <c r="F285" s="107"/>
      <c r="G285" s="7"/>
      <c r="H285" s="7"/>
      <c r="I285" s="10"/>
      <c r="J285" s="7"/>
      <c r="K285" s="107"/>
      <c r="L285" s="7"/>
      <c r="M285" s="107"/>
      <c r="N285" s="107"/>
      <c r="O285" s="107"/>
      <c r="P285" s="107"/>
      <c r="Q285" s="107"/>
      <c r="R285" s="7"/>
      <c r="S285" s="7"/>
      <c r="T285" s="7"/>
      <c r="U285" s="7"/>
      <c r="V285" s="7"/>
      <c r="W285" s="107"/>
      <c r="X285" s="107"/>
      <c r="Y285" s="107"/>
      <c r="Z285" s="107"/>
      <c r="AA285" s="107"/>
      <c r="AB285" s="7"/>
      <c r="AC285" s="107"/>
      <c r="AD285" s="107"/>
      <c r="AE285" s="107"/>
      <c r="AF285" s="107"/>
      <c r="AG285" s="107"/>
      <c r="AH285" s="107"/>
      <c r="AI285" s="107"/>
      <c r="AJ285" s="107"/>
      <c r="AK285" s="7"/>
      <c r="AL285" s="10"/>
      <c r="AM285" s="7"/>
      <c r="AN285" s="7"/>
      <c r="AO285" s="266"/>
      <c r="AP285" s="266"/>
    </row>
    <row r="286" spans="1:42" s="268" customFormat="1" x14ac:dyDescent="0.25">
      <c r="A286" s="107"/>
      <c r="B286" s="107"/>
      <c r="C286" s="108"/>
      <c r="D286" s="108"/>
      <c r="E286" s="11"/>
      <c r="F286" s="107"/>
      <c r="G286" s="7"/>
      <c r="H286" s="7"/>
      <c r="I286" s="10"/>
      <c r="J286" s="7"/>
      <c r="K286" s="107"/>
      <c r="L286" s="7"/>
      <c r="M286" s="107"/>
      <c r="N286" s="107"/>
      <c r="O286" s="107"/>
      <c r="P286" s="107"/>
      <c r="Q286" s="107"/>
      <c r="R286" s="7"/>
      <c r="S286" s="7"/>
      <c r="T286" s="7"/>
      <c r="U286" s="7"/>
      <c r="V286" s="7"/>
      <c r="W286" s="107"/>
      <c r="X286" s="107"/>
      <c r="Y286" s="107"/>
      <c r="Z286" s="107"/>
      <c r="AA286" s="107"/>
      <c r="AB286" s="7"/>
      <c r="AC286" s="107"/>
      <c r="AD286" s="107"/>
      <c r="AE286" s="107"/>
      <c r="AF286" s="107"/>
      <c r="AG286" s="107"/>
      <c r="AH286" s="107"/>
      <c r="AI286" s="107"/>
      <c r="AJ286" s="107"/>
      <c r="AK286" s="7"/>
      <c r="AL286" s="10"/>
      <c r="AM286" s="7"/>
      <c r="AN286" s="7"/>
      <c r="AO286" s="266"/>
      <c r="AP286" s="266"/>
    </row>
    <row r="287" spans="1:42" s="268" customFormat="1" x14ac:dyDescent="0.25">
      <c r="A287" s="107"/>
      <c r="B287" s="107"/>
      <c r="C287" s="7"/>
      <c r="D287" s="7"/>
      <c r="E287" s="10"/>
      <c r="F287" s="107"/>
      <c r="G287" s="7"/>
      <c r="H287" s="7"/>
      <c r="I287" s="10"/>
      <c r="J287" s="7"/>
      <c r="K287" s="107"/>
      <c r="L287" s="7"/>
      <c r="M287" s="107"/>
      <c r="N287" s="107"/>
      <c r="O287" s="107"/>
      <c r="P287" s="107"/>
      <c r="Q287" s="107"/>
      <c r="R287" s="7"/>
      <c r="S287" s="7"/>
      <c r="T287" s="7"/>
      <c r="U287" s="7"/>
      <c r="V287" s="7"/>
      <c r="W287" s="107"/>
      <c r="X287" s="107"/>
      <c r="Y287" s="107"/>
      <c r="Z287" s="107"/>
      <c r="AA287" s="107"/>
      <c r="AB287" s="7"/>
      <c r="AC287" s="107"/>
      <c r="AD287" s="107"/>
      <c r="AE287" s="107"/>
      <c r="AF287" s="107"/>
      <c r="AG287" s="107"/>
      <c r="AH287" s="107"/>
      <c r="AI287" s="107"/>
      <c r="AJ287" s="107"/>
      <c r="AK287" s="7"/>
      <c r="AL287" s="10"/>
      <c r="AM287" s="7"/>
      <c r="AN287" s="7"/>
      <c r="AO287" s="266"/>
      <c r="AP287" s="266"/>
    </row>
    <row r="288" spans="1:42" s="268" customFormat="1" x14ac:dyDescent="0.25">
      <c r="A288" s="107"/>
      <c r="B288" s="107"/>
      <c r="C288" s="7"/>
      <c r="D288" s="7"/>
      <c r="E288" s="10"/>
      <c r="F288" s="107"/>
      <c r="G288" s="7"/>
      <c r="H288" s="7"/>
      <c r="I288" s="10"/>
      <c r="J288" s="7"/>
      <c r="K288" s="107"/>
      <c r="L288" s="7"/>
      <c r="M288" s="107"/>
      <c r="N288" s="107"/>
      <c r="O288" s="107"/>
      <c r="P288" s="107"/>
      <c r="Q288" s="107"/>
      <c r="R288" s="7"/>
      <c r="S288" s="7"/>
      <c r="T288" s="7"/>
      <c r="U288" s="7"/>
      <c r="V288" s="7"/>
      <c r="W288" s="107"/>
      <c r="X288" s="107"/>
      <c r="Y288" s="107"/>
      <c r="Z288" s="107"/>
      <c r="AA288" s="107"/>
      <c r="AB288" s="7"/>
      <c r="AC288" s="107"/>
      <c r="AD288" s="107"/>
      <c r="AE288" s="107"/>
      <c r="AF288" s="107"/>
      <c r="AG288" s="107"/>
      <c r="AH288" s="107"/>
      <c r="AI288" s="107"/>
      <c r="AJ288" s="107"/>
      <c r="AK288" s="7"/>
      <c r="AL288" s="10"/>
      <c r="AM288" s="7"/>
      <c r="AN288" s="7"/>
      <c r="AO288" s="266"/>
      <c r="AP288" s="266"/>
    </row>
    <row r="289" spans="1:42" s="268" customFormat="1" x14ac:dyDescent="0.25">
      <c r="A289" s="107"/>
      <c r="B289" s="107"/>
      <c r="C289" s="7"/>
      <c r="D289" s="7"/>
      <c r="E289" s="10"/>
      <c r="F289" s="107"/>
      <c r="G289" s="7"/>
      <c r="H289" s="7"/>
      <c r="I289" s="10"/>
      <c r="J289" s="7"/>
      <c r="K289" s="107"/>
      <c r="L289" s="7"/>
      <c r="M289" s="107"/>
      <c r="N289" s="107"/>
      <c r="O289" s="107"/>
      <c r="P289" s="107"/>
      <c r="Q289" s="107"/>
      <c r="R289" s="7"/>
      <c r="S289" s="7"/>
      <c r="T289" s="7"/>
      <c r="U289" s="7"/>
      <c r="V289" s="7"/>
      <c r="W289" s="107"/>
      <c r="X289" s="107"/>
      <c r="Y289" s="107"/>
      <c r="Z289" s="107"/>
      <c r="AA289" s="107"/>
      <c r="AB289" s="7"/>
      <c r="AC289" s="107"/>
      <c r="AD289" s="107"/>
      <c r="AE289" s="107"/>
      <c r="AF289" s="107"/>
      <c r="AG289" s="107"/>
      <c r="AH289" s="107"/>
      <c r="AI289" s="107"/>
      <c r="AJ289" s="107"/>
      <c r="AK289" s="7"/>
      <c r="AL289" s="10"/>
      <c r="AM289" s="7"/>
      <c r="AN289" s="7"/>
      <c r="AO289" s="266"/>
      <c r="AP289" s="266"/>
    </row>
    <row r="290" spans="1:42" s="268" customFormat="1" x14ac:dyDescent="0.25">
      <c r="A290" s="107"/>
      <c r="B290" s="107"/>
      <c r="C290" s="7"/>
      <c r="D290" s="7"/>
      <c r="E290" s="10"/>
      <c r="F290" s="107"/>
      <c r="G290" s="7"/>
      <c r="H290" s="7"/>
      <c r="I290" s="10"/>
      <c r="J290" s="7"/>
      <c r="K290" s="107"/>
      <c r="L290" s="7"/>
      <c r="M290" s="107"/>
      <c r="N290" s="107"/>
      <c r="O290" s="107"/>
      <c r="P290" s="107"/>
      <c r="Q290" s="107"/>
      <c r="R290" s="7"/>
      <c r="S290" s="7"/>
      <c r="T290" s="7"/>
      <c r="U290" s="7"/>
      <c r="V290" s="7"/>
      <c r="W290" s="107"/>
      <c r="X290" s="107"/>
      <c r="Y290" s="107"/>
      <c r="Z290" s="107"/>
      <c r="AA290" s="107"/>
      <c r="AB290" s="7"/>
      <c r="AC290" s="107"/>
      <c r="AD290" s="107"/>
      <c r="AE290" s="107"/>
      <c r="AF290" s="107"/>
      <c r="AG290" s="107"/>
      <c r="AH290" s="107"/>
      <c r="AI290" s="107"/>
      <c r="AJ290" s="107"/>
      <c r="AK290" s="7"/>
      <c r="AL290" s="10"/>
      <c r="AM290" s="7"/>
      <c r="AN290" s="7"/>
      <c r="AO290" s="266"/>
      <c r="AP290" s="266"/>
    </row>
    <row r="291" spans="1:42" s="268" customFormat="1" x14ac:dyDescent="0.25">
      <c r="A291" s="107"/>
      <c r="B291" s="107"/>
      <c r="C291" s="7"/>
      <c r="D291" s="7"/>
      <c r="E291" s="10"/>
      <c r="F291" s="107"/>
      <c r="G291" s="7"/>
      <c r="H291" s="7"/>
      <c r="I291" s="10"/>
      <c r="J291" s="7"/>
      <c r="K291" s="107"/>
      <c r="L291" s="7"/>
      <c r="M291" s="107"/>
      <c r="N291" s="107"/>
      <c r="O291" s="107"/>
      <c r="P291" s="107"/>
      <c r="Q291" s="107"/>
      <c r="R291" s="7"/>
      <c r="S291" s="7"/>
      <c r="T291" s="7"/>
      <c r="U291" s="7"/>
      <c r="V291" s="7"/>
      <c r="W291" s="107"/>
      <c r="X291" s="107"/>
      <c r="Y291" s="107"/>
      <c r="Z291" s="107"/>
      <c r="AA291" s="107"/>
      <c r="AB291" s="7"/>
      <c r="AC291" s="107"/>
      <c r="AD291" s="107"/>
      <c r="AE291" s="107"/>
      <c r="AF291" s="107"/>
      <c r="AG291" s="107"/>
      <c r="AH291" s="107"/>
      <c r="AI291" s="107"/>
      <c r="AJ291" s="107"/>
      <c r="AK291" s="7"/>
      <c r="AL291" s="10"/>
      <c r="AM291" s="7"/>
      <c r="AN291" s="7"/>
      <c r="AO291" s="266"/>
      <c r="AP291" s="266"/>
    </row>
    <row r="292" spans="1:42" s="268" customFormat="1" x14ac:dyDescent="0.25">
      <c r="A292" s="107"/>
      <c r="B292" s="107"/>
      <c r="C292" s="7"/>
      <c r="D292" s="7"/>
      <c r="E292" s="10"/>
      <c r="F292" s="107"/>
      <c r="G292" s="7"/>
      <c r="H292" s="7"/>
      <c r="I292" s="10"/>
      <c r="J292" s="7"/>
      <c r="K292" s="107"/>
      <c r="L292" s="7"/>
      <c r="M292" s="107"/>
      <c r="N292" s="107"/>
      <c r="O292" s="107"/>
      <c r="P292" s="107"/>
      <c r="Q292" s="107"/>
      <c r="R292" s="7"/>
      <c r="S292" s="7"/>
      <c r="T292" s="7"/>
      <c r="U292" s="7"/>
      <c r="V292" s="7"/>
      <c r="W292" s="107"/>
      <c r="X292" s="107"/>
      <c r="Y292" s="107"/>
      <c r="Z292" s="107"/>
      <c r="AA292" s="107"/>
      <c r="AB292" s="7"/>
      <c r="AC292" s="107"/>
      <c r="AD292" s="107"/>
      <c r="AE292" s="107"/>
      <c r="AF292" s="107"/>
      <c r="AG292" s="107"/>
      <c r="AH292" s="107"/>
      <c r="AI292" s="107"/>
      <c r="AJ292" s="107"/>
      <c r="AK292" s="7"/>
      <c r="AL292" s="10"/>
      <c r="AM292" s="7"/>
      <c r="AN292" s="7"/>
      <c r="AO292" s="266"/>
      <c r="AP292" s="266"/>
    </row>
    <row r="293" spans="1:42" s="268" customFormat="1" x14ac:dyDescent="0.25">
      <c r="A293" s="107"/>
      <c r="B293" s="107"/>
      <c r="C293" s="7"/>
      <c r="D293" s="7"/>
      <c r="E293" s="10"/>
      <c r="F293" s="107"/>
      <c r="G293" s="7"/>
      <c r="H293" s="7"/>
      <c r="I293" s="10"/>
      <c r="J293" s="7"/>
      <c r="K293" s="107"/>
      <c r="L293" s="7"/>
      <c r="M293" s="107"/>
      <c r="N293" s="107"/>
      <c r="O293" s="107"/>
      <c r="P293" s="107"/>
      <c r="Q293" s="107"/>
      <c r="R293" s="7"/>
      <c r="S293" s="7"/>
      <c r="T293" s="7"/>
      <c r="U293" s="7"/>
      <c r="V293" s="7"/>
      <c r="W293" s="107"/>
      <c r="X293" s="107"/>
      <c r="Y293" s="107"/>
      <c r="Z293" s="107"/>
      <c r="AA293" s="107"/>
      <c r="AB293" s="7"/>
      <c r="AC293" s="107"/>
      <c r="AD293" s="107"/>
      <c r="AE293" s="107"/>
      <c r="AF293" s="107"/>
      <c r="AG293" s="107"/>
      <c r="AH293" s="107"/>
      <c r="AI293" s="107"/>
      <c r="AJ293" s="107"/>
      <c r="AK293" s="7"/>
      <c r="AL293" s="10"/>
      <c r="AM293" s="7"/>
      <c r="AN293" s="7"/>
      <c r="AO293" s="266"/>
      <c r="AP293" s="266"/>
    </row>
    <row r="294" spans="1:42" s="268" customFormat="1" x14ac:dyDescent="0.25">
      <c r="A294" s="107"/>
      <c r="B294" s="107"/>
      <c r="C294" s="7"/>
      <c r="D294" s="7"/>
      <c r="E294" s="10"/>
      <c r="F294" s="107"/>
      <c r="G294" s="7"/>
      <c r="H294" s="7"/>
      <c r="I294" s="10"/>
      <c r="J294" s="7"/>
      <c r="K294" s="107"/>
      <c r="L294" s="7"/>
      <c r="M294" s="107"/>
      <c r="N294" s="107"/>
      <c r="O294" s="107"/>
      <c r="P294" s="107"/>
      <c r="Q294" s="107"/>
      <c r="R294" s="7"/>
      <c r="S294" s="7"/>
      <c r="T294" s="7"/>
      <c r="U294" s="7"/>
      <c r="V294" s="7"/>
      <c r="W294" s="107"/>
      <c r="X294" s="107"/>
      <c r="Y294" s="107"/>
      <c r="Z294" s="107"/>
      <c r="AA294" s="107"/>
      <c r="AB294" s="7"/>
      <c r="AC294" s="107"/>
      <c r="AD294" s="107"/>
      <c r="AE294" s="107"/>
      <c r="AF294" s="107"/>
      <c r="AG294" s="107"/>
      <c r="AH294" s="107"/>
      <c r="AI294" s="107"/>
      <c r="AJ294" s="107"/>
      <c r="AK294" s="7"/>
      <c r="AL294" s="10"/>
      <c r="AM294" s="7"/>
      <c r="AN294" s="7"/>
      <c r="AO294" s="266"/>
      <c r="AP294" s="266"/>
    </row>
    <row r="295" spans="1:42" s="268" customFormat="1" x14ac:dyDescent="0.25">
      <c r="A295" s="107"/>
      <c r="B295" s="107"/>
      <c r="C295" s="7"/>
      <c r="D295" s="7"/>
      <c r="E295" s="10"/>
      <c r="F295" s="107"/>
      <c r="G295" s="7"/>
      <c r="H295" s="7"/>
      <c r="I295" s="10"/>
      <c r="J295" s="7"/>
      <c r="K295" s="107"/>
      <c r="L295" s="7"/>
      <c r="M295" s="107"/>
      <c r="N295" s="107"/>
      <c r="O295" s="107"/>
      <c r="P295" s="107"/>
      <c r="Q295" s="107"/>
      <c r="R295" s="7"/>
      <c r="S295" s="7"/>
      <c r="T295" s="7"/>
      <c r="U295" s="7"/>
      <c r="V295" s="7"/>
      <c r="W295" s="107"/>
      <c r="X295" s="107"/>
      <c r="Y295" s="107"/>
      <c r="Z295" s="107"/>
      <c r="AA295" s="107"/>
      <c r="AB295" s="7"/>
      <c r="AC295" s="107"/>
      <c r="AD295" s="107"/>
      <c r="AE295" s="107"/>
      <c r="AF295" s="107"/>
      <c r="AG295" s="107"/>
      <c r="AH295" s="107"/>
      <c r="AI295" s="107"/>
      <c r="AJ295" s="107"/>
      <c r="AK295" s="7"/>
      <c r="AL295" s="10"/>
      <c r="AM295" s="7"/>
      <c r="AN295" s="7"/>
      <c r="AO295" s="266"/>
      <c r="AP295" s="266"/>
    </row>
    <row r="296" spans="1:42" s="268" customFormat="1" x14ac:dyDescent="0.25">
      <c r="A296" s="107"/>
      <c r="B296" s="107"/>
      <c r="C296" s="7"/>
      <c r="D296" s="7"/>
      <c r="E296" s="10"/>
      <c r="F296" s="107"/>
      <c r="G296" s="7"/>
      <c r="H296" s="7"/>
      <c r="I296" s="10"/>
      <c r="J296" s="7"/>
      <c r="K296" s="107"/>
      <c r="L296" s="7"/>
      <c r="M296" s="107"/>
      <c r="N296" s="107"/>
      <c r="O296" s="107"/>
      <c r="P296" s="107"/>
      <c r="Q296" s="107"/>
      <c r="R296" s="7"/>
      <c r="S296" s="7"/>
      <c r="T296" s="7"/>
      <c r="U296" s="7"/>
      <c r="V296" s="7"/>
      <c r="W296" s="107"/>
      <c r="X296" s="107"/>
      <c r="Y296" s="107"/>
      <c r="Z296" s="107"/>
      <c r="AA296" s="107"/>
      <c r="AB296" s="7"/>
      <c r="AC296" s="107"/>
      <c r="AD296" s="107"/>
      <c r="AE296" s="107"/>
      <c r="AF296" s="107"/>
      <c r="AG296" s="107"/>
      <c r="AH296" s="107"/>
      <c r="AI296" s="107"/>
      <c r="AJ296" s="107"/>
      <c r="AK296" s="7"/>
      <c r="AL296" s="10"/>
      <c r="AM296" s="7"/>
      <c r="AN296" s="7"/>
      <c r="AO296" s="266"/>
      <c r="AP296" s="266"/>
    </row>
    <row r="297" spans="1:42" s="268" customFormat="1" x14ac:dyDescent="0.25">
      <c r="A297" s="107"/>
      <c r="B297" s="107"/>
      <c r="C297" s="7"/>
      <c r="D297" s="7"/>
      <c r="E297" s="10"/>
      <c r="F297" s="107"/>
      <c r="G297" s="7"/>
      <c r="H297" s="7"/>
      <c r="I297" s="10"/>
      <c r="J297" s="7"/>
      <c r="K297" s="107"/>
      <c r="L297" s="7"/>
      <c r="M297" s="107"/>
      <c r="N297" s="107"/>
      <c r="O297" s="107"/>
      <c r="P297" s="107"/>
      <c r="Q297" s="107"/>
      <c r="R297" s="7"/>
      <c r="S297" s="7"/>
      <c r="T297" s="7"/>
      <c r="U297" s="7"/>
      <c r="V297" s="7"/>
      <c r="W297" s="107"/>
      <c r="X297" s="107"/>
      <c r="Y297" s="107"/>
      <c r="Z297" s="107"/>
      <c r="AA297" s="107"/>
      <c r="AB297" s="7"/>
      <c r="AC297" s="107"/>
      <c r="AD297" s="107"/>
      <c r="AE297" s="107"/>
      <c r="AF297" s="107"/>
      <c r="AG297" s="107"/>
      <c r="AH297" s="107"/>
      <c r="AI297" s="107"/>
      <c r="AJ297" s="107"/>
      <c r="AK297" s="7"/>
      <c r="AL297" s="10"/>
      <c r="AM297" s="7"/>
      <c r="AN297" s="7"/>
      <c r="AO297" s="266"/>
      <c r="AP297" s="266"/>
    </row>
    <row r="298" spans="1:42" s="268" customFormat="1" x14ac:dyDescent="0.25">
      <c r="A298" s="107"/>
      <c r="B298" s="107"/>
      <c r="C298" s="7"/>
      <c r="D298" s="7"/>
      <c r="E298" s="10"/>
      <c r="F298" s="107"/>
      <c r="G298" s="7"/>
      <c r="H298" s="7"/>
      <c r="I298" s="10"/>
      <c r="J298" s="7"/>
      <c r="K298" s="107"/>
      <c r="L298" s="7"/>
      <c r="M298" s="107"/>
      <c r="N298" s="107"/>
      <c r="O298" s="107"/>
      <c r="P298" s="107"/>
      <c r="Q298" s="107"/>
      <c r="R298" s="7"/>
      <c r="S298" s="7"/>
      <c r="T298" s="7"/>
      <c r="U298" s="7"/>
      <c r="V298" s="7"/>
      <c r="W298" s="107"/>
      <c r="X298" s="107"/>
      <c r="Y298" s="107"/>
      <c r="Z298" s="107"/>
      <c r="AA298" s="107"/>
      <c r="AB298" s="7"/>
      <c r="AC298" s="107"/>
      <c r="AD298" s="107"/>
      <c r="AE298" s="107"/>
      <c r="AF298" s="107"/>
      <c r="AG298" s="107"/>
      <c r="AH298" s="107"/>
      <c r="AI298" s="107"/>
      <c r="AJ298" s="107"/>
      <c r="AK298" s="7"/>
      <c r="AL298" s="10"/>
      <c r="AM298" s="7"/>
      <c r="AN298" s="7"/>
      <c r="AO298" s="266"/>
      <c r="AP298" s="266"/>
    </row>
    <row r="299" spans="1:42" s="268" customFormat="1" x14ac:dyDescent="0.25">
      <c r="A299" s="107"/>
      <c r="B299" s="107"/>
      <c r="C299" s="7"/>
      <c r="D299" s="7"/>
      <c r="E299" s="10"/>
      <c r="F299" s="107"/>
      <c r="G299" s="7"/>
      <c r="H299" s="7"/>
      <c r="I299" s="10"/>
      <c r="J299" s="7"/>
      <c r="K299" s="107"/>
      <c r="L299" s="7"/>
      <c r="M299" s="107"/>
      <c r="N299" s="107"/>
      <c r="O299" s="107"/>
      <c r="P299" s="107"/>
      <c r="Q299" s="107"/>
      <c r="R299" s="7"/>
      <c r="S299" s="7"/>
      <c r="T299" s="7"/>
      <c r="U299" s="7"/>
      <c r="V299" s="7"/>
      <c r="W299" s="107"/>
      <c r="X299" s="107"/>
      <c r="Y299" s="107"/>
      <c r="Z299" s="107"/>
      <c r="AA299" s="107"/>
      <c r="AB299" s="7"/>
      <c r="AC299" s="107"/>
      <c r="AD299" s="107"/>
      <c r="AE299" s="107"/>
      <c r="AF299" s="107"/>
      <c r="AG299" s="107"/>
      <c r="AH299" s="107"/>
      <c r="AI299" s="107"/>
      <c r="AJ299" s="107"/>
      <c r="AK299" s="7"/>
      <c r="AL299" s="10"/>
      <c r="AM299" s="7"/>
      <c r="AN299" s="7"/>
      <c r="AO299" s="266"/>
      <c r="AP299" s="266"/>
    </row>
    <row r="300" spans="1:42" s="268" customFormat="1" x14ac:dyDescent="0.25">
      <c r="A300" s="107"/>
      <c r="B300" s="107"/>
      <c r="C300" s="7"/>
      <c r="D300" s="7"/>
      <c r="E300" s="10"/>
      <c r="F300" s="107"/>
      <c r="G300" s="7"/>
      <c r="H300" s="7"/>
      <c r="I300" s="10"/>
      <c r="J300" s="7"/>
      <c r="K300" s="107"/>
      <c r="L300" s="7"/>
      <c r="M300" s="107"/>
      <c r="N300" s="107"/>
      <c r="O300" s="107"/>
      <c r="P300" s="107"/>
      <c r="Q300" s="107"/>
      <c r="R300" s="7"/>
      <c r="S300" s="7"/>
      <c r="T300" s="7"/>
      <c r="U300" s="7"/>
      <c r="V300" s="7"/>
      <c r="W300" s="107"/>
      <c r="X300" s="107"/>
      <c r="Y300" s="107"/>
      <c r="Z300" s="107"/>
      <c r="AA300" s="107"/>
      <c r="AB300" s="7"/>
      <c r="AC300" s="107"/>
      <c r="AD300" s="107"/>
      <c r="AE300" s="107"/>
      <c r="AF300" s="107"/>
      <c r="AG300" s="107"/>
      <c r="AH300" s="107"/>
      <c r="AI300" s="107"/>
      <c r="AJ300" s="107"/>
      <c r="AK300" s="7"/>
      <c r="AL300" s="10"/>
      <c r="AM300" s="7"/>
      <c r="AN300" s="7"/>
      <c r="AO300" s="266"/>
      <c r="AP300" s="266"/>
    </row>
    <row r="301" spans="1:42" s="268" customFormat="1" x14ac:dyDescent="0.25">
      <c r="A301" s="107"/>
      <c r="B301" s="107"/>
      <c r="C301" s="7"/>
      <c r="D301" s="7"/>
      <c r="E301" s="10"/>
      <c r="F301" s="107"/>
      <c r="G301" s="7"/>
      <c r="H301" s="7"/>
      <c r="I301" s="10"/>
      <c r="J301" s="7"/>
      <c r="K301" s="107"/>
      <c r="L301" s="7"/>
      <c r="M301" s="107"/>
      <c r="N301" s="107"/>
      <c r="O301" s="107"/>
      <c r="P301" s="107"/>
      <c r="Q301" s="107"/>
      <c r="R301" s="7"/>
      <c r="S301" s="7"/>
      <c r="T301" s="7"/>
      <c r="U301" s="7"/>
      <c r="V301" s="7"/>
      <c r="W301" s="107"/>
      <c r="X301" s="107"/>
      <c r="Y301" s="107"/>
      <c r="Z301" s="107"/>
      <c r="AA301" s="107"/>
      <c r="AB301" s="7"/>
      <c r="AC301" s="107"/>
      <c r="AD301" s="107"/>
      <c r="AE301" s="107"/>
      <c r="AF301" s="107"/>
      <c r="AG301" s="107"/>
      <c r="AH301" s="107"/>
      <c r="AI301" s="107"/>
      <c r="AJ301" s="107"/>
      <c r="AK301" s="7"/>
      <c r="AL301" s="10"/>
      <c r="AM301" s="7"/>
      <c r="AN301" s="7"/>
      <c r="AO301" s="266"/>
      <c r="AP301" s="266"/>
    </row>
    <row r="302" spans="1:42" s="268" customFormat="1" x14ac:dyDescent="0.25">
      <c r="A302" s="107"/>
      <c r="B302" s="107"/>
      <c r="C302" s="7"/>
      <c r="D302" s="7"/>
      <c r="E302" s="10"/>
      <c r="F302" s="107"/>
      <c r="G302" s="7"/>
      <c r="H302" s="7"/>
      <c r="I302" s="10"/>
      <c r="J302" s="7"/>
      <c r="K302" s="107"/>
      <c r="L302" s="7"/>
      <c r="M302" s="107"/>
      <c r="N302" s="107"/>
      <c r="O302" s="107"/>
      <c r="P302" s="107"/>
      <c r="Q302" s="107"/>
      <c r="R302" s="7"/>
      <c r="S302" s="7"/>
      <c r="T302" s="7"/>
      <c r="U302" s="7"/>
      <c r="V302" s="7"/>
      <c r="W302" s="107"/>
      <c r="X302" s="107"/>
      <c r="Y302" s="107"/>
      <c r="Z302" s="107"/>
      <c r="AA302" s="107"/>
      <c r="AB302" s="7"/>
      <c r="AC302" s="107"/>
      <c r="AD302" s="107"/>
      <c r="AE302" s="107"/>
      <c r="AF302" s="107"/>
      <c r="AG302" s="107"/>
      <c r="AH302" s="107"/>
      <c r="AI302" s="107"/>
      <c r="AJ302" s="107"/>
      <c r="AK302" s="7"/>
      <c r="AL302" s="10"/>
      <c r="AM302" s="7"/>
      <c r="AN302" s="7"/>
      <c r="AO302" s="266"/>
      <c r="AP302" s="266"/>
    </row>
    <row r="303" spans="1:42" s="268" customFormat="1" x14ac:dyDescent="0.25">
      <c r="A303" s="107"/>
      <c r="B303" s="107"/>
      <c r="C303" s="7"/>
      <c r="D303" s="7"/>
      <c r="E303" s="10"/>
      <c r="F303" s="107"/>
      <c r="G303" s="7"/>
      <c r="H303" s="7"/>
      <c r="I303" s="10"/>
      <c r="J303" s="7"/>
      <c r="K303" s="107"/>
      <c r="L303" s="7"/>
      <c r="M303" s="107"/>
      <c r="N303" s="107"/>
      <c r="O303" s="107"/>
      <c r="P303" s="107"/>
      <c r="Q303" s="107"/>
      <c r="R303" s="7"/>
      <c r="S303" s="7"/>
      <c r="T303" s="7"/>
      <c r="U303" s="7"/>
      <c r="V303" s="7"/>
      <c r="W303" s="107"/>
      <c r="X303" s="107"/>
      <c r="Y303" s="107"/>
      <c r="Z303" s="107"/>
      <c r="AA303" s="107"/>
      <c r="AB303" s="7"/>
      <c r="AC303" s="107"/>
      <c r="AD303" s="107"/>
      <c r="AE303" s="107"/>
      <c r="AF303" s="107"/>
      <c r="AG303" s="107"/>
      <c r="AH303" s="107"/>
      <c r="AI303" s="107"/>
      <c r="AJ303" s="107"/>
      <c r="AK303" s="7"/>
      <c r="AL303" s="10"/>
      <c r="AM303" s="7"/>
      <c r="AN303" s="7"/>
      <c r="AO303" s="266"/>
      <c r="AP303" s="266"/>
    </row>
    <row r="304" spans="1:42" s="268" customFormat="1" x14ac:dyDescent="0.25">
      <c r="A304" s="107"/>
      <c r="B304" s="107"/>
      <c r="C304" s="7"/>
      <c r="D304" s="7"/>
      <c r="E304" s="10"/>
      <c r="F304" s="107"/>
      <c r="G304" s="7"/>
      <c r="H304" s="7"/>
      <c r="I304" s="10"/>
      <c r="J304" s="7"/>
      <c r="K304" s="107"/>
      <c r="L304" s="7"/>
      <c r="M304" s="107"/>
      <c r="N304" s="107"/>
      <c r="O304" s="107"/>
      <c r="P304" s="107"/>
      <c r="Q304" s="107"/>
      <c r="R304" s="7"/>
      <c r="S304" s="7"/>
      <c r="T304" s="7"/>
      <c r="U304" s="7"/>
      <c r="V304" s="7"/>
      <c r="W304" s="107"/>
      <c r="X304" s="107"/>
      <c r="Y304" s="107"/>
      <c r="Z304" s="107"/>
      <c r="AA304" s="107"/>
      <c r="AB304" s="7"/>
      <c r="AC304" s="107"/>
      <c r="AD304" s="107"/>
      <c r="AE304" s="107"/>
      <c r="AF304" s="107"/>
      <c r="AG304" s="107"/>
      <c r="AH304" s="107"/>
      <c r="AI304" s="107"/>
      <c r="AJ304" s="107"/>
      <c r="AK304" s="7"/>
      <c r="AL304" s="10"/>
      <c r="AM304" s="7"/>
      <c r="AN304" s="7"/>
      <c r="AO304" s="266"/>
      <c r="AP304" s="266"/>
    </row>
    <row r="305" spans="1:42" s="268" customFormat="1" x14ac:dyDescent="0.25">
      <c r="A305" s="107"/>
      <c r="B305" s="107"/>
      <c r="C305" s="7"/>
      <c r="D305" s="7"/>
      <c r="E305" s="10"/>
      <c r="F305" s="107"/>
      <c r="G305" s="7"/>
      <c r="H305" s="7"/>
      <c r="I305" s="10"/>
      <c r="J305" s="7"/>
      <c r="K305" s="107"/>
      <c r="L305" s="7"/>
      <c r="M305" s="107"/>
      <c r="N305" s="107"/>
      <c r="O305" s="107"/>
      <c r="P305" s="107"/>
      <c r="Q305" s="107"/>
      <c r="R305" s="7"/>
      <c r="S305" s="7"/>
      <c r="T305" s="7"/>
      <c r="U305" s="7"/>
      <c r="V305" s="7"/>
      <c r="W305" s="107"/>
      <c r="X305" s="107"/>
      <c r="Y305" s="107"/>
      <c r="Z305" s="107"/>
      <c r="AA305" s="107"/>
      <c r="AB305" s="7"/>
      <c r="AC305" s="107"/>
      <c r="AD305" s="107"/>
      <c r="AE305" s="107"/>
      <c r="AF305" s="107"/>
      <c r="AG305" s="107"/>
      <c r="AH305" s="107"/>
      <c r="AI305" s="107"/>
      <c r="AJ305" s="107"/>
      <c r="AK305" s="7"/>
      <c r="AL305" s="10"/>
      <c r="AM305" s="7"/>
      <c r="AN305" s="7"/>
      <c r="AO305" s="266"/>
      <c r="AP305" s="266"/>
    </row>
    <row r="306" spans="1:42" s="268" customFormat="1" x14ac:dyDescent="0.25">
      <c r="A306" s="107"/>
      <c r="B306" s="107"/>
      <c r="C306" s="7"/>
      <c r="D306" s="7"/>
      <c r="E306" s="10"/>
      <c r="F306" s="107"/>
      <c r="G306" s="7"/>
      <c r="H306" s="7"/>
      <c r="I306" s="10"/>
      <c r="J306" s="7"/>
      <c r="K306" s="107"/>
      <c r="L306" s="7"/>
      <c r="M306" s="107"/>
      <c r="N306" s="107"/>
      <c r="O306" s="107"/>
      <c r="P306" s="107"/>
      <c r="Q306" s="107"/>
      <c r="R306" s="7"/>
      <c r="S306" s="7"/>
      <c r="T306" s="7"/>
      <c r="U306" s="7"/>
      <c r="V306" s="7"/>
      <c r="W306" s="107"/>
      <c r="X306" s="107"/>
      <c r="Y306" s="107"/>
      <c r="Z306" s="107"/>
      <c r="AA306" s="107"/>
      <c r="AB306" s="7"/>
      <c r="AC306" s="107"/>
      <c r="AD306" s="107"/>
      <c r="AE306" s="107"/>
      <c r="AF306" s="107"/>
      <c r="AG306" s="107"/>
      <c r="AH306" s="107"/>
      <c r="AI306" s="107"/>
      <c r="AJ306" s="107"/>
      <c r="AK306" s="7"/>
      <c r="AL306" s="10"/>
      <c r="AM306" s="7"/>
      <c r="AN306" s="7"/>
      <c r="AO306" s="266"/>
      <c r="AP306" s="266"/>
    </row>
    <row r="307" spans="1:42" s="268" customFormat="1" x14ac:dyDescent="0.25">
      <c r="A307" s="107"/>
      <c r="B307" s="107"/>
      <c r="C307" s="7"/>
      <c r="D307" s="7"/>
      <c r="E307" s="10"/>
      <c r="F307" s="107"/>
      <c r="G307" s="7"/>
      <c r="H307" s="7"/>
      <c r="I307" s="10"/>
      <c r="J307" s="7"/>
      <c r="K307" s="107"/>
      <c r="L307" s="7"/>
      <c r="M307" s="107"/>
      <c r="N307" s="107"/>
      <c r="O307" s="107"/>
      <c r="P307" s="107"/>
      <c r="Q307" s="107"/>
      <c r="R307" s="7"/>
      <c r="S307" s="7"/>
      <c r="T307" s="7"/>
      <c r="U307" s="7"/>
      <c r="V307" s="7"/>
      <c r="W307" s="107"/>
      <c r="X307" s="107"/>
      <c r="Y307" s="107"/>
      <c r="Z307" s="107"/>
      <c r="AA307" s="107"/>
      <c r="AB307" s="7"/>
      <c r="AC307" s="107"/>
      <c r="AD307" s="107"/>
      <c r="AE307" s="107"/>
      <c r="AF307" s="107"/>
      <c r="AG307" s="107"/>
      <c r="AH307" s="107"/>
      <c r="AI307" s="107"/>
      <c r="AJ307" s="107"/>
      <c r="AK307" s="7"/>
      <c r="AL307" s="10"/>
      <c r="AM307" s="7"/>
      <c r="AN307" s="7"/>
      <c r="AO307" s="266"/>
      <c r="AP307" s="266"/>
    </row>
    <row r="308" spans="1:42" s="268" customFormat="1" x14ac:dyDescent="0.25">
      <c r="A308" s="107"/>
      <c r="B308" s="107"/>
      <c r="C308" s="7"/>
      <c r="D308" s="7"/>
      <c r="E308" s="10"/>
      <c r="F308" s="107"/>
      <c r="G308" s="7"/>
      <c r="H308" s="7"/>
      <c r="I308" s="10"/>
      <c r="J308" s="7"/>
      <c r="K308" s="107"/>
      <c r="L308" s="7"/>
      <c r="M308" s="107"/>
      <c r="N308" s="107"/>
      <c r="O308" s="107"/>
      <c r="P308" s="107"/>
      <c r="Q308" s="107"/>
      <c r="R308" s="7"/>
      <c r="S308" s="7"/>
      <c r="T308" s="7"/>
      <c r="U308" s="7"/>
      <c r="V308" s="7"/>
      <c r="W308" s="107"/>
      <c r="X308" s="107"/>
      <c r="Y308" s="107"/>
      <c r="Z308" s="107"/>
      <c r="AA308" s="107"/>
      <c r="AB308" s="7"/>
      <c r="AC308" s="107"/>
      <c r="AD308" s="107"/>
      <c r="AE308" s="107"/>
      <c r="AF308" s="107"/>
      <c r="AG308" s="107"/>
      <c r="AH308" s="107"/>
      <c r="AI308" s="107"/>
      <c r="AJ308" s="107"/>
      <c r="AK308" s="7"/>
      <c r="AL308" s="10"/>
      <c r="AM308" s="7"/>
      <c r="AN308" s="7"/>
      <c r="AO308" s="266"/>
      <c r="AP308" s="266"/>
    </row>
    <row r="309" spans="1:42" s="268" customFormat="1" x14ac:dyDescent="0.25">
      <c r="A309" s="107"/>
      <c r="B309" s="107"/>
      <c r="C309" s="7"/>
      <c r="D309" s="7"/>
      <c r="E309" s="10"/>
      <c r="F309" s="107"/>
      <c r="G309" s="7"/>
      <c r="H309" s="7"/>
      <c r="I309" s="10"/>
      <c r="J309" s="7"/>
      <c r="K309" s="107"/>
      <c r="L309" s="7"/>
      <c r="M309" s="107"/>
      <c r="N309" s="107"/>
      <c r="O309" s="107"/>
      <c r="P309" s="107"/>
      <c r="Q309" s="107"/>
      <c r="R309" s="7"/>
      <c r="S309" s="7"/>
      <c r="T309" s="7"/>
      <c r="U309" s="7"/>
      <c r="V309" s="7"/>
      <c r="W309" s="107"/>
      <c r="X309" s="107"/>
      <c r="Y309" s="107"/>
      <c r="Z309" s="107"/>
      <c r="AA309" s="107"/>
      <c r="AB309" s="7"/>
      <c r="AC309" s="107"/>
      <c r="AD309" s="107"/>
      <c r="AE309" s="107"/>
      <c r="AF309" s="107"/>
      <c r="AG309" s="107"/>
      <c r="AH309" s="107"/>
      <c r="AI309" s="107"/>
      <c r="AJ309" s="107"/>
      <c r="AK309" s="7"/>
      <c r="AL309" s="10"/>
      <c r="AM309" s="7"/>
      <c r="AN309" s="7"/>
      <c r="AO309" s="266"/>
      <c r="AP309" s="266"/>
    </row>
    <row r="310" spans="1:42" s="268" customFormat="1" x14ac:dyDescent="0.25">
      <c r="A310" s="107"/>
      <c r="B310" s="107"/>
      <c r="C310" s="7"/>
      <c r="D310" s="7"/>
      <c r="E310" s="10"/>
      <c r="F310" s="107"/>
      <c r="G310" s="7"/>
      <c r="H310" s="7"/>
      <c r="I310" s="10"/>
      <c r="J310" s="7"/>
      <c r="K310" s="107"/>
      <c r="L310" s="7"/>
      <c r="M310" s="107"/>
      <c r="N310" s="107"/>
      <c r="O310" s="107"/>
      <c r="P310" s="107"/>
      <c r="Q310" s="107"/>
      <c r="R310" s="7"/>
      <c r="S310" s="7"/>
      <c r="T310" s="7"/>
      <c r="U310" s="7"/>
      <c r="V310" s="7"/>
      <c r="W310" s="107"/>
      <c r="X310" s="107"/>
      <c r="Y310" s="107"/>
      <c r="Z310" s="107"/>
      <c r="AA310" s="107"/>
      <c r="AB310" s="7"/>
      <c r="AC310" s="107"/>
      <c r="AD310" s="107"/>
      <c r="AE310" s="107"/>
      <c r="AF310" s="107"/>
      <c r="AG310" s="107"/>
      <c r="AH310" s="107"/>
      <c r="AI310" s="107"/>
      <c r="AJ310" s="107"/>
      <c r="AK310" s="7"/>
      <c r="AL310" s="10"/>
      <c r="AM310" s="7"/>
      <c r="AN310" s="7"/>
      <c r="AO310" s="266"/>
      <c r="AP310" s="266"/>
    </row>
    <row r="311" spans="1:42" s="268" customFormat="1" x14ac:dyDescent="0.25">
      <c r="A311" s="107"/>
      <c r="B311" s="107"/>
      <c r="C311" s="7"/>
      <c r="D311" s="7"/>
      <c r="E311" s="10"/>
      <c r="F311" s="107"/>
      <c r="G311" s="7"/>
      <c r="H311" s="7"/>
      <c r="I311" s="10"/>
      <c r="J311" s="7"/>
      <c r="K311" s="107"/>
      <c r="L311" s="7"/>
      <c r="M311" s="107"/>
      <c r="N311" s="107"/>
      <c r="O311" s="107"/>
      <c r="P311" s="107"/>
      <c r="Q311" s="107"/>
      <c r="R311" s="7"/>
      <c r="S311" s="7"/>
      <c r="T311" s="7"/>
      <c r="U311" s="7"/>
      <c r="V311" s="7"/>
      <c r="W311" s="107"/>
      <c r="X311" s="107"/>
      <c r="Y311" s="107"/>
      <c r="Z311" s="107"/>
      <c r="AA311" s="107"/>
      <c r="AB311" s="7"/>
      <c r="AC311" s="107"/>
      <c r="AD311" s="107"/>
      <c r="AE311" s="107"/>
      <c r="AF311" s="107"/>
      <c r="AG311" s="107"/>
      <c r="AH311" s="107"/>
      <c r="AI311" s="107"/>
      <c r="AJ311" s="107"/>
      <c r="AK311" s="7"/>
      <c r="AL311" s="10"/>
      <c r="AM311" s="7"/>
      <c r="AN311" s="7"/>
      <c r="AO311" s="266"/>
      <c r="AP311" s="266"/>
    </row>
    <row r="312" spans="1:42" s="268" customFormat="1" x14ac:dyDescent="0.25">
      <c r="A312" s="107"/>
      <c r="B312" s="107"/>
      <c r="C312" s="7"/>
      <c r="D312" s="7"/>
      <c r="E312" s="10"/>
      <c r="F312" s="107"/>
      <c r="G312" s="7"/>
      <c r="H312" s="7"/>
      <c r="I312" s="10"/>
      <c r="J312" s="7"/>
      <c r="K312" s="107"/>
      <c r="L312" s="7"/>
      <c r="M312" s="107"/>
      <c r="N312" s="107"/>
      <c r="O312" s="107"/>
      <c r="P312" s="107"/>
      <c r="Q312" s="107"/>
      <c r="R312" s="7"/>
      <c r="S312" s="7"/>
      <c r="T312" s="7"/>
      <c r="U312" s="7"/>
      <c r="V312" s="7"/>
      <c r="W312" s="107"/>
      <c r="X312" s="107"/>
      <c r="Y312" s="107"/>
      <c r="Z312" s="107"/>
      <c r="AA312" s="107"/>
      <c r="AB312" s="7"/>
      <c r="AC312" s="107"/>
      <c r="AD312" s="107"/>
      <c r="AE312" s="107"/>
      <c r="AF312" s="107"/>
      <c r="AG312" s="107"/>
      <c r="AH312" s="107"/>
      <c r="AI312" s="107"/>
      <c r="AJ312" s="107"/>
      <c r="AK312" s="7"/>
      <c r="AL312" s="10"/>
      <c r="AM312" s="7"/>
      <c r="AN312" s="7"/>
      <c r="AO312" s="266"/>
      <c r="AP312" s="266"/>
    </row>
    <row r="313" spans="1:42" s="268" customFormat="1" x14ac:dyDescent="0.25">
      <c r="A313" s="107"/>
      <c r="B313" s="107"/>
      <c r="C313" s="7"/>
      <c r="D313" s="7"/>
      <c r="E313" s="10"/>
      <c r="F313" s="107"/>
      <c r="G313" s="7"/>
      <c r="H313" s="7"/>
      <c r="I313" s="10"/>
      <c r="J313" s="7"/>
      <c r="K313" s="107"/>
      <c r="L313" s="7"/>
      <c r="M313" s="107"/>
      <c r="N313" s="107"/>
      <c r="O313" s="107"/>
      <c r="P313" s="107"/>
      <c r="Q313" s="107"/>
      <c r="R313" s="7"/>
      <c r="S313" s="7"/>
      <c r="T313" s="7"/>
      <c r="U313" s="7"/>
      <c r="V313" s="7"/>
      <c r="W313" s="107"/>
      <c r="X313" s="107"/>
      <c r="Y313" s="107"/>
      <c r="Z313" s="107"/>
      <c r="AA313" s="107"/>
      <c r="AB313" s="7"/>
      <c r="AC313" s="107"/>
      <c r="AD313" s="107"/>
      <c r="AE313" s="107"/>
      <c r="AF313" s="107"/>
      <c r="AG313" s="107"/>
      <c r="AH313" s="107"/>
      <c r="AI313" s="107"/>
      <c r="AJ313" s="107"/>
      <c r="AK313" s="7"/>
      <c r="AL313" s="10"/>
      <c r="AM313" s="7"/>
      <c r="AN313" s="7"/>
      <c r="AO313" s="266"/>
      <c r="AP313" s="266"/>
    </row>
    <row r="314" spans="1:42" s="268" customFormat="1" x14ac:dyDescent="0.25">
      <c r="A314" s="107"/>
      <c r="B314" s="107"/>
      <c r="C314" s="7"/>
      <c r="D314" s="7"/>
      <c r="E314" s="10"/>
      <c r="F314" s="107"/>
      <c r="G314" s="7"/>
      <c r="H314" s="7"/>
      <c r="I314" s="10"/>
      <c r="J314" s="7"/>
      <c r="K314" s="107"/>
      <c r="L314" s="7"/>
      <c r="M314" s="107"/>
      <c r="N314" s="107"/>
      <c r="O314" s="107"/>
      <c r="P314" s="107"/>
      <c r="Q314" s="107"/>
      <c r="R314" s="7"/>
      <c r="S314" s="7"/>
      <c r="T314" s="7"/>
      <c r="U314" s="7"/>
      <c r="V314" s="7"/>
      <c r="W314" s="107"/>
      <c r="X314" s="107"/>
      <c r="Y314" s="107"/>
      <c r="Z314" s="107"/>
      <c r="AA314" s="107"/>
      <c r="AB314" s="7"/>
      <c r="AC314" s="107"/>
      <c r="AD314" s="107"/>
      <c r="AE314" s="107"/>
      <c r="AF314" s="107"/>
      <c r="AG314" s="107"/>
      <c r="AH314" s="107"/>
      <c r="AI314" s="107"/>
      <c r="AJ314" s="107"/>
      <c r="AK314" s="7"/>
      <c r="AL314" s="10"/>
      <c r="AM314" s="7"/>
      <c r="AN314" s="7"/>
      <c r="AO314" s="266"/>
      <c r="AP314" s="266"/>
    </row>
    <row r="315" spans="1:42" s="268" customFormat="1" x14ac:dyDescent="0.25">
      <c r="A315" s="107"/>
      <c r="B315" s="107"/>
      <c r="C315" s="7"/>
      <c r="D315" s="7"/>
      <c r="E315" s="10"/>
      <c r="F315" s="107"/>
      <c r="G315" s="7"/>
      <c r="H315" s="7"/>
      <c r="I315" s="10"/>
      <c r="J315" s="7"/>
      <c r="K315" s="107"/>
      <c r="L315" s="7"/>
      <c r="M315" s="107"/>
      <c r="N315" s="107"/>
      <c r="O315" s="107"/>
      <c r="P315" s="107"/>
      <c r="Q315" s="107"/>
      <c r="R315" s="7"/>
      <c r="S315" s="7"/>
      <c r="T315" s="7"/>
      <c r="U315" s="7"/>
      <c r="V315" s="7"/>
      <c r="W315" s="107"/>
      <c r="X315" s="107"/>
      <c r="Y315" s="107"/>
      <c r="Z315" s="107"/>
      <c r="AA315" s="107"/>
      <c r="AB315" s="7"/>
      <c r="AC315" s="107"/>
      <c r="AD315" s="107"/>
      <c r="AE315" s="107"/>
      <c r="AF315" s="107"/>
      <c r="AG315" s="107"/>
      <c r="AH315" s="107"/>
      <c r="AI315" s="107"/>
      <c r="AJ315" s="107"/>
      <c r="AK315" s="7"/>
      <c r="AL315" s="10"/>
      <c r="AM315" s="7"/>
      <c r="AN315" s="7"/>
      <c r="AO315" s="266"/>
      <c r="AP315" s="266"/>
    </row>
    <row r="316" spans="1:42" s="268" customFormat="1" x14ac:dyDescent="0.25">
      <c r="A316" s="107"/>
      <c r="B316" s="107"/>
      <c r="C316" s="7"/>
      <c r="D316" s="7"/>
      <c r="E316" s="10"/>
      <c r="F316" s="107"/>
      <c r="G316" s="7"/>
      <c r="H316" s="7"/>
      <c r="I316" s="10"/>
      <c r="J316" s="7"/>
      <c r="K316" s="107"/>
      <c r="L316" s="7"/>
      <c r="M316" s="107"/>
      <c r="N316" s="107"/>
      <c r="O316" s="107"/>
      <c r="P316" s="107"/>
      <c r="Q316" s="107"/>
      <c r="R316" s="7"/>
      <c r="S316" s="7"/>
      <c r="T316" s="7"/>
      <c r="U316" s="7"/>
      <c r="V316" s="7"/>
      <c r="W316" s="107"/>
      <c r="X316" s="107"/>
      <c r="Y316" s="107"/>
      <c r="Z316" s="107"/>
      <c r="AA316" s="107"/>
      <c r="AB316" s="7"/>
      <c r="AC316" s="107"/>
      <c r="AD316" s="107"/>
      <c r="AE316" s="107"/>
      <c r="AF316" s="107"/>
      <c r="AG316" s="107"/>
      <c r="AH316" s="107"/>
      <c r="AI316" s="107"/>
      <c r="AJ316" s="107"/>
      <c r="AK316" s="7"/>
      <c r="AL316" s="10"/>
      <c r="AM316" s="7"/>
      <c r="AN316" s="7"/>
      <c r="AO316" s="266"/>
      <c r="AP316" s="266"/>
    </row>
    <row r="317" spans="1:42" s="268" customFormat="1" x14ac:dyDescent="0.25">
      <c r="A317" s="107"/>
      <c r="B317" s="107"/>
      <c r="C317" s="7"/>
      <c r="D317" s="7"/>
      <c r="E317" s="10"/>
      <c r="F317" s="107"/>
      <c r="G317" s="7"/>
      <c r="H317" s="7"/>
      <c r="I317" s="10"/>
      <c r="J317" s="7"/>
      <c r="K317" s="107"/>
      <c r="L317" s="7"/>
      <c r="M317" s="107"/>
      <c r="N317" s="107"/>
      <c r="O317" s="107"/>
      <c r="P317" s="107"/>
      <c r="Q317" s="107"/>
      <c r="R317" s="7"/>
      <c r="S317" s="7"/>
      <c r="T317" s="7"/>
      <c r="U317" s="7"/>
      <c r="V317" s="7"/>
      <c r="W317" s="107"/>
      <c r="X317" s="107"/>
      <c r="Y317" s="107"/>
      <c r="Z317" s="107"/>
      <c r="AA317" s="107"/>
      <c r="AB317" s="7"/>
      <c r="AC317" s="107"/>
      <c r="AD317" s="107"/>
      <c r="AE317" s="107"/>
      <c r="AF317" s="107"/>
      <c r="AG317" s="107"/>
      <c r="AH317" s="107"/>
      <c r="AI317" s="107"/>
      <c r="AJ317" s="107"/>
      <c r="AK317" s="7"/>
      <c r="AL317" s="10"/>
      <c r="AM317" s="7"/>
      <c r="AN317" s="7"/>
      <c r="AO317" s="266"/>
      <c r="AP317" s="266"/>
    </row>
    <row r="318" spans="1:42" s="268" customFormat="1" x14ac:dyDescent="0.25">
      <c r="A318" s="107"/>
      <c r="B318" s="107"/>
      <c r="C318" s="7"/>
      <c r="D318" s="7"/>
      <c r="E318" s="10"/>
      <c r="F318" s="107"/>
      <c r="G318" s="7"/>
      <c r="H318" s="7"/>
      <c r="I318" s="10"/>
      <c r="J318" s="7"/>
      <c r="K318" s="107"/>
      <c r="L318" s="7"/>
      <c r="M318" s="107"/>
      <c r="N318" s="107"/>
      <c r="O318" s="107"/>
      <c r="P318" s="107"/>
      <c r="Q318" s="107"/>
      <c r="R318" s="7"/>
      <c r="S318" s="7"/>
      <c r="T318" s="7"/>
      <c r="U318" s="7"/>
      <c r="V318" s="7"/>
      <c r="W318" s="107"/>
      <c r="X318" s="107"/>
      <c r="Y318" s="107"/>
      <c r="Z318" s="107"/>
      <c r="AA318" s="107"/>
      <c r="AB318" s="7"/>
      <c r="AC318" s="107"/>
      <c r="AD318" s="107"/>
      <c r="AE318" s="107"/>
      <c r="AF318" s="107"/>
      <c r="AG318" s="107"/>
      <c r="AH318" s="107"/>
      <c r="AI318" s="107"/>
      <c r="AJ318" s="107"/>
      <c r="AK318" s="7"/>
      <c r="AL318" s="10"/>
      <c r="AM318" s="7"/>
      <c r="AN318" s="7"/>
      <c r="AO318" s="266"/>
      <c r="AP318" s="266"/>
    </row>
    <row r="319" spans="1:42" s="268" customFormat="1" x14ac:dyDescent="0.25">
      <c r="A319" s="107"/>
      <c r="B319" s="107"/>
      <c r="C319" s="7"/>
      <c r="D319" s="7"/>
      <c r="E319" s="10"/>
      <c r="F319" s="107"/>
      <c r="G319" s="7"/>
      <c r="H319" s="7"/>
      <c r="I319" s="10"/>
      <c r="J319" s="7"/>
      <c r="K319" s="107"/>
      <c r="L319" s="7"/>
      <c r="M319" s="107"/>
      <c r="N319" s="107"/>
      <c r="O319" s="107"/>
      <c r="P319" s="107"/>
      <c r="Q319" s="107"/>
      <c r="R319" s="7"/>
      <c r="S319" s="7"/>
      <c r="T319" s="7"/>
      <c r="U319" s="7"/>
      <c r="V319" s="7"/>
      <c r="W319" s="107"/>
      <c r="X319" s="107"/>
      <c r="Y319" s="107"/>
      <c r="Z319" s="107"/>
      <c r="AA319" s="107"/>
      <c r="AB319" s="7"/>
      <c r="AC319" s="107"/>
      <c r="AD319" s="107"/>
      <c r="AE319" s="107"/>
      <c r="AF319" s="107"/>
      <c r="AG319" s="107"/>
      <c r="AH319" s="107"/>
      <c r="AI319" s="107"/>
      <c r="AJ319" s="107"/>
      <c r="AK319" s="7"/>
      <c r="AL319" s="10"/>
      <c r="AM319" s="7"/>
      <c r="AN319" s="7"/>
      <c r="AO319" s="266"/>
      <c r="AP319" s="266"/>
    </row>
    <row r="320" spans="1:42" s="268" customFormat="1" x14ac:dyDescent="0.25">
      <c r="A320" s="107"/>
      <c r="B320" s="107"/>
      <c r="C320" s="7"/>
      <c r="D320" s="7"/>
      <c r="E320" s="10"/>
      <c r="F320" s="107"/>
      <c r="G320" s="7"/>
      <c r="H320" s="7"/>
      <c r="I320" s="10"/>
      <c r="J320" s="7"/>
      <c r="K320" s="107"/>
      <c r="L320" s="7"/>
      <c r="M320" s="107"/>
      <c r="N320" s="107"/>
      <c r="O320" s="107"/>
      <c r="P320" s="107"/>
      <c r="Q320" s="107"/>
      <c r="R320" s="7"/>
      <c r="S320" s="7"/>
      <c r="T320" s="7"/>
      <c r="U320" s="7"/>
      <c r="V320" s="7"/>
      <c r="W320" s="107"/>
      <c r="X320" s="107"/>
      <c r="Y320" s="107"/>
      <c r="Z320" s="107"/>
      <c r="AA320" s="107"/>
      <c r="AB320" s="7"/>
      <c r="AC320" s="107"/>
      <c r="AD320" s="107"/>
      <c r="AE320" s="107"/>
      <c r="AF320" s="107"/>
      <c r="AG320" s="107"/>
      <c r="AH320" s="107"/>
      <c r="AI320" s="107"/>
      <c r="AJ320" s="107"/>
      <c r="AK320" s="7"/>
      <c r="AL320" s="10"/>
      <c r="AM320" s="7"/>
      <c r="AN320" s="7"/>
      <c r="AO320" s="266"/>
      <c r="AP320" s="266"/>
    </row>
    <row r="321" spans="1:42" s="268" customFormat="1" x14ac:dyDescent="0.25">
      <c r="A321" s="107"/>
      <c r="B321" s="107"/>
      <c r="C321" s="7"/>
      <c r="D321" s="7"/>
      <c r="E321" s="10"/>
      <c r="F321" s="107"/>
      <c r="G321" s="7"/>
      <c r="H321" s="7"/>
      <c r="I321" s="10"/>
      <c r="J321" s="7"/>
      <c r="K321" s="107"/>
      <c r="L321" s="7"/>
      <c r="M321" s="107"/>
      <c r="N321" s="107"/>
      <c r="O321" s="107"/>
      <c r="P321" s="107"/>
      <c r="Q321" s="107"/>
      <c r="R321" s="7"/>
      <c r="S321" s="7"/>
      <c r="T321" s="7"/>
      <c r="U321" s="7"/>
      <c r="V321" s="7"/>
      <c r="W321" s="107"/>
      <c r="X321" s="107"/>
      <c r="Y321" s="107"/>
      <c r="Z321" s="107"/>
      <c r="AA321" s="107"/>
      <c r="AB321" s="7"/>
      <c r="AC321" s="107"/>
      <c r="AD321" s="107"/>
      <c r="AE321" s="107"/>
      <c r="AF321" s="107"/>
      <c r="AG321" s="107"/>
      <c r="AH321" s="107"/>
      <c r="AI321" s="107"/>
      <c r="AJ321" s="107"/>
      <c r="AK321" s="7"/>
      <c r="AL321" s="10"/>
      <c r="AM321" s="7"/>
      <c r="AN321" s="7"/>
      <c r="AO321" s="266"/>
      <c r="AP321" s="266"/>
    </row>
    <row r="322" spans="1:42" s="268" customFormat="1" x14ac:dyDescent="0.25">
      <c r="A322" s="107"/>
      <c r="B322" s="107"/>
      <c r="C322" s="7"/>
      <c r="D322" s="7"/>
      <c r="E322" s="10"/>
      <c r="F322" s="107"/>
      <c r="G322" s="7"/>
      <c r="H322" s="7"/>
      <c r="I322" s="10"/>
      <c r="J322" s="7"/>
      <c r="K322" s="107"/>
      <c r="L322" s="7"/>
      <c r="M322" s="107"/>
      <c r="N322" s="107"/>
      <c r="O322" s="107"/>
      <c r="P322" s="107"/>
      <c r="Q322" s="107"/>
      <c r="R322" s="7"/>
      <c r="S322" s="7"/>
      <c r="T322" s="7"/>
      <c r="U322" s="7"/>
      <c r="V322" s="7"/>
      <c r="W322" s="107"/>
      <c r="X322" s="107"/>
      <c r="Y322" s="107"/>
      <c r="Z322" s="107"/>
      <c r="AA322" s="107"/>
      <c r="AB322" s="7"/>
      <c r="AC322" s="107"/>
      <c r="AD322" s="107"/>
      <c r="AE322" s="107"/>
      <c r="AF322" s="107"/>
      <c r="AG322" s="107"/>
      <c r="AH322" s="107"/>
      <c r="AI322" s="107"/>
      <c r="AJ322" s="107"/>
      <c r="AK322" s="7"/>
      <c r="AL322" s="10"/>
      <c r="AM322" s="7"/>
      <c r="AN322" s="7"/>
      <c r="AO322" s="266"/>
      <c r="AP322" s="266"/>
    </row>
    <row r="323" spans="1:42" s="268" customFormat="1" x14ac:dyDescent="0.25">
      <c r="A323" s="107"/>
      <c r="B323" s="107"/>
      <c r="C323" s="7"/>
      <c r="D323" s="7"/>
      <c r="E323" s="10"/>
      <c r="F323" s="107"/>
      <c r="G323" s="7"/>
      <c r="H323" s="7"/>
      <c r="I323" s="10"/>
      <c r="J323" s="7"/>
      <c r="K323" s="107"/>
      <c r="L323" s="7"/>
      <c r="M323" s="107"/>
      <c r="N323" s="107"/>
      <c r="O323" s="107"/>
      <c r="P323" s="107"/>
      <c r="Q323" s="107"/>
      <c r="R323" s="7"/>
      <c r="S323" s="7"/>
      <c r="T323" s="7"/>
      <c r="U323" s="7"/>
      <c r="V323" s="7"/>
      <c r="W323" s="107"/>
      <c r="X323" s="107"/>
      <c r="Y323" s="107"/>
      <c r="Z323" s="107"/>
      <c r="AA323" s="107"/>
      <c r="AB323" s="7"/>
      <c r="AC323" s="107"/>
      <c r="AD323" s="107"/>
      <c r="AE323" s="107"/>
      <c r="AF323" s="107"/>
      <c r="AG323" s="107"/>
      <c r="AH323" s="107"/>
      <c r="AI323" s="107"/>
      <c r="AJ323" s="107"/>
      <c r="AK323" s="7"/>
      <c r="AL323" s="10"/>
      <c r="AM323" s="7"/>
      <c r="AN323" s="7"/>
      <c r="AO323" s="266"/>
      <c r="AP323" s="266"/>
    </row>
    <row r="324" spans="1:42" s="268" customFormat="1" x14ac:dyDescent="0.25">
      <c r="A324" s="107"/>
      <c r="B324" s="107"/>
      <c r="C324" s="7"/>
      <c r="D324" s="7"/>
      <c r="E324" s="10"/>
      <c r="F324" s="107"/>
      <c r="G324" s="7"/>
      <c r="H324" s="7"/>
      <c r="I324" s="10"/>
      <c r="J324" s="7"/>
      <c r="K324" s="107"/>
      <c r="L324" s="7"/>
      <c r="M324" s="107"/>
      <c r="N324" s="107"/>
      <c r="O324" s="107"/>
      <c r="P324" s="107"/>
      <c r="Q324" s="107"/>
      <c r="R324" s="7"/>
      <c r="S324" s="7"/>
      <c r="T324" s="7"/>
      <c r="U324" s="7"/>
      <c r="V324" s="7"/>
      <c r="W324" s="107"/>
      <c r="X324" s="107"/>
      <c r="Y324" s="107"/>
      <c r="Z324" s="107"/>
      <c r="AA324" s="107"/>
      <c r="AB324" s="7"/>
      <c r="AC324" s="107"/>
      <c r="AD324" s="107"/>
      <c r="AE324" s="107"/>
      <c r="AF324" s="107"/>
      <c r="AG324" s="107"/>
      <c r="AH324" s="107"/>
      <c r="AI324" s="107"/>
      <c r="AJ324" s="107"/>
      <c r="AK324" s="7"/>
      <c r="AL324" s="10"/>
      <c r="AM324" s="7"/>
      <c r="AN324" s="7"/>
      <c r="AO324" s="266"/>
      <c r="AP324" s="266"/>
    </row>
    <row r="325" spans="1:42" s="268" customFormat="1" x14ac:dyDescent="0.25">
      <c r="A325" s="107"/>
      <c r="B325" s="107"/>
      <c r="C325" s="7"/>
      <c r="D325" s="7"/>
      <c r="E325" s="10"/>
      <c r="F325" s="107"/>
      <c r="G325" s="7"/>
      <c r="H325" s="7"/>
      <c r="I325" s="10"/>
      <c r="J325" s="7"/>
      <c r="K325" s="107"/>
      <c r="L325" s="7"/>
      <c r="M325" s="107"/>
      <c r="N325" s="107"/>
      <c r="O325" s="107"/>
      <c r="P325" s="107"/>
      <c r="Q325" s="107"/>
      <c r="R325" s="7"/>
      <c r="S325" s="7"/>
      <c r="T325" s="7"/>
      <c r="U325" s="7"/>
      <c r="V325" s="7"/>
      <c r="W325" s="107"/>
      <c r="X325" s="107"/>
      <c r="Y325" s="107"/>
      <c r="Z325" s="107"/>
      <c r="AA325" s="107"/>
      <c r="AB325" s="7"/>
      <c r="AC325" s="107"/>
      <c r="AD325" s="107"/>
      <c r="AE325" s="107"/>
      <c r="AF325" s="107"/>
      <c r="AG325" s="107"/>
      <c r="AH325" s="107"/>
      <c r="AI325" s="107"/>
      <c r="AJ325" s="107"/>
      <c r="AK325" s="7"/>
      <c r="AL325" s="10"/>
      <c r="AM325" s="7"/>
      <c r="AN325" s="7"/>
      <c r="AO325" s="266"/>
      <c r="AP325" s="266"/>
    </row>
    <row r="326" spans="1:42" s="268" customFormat="1" x14ac:dyDescent="0.25">
      <c r="A326" s="107"/>
      <c r="B326" s="107"/>
      <c r="C326" s="7"/>
      <c r="D326" s="7"/>
      <c r="E326" s="10"/>
      <c r="F326" s="107"/>
      <c r="G326" s="7"/>
      <c r="H326" s="7"/>
      <c r="I326" s="10"/>
      <c r="J326" s="7"/>
      <c r="K326" s="107"/>
      <c r="L326" s="7"/>
      <c r="M326" s="107"/>
      <c r="N326" s="107"/>
      <c r="O326" s="107"/>
      <c r="P326" s="107"/>
      <c r="Q326" s="107"/>
      <c r="R326" s="7"/>
      <c r="S326" s="7"/>
      <c r="T326" s="7"/>
      <c r="U326" s="7"/>
      <c r="V326" s="7"/>
      <c r="W326" s="107"/>
      <c r="X326" s="107"/>
      <c r="Y326" s="107"/>
      <c r="Z326" s="107"/>
      <c r="AA326" s="107"/>
      <c r="AB326" s="7"/>
      <c r="AC326" s="107"/>
      <c r="AD326" s="107"/>
      <c r="AE326" s="107"/>
      <c r="AF326" s="107"/>
      <c r="AG326" s="107"/>
      <c r="AH326" s="107"/>
      <c r="AI326" s="107"/>
      <c r="AJ326" s="107"/>
      <c r="AK326" s="7"/>
      <c r="AL326" s="10"/>
      <c r="AM326" s="7"/>
      <c r="AN326" s="7"/>
      <c r="AO326" s="266"/>
      <c r="AP326" s="266"/>
    </row>
    <row r="327" spans="1:42" s="268" customFormat="1" x14ac:dyDescent="0.25">
      <c r="A327" s="107"/>
      <c r="B327" s="107"/>
      <c r="C327" s="7"/>
      <c r="D327" s="7"/>
      <c r="E327" s="10"/>
      <c r="F327" s="107"/>
      <c r="G327" s="7"/>
      <c r="H327" s="7"/>
      <c r="I327" s="10"/>
      <c r="J327" s="7"/>
      <c r="K327" s="107"/>
      <c r="L327" s="7"/>
      <c r="M327" s="107"/>
      <c r="N327" s="107"/>
      <c r="O327" s="107"/>
      <c r="P327" s="107"/>
      <c r="Q327" s="107"/>
      <c r="R327" s="7"/>
      <c r="S327" s="7"/>
      <c r="T327" s="7"/>
      <c r="U327" s="7"/>
      <c r="V327" s="7"/>
      <c r="W327" s="107"/>
      <c r="X327" s="107"/>
      <c r="Y327" s="107"/>
      <c r="Z327" s="107"/>
      <c r="AA327" s="107"/>
      <c r="AB327" s="7"/>
      <c r="AC327" s="107"/>
      <c r="AD327" s="107"/>
      <c r="AE327" s="107"/>
      <c r="AF327" s="107"/>
      <c r="AG327" s="107"/>
      <c r="AH327" s="107"/>
      <c r="AI327" s="107"/>
      <c r="AJ327" s="107"/>
      <c r="AK327" s="7"/>
      <c r="AL327" s="10"/>
      <c r="AM327" s="7"/>
      <c r="AN327" s="7"/>
      <c r="AO327" s="266"/>
      <c r="AP327" s="266"/>
    </row>
    <row r="328" spans="1:42" s="268" customFormat="1" x14ac:dyDescent="0.25">
      <c r="A328" s="107"/>
      <c r="B328" s="107"/>
      <c r="C328" s="7"/>
      <c r="D328" s="7"/>
      <c r="E328" s="10"/>
      <c r="F328" s="107"/>
      <c r="G328" s="108"/>
      <c r="H328" s="108"/>
      <c r="I328" s="11"/>
      <c r="J328" s="108"/>
      <c r="K328" s="107"/>
      <c r="L328" s="108"/>
      <c r="M328" s="107"/>
      <c r="N328" s="107"/>
      <c r="O328" s="107"/>
      <c r="P328" s="107"/>
      <c r="Q328" s="107"/>
      <c r="R328" s="108"/>
      <c r="S328" s="108"/>
      <c r="T328" s="108"/>
      <c r="U328" s="108"/>
      <c r="V328" s="108"/>
      <c r="W328" s="107"/>
      <c r="X328" s="107"/>
      <c r="Y328" s="107"/>
      <c r="Z328" s="107"/>
      <c r="AA328" s="107"/>
      <c r="AB328" s="108"/>
      <c r="AC328" s="107"/>
      <c r="AD328" s="107"/>
      <c r="AE328" s="107"/>
      <c r="AF328" s="107"/>
      <c r="AG328" s="107"/>
      <c r="AH328" s="107"/>
      <c r="AI328" s="107"/>
      <c r="AJ328" s="107"/>
      <c r="AK328" s="108"/>
      <c r="AL328" s="11"/>
      <c r="AM328" s="108"/>
      <c r="AN328" s="108"/>
      <c r="AO328" s="270"/>
      <c r="AP328" s="270"/>
    </row>
    <row r="329" spans="1:42" s="268" customFormat="1" x14ac:dyDescent="0.25">
      <c r="A329" s="107"/>
      <c r="B329" s="107"/>
      <c r="C329" s="7"/>
      <c r="D329" s="7"/>
      <c r="E329" s="10"/>
      <c r="F329" s="107"/>
      <c r="G329" s="108"/>
      <c r="H329" s="108"/>
      <c r="I329" s="11"/>
      <c r="J329" s="108"/>
      <c r="K329" s="107"/>
      <c r="L329" s="108"/>
      <c r="M329" s="107"/>
      <c r="N329" s="107"/>
      <c r="O329" s="107"/>
      <c r="P329" s="107"/>
      <c r="Q329" s="107"/>
      <c r="R329" s="108"/>
      <c r="S329" s="108"/>
      <c r="T329" s="108"/>
      <c r="U329" s="108"/>
      <c r="V329" s="108"/>
      <c r="W329" s="107"/>
      <c r="X329" s="107"/>
      <c r="Y329" s="107"/>
      <c r="Z329" s="107"/>
      <c r="AA329" s="107"/>
      <c r="AB329" s="108"/>
      <c r="AC329" s="107"/>
      <c r="AD329" s="107"/>
      <c r="AE329" s="107"/>
      <c r="AF329" s="107"/>
      <c r="AG329" s="107"/>
      <c r="AH329" s="107"/>
      <c r="AI329" s="107"/>
      <c r="AJ329" s="107"/>
      <c r="AK329" s="108"/>
      <c r="AL329" s="11"/>
      <c r="AM329" s="108"/>
      <c r="AN329" s="108"/>
      <c r="AO329" s="270"/>
      <c r="AP329" s="270"/>
    </row>
    <row r="330" spans="1:42" s="268" customFormat="1" x14ac:dyDescent="0.25">
      <c r="A330" s="107"/>
      <c r="B330" s="107"/>
      <c r="C330" s="7"/>
      <c r="D330" s="7"/>
      <c r="E330" s="10"/>
      <c r="F330" s="107"/>
      <c r="G330" s="108"/>
      <c r="H330" s="108"/>
      <c r="I330" s="11"/>
      <c r="J330" s="108"/>
      <c r="K330" s="107"/>
      <c r="L330" s="108"/>
      <c r="M330" s="107"/>
      <c r="N330" s="107"/>
      <c r="O330" s="107"/>
      <c r="P330" s="107"/>
      <c r="Q330" s="107"/>
      <c r="R330" s="108"/>
      <c r="S330" s="108"/>
      <c r="T330" s="108"/>
      <c r="U330" s="108"/>
      <c r="V330" s="108"/>
      <c r="W330" s="107"/>
      <c r="X330" s="107"/>
      <c r="Y330" s="107"/>
      <c r="Z330" s="107"/>
      <c r="AA330" s="107"/>
      <c r="AB330" s="108"/>
      <c r="AC330" s="107"/>
      <c r="AD330" s="107"/>
      <c r="AE330" s="107"/>
      <c r="AF330" s="107"/>
      <c r="AG330" s="107"/>
      <c r="AH330" s="107"/>
      <c r="AI330" s="107"/>
      <c r="AJ330" s="107"/>
      <c r="AK330" s="108"/>
      <c r="AL330" s="11"/>
      <c r="AM330" s="108"/>
      <c r="AN330" s="108"/>
      <c r="AO330" s="270"/>
      <c r="AP330" s="270"/>
    </row>
    <row r="331" spans="1:42" s="268" customFormat="1" x14ac:dyDescent="0.25">
      <c r="A331" s="107"/>
      <c r="B331" s="107"/>
      <c r="C331" s="7"/>
      <c r="D331" s="7"/>
      <c r="E331" s="10"/>
      <c r="F331" s="107"/>
      <c r="G331" s="108"/>
      <c r="H331" s="108"/>
      <c r="I331" s="11"/>
      <c r="J331" s="108"/>
      <c r="K331" s="107"/>
      <c r="L331" s="108"/>
      <c r="M331" s="107"/>
      <c r="N331" s="107"/>
      <c r="O331" s="107"/>
      <c r="P331" s="107"/>
      <c r="Q331" s="107"/>
      <c r="R331" s="108"/>
      <c r="S331" s="108"/>
      <c r="T331" s="108"/>
      <c r="U331" s="108"/>
      <c r="V331" s="108"/>
      <c r="W331" s="107"/>
      <c r="X331" s="107"/>
      <c r="Y331" s="107"/>
      <c r="Z331" s="107"/>
      <c r="AA331" s="107"/>
      <c r="AB331" s="108"/>
      <c r="AC331" s="107"/>
      <c r="AD331" s="107"/>
      <c r="AE331" s="107"/>
      <c r="AF331" s="107"/>
      <c r="AG331" s="107"/>
      <c r="AH331" s="107"/>
      <c r="AI331" s="107"/>
      <c r="AJ331" s="107"/>
      <c r="AK331" s="108"/>
      <c r="AL331" s="11"/>
      <c r="AM331" s="108"/>
      <c r="AN331" s="108"/>
      <c r="AO331" s="270"/>
      <c r="AP331" s="270"/>
    </row>
    <row r="332" spans="1:42" s="268" customFormat="1" x14ac:dyDescent="0.25">
      <c r="A332" s="107"/>
      <c r="B332" s="107"/>
      <c r="C332" s="7"/>
      <c r="D332" s="7"/>
      <c r="E332" s="10"/>
      <c r="F332" s="107"/>
      <c r="G332" s="108"/>
      <c r="H332" s="108"/>
      <c r="I332" s="11"/>
      <c r="J332" s="108"/>
      <c r="K332" s="107"/>
      <c r="L332" s="108"/>
      <c r="M332" s="107"/>
      <c r="N332" s="107"/>
      <c r="O332" s="107"/>
      <c r="P332" s="107"/>
      <c r="Q332" s="107"/>
      <c r="R332" s="108"/>
      <c r="S332" s="108"/>
      <c r="T332" s="108"/>
      <c r="U332" s="108"/>
      <c r="V332" s="108"/>
      <c r="W332" s="107"/>
      <c r="X332" s="107"/>
      <c r="Y332" s="107"/>
      <c r="Z332" s="107"/>
      <c r="AA332" s="107"/>
      <c r="AB332" s="108"/>
      <c r="AC332" s="107"/>
      <c r="AD332" s="107"/>
      <c r="AE332" s="107"/>
      <c r="AF332" s="107"/>
      <c r="AG332" s="107"/>
      <c r="AH332" s="107"/>
      <c r="AI332" s="107"/>
      <c r="AJ332" s="107"/>
      <c r="AK332" s="108"/>
      <c r="AL332" s="11"/>
      <c r="AM332" s="108"/>
      <c r="AN332" s="108"/>
      <c r="AO332" s="270"/>
      <c r="AP332" s="270"/>
    </row>
    <row r="333" spans="1:42" s="268" customFormat="1" x14ac:dyDescent="0.25">
      <c r="A333" s="107"/>
      <c r="B333" s="107"/>
      <c r="C333" s="7"/>
      <c r="D333" s="7"/>
      <c r="E333" s="10"/>
      <c r="F333" s="107"/>
      <c r="G333" s="108"/>
      <c r="H333" s="108"/>
      <c r="I333" s="11"/>
      <c r="J333" s="108"/>
      <c r="K333" s="107"/>
      <c r="L333" s="108"/>
      <c r="M333" s="107"/>
      <c r="N333" s="107"/>
      <c r="O333" s="107"/>
      <c r="P333" s="107"/>
      <c r="Q333" s="107"/>
      <c r="R333" s="108"/>
      <c r="S333" s="108"/>
      <c r="T333" s="108"/>
      <c r="U333" s="108"/>
      <c r="V333" s="108"/>
      <c r="W333" s="107"/>
      <c r="X333" s="107"/>
      <c r="Y333" s="107"/>
      <c r="Z333" s="107"/>
      <c r="AA333" s="107"/>
      <c r="AB333" s="108"/>
      <c r="AC333" s="107"/>
      <c r="AD333" s="107"/>
      <c r="AE333" s="107"/>
      <c r="AF333" s="107"/>
      <c r="AG333" s="107"/>
      <c r="AH333" s="107"/>
      <c r="AI333" s="107"/>
      <c r="AJ333" s="107"/>
      <c r="AK333" s="108"/>
      <c r="AL333" s="11"/>
      <c r="AM333" s="108"/>
      <c r="AN333" s="108"/>
      <c r="AO333" s="270"/>
      <c r="AP333" s="270"/>
    </row>
    <row r="334" spans="1:42" s="268" customFormat="1" x14ac:dyDescent="0.25">
      <c r="A334" s="107"/>
      <c r="B334" s="107"/>
      <c r="C334" s="7"/>
      <c r="D334" s="7"/>
      <c r="E334" s="10"/>
      <c r="F334" s="107"/>
      <c r="G334" s="108"/>
      <c r="H334" s="108"/>
      <c r="I334" s="11"/>
      <c r="J334" s="108"/>
      <c r="K334" s="107"/>
      <c r="L334" s="108"/>
      <c r="M334" s="107"/>
      <c r="N334" s="107"/>
      <c r="O334" s="107"/>
      <c r="P334" s="107"/>
      <c r="Q334" s="107"/>
      <c r="R334" s="108"/>
      <c r="S334" s="108"/>
      <c r="T334" s="108"/>
      <c r="U334" s="108"/>
      <c r="V334" s="108"/>
      <c r="W334" s="107"/>
      <c r="X334" s="107"/>
      <c r="Y334" s="107"/>
      <c r="Z334" s="107"/>
      <c r="AA334" s="107"/>
      <c r="AB334" s="108"/>
      <c r="AC334" s="107"/>
      <c r="AD334" s="107"/>
      <c r="AE334" s="107"/>
      <c r="AF334" s="107"/>
      <c r="AG334" s="107"/>
      <c r="AH334" s="107"/>
      <c r="AI334" s="107"/>
      <c r="AJ334" s="107"/>
      <c r="AK334" s="108"/>
      <c r="AL334" s="11"/>
      <c r="AM334" s="108"/>
      <c r="AN334" s="108"/>
      <c r="AO334" s="270"/>
      <c r="AP334" s="270"/>
    </row>
    <row r="335" spans="1:42" s="268" customFormat="1" x14ac:dyDescent="0.25">
      <c r="A335" s="107"/>
      <c r="B335" s="107"/>
      <c r="C335" s="7"/>
      <c r="D335" s="7"/>
      <c r="E335" s="10"/>
      <c r="F335" s="107"/>
      <c r="G335" s="108"/>
      <c r="H335" s="108"/>
      <c r="I335" s="11"/>
      <c r="J335" s="108"/>
      <c r="K335" s="107"/>
      <c r="L335" s="108"/>
      <c r="M335" s="107"/>
      <c r="N335" s="107"/>
      <c r="O335" s="107"/>
      <c r="P335" s="107"/>
      <c r="Q335" s="107"/>
      <c r="R335" s="108"/>
      <c r="S335" s="108"/>
      <c r="T335" s="108"/>
      <c r="U335" s="108"/>
      <c r="V335" s="108"/>
      <c r="W335" s="107"/>
      <c r="X335" s="107"/>
      <c r="Y335" s="107"/>
      <c r="Z335" s="107"/>
      <c r="AA335" s="107"/>
      <c r="AB335" s="108"/>
      <c r="AC335" s="107"/>
      <c r="AD335" s="107"/>
      <c r="AE335" s="107"/>
      <c r="AF335" s="107"/>
      <c r="AG335" s="107"/>
      <c r="AH335" s="107"/>
      <c r="AI335" s="107"/>
      <c r="AJ335" s="107"/>
      <c r="AK335" s="108"/>
      <c r="AL335" s="11"/>
      <c r="AM335" s="108"/>
      <c r="AN335" s="108"/>
      <c r="AO335" s="270"/>
      <c r="AP335" s="270"/>
    </row>
    <row r="336" spans="1:42" s="268" customFormat="1" x14ac:dyDescent="0.25">
      <c r="A336" s="107"/>
      <c r="B336" s="107"/>
      <c r="C336" s="7"/>
      <c r="D336" s="7"/>
      <c r="E336" s="10"/>
      <c r="F336" s="107"/>
      <c r="G336" s="108"/>
      <c r="H336" s="108"/>
      <c r="I336" s="11"/>
      <c r="J336" s="108"/>
      <c r="K336" s="107"/>
      <c r="L336" s="108"/>
      <c r="M336" s="107"/>
      <c r="N336" s="107"/>
      <c r="O336" s="107"/>
      <c r="P336" s="107"/>
      <c r="Q336" s="107"/>
      <c r="R336" s="108"/>
      <c r="S336" s="108"/>
      <c r="T336" s="108"/>
      <c r="U336" s="108"/>
      <c r="V336" s="108"/>
      <c r="W336" s="107"/>
      <c r="X336" s="107"/>
      <c r="Y336" s="107"/>
      <c r="Z336" s="107"/>
      <c r="AA336" s="107"/>
      <c r="AB336" s="108"/>
      <c r="AC336" s="107"/>
      <c r="AD336" s="107"/>
      <c r="AE336" s="107"/>
      <c r="AF336" s="107"/>
      <c r="AG336" s="107"/>
      <c r="AH336" s="107"/>
      <c r="AI336" s="107"/>
      <c r="AJ336" s="107"/>
      <c r="AK336" s="108"/>
      <c r="AL336" s="11"/>
      <c r="AM336" s="108"/>
      <c r="AN336" s="108"/>
      <c r="AO336" s="270"/>
      <c r="AP336" s="270"/>
    </row>
    <row r="337" spans="1:45" s="268" customFormat="1" x14ac:dyDescent="0.25">
      <c r="A337" s="107"/>
      <c r="B337" s="107"/>
      <c r="C337" s="7"/>
      <c r="D337" s="7"/>
      <c r="E337" s="10"/>
      <c r="F337" s="107"/>
      <c r="G337" s="108"/>
      <c r="H337" s="108"/>
      <c r="I337" s="11"/>
      <c r="J337" s="108"/>
      <c r="K337" s="107"/>
      <c r="L337" s="108"/>
      <c r="M337" s="107"/>
      <c r="N337" s="107"/>
      <c r="O337" s="107"/>
      <c r="P337" s="107"/>
      <c r="Q337" s="107"/>
      <c r="R337" s="108"/>
      <c r="S337" s="108"/>
      <c r="T337" s="108"/>
      <c r="U337" s="108"/>
      <c r="V337" s="108"/>
      <c r="W337" s="107"/>
      <c r="X337" s="107"/>
      <c r="Y337" s="107"/>
      <c r="Z337" s="107"/>
      <c r="AA337" s="107"/>
      <c r="AB337" s="108"/>
      <c r="AC337" s="107"/>
      <c r="AD337" s="107"/>
      <c r="AE337" s="107"/>
      <c r="AF337" s="107"/>
      <c r="AG337" s="107"/>
      <c r="AH337" s="107"/>
      <c r="AI337" s="107"/>
      <c r="AJ337" s="107"/>
      <c r="AK337" s="108"/>
      <c r="AL337" s="11"/>
      <c r="AM337" s="108"/>
      <c r="AN337" s="108"/>
      <c r="AO337" s="270"/>
      <c r="AP337" s="270"/>
    </row>
    <row r="338" spans="1:45" s="268" customFormat="1" x14ac:dyDescent="0.25">
      <c r="A338" s="107"/>
      <c r="B338" s="107"/>
      <c r="C338" s="7"/>
      <c r="D338" s="7"/>
      <c r="E338" s="10"/>
      <c r="F338" s="107"/>
      <c r="G338" s="108"/>
      <c r="H338" s="108"/>
      <c r="I338" s="11"/>
      <c r="J338" s="108"/>
      <c r="K338" s="107"/>
      <c r="L338" s="108"/>
      <c r="M338" s="107"/>
      <c r="N338" s="107"/>
      <c r="O338" s="107"/>
      <c r="P338" s="107"/>
      <c r="Q338" s="107"/>
      <c r="R338" s="108"/>
      <c r="S338" s="108"/>
      <c r="T338" s="108"/>
      <c r="U338" s="108"/>
      <c r="V338" s="108"/>
      <c r="W338" s="107"/>
      <c r="X338" s="107"/>
      <c r="Y338" s="107"/>
      <c r="Z338" s="107"/>
      <c r="AA338" s="107"/>
      <c r="AB338" s="108"/>
      <c r="AC338" s="107"/>
      <c r="AD338" s="107"/>
      <c r="AE338" s="107"/>
      <c r="AF338" s="107"/>
      <c r="AG338" s="107"/>
      <c r="AH338" s="107"/>
      <c r="AI338" s="107"/>
      <c r="AJ338" s="107"/>
      <c r="AK338" s="108"/>
      <c r="AL338" s="11"/>
      <c r="AM338" s="108"/>
      <c r="AN338" s="108"/>
      <c r="AO338" s="270"/>
      <c r="AP338" s="270"/>
    </row>
    <row r="339" spans="1:45" s="268" customFormat="1" x14ac:dyDescent="0.25">
      <c r="A339" s="107"/>
      <c r="B339" s="107"/>
      <c r="C339" s="7"/>
      <c r="D339" s="7"/>
      <c r="E339" s="10"/>
      <c r="F339" s="107"/>
      <c r="G339" s="108"/>
      <c r="H339" s="108"/>
      <c r="I339" s="11"/>
      <c r="J339" s="108"/>
      <c r="K339" s="107"/>
      <c r="L339" s="108"/>
      <c r="M339" s="107"/>
      <c r="N339" s="107"/>
      <c r="O339" s="107"/>
      <c r="P339" s="107"/>
      <c r="Q339" s="107"/>
      <c r="R339" s="108"/>
      <c r="S339" s="108"/>
      <c r="T339" s="108"/>
      <c r="U339" s="108"/>
      <c r="V339" s="108"/>
      <c r="W339" s="107"/>
      <c r="X339" s="107"/>
      <c r="Y339" s="107"/>
      <c r="Z339" s="107"/>
      <c r="AA339" s="107"/>
      <c r="AB339" s="108"/>
      <c r="AC339" s="107"/>
      <c r="AD339" s="107"/>
      <c r="AE339" s="107"/>
      <c r="AF339" s="107"/>
      <c r="AG339" s="107"/>
      <c r="AH339" s="107"/>
      <c r="AI339" s="107"/>
      <c r="AJ339" s="107"/>
      <c r="AK339" s="108"/>
      <c r="AL339" s="11"/>
      <c r="AM339" s="108"/>
      <c r="AN339" s="108"/>
      <c r="AO339" s="270"/>
      <c r="AP339" s="270"/>
    </row>
    <row r="340" spans="1:45" s="268" customFormat="1" x14ac:dyDescent="0.25">
      <c r="A340" s="107"/>
      <c r="B340" s="107"/>
      <c r="C340" s="7"/>
      <c r="D340" s="7"/>
      <c r="E340" s="10"/>
      <c r="F340" s="107"/>
      <c r="G340" s="108"/>
      <c r="H340" s="108"/>
      <c r="I340" s="11"/>
      <c r="J340" s="108"/>
      <c r="K340" s="107"/>
      <c r="L340" s="108"/>
      <c r="M340" s="107"/>
      <c r="N340" s="107"/>
      <c r="O340" s="107"/>
      <c r="P340" s="107"/>
      <c r="Q340" s="107"/>
      <c r="R340" s="108"/>
      <c r="S340" s="108"/>
      <c r="T340" s="108"/>
      <c r="U340" s="108"/>
      <c r="V340" s="108"/>
      <c r="W340" s="107"/>
      <c r="X340" s="107"/>
      <c r="Y340" s="107"/>
      <c r="Z340" s="107"/>
      <c r="AA340" s="107"/>
      <c r="AB340" s="108"/>
      <c r="AC340" s="107"/>
      <c r="AD340" s="107"/>
      <c r="AE340" s="107"/>
      <c r="AF340" s="107"/>
      <c r="AG340" s="107"/>
      <c r="AH340" s="107"/>
      <c r="AI340" s="107"/>
      <c r="AJ340" s="107"/>
      <c r="AK340" s="108"/>
      <c r="AL340" s="11"/>
      <c r="AM340" s="108"/>
      <c r="AN340" s="108"/>
      <c r="AO340" s="270"/>
      <c r="AP340" s="270"/>
    </row>
    <row r="341" spans="1:45" s="268" customFormat="1" x14ac:dyDescent="0.25">
      <c r="A341" s="107"/>
      <c r="B341" s="107"/>
      <c r="C341" s="7"/>
      <c r="D341" s="7"/>
      <c r="E341" s="10"/>
      <c r="F341" s="107"/>
      <c r="G341" s="108"/>
      <c r="H341" s="108"/>
      <c r="I341" s="11"/>
      <c r="J341" s="108"/>
      <c r="K341" s="107"/>
      <c r="L341" s="108"/>
      <c r="M341" s="107"/>
      <c r="N341" s="107"/>
      <c r="O341" s="107"/>
      <c r="P341" s="107"/>
      <c r="Q341" s="107"/>
      <c r="R341" s="108"/>
      <c r="S341" s="108"/>
      <c r="T341" s="108"/>
      <c r="U341" s="108"/>
      <c r="V341" s="108"/>
      <c r="W341" s="107"/>
      <c r="X341" s="107"/>
      <c r="Y341" s="107"/>
      <c r="Z341" s="107"/>
      <c r="AA341" s="107"/>
      <c r="AB341" s="108"/>
      <c r="AC341" s="107"/>
      <c r="AD341" s="107"/>
      <c r="AE341" s="107"/>
      <c r="AF341" s="107"/>
      <c r="AG341" s="107"/>
      <c r="AH341" s="107"/>
      <c r="AI341" s="107"/>
      <c r="AJ341" s="107"/>
      <c r="AK341" s="108"/>
      <c r="AL341" s="11"/>
      <c r="AM341" s="108"/>
      <c r="AN341" s="108"/>
      <c r="AO341" s="270"/>
      <c r="AP341" s="270"/>
    </row>
    <row r="342" spans="1:45" s="268" customFormat="1" x14ac:dyDescent="0.25">
      <c r="A342" s="107"/>
      <c r="B342" s="107"/>
      <c r="C342" s="7"/>
      <c r="D342" s="7"/>
      <c r="E342" s="10"/>
      <c r="F342" s="107"/>
      <c r="G342" s="108"/>
      <c r="H342" s="108"/>
      <c r="I342" s="11"/>
      <c r="J342" s="108"/>
      <c r="K342" s="107"/>
      <c r="L342" s="108"/>
      <c r="M342" s="107"/>
      <c r="N342" s="107"/>
      <c r="O342" s="107"/>
      <c r="P342" s="107"/>
      <c r="Q342" s="107"/>
      <c r="R342" s="108"/>
      <c r="S342" s="108"/>
      <c r="T342" s="108"/>
      <c r="U342" s="108"/>
      <c r="V342" s="108"/>
      <c r="W342" s="107"/>
      <c r="X342" s="107"/>
      <c r="Y342" s="107"/>
      <c r="Z342" s="107"/>
      <c r="AA342" s="107"/>
      <c r="AB342" s="108"/>
      <c r="AC342" s="107"/>
      <c r="AD342" s="107"/>
      <c r="AE342" s="107"/>
      <c r="AF342" s="107"/>
      <c r="AG342" s="107"/>
      <c r="AH342" s="107"/>
      <c r="AI342" s="107"/>
      <c r="AJ342" s="107"/>
      <c r="AK342" s="108"/>
      <c r="AL342" s="11"/>
      <c r="AM342" s="108"/>
      <c r="AN342" s="108"/>
      <c r="AO342" s="270"/>
      <c r="AP342" s="270"/>
    </row>
    <row r="343" spans="1:45" s="268" customFormat="1" x14ac:dyDescent="0.25">
      <c r="A343" s="107"/>
      <c r="B343" s="107"/>
      <c r="C343" s="7"/>
      <c r="D343" s="7"/>
      <c r="E343" s="10"/>
      <c r="F343" s="107"/>
      <c r="G343" s="107"/>
      <c r="H343" s="107"/>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c r="AS343" s="107"/>
    </row>
    <row r="344" spans="1:45" s="268" customFormat="1" x14ac:dyDescent="0.25">
      <c r="A344" s="107"/>
      <c r="B344" s="107"/>
      <c r="C344" s="7"/>
      <c r="D344" s="7"/>
      <c r="E344" s="10"/>
      <c r="F344" s="107"/>
      <c r="G344" s="107"/>
      <c r="H344" s="107"/>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S344" s="107"/>
    </row>
    <row r="345" spans="1:45" s="268" customFormat="1" x14ac:dyDescent="0.25">
      <c r="A345" s="107"/>
      <c r="B345" s="107"/>
      <c r="C345" s="7"/>
      <c r="D345" s="7"/>
      <c r="E345" s="10"/>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S345" s="107"/>
    </row>
    <row r="346" spans="1:45" s="268" customFormat="1" x14ac:dyDescent="0.25">
      <c r="A346" s="107"/>
      <c r="B346" s="107"/>
      <c r="C346" s="7"/>
      <c r="D346" s="7"/>
      <c r="E346" s="10"/>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S346" s="107"/>
    </row>
    <row r="347" spans="1:45" s="268" customFormat="1" x14ac:dyDescent="0.25">
      <c r="A347" s="107"/>
      <c r="B347" s="107"/>
      <c r="C347" s="7"/>
      <c r="D347" s="7"/>
      <c r="E347" s="10"/>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S347" s="107"/>
    </row>
    <row r="348" spans="1:45" s="268" customFormat="1" x14ac:dyDescent="0.25">
      <c r="A348" s="107"/>
      <c r="B348" s="107"/>
      <c r="C348" s="7"/>
      <c r="D348" s="7"/>
      <c r="E348" s="10"/>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S348" s="107"/>
    </row>
    <row r="349" spans="1:45" s="268" customFormat="1" x14ac:dyDescent="0.25">
      <c r="A349" s="107"/>
      <c r="B349" s="107"/>
      <c r="C349" s="7"/>
      <c r="D349" s="7"/>
      <c r="E349" s="10"/>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S349" s="107"/>
    </row>
    <row r="350" spans="1:45" s="268" customFormat="1" x14ac:dyDescent="0.25">
      <c r="A350" s="107"/>
      <c r="B350" s="107"/>
      <c r="C350" s="7"/>
      <c r="D350" s="7"/>
      <c r="E350" s="10"/>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S350" s="107"/>
    </row>
    <row r="351" spans="1:45" s="268" customFormat="1" x14ac:dyDescent="0.25">
      <c r="A351" s="107"/>
      <c r="B351" s="107"/>
      <c r="C351" s="7"/>
      <c r="D351" s="7"/>
      <c r="E351" s="10"/>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S351" s="107"/>
    </row>
    <row r="352" spans="1:45" s="268" customFormat="1" x14ac:dyDescent="0.25">
      <c r="A352" s="107"/>
      <c r="B352" s="107"/>
      <c r="C352" s="7"/>
      <c r="D352" s="7"/>
      <c r="E352" s="10"/>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S352" s="107"/>
    </row>
    <row r="353" spans="1:45" s="268" customFormat="1" x14ac:dyDescent="0.25">
      <c r="A353" s="107"/>
      <c r="B353" s="107"/>
      <c r="C353" s="108"/>
      <c r="D353" s="108"/>
      <c r="E353" s="11"/>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S353" s="107"/>
    </row>
    <row r="354" spans="1:45" s="268" customFormat="1" x14ac:dyDescent="0.25">
      <c r="A354" s="107"/>
      <c r="B354" s="107"/>
      <c r="C354" s="108"/>
      <c r="D354" s="108"/>
      <c r="E354" s="11"/>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S354" s="107"/>
    </row>
    <row r="355" spans="1:45" x14ac:dyDescent="0.25">
      <c r="C355" s="108"/>
      <c r="D355" s="108"/>
      <c r="E355" s="11"/>
    </row>
    <row r="356" spans="1:45" x14ac:dyDescent="0.25">
      <c r="C356" s="108"/>
      <c r="D356" s="108"/>
      <c r="E356" s="11"/>
    </row>
    <row r="357" spans="1:45" x14ac:dyDescent="0.25">
      <c r="C357" s="108"/>
      <c r="D357" s="108"/>
      <c r="E357" s="11"/>
    </row>
    <row r="358" spans="1:45" x14ac:dyDescent="0.25">
      <c r="C358" s="108"/>
      <c r="D358" s="108"/>
      <c r="E358" s="11"/>
    </row>
    <row r="359" spans="1:45" x14ac:dyDescent="0.25">
      <c r="C359" s="108"/>
      <c r="D359" s="108"/>
      <c r="E359" s="11"/>
    </row>
    <row r="360" spans="1:45" x14ac:dyDescent="0.25">
      <c r="C360" s="108"/>
      <c r="D360" s="108"/>
      <c r="E360" s="11"/>
    </row>
    <row r="361" spans="1:45" x14ac:dyDescent="0.25">
      <c r="C361" s="108"/>
      <c r="D361" s="108"/>
      <c r="E361" s="11"/>
    </row>
    <row r="362" spans="1:45" x14ac:dyDescent="0.25">
      <c r="C362" s="108"/>
      <c r="D362" s="108"/>
      <c r="E362" s="11"/>
    </row>
    <row r="363" spans="1:45" x14ac:dyDescent="0.25">
      <c r="C363" s="108"/>
      <c r="D363" s="108"/>
      <c r="E363" s="11"/>
    </row>
    <row r="364" spans="1:45" x14ac:dyDescent="0.25">
      <c r="C364" s="108"/>
      <c r="D364" s="108"/>
      <c r="E364" s="11"/>
    </row>
    <row r="365" spans="1:45" x14ac:dyDescent="0.25">
      <c r="C365" s="108"/>
      <c r="D365" s="108"/>
      <c r="E365" s="11"/>
    </row>
    <row r="366" spans="1:45" x14ac:dyDescent="0.25">
      <c r="C366" s="108"/>
      <c r="D366" s="108"/>
      <c r="E366" s="11"/>
    </row>
    <row r="367" spans="1:45" x14ac:dyDescent="0.25">
      <c r="C367" s="108"/>
      <c r="D367" s="108"/>
      <c r="E367" s="11"/>
    </row>
  </sheetData>
  <mergeCells count="35">
    <mergeCell ref="AE3:AE4"/>
    <mergeCell ref="AF3:AF4"/>
    <mergeCell ref="AH3:AH4"/>
    <mergeCell ref="AJ3:AL3"/>
    <mergeCell ref="X3:X4"/>
    <mergeCell ref="Y3:Y4"/>
    <mergeCell ref="Z3:Z4"/>
    <mergeCell ref="AA3:AA4"/>
    <mergeCell ref="AG3:AG4"/>
    <mergeCell ref="AD3:AD4"/>
    <mergeCell ref="AI3:AI4"/>
    <mergeCell ref="B1:AN1"/>
    <mergeCell ref="F3:F4"/>
    <mergeCell ref="K3:K4"/>
    <mergeCell ref="L3:L4"/>
    <mergeCell ref="G3:J3"/>
    <mergeCell ref="O3:O4"/>
    <mergeCell ref="P3:P4"/>
    <mergeCell ref="F2:P2"/>
    <mergeCell ref="N3:N4"/>
    <mergeCell ref="R2:R4"/>
    <mergeCell ref="W3:W4"/>
    <mergeCell ref="B3:B4"/>
    <mergeCell ref="C3:C4"/>
    <mergeCell ref="M3:M4"/>
    <mergeCell ref="AM3:AN3"/>
    <mergeCell ref="S2:AN2"/>
    <mergeCell ref="D2:D4"/>
    <mergeCell ref="E2:E4"/>
    <mergeCell ref="B2:C2"/>
    <mergeCell ref="AB3:AB4"/>
    <mergeCell ref="AC3:AC4"/>
    <mergeCell ref="Q2:Q4"/>
    <mergeCell ref="T3:V3"/>
    <mergeCell ref="S3:S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70C7B-0FDA-4108-B1BB-585D59BA2D2D}">
  <dimension ref="A1:ER363"/>
  <sheetViews>
    <sheetView topLeftCell="M1" zoomScale="70" zoomScaleNormal="70" workbookViewId="0">
      <pane ySplit="4" topLeftCell="A5" activePane="bottomLeft" state="frozen"/>
      <selection activeCell="T1" sqref="T1"/>
      <selection pane="bottomLeft" activeCell="P9" sqref="P9"/>
    </sheetView>
  </sheetViews>
  <sheetFormatPr baseColWidth="10" defaultRowHeight="15" x14ac:dyDescent="0.25"/>
  <cols>
    <col min="1" max="1" width="6.140625" style="107" customWidth="1"/>
    <col min="2" max="4" width="5.28515625" style="107" customWidth="1"/>
    <col min="5" max="5" width="21.42578125" style="107" bestFit="1" customWidth="1"/>
    <col min="6" max="6" width="7.140625" style="107" customWidth="1"/>
    <col min="7" max="7" width="7" style="107" customWidth="1"/>
    <col min="8" max="8" width="12.42578125" style="107" bestFit="1" customWidth="1"/>
    <col min="9" max="9" width="16.42578125" style="107" bestFit="1" customWidth="1"/>
    <col min="10" max="10" width="13.42578125" style="107" bestFit="1" customWidth="1"/>
    <col min="11" max="12" width="5.7109375" style="107" customWidth="1"/>
    <col min="13" max="13" width="50.140625" style="268" bestFit="1" customWidth="1"/>
    <col min="14" max="14" width="204.85546875" style="268" bestFit="1" customWidth="1"/>
    <col min="15" max="15" width="96.7109375" style="268" bestFit="1" customWidth="1"/>
    <col min="16" max="16" width="64.42578125" style="268" bestFit="1" customWidth="1"/>
    <col min="17" max="16384" width="11.42578125" style="107"/>
  </cols>
  <sheetData>
    <row r="1" spans="1:148" s="12" customFormat="1" ht="23.25" customHeight="1" thickTop="1" x14ac:dyDescent="0.25">
      <c r="B1" s="634" t="s">
        <v>326</v>
      </c>
      <c r="C1" s="634"/>
      <c r="D1" s="634"/>
      <c r="E1" s="634"/>
      <c r="F1" s="634"/>
      <c r="G1" s="634"/>
      <c r="H1" s="634"/>
      <c r="I1" s="634"/>
      <c r="J1" s="634"/>
      <c r="K1" s="634"/>
      <c r="L1" s="634"/>
      <c r="M1" s="459"/>
      <c r="N1" s="459"/>
      <c r="O1" s="459"/>
      <c r="P1" s="459"/>
      <c r="Q1" s="459"/>
      <c r="R1" s="459"/>
      <c r="S1" s="459"/>
      <c r="T1" s="459"/>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60"/>
      <c r="CO1" s="359"/>
      <c r="CP1" s="362"/>
      <c r="CQ1" s="357"/>
      <c r="CR1" s="357"/>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8"/>
      <c r="EO1" s="263"/>
      <c r="EP1" s="264"/>
      <c r="EQ1" s="264"/>
      <c r="ER1" s="264"/>
    </row>
    <row r="2" spans="1:148" s="12" customFormat="1" ht="30" customHeight="1" x14ac:dyDescent="0.25">
      <c r="B2" s="531" t="s">
        <v>554</v>
      </c>
      <c r="C2" s="516"/>
      <c r="D2" s="598" t="s">
        <v>456</v>
      </c>
      <c r="E2" s="461" t="s">
        <v>658</v>
      </c>
      <c r="F2" s="637" t="s">
        <v>1058</v>
      </c>
      <c r="G2" s="637" t="s">
        <v>1051</v>
      </c>
      <c r="H2" s="515" t="s">
        <v>1019</v>
      </c>
      <c r="I2" s="524"/>
      <c r="J2" s="524"/>
      <c r="K2" s="524"/>
      <c r="L2" s="516"/>
      <c r="M2" s="263"/>
      <c r="N2" s="263"/>
      <c r="O2" s="264"/>
      <c r="P2" s="264"/>
    </row>
    <row r="3" spans="1:148" s="12" customFormat="1" ht="26.25" customHeight="1" x14ac:dyDescent="0.25">
      <c r="B3" s="614" t="s">
        <v>986</v>
      </c>
      <c r="C3" s="605" t="s">
        <v>335</v>
      </c>
      <c r="D3" s="636"/>
      <c r="E3" s="548" t="s">
        <v>180</v>
      </c>
      <c r="F3" s="638"/>
      <c r="G3" s="638"/>
      <c r="H3" s="561" t="s">
        <v>337</v>
      </c>
      <c r="I3" s="513" t="s">
        <v>327</v>
      </c>
      <c r="J3" s="513" t="s">
        <v>1052</v>
      </c>
      <c r="K3" s="515" t="s">
        <v>554</v>
      </c>
      <c r="L3" s="516"/>
      <c r="M3" s="263"/>
      <c r="N3" s="263"/>
      <c r="O3" s="264"/>
      <c r="P3" s="264"/>
    </row>
    <row r="4" spans="1:148" s="12" customFormat="1" ht="78.75" customHeight="1" x14ac:dyDescent="0.25">
      <c r="B4" s="615"/>
      <c r="C4" s="606"/>
      <c r="D4" s="599"/>
      <c r="E4" s="548"/>
      <c r="F4" s="639"/>
      <c r="G4" s="639"/>
      <c r="H4" s="562"/>
      <c r="I4" s="514"/>
      <c r="J4" s="514"/>
      <c r="K4" s="455" t="s">
        <v>668</v>
      </c>
      <c r="L4" s="455" t="s">
        <v>355</v>
      </c>
      <c r="M4" s="263" t="s">
        <v>549</v>
      </c>
      <c r="N4" s="264" t="s">
        <v>981</v>
      </c>
      <c r="O4" s="264" t="s">
        <v>7</v>
      </c>
      <c r="P4" s="265" t="s">
        <v>8</v>
      </c>
    </row>
    <row r="5" spans="1:148" s="109" customFormat="1" ht="15" customHeight="1" x14ac:dyDescent="0.25">
      <c r="A5" s="23"/>
      <c r="B5" s="20"/>
      <c r="C5" s="13"/>
      <c r="D5" s="13">
        <v>1</v>
      </c>
      <c r="E5" s="111"/>
      <c r="F5" s="111"/>
      <c r="G5" s="13"/>
      <c r="H5" s="289">
        <v>1</v>
      </c>
      <c r="I5" s="111">
        <v>1</v>
      </c>
      <c r="J5" s="111">
        <v>1</v>
      </c>
      <c r="K5" s="289">
        <v>1</v>
      </c>
      <c r="L5" s="289"/>
      <c r="M5" s="266" t="s">
        <v>1053</v>
      </c>
      <c r="N5" s="266" t="str">
        <f xml:space="preserve"> CONCATENATE("Acceder al sistema Gemma con usuario y perfil activo para la funcionalidad modulo Maestro - RUT Bloqueado, hacer clic en el boton,"," ",IF(B5=1,"Modificar un registro","")," ",IF(C5=1,"Eliminar un registro","")," ",IF(D5=1,"Agregar un nuevo registro",""), " colocando todos lo campos, presionar Confirmar ",IF(F5=1,"Lin Nombre","")," ",)</f>
        <v xml:space="preserve">Acceder al sistema Gemma con usuario y perfil activo para la funcionalidad modulo Maestro - RUT Bloqueado, hacer clic en el boton,   Agregar un nuevo registro colocando todos lo campos, presionar Confirmar  </v>
      </c>
      <c r="O5" s="267" t="str">
        <f>CONCATENATE(" Validar funcionalidad Maestro Razon Seguimiento seleccionando la opcion "," ",IF(B5=1,$B$3,IF(C5=1,$C$3,IF(D5=1,$D$2,IF(#REF!=1,#REF!,""))))," ",)</f>
        <v xml:space="preserve"> Validar funcionalidad Maestro Razon Seguimiento seleccionando la opcion  Agregar </v>
      </c>
      <c r="P5" s="267" t="s">
        <v>982</v>
      </c>
    </row>
    <row r="6" spans="1:148" s="109" customFormat="1" ht="15" customHeight="1" x14ac:dyDescent="0.25">
      <c r="A6" s="23"/>
      <c r="B6" s="20">
        <v>1</v>
      </c>
      <c r="C6" s="13"/>
      <c r="D6" s="13"/>
      <c r="E6" s="111">
        <v>1</v>
      </c>
      <c r="F6" s="111">
        <v>1</v>
      </c>
      <c r="G6" s="13"/>
      <c r="H6" s="289">
        <v>1</v>
      </c>
      <c r="I6" s="111"/>
      <c r="J6" s="111">
        <v>1</v>
      </c>
      <c r="K6" s="289">
        <v>1</v>
      </c>
      <c r="L6" s="289"/>
      <c r="M6" s="266" t="s">
        <v>1054</v>
      </c>
      <c r="N6" s="266" t="str">
        <f xml:space="preserve"> CONCATENATE("Acceder al sistema Gemma con usuario y perfil activo para la funcionalidad modulo Maestro - RUT Bloqueado, buscar un Cliente Nombre, presionar el enlace ","",IF(F6=1,"Link Nombre",""),", para hacer clic en el boton  ",IF(B6=1,"Modificar",""),", presionar Confirmar ",IF(C6=1,"Eliminar un registro","")," ",IF(D6=1,"Agregar un nuevo registro",""), "",)</f>
        <v xml:space="preserve">Acceder al sistema Gemma con usuario y perfil activo para la funcionalidad modulo Maestro - RUT Bloqueado, buscar un Cliente Nombre, presionar el enlace Link Nombre, para hacer clic en el boton  Modificar, presionar Confirmar  </v>
      </c>
      <c r="O6" s="267" t="str">
        <f>CONCATENATE(" Validar funcionalidad Maestro Razon Seguimiento seleccionando la opcion "," ",IF(B6=1,$B$3,IF(C6=1,$C$3,IF(D6=1,$D$2,IF(#REF!=1,#REF!,""))))," seleccionando valores",)</f>
        <v xml:space="preserve"> Validar funcionalidad Maestro Razon Seguimiento seleccionando la opcion   Modificar seleccionando valores</v>
      </c>
      <c r="P6" s="267" t="s">
        <v>1009</v>
      </c>
    </row>
    <row r="7" spans="1:148" s="109" customFormat="1" ht="15" customHeight="1" x14ac:dyDescent="0.25">
      <c r="A7" s="23"/>
      <c r="B7" s="20">
        <v>1</v>
      </c>
      <c r="C7" s="13"/>
      <c r="D7" s="13"/>
      <c r="E7" s="111"/>
      <c r="F7" s="111">
        <v>1</v>
      </c>
      <c r="G7" s="13"/>
      <c r="H7" s="289">
        <v>1</v>
      </c>
      <c r="I7" s="111">
        <v>1</v>
      </c>
      <c r="J7" s="111"/>
      <c r="K7" s="289">
        <v>1</v>
      </c>
      <c r="L7" s="289"/>
      <c r="M7" s="266" t="s">
        <v>1055</v>
      </c>
      <c r="N7" s="266" t="str">
        <f xml:space="preserve"> CONCATENATE("Acceder al sistema Gemma con usuario y perfil activo para la funcionalidad modulo Maestro - RUT Bloqueado, tomando un valor de la tabla consulta, presionar el enlace", " ",IF(F7=1,"Link Nombre,","")," hacer clic en el boton ",IF(B7=1,"Modificar",""),"",IF(C7=1,"Eliminar un registro",""),"",IF(D7=1,"Agregar un nuevo registro",""), ", presionar Confirmar ",)</f>
        <v xml:space="preserve">Acceder al sistema Gemma con usuario y perfil activo para la funcionalidad modulo Maestro - RUT Bloqueado, tomando un valor de la tabla consulta, presionar el enlace Link Nombre, hacer clic en el boton Modificar, presionar Confirmar </v>
      </c>
      <c r="O7" s="267" t="str">
        <f>CONCATENATE(" Validar funcionalidad Maestro Razon Seguimiento seleccionando la opcion "," ",IF(B7=1,$B$3,IF(C7=1,$C$3,IF(D7=1,$D$2,IF(#REF!=1,#REF!,""))))," sin seleccionar valores",)</f>
        <v xml:space="preserve"> Validar funcionalidad Maestro Razon Seguimiento seleccionando la opcion   Modificar sin seleccionar valores</v>
      </c>
      <c r="P7" s="267" t="s">
        <v>1010</v>
      </c>
    </row>
    <row r="8" spans="1:148" s="109" customFormat="1" ht="15" customHeight="1" x14ac:dyDescent="0.25">
      <c r="A8" s="23"/>
      <c r="B8" s="20"/>
      <c r="C8" s="13">
        <v>1</v>
      </c>
      <c r="D8" s="13"/>
      <c r="E8" s="111">
        <v>1</v>
      </c>
      <c r="F8" s="111">
        <v>1</v>
      </c>
      <c r="G8" s="13"/>
      <c r="H8" s="289"/>
      <c r="I8" s="111"/>
      <c r="J8" s="111"/>
      <c r="K8" s="289">
        <v>1</v>
      </c>
      <c r="L8" s="289"/>
      <c r="M8" s="266" t="s">
        <v>1056</v>
      </c>
      <c r="N8" s="266" t="str">
        <f xml:space="preserve"> CONCATENATE("Acceder al sistema Gemma con usuario y perfil activo para la funcionalidad modulo Maestro - RUT Bloqueado, buscar un Cliente Nombre, presionar el enlace ","",IF(F8=1,"Link Nombre",""),", para hacer clic en el boton  ",IF(B8=1,"Modificar",""),"",IF(C8=1,"Eliminar",""),", presionar Confirmar  ",IF(D8=1,"Agregar un nuevo registro",""), "",)</f>
        <v xml:space="preserve">Acceder al sistema Gemma con usuario y perfil activo para la funcionalidad modulo Maestro - RUT Bloqueado, buscar un Cliente Nombre, presionar el enlace Link Nombre, para hacer clic en el boton  Eliminar, presionar Confirmar  </v>
      </c>
      <c r="O8" s="267" t="str">
        <f>CONCATENATE(" Validar funcionalidad Maestro Razon Seguimiento seleccionando la opcion "," ",IF(B8=1,$B$3,IF(C8=1,$C$3,IF(D8=1,$D$2,IF(#REF!=1,#REF!,""))))," seleccionando valores",)</f>
        <v xml:space="preserve"> Validar funcionalidad Maestro Razon Seguimiento seleccionando la opcion  Eliminar seleccionando valores</v>
      </c>
      <c r="P8" s="267" t="s">
        <v>1011</v>
      </c>
    </row>
    <row r="9" spans="1:148" s="109" customFormat="1" ht="15" customHeight="1" thickBot="1" x14ac:dyDescent="0.3">
      <c r="A9" s="23"/>
      <c r="B9" s="20"/>
      <c r="C9" s="13">
        <v>1</v>
      </c>
      <c r="D9" s="13"/>
      <c r="E9" s="111"/>
      <c r="F9" s="111">
        <v>1</v>
      </c>
      <c r="G9" s="13"/>
      <c r="H9" s="289"/>
      <c r="I9" s="111"/>
      <c r="J9" s="111"/>
      <c r="K9" s="289">
        <v>1</v>
      </c>
      <c r="L9" s="289"/>
      <c r="M9" s="266" t="s">
        <v>1057</v>
      </c>
      <c r="N9" s="266" t="str">
        <f xml:space="preserve"> CONCATENATE("Acceder al sistema Gemma con usuario y perfil activo para la funcionalidad modulo Maestro - RUT Bloqueado, tomando un valor de la tabla consulta, presionar el enlace", " ",IF(F9=1,"Link Nombre,","")," hacer clic en el boton ",IF(B9=1,"Modificar",""),"",IF(C9=1,"Eliminar",""),"",IF(D9=1,"Agregar un nuevo registro",""), ", presionar Confirmar ",)</f>
        <v xml:space="preserve">Acceder al sistema Gemma con usuario y perfil activo para la funcionalidad modulo Maestro - RUT Bloqueado, tomando un valor de la tabla consulta, presionar el enlace Link Nombre, hacer clic en el boton Eliminar, presionar Confirmar </v>
      </c>
      <c r="O9" s="267" t="str">
        <f>CONCATENATE(" Validar funcionalidad Maestro Razon Seguimiento seleccionando la opcion "," ",IF(B9=1,$B$3,IF(C9=1,$C$3,IF(D9=1,$D$2,IF(#REF!=1,#REF!,""))))," sin seleccionar valores",)</f>
        <v xml:space="preserve"> Validar funcionalidad Maestro Razon Seguimiento seleccionando la opcion  Eliminar sin seleccionar valores</v>
      </c>
      <c r="P9" s="267" t="s">
        <v>1012</v>
      </c>
    </row>
    <row r="10" spans="1:148" s="109" customFormat="1" ht="15" customHeight="1" thickTop="1" x14ac:dyDescent="0.25">
      <c r="A10" s="23"/>
      <c r="B10" s="292"/>
      <c r="C10" s="293"/>
      <c r="D10" s="293">
        <v>1</v>
      </c>
      <c r="E10" s="106"/>
      <c r="F10" s="106"/>
      <c r="G10" s="293"/>
      <c r="H10" s="398"/>
      <c r="I10" s="106"/>
      <c r="J10" s="106"/>
      <c r="K10" s="398"/>
      <c r="L10" s="398">
        <v>1</v>
      </c>
      <c r="M10" s="266" t="s">
        <v>1566</v>
      </c>
      <c r="N10" s="266" t="str">
        <f xml:space="preserve"> CONCATENATE("Acceder al sistema Gemma con usuario y perfil activo para la funcionalidad modulo Maestro - RUT Bloqueado, hacer clic en el boton,"," ",IF(B10=1,"Modificar un registro","")," ",IF(C10=1,"Eliminar un registro","")," ",IF(D10=1,"Agregar un nuevo registro",""), " dejando en blanco los campos",)</f>
        <v>Acceder al sistema Gemma con usuario y perfil activo para la funcionalidad modulo Maestro - RUT Bloqueado, hacer clic en el boton,   Agregar un nuevo registro dejando en blanco los campos</v>
      </c>
      <c r="O10" s="267" t="str">
        <f>CONCATENATE(" Validar funcionalidad Maestro Razon Seguimiento seleccionando la opcion "," ",IF(B10=1,$B$3,IF(C10=1,$C$3,IF(D10=1,$D$2,IF(#REF!=1,#REF!,""))))," cancelar transaccion",)</f>
        <v xml:space="preserve"> Validar funcionalidad Maestro Razon Seguimiento seleccionando la opcion  Agregar cancelar transaccion</v>
      </c>
      <c r="P10" s="267" t="s">
        <v>1567</v>
      </c>
    </row>
    <row r="11" spans="1:148" s="109" customFormat="1" x14ac:dyDescent="0.25">
      <c r="B11" s="14"/>
      <c r="C11" s="110"/>
      <c r="D11" s="110"/>
      <c r="E11" s="13"/>
      <c r="F11" s="13"/>
      <c r="G11" s="13"/>
      <c r="H11" s="13"/>
      <c r="I11" s="13"/>
      <c r="J11" s="13"/>
      <c r="K11" s="13"/>
      <c r="L11" s="13"/>
      <c r="M11" s="266"/>
      <c r="N11" s="266"/>
      <c r="O11" s="267"/>
      <c r="P11" s="267"/>
    </row>
    <row r="12" spans="1:148" s="109" customFormat="1" x14ac:dyDescent="0.25">
      <c r="B12" s="14"/>
      <c r="C12" s="110"/>
      <c r="D12" s="110"/>
      <c r="E12" s="13"/>
      <c r="F12" s="13"/>
      <c r="G12" s="13"/>
      <c r="H12" s="13"/>
      <c r="I12" s="13"/>
      <c r="J12" s="13"/>
      <c r="K12" s="13"/>
      <c r="L12" s="13"/>
      <c r="M12" s="266"/>
      <c r="N12" s="266"/>
      <c r="O12" s="267"/>
      <c r="P12" s="267"/>
    </row>
    <row r="13" spans="1:148" s="109" customFormat="1" x14ac:dyDescent="0.25">
      <c r="B13" s="14"/>
      <c r="C13" s="110"/>
      <c r="D13" s="110"/>
      <c r="E13" s="13"/>
      <c r="F13" s="13"/>
      <c r="G13" s="13"/>
      <c r="H13" s="13"/>
      <c r="I13" s="13"/>
      <c r="J13" s="13"/>
      <c r="K13" s="13"/>
      <c r="L13" s="13"/>
      <c r="M13" s="266"/>
      <c r="N13" s="266"/>
      <c r="O13" s="267"/>
      <c r="P13" s="267"/>
    </row>
    <row r="14" spans="1:148" s="109" customFormat="1" x14ac:dyDescent="0.25">
      <c r="B14" s="14"/>
      <c r="C14" s="110"/>
      <c r="D14" s="110"/>
      <c r="E14" s="13"/>
      <c r="F14" s="13"/>
      <c r="G14" s="13"/>
      <c r="H14" s="13"/>
      <c r="I14" s="13"/>
      <c r="J14" s="13"/>
      <c r="K14" s="13"/>
      <c r="L14" s="13"/>
      <c r="M14" s="266"/>
      <c r="N14" s="266"/>
      <c r="O14" s="267"/>
      <c r="P14" s="267"/>
    </row>
    <row r="15" spans="1:148" s="109" customFormat="1" x14ac:dyDescent="0.25">
      <c r="B15" s="14"/>
      <c r="C15" s="110"/>
      <c r="D15" s="110"/>
      <c r="E15" s="13"/>
      <c r="F15" s="13"/>
      <c r="G15" s="13"/>
      <c r="H15" s="13"/>
      <c r="I15" s="13"/>
      <c r="J15" s="13"/>
      <c r="K15" s="13"/>
      <c r="L15" s="13"/>
      <c r="M15" s="266"/>
      <c r="N15" s="266"/>
      <c r="O15" s="267"/>
      <c r="P15" s="267"/>
    </row>
    <row r="16" spans="1:148" s="109" customFormat="1" x14ac:dyDescent="0.25">
      <c r="B16" s="14"/>
      <c r="C16" s="110"/>
      <c r="D16" s="110"/>
      <c r="E16" s="13"/>
      <c r="F16" s="13"/>
      <c r="G16" s="13"/>
      <c r="H16" s="13"/>
      <c r="I16" s="13"/>
      <c r="J16" s="13"/>
      <c r="K16" s="13"/>
      <c r="L16" s="13"/>
      <c r="M16" s="266"/>
      <c r="N16" s="266"/>
      <c r="O16" s="267"/>
      <c r="P16" s="267"/>
    </row>
    <row r="17" spans="2:16" s="109" customFormat="1" x14ac:dyDescent="0.25">
      <c r="B17" s="14"/>
      <c r="C17" s="110"/>
      <c r="D17" s="110"/>
      <c r="E17" s="13"/>
      <c r="F17" s="13"/>
      <c r="G17" s="13"/>
      <c r="H17" s="13"/>
      <c r="I17" s="13"/>
      <c r="J17" s="13"/>
      <c r="K17" s="13"/>
      <c r="L17" s="13"/>
      <c r="M17" s="266"/>
      <c r="N17" s="266"/>
      <c r="O17" s="267"/>
      <c r="P17" s="267"/>
    </row>
    <row r="18" spans="2:16" s="109" customFormat="1" x14ac:dyDescent="0.25">
      <c r="B18" s="14"/>
      <c r="C18" s="110"/>
      <c r="D18" s="110"/>
      <c r="E18" s="13"/>
      <c r="F18" s="13"/>
      <c r="G18" s="13"/>
      <c r="H18" s="13"/>
      <c r="I18" s="13"/>
      <c r="J18" s="13"/>
      <c r="K18" s="13"/>
      <c r="L18" s="13"/>
      <c r="M18" s="266"/>
      <c r="N18" s="266"/>
      <c r="O18" s="267"/>
      <c r="P18" s="267"/>
    </row>
    <row r="19" spans="2:16" s="109" customFormat="1" x14ac:dyDescent="0.25">
      <c r="B19" s="14"/>
      <c r="C19" s="110"/>
      <c r="D19" s="110"/>
      <c r="E19" s="13"/>
      <c r="F19" s="13"/>
      <c r="G19" s="13"/>
      <c r="H19" s="13"/>
      <c r="I19" s="13"/>
      <c r="J19" s="13"/>
      <c r="K19" s="13"/>
      <c r="L19" s="13"/>
      <c r="M19" s="266"/>
      <c r="N19" s="266"/>
      <c r="O19" s="267"/>
      <c r="P19" s="267"/>
    </row>
    <row r="20" spans="2:16" s="109" customFormat="1" x14ac:dyDescent="0.25">
      <c r="B20" s="14"/>
      <c r="C20" s="110"/>
      <c r="D20" s="110"/>
      <c r="E20" s="13"/>
      <c r="F20" s="13"/>
      <c r="G20" s="13"/>
      <c r="H20" s="13"/>
      <c r="I20" s="13"/>
      <c r="J20" s="13"/>
      <c r="K20" s="13"/>
      <c r="L20" s="13"/>
      <c r="M20" s="266"/>
      <c r="N20" s="266"/>
      <c r="O20" s="267"/>
      <c r="P20" s="267"/>
    </row>
    <row r="21" spans="2:16" s="109" customFormat="1" x14ac:dyDescent="0.25">
      <c r="B21" s="14"/>
      <c r="C21" s="110"/>
      <c r="D21" s="110"/>
      <c r="E21" s="13"/>
      <c r="F21" s="13"/>
      <c r="G21" s="13"/>
      <c r="H21" s="13"/>
      <c r="I21" s="13"/>
      <c r="J21" s="13"/>
      <c r="K21" s="13"/>
      <c r="L21" s="13"/>
      <c r="M21" s="266"/>
      <c r="N21" s="266"/>
      <c r="O21" s="267"/>
      <c r="P21" s="267"/>
    </row>
    <row r="22" spans="2:16" s="109" customFormat="1" x14ac:dyDescent="0.25">
      <c r="B22" s="18"/>
      <c r="C22" s="13"/>
      <c r="D22" s="13"/>
      <c r="E22" s="13"/>
      <c r="F22" s="13"/>
      <c r="G22" s="13"/>
      <c r="H22" s="13"/>
      <c r="I22" s="13"/>
      <c r="J22" s="13"/>
      <c r="K22" s="13"/>
      <c r="L22" s="13"/>
      <c r="M22" s="266"/>
      <c r="N22" s="266"/>
      <c r="O22" s="267"/>
      <c r="P22" s="267"/>
    </row>
    <row r="23" spans="2:16" s="109" customFormat="1" x14ac:dyDescent="0.25">
      <c r="B23" s="18"/>
      <c r="C23" s="13"/>
      <c r="D23" s="13"/>
      <c r="E23" s="110"/>
      <c r="F23" s="110"/>
      <c r="G23" s="110"/>
      <c r="H23" s="110"/>
      <c r="I23" s="110"/>
      <c r="J23" s="110"/>
      <c r="K23" s="110"/>
      <c r="L23" s="110"/>
      <c r="M23" s="270"/>
      <c r="N23" s="270"/>
      <c r="O23" s="267"/>
      <c r="P23" s="267"/>
    </row>
    <row r="24" spans="2:16" s="109" customFormat="1" x14ac:dyDescent="0.25">
      <c r="B24" s="18"/>
      <c r="C24" s="13"/>
      <c r="D24" s="13"/>
      <c r="E24" s="110"/>
      <c r="F24" s="110"/>
      <c r="G24" s="110"/>
      <c r="H24" s="110"/>
      <c r="I24" s="110"/>
      <c r="J24" s="110"/>
      <c r="K24" s="110"/>
      <c r="L24" s="110"/>
      <c r="M24" s="270"/>
      <c r="N24" s="270"/>
      <c r="O24" s="267"/>
      <c r="P24" s="267"/>
    </row>
    <row r="25" spans="2:16" s="109" customFormat="1" x14ac:dyDescent="0.25">
      <c r="B25" s="18"/>
      <c r="C25" s="13"/>
      <c r="D25" s="13"/>
      <c r="E25" s="110"/>
      <c r="F25" s="110"/>
      <c r="G25" s="110"/>
      <c r="H25" s="110"/>
      <c r="I25" s="110"/>
      <c r="J25" s="110"/>
      <c r="K25" s="110"/>
      <c r="L25" s="110"/>
      <c r="M25" s="270"/>
      <c r="N25" s="270"/>
      <c r="O25" s="267"/>
      <c r="P25" s="267"/>
    </row>
    <row r="26" spans="2:16" s="109" customFormat="1" x14ac:dyDescent="0.25">
      <c r="B26" s="18"/>
      <c r="C26" s="13"/>
      <c r="D26" s="13"/>
      <c r="E26" s="110"/>
      <c r="F26" s="110"/>
      <c r="G26" s="110"/>
      <c r="H26" s="110"/>
      <c r="I26" s="110"/>
      <c r="J26" s="110"/>
      <c r="K26" s="110"/>
      <c r="L26" s="110"/>
      <c r="M26" s="270"/>
      <c r="N26" s="270"/>
      <c r="O26" s="267"/>
      <c r="P26" s="267"/>
    </row>
    <row r="27" spans="2:16" s="109" customFormat="1" x14ac:dyDescent="0.25">
      <c r="B27" s="18"/>
      <c r="C27" s="13"/>
      <c r="D27" s="13"/>
      <c r="E27" s="110"/>
      <c r="F27" s="110"/>
      <c r="G27" s="110"/>
      <c r="H27" s="110"/>
      <c r="I27" s="110"/>
      <c r="J27" s="110"/>
      <c r="K27" s="110"/>
      <c r="L27" s="110"/>
      <c r="M27" s="270"/>
      <c r="N27" s="270"/>
      <c r="O27" s="267"/>
      <c r="P27" s="267"/>
    </row>
    <row r="28" spans="2:16" s="109" customFormat="1" x14ac:dyDescent="0.25">
      <c r="B28" s="18"/>
      <c r="C28" s="13"/>
      <c r="D28" s="13"/>
      <c r="E28" s="110"/>
      <c r="F28" s="110"/>
      <c r="G28" s="110"/>
      <c r="H28" s="110"/>
      <c r="I28" s="110"/>
      <c r="J28" s="110"/>
      <c r="K28" s="110"/>
      <c r="L28" s="110"/>
      <c r="M28" s="270"/>
      <c r="N28" s="270"/>
      <c r="O28" s="267"/>
      <c r="P28" s="267"/>
    </row>
    <row r="29" spans="2:16" s="109" customFormat="1" x14ac:dyDescent="0.25">
      <c r="B29" s="18"/>
      <c r="C29" s="13"/>
      <c r="D29" s="13"/>
      <c r="E29" s="110"/>
      <c r="F29" s="110"/>
      <c r="G29" s="110"/>
      <c r="H29" s="110"/>
      <c r="I29" s="110"/>
      <c r="J29" s="110"/>
      <c r="K29" s="110"/>
      <c r="L29" s="110"/>
      <c r="M29" s="270"/>
      <c r="N29" s="270"/>
      <c r="O29" s="267"/>
      <c r="P29" s="267"/>
    </row>
    <row r="30" spans="2:16" s="109" customFormat="1" x14ac:dyDescent="0.25">
      <c r="B30" s="18"/>
      <c r="C30" s="13"/>
      <c r="D30" s="13"/>
      <c r="E30" s="110"/>
      <c r="F30" s="110"/>
      <c r="G30" s="110"/>
      <c r="H30" s="110"/>
      <c r="I30" s="110"/>
      <c r="J30" s="110"/>
      <c r="K30" s="110"/>
      <c r="L30" s="110"/>
      <c r="M30" s="270"/>
      <c r="N30" s="270"/>
      <c r="O30" s="267"/>
      <c r="P30" s="267"/>
    </row>
    <row r="31" spans="2:16" s="109" customFormat="1" x14ac:dyDescent="0.25">
      <c r="B31" s="18"/>
      <c r="C31" s="13"/>
      <c r="D31" s="13"/>
      <c r="E31" s="110"/>
      <c r="F31" s="110"/>
      <c r="G31" s="110"/>
      <c r="H31" s="110"/>
      <c r="I31" s="110"/>
      <c r="J31" s="110"/>
      <c r="K31" s="110"/>
      <c r="L31" s="110"/>
      <c r="M31" s="270"/>
      <c r="N31" s="270"/>
      <c r="O31" s="267"/>
      <c r="P31" s="267"/>
    </row>
    <row r="32" spans="2:16" s="109" customFormat="1" x14ac:dyDescent="0.25">
      <c r="B32" s="18"/>
      <c r="C32" s="13"/>
      <c r="D32" s="13"/>
      <c r="E32" s="110"/>
      <c r="F32" s="110"/>
      <c r="G32" s="110"/>
      <c r="H32" s="110"/>
      <c r="I32" s="110"/>
      <c r="J32" s="110"/>
      <c r="K32" s="110"/>
      <c r="L32" s="110"/>
      <c r="M32" s="270"/>
      <c r="N32" s="270"/>
      <c r="O32" s="267"/>
      <c r="P32" s="267"/>
    </row>
    <row r="33" spans="2:16" s="109" customFormat="1" x14ac:dyDescent="0.25">
      <c r="B33" s="18"/>
      <c r="C33" s="13"/>
      <c r="D33" s="13"/>
      <c r="E33" s="110"/>
      <c r="F33" s="110"/>
      <c r="G33" s="110"/>
      <c r="H33" s="110"/>
      <c r="I33" s="110"/>
      <c r="J33" s="110"/>
      <c r="K33" s="110"/>
      <c r="L33" s="110"/>
      <c r="M33" s="270"/>
      <c r="N33" s="270"/>
      <c r="O33" s="267"/>
      <c r="P33" s="267"/>
    </row>
    <row r="34" spans="2:16" s="109" customFormat="1" x14ac:dyDescent="0.25">
      <c r="B34" s="18"/>
      <c r="C34" s="13"/>
      <c r="D34" s="13"/>
      <c r="E34" s="110"/>
      <c r="F34" s="110"/>
      <c r="G34" s="110"/>
      <c r="H34" s="110"/>
      <c r="I34" s="110"/>
      <c r="J34" s="110"/>
      <c r="K34" s="110"/>
      <c r="L34" s="110"/>
      <c r="M34" s="270"/>
      <c r="N34" s="270"/>
      <c r="O34" s="267"/>
      <c r="P34" s="267"/>
    </row>
    <row r="35" spans="2:16" s="109" customFormat="1" x14ac:dyDescent="0.25">
      <c r="B35" s="18"/>
      <c r="C35" s="13"/>
      <c r="D35" s="13"/>
      <c r="E35" s="110"/>
      <c r="F35" s="110"/>
      <c r="G35" s="110"/>
      <c r="H35" s="110"/>
      <c r="I35" s="110"/>
      <c r="J35" s="110"/>
      <c r="K35" s="110"/>
      <c r="L35" s="110"/>
      <c r="M35" s="270"/>
      <c r="N35" s="270"/>
      <c r="O35" s="267"/>
      <c r="P35" s="267"/>
    </row>
    <row r="36" spans="2:16" s="109" customFormat="1" x14ac:dyDescent="0.25">
      <c r="B36" s="18"/>
      <c r="C36" s="13"/>
      <c r="D36" s="13"/>
      <c r="E36" s="110"/>
      <c r="F36" s="110"/>
      <c r="G36" s="110"/>
      <c r="H36" s="110"/>
      <c r="I36" s="110"/>
      <c r="J36" s="110"/>
      <c r="K36" s="110"/>
      <c r="L36" s="110"/>
      <c r="M36" s="270"/>
      <c r="N36" s="270"/>
      <c r="O36" s="267"/>
      <c r="P36" s="267"/>
    </row>
    <row r="37" spans="2:16" s="109" customFormat="1" x14ac:dyDescent="0.25">
      <c r="B37" s="18"/>
      <c r="C37" s="13"/>
      <c r="D37" s="13"/>
      <c r="E37" s="110"/>
      <c r="F37" s="110"/>
      <c r="G37" s="110"/>
      <c r="H37" s="110"/>
      <c r="I37" s="110"/>
      <c r="J37" s="110"/>
      <c r="K37" s="110"/>
      <c r="L37" s="110"/>
      <c r="M37" s="270"/>
      <c r="N37" s="270"/>
      <c r="O37" s="267"/>
      <c r="P37" s="267"/>
    </row>
    <row r="38" spans="2:16" s="109" customFormat="1" x14ac:dyDescent="0.25">
      <c r="B38" s="18"/>
      <c r="C38" s="13"/>
      <c r="D38" s="13"/>
      <c r="E38" s="110"/>
      <c r="F38" s="110"/>
      <c r="G38" s="110"/>
      <c r="H38" s="110"/>
      <c r="I38" s="110"/>
      <c r="J38" s="110"/>
      <c r="K38" s="110"/>
      <c r="L38" s="110"/>
      <c r="M38" s="270"/>
      <c r="N38" s="270"/>
      <c r="O38" s="267"/>
      <c r="P38" s="267"/>
    </row>
    <row r="39" spans="2:16" s="109" customFormat="1" x14ac:dyDescent="0.25">
      <c r="B39" s="18"/>
      <c r="C39" s="13"/>
      <c r="D39" s="13"/>
      <c r="E39" s="110"/>
      <c r="F39" s="110"/>
      <c r="G39" s="110"/>
      <c r="H39" s="110"/>
      <c r="I39" s="110"/>
      <c r="J39" s="110"/>
      <c r="K39" s="110"/>
      <c r="L39" s="110"/>
      <c r="M39" s="270"/>
      <c r="N39" s="270"/>
      <c r="O39" s="267"/>
      <c r="P39" s="267"/>
    </row>
    <row r="40" spans="2:16" s="109" customFormat="1" x14ac:dyDescent="0.25">
      <c r="B40" s="18"/>
      <c r="C40" s="13"/>
      <c r="D40" s="13"/>
      <c r="E40" s="110"/>
      <c r="F40" s="110"/>
      <c r="G40" s="110"/>
      <c r="H40" s="110"/>
      <c r="I40" s="110"/>
      <c r="J40" s="110"/>
      <c r="K40" s="110"/>
      <c r="L40" s="110"/>
      <c r="M40" s="270"/>
      <c r="N40" s="270"/>
      <c r="O40" s="267"/>
      <c r="P40" s="267"/>
    </row>
    <row r="41" spans="2:16" s="109" customFormat="1" x14ac:dyDescent="0.25">
      <c r="B41" s="18"/>
      <c r="C41" s="13"/>
      <c r="D41" s="13"/>
      <c r="E41" s="110"/>
      <c r="F41" s="110"/>
      <c r="G41" s="110"/>
      <c r="H41" s="110"/>
      <c r="I41" s="110"/>
      <c r="J41" s="110"/>
      <c r="K41" s="110"/>
      <c r="L41" s="110"/>
      <c r="M41" s="270"/>
      <c r="N41" s="270"/>
      <c r="O41" s="267"/>
      <c r="P41" s="267"/>
    </row>
    <row r="42" spans="2:16" s="109" customFormat="1" x14ac:dyDescent="0.25">
      <c r="B42" s="18"/>
      <c r="C42" s="13"/>
      <c r="D42" s="13"/>
      <c r="E42" s="110"/>
      <c r="F42" s="110"/>
      <c r="G42" s="110"/>
      <c r="H42" s="110"/>
      <c r="I42" s="110"/>
      <c r="J42" s="110"/>
      <c r="K42" s="110"/>
      <c r="L42" s="110"/>
      <c r="M42" s="270"/>
      <c r="N42" s="270"/>
      <c r="O42" s="267"/>
      <c r="P42" s="267"/>
    </row>
    <row r="43" spans="2:16" s="109" customFormat="1" x14ac:dyDescent="0.25">
      <c r="B43" s="18"/>
      <c r="C43" s="13"/>
      <c r="D43" s="13"/>
      <c r="E43" s="110"/>
      <c r="F43" s="110"/>
      <c r="G43" s="110"/>
      <c r="H43" s="110"/>
      <c r="I43" s="110"/>
      <c r="J43" s="110"/>
      <c r="K43" s="110"/>
      <c r="L43" s="110"/>
      <c r="M43" s="270"/>
      <c r="N43" s="270"/>
      <c r="O43" s="267"/>
      <c r="P43" s="267"/>
    </row>
    <row r="44" spans="2:16" s="109" customFormat="1" x14ac:dyDescent="0.25">
      <c r="B44" s="18"/>
      <c r="C44" s="13"/>
      <c r="D44" s="13"/>
      <c r="E44" s="110"/>
      <c r="F44" s="110"/>
      <c r="G44" s="110"/>
      <c r="H44" s="110"/>
      <c r="I44" s="110"/>
      <c r="J44" s="110"/>
      <c r="K44" s="110"/>
      <c r="L44" s="110"/>
      <c r="M44" s="270"/>
      <c r="N44" s="270"/>
      <c r="O44" s="267"/>
      <c r="P44" s="267"/>
    </row>
    <row r="45" spans="2:16" s="109" customFormat="1" x14ac:dyDescent="0.25">
      <c r="B45" s="18"/>
      <c r="C45" s="13"/>
      <c r="D45" s="13"/>
      <c r="E45" s="110"/>
      <c r="F45" s="110"/>
      <c r="G45" s="110"/>
      <c r="H45" s="110"/>
      <c r="I45" s="110"/>
      <c r="J45" s="110"/>
      <c r="K45" s="110"/>
      <c r="L45" s="110"/>
      <c r="M45" s="270"/>
      <c r="N45" s="270"/>
      <c r="O45" s="267"/>
      <c r="P45" s="267"/>
    </row>
    <row r="46" spans="2:16" s="109" customFormat="1" x14ac:dyDescent="0.25">
      <c r="B46" s="18"/>
      <c r="C46" s="13"/>
      <c r="D46" s="13"/>
      <c r="E46" s="110"/>
      <c r="F46" s="110"/>
      <c r="G46" s="110"/>
      <c r="H46" s="110"/>
      <c r="I46" s="110"/>
      <c r="J46" s="110"/>
      <c r="K46" s="110"/>
      <c r="L46" s="110"/>
      <c r="M46" s="270"/>
      <c r="N46" s="270"/>
      <c r="O46" s="267"/>
      <c r="P46" s="267"/>
    </row>
    <row r="47" spans="2:16" s="109" customFormat="1" ht="15.75" thickBot="1" x14ac:dyDescent="0.3">
      <c r="B47" s="323"/>
      <c r="C47" s="281"/>
      <c r="D47" s="281"/>
      <c r="E47" s="304"/>
      <c r="F47" s="304"/>
      <c r="G47" s="304"/>
      <c r="H47" s="304"/>
      <c r="I47" s="304"/>
      <c r="J47" s="304"/>
      <c r="K47" s="304"/>
      <c r="L47" s="304"/>
      <c r="M47" s="270"/>
      <c r="N47" s="270"/>
      <c r="O47" s="267"/>
      <c r="P47" s="267"/>
    </row>
    <row r="48" spans="2:16" s="109" customFormat="1" ht="15.75" thickTop="1" x14ac:dyDescent="0.25">
      <c r="B48" s="108"/>
      <c r="C48" s="108"/>
      <c r="D48" s="108"/>
      <c r="E48" s="108"/>
      <c r="F48" s="108"/>
      <c r="G48" s="108"/>
      <c r="H48" s="108"/>
      <c r="I48" s="108"/>
      <c r="J48" s="108"/>
      <c r="K48" s="108"/>
      <c r="L48" s="108"/>
      <c r="M48" s="270"/>
      <c r="N48" s="270"/>
      <c r="O48" s="267"/>
      <c r="P48" s="267"/>
    </row>
    <row r="49" spans="2:16" s="109" customFormat="1" x14ac:dyDescent="0.25">
      <c r="B49" s="108"/>
      <c r="C49" s="108"/>
      <c r="D49" s="108"/>
      <c r="E49" s="108"/>
      <c r="F49" s="108"/>
      <c r="G49" s="108"/>
      <c r="H49" s="108"/>
      <c r="I49" s="108"/>
      <c r="J49" s="108"/>
      <c r="K49" s="108"/>
      <c r="L49" s="108"/>
      <c r="M49" s="270"/>
      <c r="N49" s="270"/>
      <c r="O49" s="267"/>
      <c r="P49" s="267"/>
    </row>
    <row r="50" spans="2:16" s="109" customFormat="1" x14ac:dyDescent="0.25">
      <c r="B50" s="108"/>
      <c r="C50" s="108"/>
      <c r="D50" s="108"/>
      <c r="E50" s="108"/>
      <c r="F50" s="108"/>
      <c r="G50" s="108"/>
      <c r="H50" s="108"/>
      <c r="I50" s="108"/>
      <c r="J50" s="108"/>
      <c r="K50" s="108"/>
      <c r="L50" s="108"/>
      <c r="M50" s="270"/>
      <c r="N50" s="270"/>
      <c r="O50" s="267"/>
      <c r="P50" s="267"/>
    </row>
    <row r="51" spans="2:16" s="109" customFormat="1" x14ac:dyDescent="0.25">
      <c r="B51" s="108"/>
      <c r="C51" s="108"/>
      <c r="D51" s="108"/>
      <c r="E51" s="108"/>
      <c r="F51" s="108"/>
      <c r="G51" s="108"/>
      <c r="H51" s="108"/>
      <c r="I51" s="108"/>
      <c r="J51" s="108"/>
      <c r="K51" s="108"/>
      <c r="L51" s="108"/>
      <c r="M51" s="270"/>
      <c r="N51" s="270"/>
      <c r="O51" s="267"/>
      <c r="P51" s="267"/>
    </row>
    <row r="52" spans="2:16" s="109" customFormat="1" x14ac:dyDescent="0.25">
      <c r="B52" s="108"/>
      <c r="C52" s="108"/>
      <c r="D52" s="108"/>
      <c r="E52" s="108"/>
      <c r="F52" s="108"/>
      <c r="G52" s="108"/>
      <c r="H52" s="108"/>
      <c r="I52" s="108"/>
      <c r="J52" s="108"/>
      <c r="K52" s="108"/>
      <c r="L52" s="108"/>
      <c r="M52" s="270"/>
      <c r="N52" s="270"/>
      <c r="O52" s="267"/>
      <c r="P52" s="267"/>
    </row>
    <row r="53" spans="2:16" s="109" customFormat="1" x14ac:dyDescent="0.25">
      <c r="B53" s="108"/>
      <c r="C53" s="108"/>
      <c r="D53" s="108"/>
      <c r="E53" s="108"/>
      <c r="F53" s="108"/>
      <c r="G53" s="108"/>
      <c r="H53" s="108"/>
      <c r="I53" s="108"/>
      <c r="J53" s="108"/>
      <c r="K53" s="108"/>
      <c r="L53" s="108"/>
      <c r="M53" s="270"/>
      <c r="N53" s="270"/>
      <c r="O53" s="267"/>
      <c r="P53" s="267"/>
    </row>
    <row r="54" spans="2:16" s="109" customFormat="1" x14ac:dyDescent="0.25">
      <c r="B54" s="108"/>
      <c r="C54" s="108"/>
      <c r="D54" s="108"/>
      <c r="E54" s="108"/>
      <c r="F54" s="108"/>
      <c r="G54" s="108"/>
      <c r="H54" s="108"/>
      <c r="I54" s="108"/>
      <c r="J54" s="108"/>
      <c r="K54" s="108"/>
      <c r="L54" s="108"/>
      <c r="M54" s="270"/>
      <c r="N54" s="270"/>
      <c r="O54" s="267"/>
      <c r="P54" s="267"/>
    </row>
    <row r="55" spans="2:16" s="109" customFormat="1" x14ac:dyDescent="0.25">
      <c r="B55" s="108"/>
      <c r="C55" s="108"/>
      <c r="D55" s="108"/>
      <c r="E55" s="108"/>
      <c r="F55" s="108"/>
      <c r="G55" s="108"/>
      <c r="H55" s="108"/>
      <c r="I55" s="108"/>
      <c r="J55" s="108"/>
      <c r="K55" s="108"/>
      <c r="L55" s="108"/>
      <c r="M55" s="270"/>
      <c r="N55" s="270"/>
      <c r="O55" s="267"/>
      <c r="P55" s="267"/>
    </row>
    <row r="56" spans="2:16" s="109" customFormat="1" x14ac:dyDescent="0.25">
      <c r="B56" s="108"/>
      <c r="C56" s="108"/>
      <c r="D56" s="108"/>
      <c r="E56" s="108"/>
      <c r="F56" s="108"/>
      <c r="G56" s="108"/>
      <c r="H56" s="108"/>
      <c r="I56" s="108"/>
      <c r="J56" s="108"/>
      <c r="K56" s="108"/>
      <c r="L56" s="108"/>
      <c r="M56" s="270"/>
      <c r="N56" s="270"/>
      <c r="O56" s="267"/>
      <c r="P56" s="267"/>
    </row>
    <row r="57" spans="2:16" s="109" customFormat="1" x14ac:dyDescent="0.25">
      <c r="B57" s="108"/>
      <c r="C57" s="108"/>
      <c r="D57" s="108"/>
      <c r="E57" s="108"/>
      <c r="F57" s="108"/>
      <c r="G57" s="108"/>
      <c r="H57" s="108"/>
      <c r="I57" s="108"/>
      <c r="J57" s="108"/>
      <c r="K57" s="108"/>
      <c r="L57" s="108"/>
      <c r="M57" s="270"/>
      <c r="N57" s="270"/>
      <c r="O57" s="267"/>
      <c r="P57" s="267"/>
    </row>
    <row r="58" spans="2:16" s="109" customFormat="1" x14ac:dyDescent="0.25">
      <c r="B58" s="108"/>
      <c r="C58" s="108"/>
      <c r="D58" s="108"/>
      <c r="E58" s="108"/>
      <c r="F58" s="108"/>
      <c r="G58" s="108"/>
      <c r="H58" s="108"/>
      <c r="I58" s="108"/>
      <c r="J58" s="108"/>
      <c r="K58" s="108"/>
      <c r="L58" s="108"/>
      <c r="M58" s="270"/>
      <c r="N58" s="270"/>
      <c r="O58" s="267"/>
      <c r="P58" s="267"/>
    </row>
    <row r="59" spans="2:16" s="109" customFormat="1" x14ac:dyDescent="0.25">
      <c r="B59" s="108"/>
      <c r="C59" s="108"/>
      <c r="D59" s="108"/>
      <c r="E59" s="108"/>
      <c r="F59" s="108"/>
      <c r="G59" s="108"/>
      <c r="H59" s="108"/>
      <c r="I59" s="108"/>
      <c r="J59" s="108"/>
      <c r="K59" s="108"/>
      <c r="L59" s="108"/>
      <c r="M59" s="270"/>
      <c r="N59" s="270"/>
      <c r="O59" s="267"/>
      <c r="P59" s="267"/>
    </row>
    <row r="60" spans="2:16" s="109" customFormat="1" x14ac:dyDescent="0.25">
      <c r="B60" s="108"/>
      <c r="C60" s="108"/>
      <c r="D60" s="108"/>
      <c r="E60" s="108"/>
      <c r="F60" s="108"/>
      <c r="G60" s="108"/>
      <c r="H60" s="108"/>
      <c r="I60" s="108"/>
      <c r="J60" s="108"/>
      <c r="K60" s="108"/>
      <c r="L60" s="108"/>
      <c r="M60" s="270"/>
      <c r="N60" s="270"/>
      <c r="O60" s="267"/>
      <c r="P60" s="267"/>
    </row>
    <row r="61" spans="2:16" s="109" customFormat="1" x14ac:dyDescent="0.25">
      <c r="B61" s="108"/>
      <c r="C61" s="108"/>
      <c r="D61" s="108"/>
      <c r="E61" s="108"/>
      <c r="F61" s="108"/>
      <c r="G61" s="108"/>
      <c r="H61" s="108"/>
      <c r="I61" s="108"/>
      <c r="J61" s="108"/>
      <c r="K61" s="108"/>
      <c r="L61" s="108"/>
      <c r="M61" s="270"/>
      <c r="N61" s="270"/>
      <c r="O61" s="267"/>
      <c r="P61" s="267"/>
    </row>
    <row r="62" spans="2:16" s="109" customFormat="1" x14ac:dyDescent="0.25">
      <c r="B62" s="108"/>
      <c r="C62" s="108"/>
      <c r="D62" s="108"/>
      <c r="E62" s="108"/>
      <c r="F62" s="108"/>
      <c r="G62" s="108"/>
      <c r="H62" s="108"/>
      <c r="I62" s="108"/>
      <c r="J62" s="108"/>
      <c r="K62" s="108"/>
      <c r="L62" s="108"/>
      <c r="M62" s="270"/>
      <c r="N62" s="270"/>
      <c r="O62" s="267"/>
      <c r="P62" s="267"/>
    </row>
    <row r="63" spans="2:16" s="109" customFormat="1" x14ac:dyDescent="0.25">
      <c r="B63" s="108"/>
      <c r="C63" s="108"/>
      <c r="D63" s="108"/>
      <c r="E63" s="108"/>
      <c r="F63" s="108"/>
      <c r="G63" s="108"/>
      <c r="H63" s="108"/>
      <c r="I63" s="108"/>
      <c r="J63" s="108"/>
      <c r="K63" s="108"/>
      <c r="L63" s="108"/>
      <c r="M63" s="270"/>
      <c r="N63" s="270"/>
      <c r="O63" s="267"/>
      <c r="P63" s="267"/>
    </row>
    <row r="64" spans="2:16" s="109" customFormat="1" x14ac:dyDescent="0.25">
      <c r="B64" s="108"/>
      <c r="C64" s="108"/>
      <c r="D64" s="108"/>
      <c r="E64" s="108"/>
      <c r="F64" s="108"/>
      <c r="G64" s="108"/>
      <c r="H64" s="108"/>
      <c r="I64" s="108"/>
      <c r="J64" s="108"/>
      <c r="K64" s="108"/>
      <c r="L64" s="108"/>
      <c r="M64" s="270"/>
      <c r="N64" s="270"/>
      <c r="O64" s="267"/>
      <c r="P64" s="267"/>
    </row>
    <row r="65" spans="2:16" s="109" customFormat="1" x14ac:dyDescent="0.25">
      <c r="B65" s="108"/>
      <c r="C65" s="108"/>
      <c r="D65" s="108"/>
      <c r="E65" s="108"/>
      <c r="F65" s="108"/>
      <c r="G65" s="108"/>
      <c r="H65" s="108"/>
      <c r="I65" s="108"/>
      <c r="J65" s="108"/>
      <c r="K65" s="108"/>
      <c r="L65" s="108"/>
      <c r="M65" s="270"/>
      <c r="N65" s="270"/>
      <c r="O65" s="267"/>
      <c r="P65" s="267"/>
    </row>
    <row r="66" spans="2:16" s="109" customFormat="1" x14ac:dyDescent="0.25">
      <c r="B66" s="108"/>
      <c r="C66" s="108"/>
      <c r="D66" s="108"/>
      <c r="E66" s="108"/>
      <c r="F66" s="108"/>
      <c r="G66" s="108"/>
      <c r="H66" s="108"/>
      <c r="I66" s="108"/>
      <c r="J66" s="108"/>
      <c r="K66" s="108"/>
      <c r="L66" s="108"/>
      <c r="M66" s="270"/>
      <c r="N66" s="270"/>
      <c r="O66" s="267"/>
      <c r="P66" s="267"/>
    </row>
    <row r="67" spans="2:16" s="109" customFormat="1" x14ac:dyDescent="0.25">
      <c r="B67" s="108"/>
      <c r="C67" s="108"/>
      <c r="D67" s="108"/>
      <c r="E67" s="108"/>
      <c r="F67" s="108"/>
      <c r="G67" s="108"/>
      <c r="H67" s="108"/>
      <c r="I67" s="108"/>
      <c r="J67" s="108"/>
      <c r="K67" s="108"/>
      <c r="L67" s="108"/>
      <c r="M67" s="270"/>
      <c r="N67" s="270"/>
      <c r="O67" s="267"/>
      <c r="P67" s="267"/>
    </row>
    <row r="68" spans="2:16" s="109" customFormat="1" x14ac:dyDescent="0.25">
      <c r="B68" s="108"/>
      <c r="C68" s="108"/>
      <c r="D68" s="108"/>
      <c r="E68" s="108"/>
      <c r="F68" s="108"/>
      <c r="G68" s="108"/>
      <c r="H68" s="108"/>
      <c r="I68" s="108"/>
      <c r="J68" s="108"/>
      <c r="K68" s="108"/>
      <c r="L68" s="108"/>
      <c r="M68" s="270"/>
      <c r="N68" s="270"/>
      <c r="O68" s="267"/>
      <c r="P68" s="267"/>
    </row>
    <row r="69" spans="2:16" s="109" customFormat="1" x14ac:dyDescent="0.25">
      <c r="B69" s="108"/>
      <c r="C69" s="108"/>
      <c r="D69" s="108"/>
      <c r="E69" s="108"/>
      <c r="F69" s="108"/>
      <c r="G69" s="108"/>
      <c r="H69" s="108"/>
      <c r="I69" s="108"/>
      <c r="J69" s="108"/>
      <c r="K69" s="108"/>
      <c r="L69" s="108"/>
      <c r="M69" s="270"/>
      <c r="N69" s="270"/>
      <c r="O69" s="267"/>
      <c r="P69" s="267"/>
    </row>
    <row r="70" spans="2:16" s="109" customFormat="1" x14ac:dyDescent="0.25">
      <c r="B70" s="108"/>
      <c r="C70" s="108"/>
      <c r="D70" s="108"/>
      <c r="E70" s="108"/>
      <c r="F70" s="108"/>
      <c r="G70" s="108"/>
      <c r="H70" s="108"/>
      <c r="I70" s="108"/>
      <c r="J70" s="108"/>
      <c r="K70" s="108"/>
      <c r="L70" s="108"/>
      <c r="M70" s="270"/>
      <c r="N70" s="270"/>
      <c r="O70" s="267"/>
      <c r="P70" s="267"/>
    </row>
    <row r="71" spans="2:16" s="109" customFormat="1" x14ac:dyDescent="0.25">
      <c r="B71" s="108"/>
      <c r="C71" s="108"/>
      <c r="D71" s="108"/>
      <c r="E71" s="108"/>
      <c r="F71" s="108"/>
      <c r="G71" s="108"/>
      <c r="H71" s="108"/>
      <c r="I71" s="108"/>
      <c r="J71" s="108"/>
      <c r="K71" s="108"/>
      <c r="L71" s="108"/>
      <c r="M71" s="270"/>
      <c r="N71" s="270"/>
      <c r="O71" s="267"/>
      <c r="P71" s="267"/>
    </row>
    <row r="72" spans="2:16" s="109" customFormat="1" x14ac:dyDescent="0.25">
      <c r="B72" s="108"/>
      <c r="C72" s="108"/>
      <c r="D72" s="108"/>
      <c r="E72" s="108"/>
      <c r="F72" s="108"/>
      <c r="G72" s="108"/>
      <c r="H72" s="108"/>
      <c r="I72" s="108"/>
      <c r="J72" s="108"/>
      <c r="K72" s="108"/>
      <c r="L72" s="108"/>
      <c r="M72" s="270"/>
      <c r="N72" s="270"/>
      <c r="O72" s="267"/>
      <c r="P72" s="267"/>
    </row>
    <row r="73" spans="2:16" s="109" customFormat="1" x14ac:dyDescent="0.25">
      <c r="B73" s="108"/>
      <c r="C73" s="108"/>
      <c r="D73" s="108"/>
      <c r="E73" s="108"/>
      <c r="F73" s="108"/>
      <c r="G73" s="108"/>
      <c r="H73" s="108"/>
      <c r="I73" s="108"/>
      <c r="J73" s="108"/>
      <c r="K73" s="108"/>
      <c r="L73" s="108"/>
      <c r="M73" s="270"/>
      <c r="N73" s="270"/>
      <c r="O73" s="267"/>
      <c r="P73" s="267"/>
    </row>
    <row r="74" spans="2:16" s="109" customFormat="1" x14ac:dyDescent="0.25">
      <c r="B74" s="108"/>
      <c r="C74" s="108"/>
      <c r="D74" s="108"/>
      <c r="E74" s="108"/>
      <c r="F74" s="108"/>
      <c r="G74" s="108"/>
      <c r="H74" s="108"/>
      <c r="I74" s="108"/>
      <c r="J74" s="108"/>
      <c r="K74" s="108"/>
      <c r="L74" s="108"/>
      <c r="M74" s="270"/>
      <c r="N74" s="270"/>
      <c r="O74" s="267"/>
      <c r="P74" s="267"/>
    </row>
    <row r="75" spans="2:16" s="109" customFormat="1" x14ac:dyDescent="0.25">
      <c r="B75" s="108"/>
      <c r="C75" s="108"/>
      <c r="D75" s="108"/>
      <c r="E75" s="108"/>
      <c r="F75" s="108"/>
      <c r="G75" s="108"/>
      <c r="H75" s="108"/>
      <c r="I75" s="108"/>
      <c r="J75" s="108"/>
      <c r="K75" s="108"/>
      <c r="L75" s="108"/>
      <c r="M75" s="270"/>
      <c r="N75" s="270"/>
      <c r="O75" s="267"/>
      <c r="P75" s="267"/>
    </row>
    <row r="76" spans="2:16" s="109" customFormat="1" x14ac:dyDescent="0.25">
      <c r="B76" s="108"/>
      <c r="C76" s="108"/>
      <c r="D76" s="108"/>
      <c r="E76" s="108"/>
      <c r="F76" s="108"/>
      <c r="G76" s="108"/>
      <c r="H76" s="108"/>
      <c r="I76" s="108"/>
      <c r="J76" s="108"/>
      <c r="K76" s="108"/>
      <c r="L76" s="108"/>
      <c r="M76" s="270"/>
      <c r="N76" s="270"/>
      <c r="O76" s="267"/>
      <c r="P76" s="267"/>
    </row>
    <row r="77" spans="2:16" s="109" customFormat="1" x14ac:dyDescent="0.25">
      <c r="B77" s="108"/>
      <c r="C77" s="108"/>
      <c r="D77" s="108"/>
      <c r="E77" s="108"/>
      <c r="F77" s="108"/>
      <c r="G77" s="108"/>
      <c r="H77" s="108"/>
      <c r="I77" s="108"/>
      <c r="J77" s="108"/>
      <c r="K77" s="108"/>
      <c r="L77" s="108"/>
      <c r="M77" s="270"/>
      <c r="N77" s="270"/>
      <c r="O77" s="267"/>
      <c r="P77" s="267"/>
    </row>
    <row r="78" spans="2:16" s="109" customFormat="1" x14ac:dyDescent="0.25">
      <c r="B78" s="108"/>
      <c r="C78" s="108"/>
      <c r="D78" s="108"/>
      <c r="E78" s="108"/>
      <c r="F78" s="108"/>
      <c r="G78" s="108"/>
      <c r="H78" s="108"/>
      <c r="I78" s="108"/>
      <c r="J78" s="108"/>
      <c r="K78" s="108"/>
      <c r="L78" s="108"/>
      <c r="M78" s="270"/>
      <c r="N78" s="270"/>
      <c r="O78" s="267"/>
      <c r="P78" s="267"/>
    </row>
    <row r="79" spans="2:16" s="109" customFormat="1" x14ac:dyDescent="0.25">
      <c r="B79" s="108"/>
      <c r="C79" s="108"/>
      <c r="D79" s="108"/>
      <c r="E79" s="108"/>
      <c r="F79" s="108"/>
      <c r="G79" s="108"/>
      <c r="H79" s="108"/>
      <c r="I79" s="108"/>
      <c r="J79" s="108"/>
      <c r="K79" s="108"/>
      <c r="L79" s="108"/>
      <c r="M79" s="270"/>
      <c r="N79" s="270"/>
      <c r="O79" s="267"/>
      <c r="P79" s="267"/>
    </row>
    <row r="80" spans="2:16" s="109" customFormat="1" x14ac:dyDescent="0.25">
      <c r="B80" s="108"/>
      <c r="C80" s="108"/>
      <c r="D80" s="108"/>
      <c r="E80" s="108"/>
      <c r="F80" s="108"/>
      <c r="G80" s="108"/>
      <c r="H80" s="108"/>
      <c r="I80" s="108"/>
      <c r="J80" s="108"/>
      <c r="K80" s="108"/>
      <c r="L80" s="108"/>
      <c r="M80" s="270"/>
      <c r="N80" s="270"/>
      <c r="O80" s="267"/>
      <c r="P80" s="267"/>
    </row>
    <row r="81" spans="1:17" s="109" customFormat="1" x14ac:dyDescent="0.25">
      <c r="B81" s="108"/>
      <c r="C81" s="108"/>
      <c r="D81" s="108"/>
      <c r="E81" s="108"/>
      <c r="F81" s="108"/>
      <c r="G81" s="108"/>
      <c r="H81" s="108"/>
      <c r="I81" s="108"/>
      <c r="J81" s="108"/>
      <c r="K81" s="108"/>
      <c r="L81" s="108"/>
      <c r="M81" s="270"/>
      <c r="N81" s="270"/>
      <c r="O81" s="267"/>
      <c r="P81" s="267"/>
    </row>
    <row r="82" spans="1:17" s="109" customFormat="1" x14ac:dyDescent="0.25">
      <c r="B82" s="108"/>
      <c r="C82" s="108"/>
      <c r="D82" s="108"/>
      <c r="E82" s="108"/>
      <c r="F82" s="108"/>
      <c r="G82" s="108"/>
      <c r="H82" s="108"/>
      <c r="I82" s="108"/>
      <c r="J82" s="108"/>
      <c r="K82" s="108"/>
      <c r="L82" s="108"/>
      <c r="M82" s="270"/>
      <c r="N82" s="270"/>
      <c r="O82" s="267"/>
      <c r="P82" s="267"/>
    </row>
    <row r="83" spans="1:17" s="109" customFormat="1" x14ac:dyDescent="0.25">
      <c r="B83" s="108"/>
      <c r="C83" s="108"/>
      <c r="D83" s="108"/>
      <c r="E83" s="108"/>
      <c r="F83" s="108"/>
      <c r="G83" s="108"/>
      <c r="H83" s="108"/>
      <c r="I83" s="108"/>
      <c r="J83" s="108"/>
      <c r="K83" s="108"/>
      <c r="L83" s="108"/>
      <c r="M83" s="270"/>
      <c r="N83" s="270"/>
      <c r="O83" s="267"/>
      <c r="P83" s="267"/>
    </row>
    <row r="84" spans="1:17" s="109" customFormat="1" x14ac:dyDescent="0.25">
      <c r="B84" s="108"/>
      <c r="C84" s="108"/>
      <c r="D84" s="108"/>
      <c r="E84" s="108"/>
      <c r="F84" s="108"/>
      <c r="G84" s="108"/>
      <c r="H84" s="108"/>
      <c r="I84" s="108"/>
      <c r="J84" s="108"/>
      <c r="K84" s="108"/>
      <c r="L84" s="108"/>
      <c r="M84" s="270"/>
      <c r="N84" s="270"/>
      <c r="O84" s="267"/>
      <c r="P84" s="267"/>
    </row>
    <row r="85" spans="1:17" s="109" customFormat="1" x14ac:dyDescent="0.25">
      <c r="B85" s="108"/>
      <c r="C85" s="108"/>
      <c r="D85" s="108"/>
      <c r="E85" s="108"/>
      <c r="F85" s="108"/>
      <c r="G85" s="108"/>
      <c r="H85" s="108"/>
      <c r="I85" s="108"/>
      <c r="J85" s="108"/>
      <c r="K85" s="108"/>
      <c r="L85" s="108"/>
      <c r="M85" s="270"/>
      <c r="N85" s="270"/>
      <c r="O85" s="267"/>
      <c r="P85" s="267"/>
    </row>
    <row r="86" spans="1:17" s="109" customFormat="1" x14ac:dyDescent="0.25">
      <c r="B86" s="108"/>
      <c r="C86" s="108"/>
      <c r="D86" s="108"/>
      <c r="E86" s="108"/>
      <c r="F86" s="108"/>
      <c r="G86" s="108"/>
      <c r="H86" s="108"/>
      <c r="I86" s="108"/>
      <c r="J86" s="108"/>
      <c r="K86" s="108"/>
      <c r="L86" s="108"/>
      <c r="M86" s="270"/>
      <c r="N86" s="270"/>
      <c r="O86" s="267"/>
      <c r="P86" s="267"/>
    </row>
    <row r="87" spans="1:17" s="109" customFormat="1" x14ac:dyDescent="0.25">
      <c r="B87" s="108"/>
      <c r="C87" s="108"/>
      <c r="D87" s="108"/>
      <c r="E87" s="108"/>
      <c r="F87" s="108"/>
      <c r="G87" s="108"/>
      <c r="H87" s="108"/>
      <c r="I87" s="108"/>
      <c r="J87" s="108"/>
      <c r="K87" s="108"/>
      <c r="L87" s="108"/>
      <c r="M87" s="270"/>
      <c r="N87" s="270"/>
      <c r="O87" s="267"/>
      <c r="P87" s="267"/>
    </row>
    <row r="88" spans="1:17" s="109" customFormat="1" x14ac:dyDescent="0.25">
      <c r="B88" s="108"/>
      <c r="C88" s="108"/>
      <c r="D88" s="108"/>
      <c r="E88" s="108"/>
      <c r="F88" s="108"/>
      <c r="G88" s="108"/>
      <c r="H88" s="108"/>
      <c r="I88" s="108"/>
      <c r="J88" s="108"/>
      <c r="K88" s="108"/>
      <c r="L88" s="108"/>
      <c r="M88" s="270"/>
      <c r="N88" s="270"/>
      <c r="O88" s="267"/>
      <c r="P88" s="267"/>
    </row>
    <row r="89" spans="1:17" s="109" customFormat="1" x14ac:dyDescent="0.25">
      <c r="B89" s="108"/>
      <c r="C89" s="108"/>
      <c r="D89" s="108"/>
      <c r="E89" s="108"/>
      <c r="F89" s="108"/>
      <c r="G89" s="108"/>
      <c r="H89" s="108"/>
      <c r="I89" s="108"/>
      <c r="J89" s="108"/>
      <c r="K89" s="108"/>
      <c r="L89" s="108"/>
      <c r="M89" s="270"/>
      <c r="N89" s="270"/>
      <c r="O89" s="268"/>
      <c r="P89" s="267"/>
    </row>
    <row r="90" spans="1:17" x14ac:dyDescent="0.25">
      <c r="B90" s="108"/>
      <c r="C90" s="108"/>
      <c r="D90" s="108"/>
      <c r="E90" s="108"/>
      <c r="F90" s="108"/>
      <c r="G90" s="108"/>
      <c r="H90" s="108"/>
      <c r="I90" s="108"/>
      <c r="J90" s="108"/>
      <c r="K90" s="108"/>
      <c r="L90" s="108"/>
      <c r="M90" s="270"/>
      <c r="N90" s="270"/>
    </row>
    <row r="91" spans="1:17" x14ac:dyDescent="0.25">
      <c r="B91" s="108"/>
      <c r="C91" s="108"/>
      <c r="D91" s="108"/>
      <c r="E91" s="108"/>
      <c r="F91" s="108"/>
      <c r="G91" s="108"/>
      <c r="H91" s="108"/>
      <c r="I91" s="108"/>
      <c r="J91" s="108"/>
      <c r="K91" s="108"/>
      <c r="L91" s="108"/>
      <c r="M91" s="270"/>
      <c r="N91" s="270"/>
    </row>
    <row r="92" spans="1:17" x14ac:dyDescent="0.25">
      <c r="B92" s="108"/>
      <c r="C92" s="108"/>
      <c r="D92" s="108"/>
      <c r="E92" s="108"/>
      <c r="F92" s="108"/>
      <c r="G92" s="108"/>
      <c r="H92" s="108"/>
      <c r="I92" s="108"/>
      <c r="J92" s="108"/>
      <c r="K92" s="108"/>
      <c r="L92" s="108"/>
      <c r="M92" s="270"/>
      <c r="N92" s="270"/>
    </row>
    <row r="93" spans="1:17" s="268" customFormat="1" x14ac:dyDescent="0.25">
      <c r="A93" s="107"/>
      <c r="B93" s="108"/>
      <c r="C93" s="108"/>
      <c r="D93" s="108"/>
      <c r="E93" s="108"/>
      <c r="F93" s="108"/>
      <c r="G93" s="108"/>
      <c r="H93" s="108"/>
      <c r="I93" s="108"/>
      <c r="J93" s="108"/>
      <c r="K93" s="108"/>
      <c r="L93" s="108"/>
      <c r="M93" s="270"/>
      <c r="N93" s="270"/>
      <c r="Q93" s="107"/>
    </row>
    <row r="94" spans="1:17" s="268" customFormat="1" x14ac:dyDescent="0.25">
      <c r="A94" s="107"/>
      <c r="B94" s="108"/>
      <c r="C94" s="108"/>
      <c r="D94" s="108"/>
      <c r="E94" s="108"/>
      <c r="F94" s="108"/>
      <c r="G94" s="108"/>
      <c r="H94" s="108"/>
      <c r="I94" s="108"/>
      <c r="J94" s="108"/>
      <c r="K94" s="108"/>
      <c r="L94" s="108"/>
      <c r="M94" s="270"/>
      <c r="N94" s="270"/>
      <c r="Q94" s="107"/>
    </row>
    <row r="95" spans="1:17" s="268" customFormat="1" x14ac:dyDescent="0.25">
      <c r="A95" s="107"/>
      <c r="B95" s="108"/>
      <c r="C95" s="108"/>
      <c r="D95" s="108"/>
      <c r="E95" s="108"/>
      <c r="F95" s="108"/>
      <c r="G95" s="108"/>
      <c r="H95" s="108"/>
      <c r="I95" s="108"/>
      <c r="J95" s="108"/>
      <c r="K95" s="108"/>
      <c r="L95" s="108"/>
      <c r="M95" s="270"/>
      <c r="N95" s="270"/>
      <c r="Q95" s="107"/>
    </row>
    <row r="96" spans="1:17" s="268" customFormat="1" x14ac:dyDescent="0.25">
      <c r="A96" s="107"/>
      <c r="B96" s="108"/>
      <c r="C96" s="108"/>
      <c r="D96" s="108"/>
      <c r="E96" s="108"/>
      <c r="F96" s="108"/>
      <c r="G96" s="108"/>
      <c r="H96" s="108"/>
      <c r="I96" s="108"/>
      <c r="J96" s="108"/>
      <c r="K96" s="108"/>
      <c r="L96" s="108"/>
      <c r="M96" s="270"/>
      <c r="N96" s="270"/>
      <c r="Q96" s="107"/>
    </row>
    <row r="97" spans="1:17" s="268" customFormat="1" x14ac:dyDescent="0.25">
      <c r="A97" s="107"/>
      <c r="B97" s="108"/>
      <c r="C97" s="108"/>
      <c r="D97" s="108"/>
      <c r="E97" s="108"/>
      <c r="F97" s="108"/>
      <c r="G97" s="108"/>
      <c r="H97" s="108"/>
      <c r="I97" s="108"/>
      <c r="J97" s="108"/>
      <c r="K97" s="108"/>
      <c r="L97" s="108"/>
      <c r="M97" s="270"/>
      <c r="N97" s="270"/>
      <c r="Q97" s="107"/>
    </row>
    <row r="98" spans="1:17" s="268" customFormat="1" x14ac:dyDescent="0.25">
      <c r="A98" s="107"/>
      <c r="B98" s="108"/>
      <c r="C98" s="108"/>
      <c r="D98" s="108"/>
      <c r="E98" s="108"/>
      <c r="F98" s="108"/>
      <c r="G98" s="108"/>
      <c r="H98" s="108"/>
      <c r="I98" s="108"/>
      <c r="J98" s="108"/>
      <c r="K98" s="108"/>
      <c r="L98" s="108"/>
      <c r="M98" s="270"/>
      <c r="N98" s="270"/>
      <c r="Q98" s="107"/>
    </row>
    <row r="99" spans="1:17" s="268" customFormat="1" x14ac:dyDescent="0.25">
      <c r="A99" s="107"/>
      <c r="B99" s="108"/>
      <c r="C99" s="108"/>
      <c r="D99" s="108"/>
      <c r="E99" s="108"/>
      <c r="F99" s="108"/>
      <c r="G99" s="108"/>
      <c r="H99" s="108"/>
      <c r="I99" s="108"/>
      <c r="J99" s="108"/>
      <c r="K99" s="108"/>
      <c r="L99" s="108"/>
      <c r="M99" s="270"/>
      <c r="N99" s="270"/>
      <c r="Q99" s="107"/>
    </row>
    <row r="100" spans="1:17" s="268" customFormat="1" x14ac:dyDescent="0.25">
      <c r="A100" s="107"/>
      <c r="B100" s="108"/>
      <c r="C100" s="108"/>
      <c r="D100" s="108"/>
      <c r="E100" s="108"/>
      <c r="F100" s="108"/>
      <c r="G100" s="108"/>
      <c r="H100" s="108"/>
      <c r="I100" s="108"/>
      <c r="J100" s="108"/>
      <c r="K100" s="108"/>
      <c r="L100" s="108"/>
      <c r="M100" s="270"/>
      <c r="N100" s="270"/>
      <c r="Q100" s="107"/>
    </row>
    <row r="101" spans="1:17" s="268" customFormat="1" x14ac:dyDescent="0.25">
      <c r="A101" s="107"/>
      <c r="B101" s="108"/>
      <c r="C101" s="108"/>
      <c r="D101" s="108"/>
      <c r="E101" s="108"/>
      <c r="F101" s="108"/>
      <c r="G101" s="108"/>
      <c r="H101" s="108"/>
      <c r="I101" s="108"/>
      <c r="J101" s="108"/>
      <c r="K101" s="108"/>
      <c r="L101" s="108"/>
      <c r="M101" s="270"/>
      <c r="N101" s="270"/>
    </row>
    <row r="102" spans="1:17" s="268" customFormat="1" x14ac:dyDescent="0.25">
      <c r="A102" s="107"/>
      <c r="B102" s="108"/>
      <c r="C102" s="108"/>
      <c r="D102" s="108"/>
      <c r="E102" s="108"/>
      <c r="F102" s="108"/>
      <c r="G102" s="108"/>
      <c r="H102" s="108"/>
      <c r="I102" s="108"/>
      <c r="J102" s="108"/>
      <c r="K102" s="108"/>
      <c r="L102" s="108"/>
      <c r="M102" s="270"/>
      <c r="N102" s="270"/>
    </row>
    <row r="103" spans="1:17" s="268" customFormat="1" x14ac:dyDescent="0.25">
      <c r="A103" s="107"/>
      <c r="B103" s="108"/>
      <c r="C103" s="108"/>
      <c r="D103" s="108"/>
      <c r="E103" s="108"/>
      <c r="F103" s="108"/>
      <c r="G103" s="108"/>
      <c r="H103" s="108"/>
      <c r="I103" s="108"/>
      <c r="J103" s="108"/>
      <c r="K103" s="108"/>
      <c r="L103" s="108"/>
      <c r="M103" s="270"/>
      <c r="N103" s="270"/>
    </row>
    <row r="104" spans="1:17" s="268" customFormat="1" x14ac:dyDescent="0.25">
      <c r="A104" s="107"/>
      <c r="B104" s="108"/>
      <c r="C104" s="108"/>
      <c r="D104" s="108"/>
      <c r="E104" s="108"/>
      <c r="F104" s="108"/>
      <c r="G104" s="108"/>
      <c r="H104" s="108"/>
      <c r="I104" s="108"/>
      <c r="J104" s="108"/>
      <c r="K104" s="108"/>
      <c r="L104" s="108"/>
      <c r="M104" s="270"/>
      <c r="N104" s="270"/>
    </row>
    <row r="105" spans="1:17" s="268" customFormat="1" x14ac:dyDescent="0.25">
      <c r="A105" s="107"/>
      <c r="B105" s="108"/>
      <c r="C105" s="108"/>
      <c r="D105" s="108"/>
      <c r="E105" s="108"/>
      <c r="F105" s="108"/>
      <c r="G105" s="108"/>
      <c r="H105" s="108"/>
      <c r="I105" s="108"/>
      <c r="J105" s="108"/>
      <c r="K105" s="108"/>
      <c r="L105" s="108"/>
      <c r="M105" s="270"/>
      <c r="N105" s="270"/>
    </row>
    <row r="106" spans="1:17" s="268" customFormat="1" x14ac:dyDescent="0.25">
      <c r="A106" s="107"/>
      <c r="B106" s="108"/>
      <c r="C106" s="108"/>
      <c r="D106" s="108"/>
      <c r="E106" s="107"/>
      <c r="F106" s="107"/>
      <c r="G106" s="9"/>
      <c r="H106" s="9"/>
      <c r="I106" s="107"/>
      <c r="J106" s="107"/>
      <c r="K106" s="9"/>
      <c r="L106" s="9"/>
    </row>
    <row r="107" spans="1:17" s="268" customFormat="1" x14ac:dyDescent="0.25">
      <c r="A107" s="107"/>
      <c r="B107" s="108"/>
      <c r="C107" s="108"/>
      <c r="D107" s="108"/>
      <c r="E107" s="107"/>
      <c r="F107" s="107"/>
      <c r="G107" s="9"/>
      <c r="H107" s="9"/>
      <c r="I107" s="107"/>
      <c r="J107" s="107"/>
      <c r="K107" s="9"/>
      <c r="L107" s="9"/>
    </row>
    <row r="108" spans="1:17" s="268" customFormat="1" x14ac:dyDescent="0.25">
      <c r="A108" s="107"/>
      <c r="B108" s="108"/>
      <c r="C108" s="108"/>
      <c r="D108" s="108"/>
      <c r="E108" s="107"/>
      <c r="F108" s="107"/>
      <c r="G108" s="9"/>
      <c r="H108" s="9"/>
      <c r="I108" s="107"/>
      <c r="J108" s="107"/>
      <c r="K108" s="9"/>
      <c r="L108" s="9"/>
    </row>
    <row r="109" spans="1:17" s="268" customFormat="1" x14ac:dyDescent="0.25">
      <c r="A109" s="107"/>
      <c r="B109" s="108"/>
      <c r="C109" s="108"/>
      <c r="D109" s="108"/>
      <c r="E109" s="107"/>
      <c r="F109" s="107"/>
      <c r="G109" s="9"/>
      <c r="H109" s="9"/>
      <c r="I109" s="107"/>
      <c r="J109" s="107"/>
      <c r="K109" s="9"/>
      <c r="L109" s="9"/>
    </row>
    <row r="110" spans="1:17" s="268" customFormat="1" x14ac:dyDescent="0.25">
      <c r="A110" s="107"/>
      <c r="B110" s="108"/>
      <c r="C110" s="108"/>
      <c r="D110" s="108"/>
      <c r="E110" s="107"/>
      <c r="F110" s="107"/>
      <c r="G110" s="9"/>
      <c r="H110" s="9"/>
      <c r="I110" s="107"/>
      <c r="J110" s="107"/>
      <c r="K110" s="9"/>
      <c r="L110" s="9"/>
    </row>
    <row r="111" spans="1:17" s="268" customFormat="1" x14ac:dyDescent="0.25">
      <c r="A111" s="107"/>
      <c r="B111" s="108"/>
      <c r="C111" s="108"/>
      <c r="D111" s="108"/>
      <c r="E111" s="107"/>
      <c r="F111" s="107"/>
      <c r="G111" s="9"/>
      <c r="H111" s="9"/>
      <c r="I111" s="107"/>
      <c r="J111" s="107"/>
      <c r="K111" s="9"/>
      <c r="L111" s="9"/>
    </row>
    <row r="112" spans="1:17" s="268" customFormat="1" x14ac:dyDescent="0.25">
      <c r="A112" s="107"/>
      <c r="B112" s="108"/>
      <c r="C112" s="108"/>
      <c r="D112" s="108"/>
      <c r="E112" s="107"/>
      <c r="F112" s="107"/>
      <c r="G112" s="9"/>
      <c r="H112" s="9"/>
      <c r="I112" s="107"/>
      <c r="J112" s="107"/>
      <c r="K112" s="9"/>
      <c r="L112" s="9"/>
    </row>
    <row r="113" spans="1:12" s="268" customFormat="1" x14ac:dyDescent="0.25">
      <c r="A113" s="107"/>
      <c r="B113" s="108"/>
      <c r="C113" s="108"/>
      <c r="D113" s="108"/>
      <c r="E113" s="107"/>
      <c r="F113" s="107"/>
      <c r="G113" s="9"/>
      <c r="H113" s="9"/>
      <c r="I113" s="107"/>
      <c r="J113" s="107"/>
      <c r="K113" s="9"/>
      <c r="L113" s="9"/>
    </row>
    <row r="114" spans="1:12" s="268" customFormat="1" x14ac:dyDescent="0.25">
      <c r="A114" s="107"/>
      <c r="B114" s="108"/>
      <c r="C114" s="108"/>
      <c r="D114" s="108"/>
      <c r="E114" s="107"/>
      <c r="F114" s="107"/>
      <c r="G114" s="9"/>
      <c r="H114" s="9"/>
      <c r="I114" s="107"/>
      <c r="J114" s="107"/>
      <c r="K114" s="9"/>
      <c r="L114" s="9"/>
    </row>
    <row r="115" spans="1:12" s="268" customFormat="1" x14ac:dyDescent="0.25">
      <c r="A115" s="107"/>
      <c r="B115" s="108"/>
      <c r="C115" s="108"/>
      <c r="D115" s="108"/>
      <c r="E115" s="107"/>
      <c r="F115" s="107"/>
      <c r="G115" s="9"/>
      <c r="H115" s="9"/>
      <c r="I115" s="107"/>
      <c r="J115" s="107"/>
      <c r="K115" s="9"/>
      <c r="L115" s="9"/>
    </row>
    <row r="116" spans="1:12" s="268" customFormat="1" x14ac:dyDescent="0.25">
      <c r="A116" s="107"/>
      <c r="B116" s="108"/>
      <c r="C116" s="108"/>
      <c r="D116" s="108"/>
      <c r="E116" s="107"/>
      <c r="F116" s="107"/>
      <c r="G116" s="9"/>
      <c r="H116" s="9"/>
      <c r="I116" s="107"/>
      <c r="J116" s="107"/>
      <c r="K116" s="9"/>
      <c r="L116" s="9"/>
    </row>
    <row r="117" spans="1:12" s="268" customFormat="1" x14ac:dyDescent="0.25">
      <c r="A117" s="107"/>
      <c r="B117" s="108"/>
      <c r="C117" s="108"/>
      <c r="D117" s="108"/>
      <c r="E117" s="107"/>
      <c r="F117" s="107"/>
      <c r="G117" s="9"/>
      <c r="H117" s="9"/>
      <c r="I117" s="107"/>
      <c r="J117" s="107"/>
      <c r="K117" s="9"/>
      <c r="L117" s="9"/>
    </row>
    <row r="118" spans="1:12" s="268" customFormat="1" x14ac:dyDescent="0.25">
      <c r="A118" s="107"/>
      <c r="B118" s="108"/>
      <c r="C118" s="108"/>
      <c r="D118" s="108"/>
      <c r="E118" s="107"/>
      <c r="F118" s="107"/>
      <c r="G118" s="9"/>
      <c r="H118" s="9"/>
      <c r="I118" s="107"/>
      <c r="J118" s="107"/>
      <c r="K118" s="9"/>
      <c r="L118" s="9"/>
    </row>
    <row r="119" spans="1:12" s="268" customFormat="1" x14ac:dyDescent="0.25">
      <c r="A119" s="107"/>
      <c r="B119" s="108"/>
      <c r="C119" s="108"/>
      <c r="D119" s="108"/>
      <c r="E119" s="107"/>
      <c r="F119" s="107"/>
      <c r="G119" s="9"/>
      <c r="H119" s="9"/>
      <c r="I119" s="107"/>
      <c r="J119" s="107"/>
      <c r="K119" s="9"/>
      <c r="L119" s="9"/>
    </row>
    <row r="120" spans="1:12" s="268" customFormat="1" x14ac:dyDescent="0.25">
      <c r="A120" s="107"/>
      <c r="B120" s="108"/>
      <c r="C120" s="108"/>
      <c r="D120" s="108"/>
      <c r="E120" s="107"/>
      <c r="F120" s="107"/>
      <c r="G120" s="9"/>
      <c r="H120" s="9"/>
      <c r="I120" s="107"/>
      <c r="J120" s="107"/>
      <c r="K120" s="9"/>
      <c r="L120" s="9"/>
    </row>
    <row r="121" spans="1:12" s="268" customFormat="1" x14ac:dyDescent="0.25">
      <c r="A121" s="107"/>
      <c r="B121" s="108"/>
      <c r="C121" s="108"/>
      <c r="D121" s="108"/>
      <c r="E121" s="107"/>
      <c r="F121" s="107"/>
      <c r="G121" s="9"/>
      <c r="H121" s="9"/>
      <c r="I121" s="107"/>
      <c r="J121" s="107"/>
      <c r="K121" s="9"/>
      <c r="L121" s="9"/>
    </row>
    <row r="122" spans="1:12" s="268" customFormat="1" x14ac:dyDescent="0.25">
      <c r="A122" s="107"/>
      <c r="B122" s="108"/>
      <c r="C122" s="108"/>
      <c r="D122" s="108"/>
      <c r="E122" s="107"/>
      <c r="F122" s="107"/>
      <c r="G122" s="9"/>
      <c r="H122" s="9"/>
      <c r="I122" s="107"/>
      <c r="J122" s="107"/>
      <c r="K122" s="9"/>
      <c r="L122" s="9"/>
    </row>
    <row r="123" spans="1:12" s="268" customFormat="1" x14ac:dyDescent="0.25">
      <c r="A123" s="107"/>
      <c r="B123" s="108"/>
      <c r="C123" s="108"/>
      <c r="D123" s="108"/>
      <c r="E123" s="107"/>
      <c r="F123" s="107"/>
      <c r="G123" s="9"/>
      <c r="H123" s="9"/>
      <c r="I123" s="107"/>
      <c r="J123" s="107"/>
      <c r="K123" s="9"/>
      <c r="L123" s="9"/>
    </row>
    <row r="124" spans="1:12" s="268" customFormat="1" x14ac:dyDescent="0.25">
      <c r="A124" s="107"/>
      <c r="B124" s="108"/>
      <c r="C124" s="108"/>
      <c r="D124" s="108"/>
      <c r="E124" s="107"/>
      <c r="F124" s="107"/>
      <c r="G124" s="9"/>
      <c r="H124" s="9"/>
      <c r="I124" s="107"/>
      <c r="J124" s="107"/>
      <c r="K124" s="9"/>
      <c r="L124" s="9"/>
    </row>
    <row r="125" spans="1:12" s="268" customFormat="1" x14ac:dyDescent="0.25">
      <c r="A125" s="107"/>
      <c r="B125" s="108"/>
      <c r="C125" s="108"/>
      <c r="D125" s="108"/>
      <c r="E125" s="107"/>
      <c r="F125" s="107"/>
      <c r="G125" s="9"/>
      <c r="H125" s="9"/>
      <c r="I125" s="107"/>
      <c r="J125" s="107"/>
      <c r="K125" s="9"/>
      <c r="L125" s="9"/>
    </row>
    <row r="126" spans="1:12" s="268" customFormat="1" x14ac:dyDescent="0.25">
      <c r="A126" s="107"/>
      <c r="B126" s="108"/>
      <c r="C126" s="108"/>
      <c r="D126" s="108"/>
      <c r="E126" s="107"/>
      <c r="F126" s="107"/>
      <c r="G126" s="9"/>
      <c r="H126" s="9"/>
      <c r="I126" s="107"/>
      <c r="J126" s="107"/>
      <c r="K126" s="9"/>
      <c r="L126" s="9"/>
    </row>
    <row r="127" spans="1:12" s="268" customFormat="1" x14ac:dyDescent="0.25">
      <c r="A127" s="107"/>
      <c r="B127" s="108"/>
      <c r="C127" s="108"/>
      <c r="D127" s="108"/>
      <c r="E127" s="107"/>
      <c r="F127" s="107"/>
      <c r="G127" s="9"/>
      <c r="H127" s="9"/>
      <c r="I127" s="107"/>
      <c r="J127" s="107"/>
      <c r="K127" s="9"/>
      <c r="L127" s="9"/>
    </row>
    <row r="128" spans="1:12" s="268" customFormat="1" x14ac:dyDescent="0.25">
      <c r="A128" s="107"/>
      <c r="B128" s="108"/>
      <c r="C128" s="108"/>
      <c r="D128" s="108"/>
      <c r="E128" s="107"/>
      <c r="F128" s="107"/>
      <c r="G128" s="9"/>
      <c r="H128" s="9"/>
      <c r="I128" s="107"/>
      <c r="J128" s="107"/>
      <c r="K128" s="9"/>
      <c r="L128" s="9"/>
    </row>
    <row r="129" spans="1:16" s="268" customFormat="1" x14ac:dyDescent="0.25">
      <c r="A129" s="107"/>
      <c r="B129" s="108"/>
      <c r="C129" s="108"/>
      <c r="D129" s="108"/>
      <c r="E129" s="107"/>
      <c r="F129" s="107"/>
      <c r="G129" s="9"/>
      <c r="H129" s="9"/>
      <c r="I129" s="107"/>
      <c r="J129" s="107"/>
      <c r="K129" s="9"/>
      <c r="L129" s="9"/>
    </row>
    <row r="130" spans="1:16" s="268" customFormat="1" x14ac:dyDescent="0.25">
      <c r="A130" s="107"/>
      <c r="B130" s="108"/>
      <c r="C130" s="108"/>
      <c r="D130" s="108"/>
      <c r="E130" s="107"/>
      <c r="F130" s="107"/>
      <c r="G130" s="9"/>
      <c r="H130" s="9"/>
      <c r="I130" s="107"/>
      <c r="J130" s="107"/>
      <c r="K130" s="9"/>
      <c r="L130" s="9"/>
    </row>
    <row r="131" spans="1:16" s="268" customFormat="1" x14ac:dyDescent="0.25">
      <c r="A131" s="107"/>
      <c r="B131" s="107"/>
      <c r="C131" s="9"/>
      <c r="D131" s="9"/>
      <c r="E131" s="107"/>
      <c r="F131" s="107"/>
      <c r="G131" s="9"/>
      <c r="H131" s="9"/>
      <c r="I131" s="107"/>
      <c r="J131" s="107"/>
      <c r="K131" s="9"/>
      <c r="L131" s="9"/>
    </row>
    <row r="132" spans="1:16" s="268" customFormat="1" x14ac:dyDescent="0.25">
      <c r="A132" s="107"/>
      <c r="B132" s="107"/>
      <c r="C132" s="9"/>
      <c r="D132" s="9"/>
      <c r="E132" s="107"/>
      <c r="F132" s="107"/>
      <c r="G132" s="9"/>
      <c r="H132" s="9"/>
      <c r="I132" s="107"/>
      <c r="J132" s="107"/>
      <c r="K132" s="9"/>
      <c r="L132" s="9"/>
    </row>
    <row r="133" spans="1:16" x14ac:dyDescent="0.25">
      <c r="C133" s="9"/>
      <c r="D133" s="9"/>
      <c r="G133" s="9"/>
      <c r="H133" s="9"/>
      <c r="K133" s="9"/>
      <c r="L133" s="9"/>
      <c r="M133" s="107"/>
      <c r="N133" s="107"/>
      <c r="O133" s="107"/>
      <c r="P133" s="107"/>
    </row>
    <row r="134" spans="1:16" x14ac:dyDescent="0.25">
      <c r="C134" s="9"/>
      <c r="D134" s="9"/>
      <c r="G134" s="9"/>
      <c r="H134" s="9"/>
      <c r="K134" s="9"/>
      <c r="L134" s="9"/>
      <c r="M134" s="107"/>
      <c r="N134" s="107"/>
      <c r="O134" s="107"/>
      <c r="P134" s="107"/>
    </row>
    <row r="135" spans="1:16" x14ac:dyDescent="0.25">
      <c r="C135" s="9"/>
      <c r="D135" s="9"/>
      <c r="G135" s="9"/>
      <c r="H135" s="9"/>
      <c r="K135" s="9"/>
      <c r="L135" s="9"/>
      <c r="M135" s="107"/>
      <c r="N135" s="107"/>
      <c r="O135" s="107"/>
      <c r="P135" s="107"/>
    </row>
    <row r="136" spans="1:16" x14ac:dyDescent="0.25">
      <c r="C136" s="9"/>
      <c r="D136" s="9"/>
      <c r="G136" s="9"/>
      <c r="H136" s="9"/>
      <c r="K136" s="9"/>
      <c r="L136" s="9"/>
      <c r="M136" s="107"/>
      <c r="N136" s="107"/>
      <c r="O136" s="107"/>
      <c r="P136" s="107"/>
    </row>
    <row r="137" spans="1:16" x14ac:dyDescent="0.25">
      <c r="C137" s="9"/>
      <c r="D137" s="9"/>
      <c r="G137" s="9"/>
      <c r="H137" s="9"/>
      <c r="K137" s="9"/>
      <c r="L137" s="9"/>
      <c r="M137" s="107"/>
      <c r="N137" s="107"/>
      <c r="O137" s="107"/>
      <c r="P137" s="107"/>
    </row>
    <row r="138" spans="1:16" x14ac:dyDescent="0.25">
      <c r="C138" s="9"/>
      <c r="D138" s="9"/>
      <c r="G138" s="9"/>
      <c r="H138" s="9"/>
      <c r="K138" s="9"/>
      <c r="L138" s="9"/>
      <c r="M138" s="107"/>
      <c r="N138" s="107"/>
      <c r="O138" s="107"/>
      <c r="P138" s="107"/>
    </row>
    <row r="139" spans="1:16" x14ac:dyDescent="0.25">
      <c r="C139" s="9"/>
      <c r="D139" s="9"/>
      <c r="G139" s="9"/>
      <c r="H139" s="9"/>
      <c r="K139" s="9"/>
      <c r="L139" s="9"/>
      <c r="M139" s="107"/>
      <c r="N139" s="107"/>
      <c r="O139" s="107"/>
      <c r="P139" s="107"/>
    </row>
    <row r="140" spans="1:16" x14ac:dyDescent="0.25">
      <c r="C140" s="9"/>
      <c r="D140" s="9"/>
      <c r="G140" s="9"/>
      <c r="H140" s="9"/>
      <c r="K140" s="9"/>
      <c r="L140" s="9"/>
      <c r="M140" s="107"/>
      <c r="N140" s="107"/>
      <c r="O140" s="107"/>
      <c r="P140" s="107"/>
    </row>
    <row r="141" spans="1:16" x14ac:dyDescent="0.25">
      <c r="C141" s="9"/>
      <c r="D141" s="9"/>
      <c r="G141" s="9"/>
      <c r="H141" s="9"/>
      <c r="K141" s="9"/>
      <c r="L141" s="9"/>
      <c r="M141" s="107"/>
      <c r="N141" s="107"/>
      <c r="O141" s="107"/>
      <c r="P141" s="107"/>
    </row>
    <row r="142" spans="1:16" x14ac:dyDescent="0.25">
      <c r="C142" s="9"/>
      <c r="D142" s="9"/>
      <c r="G142" s="9"/>
      <c r="H142" s="9"/>
      <c r="K142" s="9"/>
      <c r="L142" s="9"/>
      <c r="M142" s="107"/>
      <c r="N142" s="107"/>
      <c r="O142" s="107"/>
      <c r="P142" s="107"/>
    </row>
    <row r="143" spans="1:16" x14ac:dyDescent="0.25">
      <c r="C143" s="9"/>
      <c r="D143" s="9"/>
      <c r="G143" s="9"/>
      <c r="H143" s="9"/>
      <c r="K143" s="9"/>
      <c r="L143" s="9"/>
      <c r="M143" s="107"/>
      <c r="N143" s="107"/>
      <c r="O143" s="107"/>
      <c r="P143" s="107"/>
    </row>
    <row r="144" spans="1:16" x14ac:dyDescent="0.25">
      <c r="C144" s="9"/>
      <c r="D144" s="9"/>
      <c r="G144" s="9"/>
      <c r="H144" s="9"/>
      <c r="K144" s="9"/>
      <c r="L144" s="9"/>
      <c r="M144" s="107"/>
      <c r="N144" s="107"/>
      <c r="O144" s="107"/>
      <c r="P144" s="107"/>
    </row>
    <row r="145" spans="3:16" x14ac:dyDescent="0.25">
      <c r="C145" s="9"/>
      <c r="D145" s="9"/>
      <c r="G145" s="9"/>
      <c r="H145" s="9"/>
      <c r="K145" s="9"/>
      <c r="L145" s="9"/>
      <c r="M145" s="107"/>
      <c r="N145" s="107"/>
      <c r="O145" s="107"/>
      <c r="P145" s="107"/>
    </row>
    <row r="146" spans="3:16" x14ac:dyDescent="0.25">
      <c r="C146" s="9"/>
      <c r="D146" s="9"/>
      <c r="G146" s="9"/>
      <c r="H146" s="9"/>
      <c r="K146" s="9"/>
      <c r="L146" s="9"/>
      <c r="M146" s="107"/>
      <c r="N146" s="107"/>
      <c r="O146" s="107"/>
      <c r="P146" s="107"/>
    </row>
    <row r="147" spans="3:16" x14ac:dyDescent="0.25">
      <c r="C147" s="9"/>
      <c r="D147" s="9"/>
      <c r="G147" s="9"/>
      <c r="H147" s="9"/>
      <c r="K147" s="9"/>
      <c r="L147" s="9"/>
      <c r="M147" s="107"/>
      <c r="N147" s="107"/>
      <c r="O147" s="107"/>
      <c r="P147" s="107"/>
    </row>
    <row r="148" spans="3:16" x14ac:dyDescent="0.25">
      <c r="C148" s="9"/>
      <c r="D148" s="9"/>
      <c r="G148" s="9"/>
      <c r="H148" s="9"/>
      <c r="K148" s="9"/>
      <c r="L148" s="9"/>
      <c r="M148" s="107"/>
      <c r="N148" s="107"/>
      <c r="O148" s="107"/>
      <c r="P148" s="107"/>
    </row>
    <row r="149" spans="3:16" x14ac:dyDescent="0.25">
      <c r="C149" s="9"/>
      <c r="D149" s="9"/>
      <c r="G149" s="9"/>
      <c r="H149" s="9"/>
      <c r="K149" s="9"/>
      <c r="L149" s="9"/>
      <c r="M149" s="107"/>
      <c r="N149" s="107"/>
      <c r="O149" s="107"/>
      <c r="P149" s="107"/>
    </row>
    <row r="150" spans="3:16" x14ac:dyDescent="0.25">
      <c r="C150" s="9"/>
      <c r="D150" s="9"/>
      <c r="G150" s="9"/>
      <c r="H150" s="9"/>
      <c r="K150" s="9"/>
      <c r="L150" s="9"/>
      <c r="M150" s="107"/>
      <c r="N150" s="107"/>
      <c r="O150" s="107"/>
      <c r="P150" s="107"/>
    </row>
    <row r="151" spans="3:16" x14ac:dyDescent="0.25">
      <c r="C151" s="9"/>
      <c r="D151" s="9"/>
      <c r="G151" s="9"/>
      <c r="H151" s="9"/>
      <c r="K151" s="9"/>
      <c r="L151" s="9"/>
      <c r="M151" s="107"/>
      <c r="N151" s="107"/>
      <c r="O151" s="107"/>
      <c r="P151" s="107"/>
    </row>
    <row r="152" spans="3:16" x14ac:dyDescent="0.25">
      <c r="C152" s="9"/>
      <c r="D152" s="9"/>
      <c r="G152" s="9"/>
      <c r="H152" s="9"/>
      <c r="K152" s="9"/>
      <c r="L152" s="9"/>
      <c r="M152" s="107"/>
      <c r="N152" s="107"/>
      <c r="O152" s="107"/>
      <c r="P152" s="107"/>
    </row>
    <row r="153" spans="3:16" x14ac:dyDescent="0.25">
      <c r="C153" s="9"/>
      <c r="D153" s="9"/>
      <c r="G153" s="9"/>
      <c r="H153" s="9"/>
      <c r="K153" s="9"/>
      <c r="L153" s="9"/>
      <c r="M153" s="107"/>
      <c r="N153" s="107"/>
      <c r="O153" s="107"/>
      <c r="P153" s="107"/>
    </row>
    <row r="154" spans="3:16" x14ac:dyDescent="0.25">
      <c r="C154" s="9"/>
      <c r="D154" s="9"/>
      <c r="G154" s="9"/>
      <c r="H154" s="9"/>
      <c r="K154" s="9"/>
      <c r="L154" s="9"/>
      <c r="M154" s="107"/>
      <c r="N154" s="107"/>
      <c r="O154" s="107"/>
      <c r="P154" s="107"/>
    </row>
    <row r="155" spans="3:16" x14ac:dyDescent="0.25">
      <c r="C155" s="9"/>
      <c r="D155" s="9"/>
      <c r="G155" s="9"/>
      <c r="H155" s="9"/>
      <c r="K155" s="9"/>
      <c r="L155" s="9"/>
      <c r="M155" s="107"/>
      <c r="N155" s="107"/>
      <c r="O155" s="107"/>
      <c r="P155" s="107"/>
    </row>
    <row r="156" spans="3:16" x14ac:dyDescent="0.25">
      <c r="C156" s="9"/>
      <c r="D156" s="9"/>
      <c r="G156" s="9"/>
      <c r="H156" s="9"/>
      <c r="K156" s="9"/>
      <c r="L156" s="9"/>
      <c r="M156" s="107"/>
      <c r="N156" s="107"/>
      <c r="O156" s="107"/>
      <c r="P156" s="107"/>
    </row>
    <row r="157" spans="3:16" x14ac:dyDescent="0.25">
      <c r="C157" s="9"/>
      <c r="D157" s="9"/>
      <c r="G157" s="9"/>
      <c r="H157" s="9"/>
      <c r="K157" s="9"/>
      <c r="L157" s="9"/>
      <c r="M157" s="107"/>
      <c r="N157" s="107"/>
      <c r="O157" s="107"/>
      <c r="P157" s="107"/>
    </row>
    <row r="158" spans="3:16" x14ac:dyDescent="0.25">
      <c r="C158" s="9"/>
      <c r="D158" s="9"/>
      <c r="G158" s="9"/>
      <c r="H158" s="9"/>
      <c r="K158" s="9"/>
      <c r="L158" s="9"/>
      <c r="M158" s="107"/>
      <c r="N158" s="107"/>
      <c r="O158" s="107"/>
      <c r="P158" s="107"/>
    </row>
    <row r="159" spans="3:16" x14ac:dyDescent="0.25">
      <c r="C159" s="9"/>
      <c r="D159" s="9"/>
      <c r="G159" s="9"/>
      <c r="H159" s="9"/>
      <c r="K159" s="9"/>
      <c r="L159" s="9"/>
      <c r="M159" s="107"/>
      <c r="N159" s="107"/>
      <c r="O159" s="107"/>
      <c r="P159" s="107"/>
    </row>
    <row r="160" spans="3:16" x14ac:dyDescent="0.25">
      <c r="C160" s="9"/>
      <c r="D160" s="9"/>
      <c r="G160" s="9"/>
      <c r="H160" s="9"/>
      <c r="K160" s="9"/>
      <c r="L160" s="9"/>
      <c r="M160" s="107"/>
      <c r="N160" s="107"/>
      <c r="O160" s="107"/>
      <c r="P160" s="107"/>
    </row>
    <row r="161" spans="1:16" x14ac:dyDescent="0.25">
      <c r="C161" s="9"/>
      <c r="D161" s="9"/>
      <c r="G161" s="9"/>
      <c r="H161" s="9"/>
      <c r="K161" s="9"/>
      <c r="L161" s="9"/>
      <c r="M161" s="107"/>
      <c r="N161" s="107"/>
      <c r="O161" s="107"/>
      <c r="P161" s="107"/>
    </row>
    <row r="162" spans="1:16" x14ac:dyDescent="0.25">
      <c r="C162" s="9"/>
      <c r="D162" s="9"/>
      <c r="G162" s="9"/>
      <c r="H162" s="9"/>
      <c r="K162" s="9"/>
      <c r="L162" s="9"/>
      <c r="M162" s="107"/>
      <c r="N162" s="107"/>
      <c r="O162" s="107"/>
      <c r="P162" s="107"/>
    </row>
    <row r="163" spans="1:16" x14ac:dyDescent="0.25">
      <c r="C163" s="9"/>
      <c r="D163" s="9"/>
      <c r="G163" s="9"/>
      <c r="H163" s="9"/>
      <c r="K163" s="9"/>
      <c r="L163" s="9"/>
      <c r="M163" s="107"/>
      <c r="N163" s="107"/>
      <c r="O163" s="107"/>
      <c r="P163" s="107"/>
    </row>
    <row r="164" spans="1:16" x14ac:dyDescent="0.25">
      <c r="C164" s="9"/>
      <c r="D164" s="9"/>
      <c r="G164" s="9"/>
      <c r="H164" s="9"/>
      <c r="K164" s="9"/>
      <c r="L164" s="9"/>
      <c r="M164" s="107"/>
      <c r="N164" s="107"/>
      <c r="O164" s="107"/>
      <c r="P164" s="107"/>
    </row>
    <row r="165" spans="1:16" s="268" customFormat="1" x14ac:dyDescent="0.25">
      <c r="A165" s="107"/>
      <c r="B165" s="107"/>
      <c r="C165" s="9"/>
      <c r="D165" s="9"/>
      <c r="E165" s="107"/>
      <c r="F165" s="107"/>
      <c r="G165" s="9"/>
      <c r="H165" s="9"/>
      <c r="I165" s="107"/>
      <c r="J165" s="107"/>
      <c r="K165" s="9"/>
      <c r="L165" s="9"/>
    </row>
    <row r="166" spans="1:16" s="268" customFormat="1" x14ac:dyDescent="0.25">
      <c r="A166" s="107"/>
      <c r="B166" s="107"/>
      <c r="C166" s="9"/>
      <c r="D166" s="9"/>
      <c r="E166" s="107"/>
      <c r="F166" s="107"/>
      <c r="G166" s="9"/>
      <c r="H166" s="9"/>
      <c r="I166" s="107"/>
      <c r="J166" s="107"/>
      <c r="K166" s="9"/>
      <c r="L166" s="9"/>
    </row>
    <row r="167" spans="1:16" s="268" customFormat="1" x14ac:dyDescent="0.25">
      <c r="A167" s="107"/>
      <c r="B167" s="107"/>
      <c r="C167" s="9"/>
      <c r="D167" s="9"/>
      <c r="E167" s="107"/>
      <c r="F167" s="107"/>
      <c r="G167" s="9"/>
      <c r="H167" s="9"/>
      <c r="I167" s="107"/>
      <c r="J167" s="107"/>
      <c r="K167" s="9"/>
      <c r="L167" s="9"/>
    </row>
    <row r="168" spans="1:16" s="268" customFormat="1" x14ac:dyDescent="0.25">
      <c r="A168" s="107"/>
      <c r="B168" s="107"/>
      <c r="C168" s="9"/>
      <c r="D168" s="9"/>
      <c r="E168" s="107"/>
      <c r="F168" s="107"/>
      <c r="G168" s="9"/>
      <c r="H168" s="9"/>
      <c r="I168" s="107"/>
      <c r="J168" s="107"/>
      <c r="K168" s="9"/>
      <c r="L168" s="9"/>
    </row>
    <row r="169" spans="1:16" s="268" customFormat="1" x14ac:dyDescent="0.25">
      <c r="A169" s="107"/>
      <c r="B169" s="107"/>
      <c r="C169" s="9"/>
      <c r="D169" s="9"/>
      <c r="E169" s="107"/>
      <c r="F169" s="107"/>
      <c r="G169" s="9"/>
      <c r="H169" s="9"/>
      <c r="I169" s="107"/>
      <c r="J169" s="107"/>
      <c r="K169" s="9"/>
      <c r="L169" s="9"/>
    </row>
    <row r="170" spans="1:16" s="268" customFormat="1" x14ac:dyDescent="0.25">
      <c r="A170" s="107"/>
      <c r="B170" s="107"/>
      <c r="C170" s="9"/>
      <c r="D170" s="9"/>
      <c r="E170" s="107"/>
      <c r="F170" s="107"/>
      <c r="G170" s="9"/>
      <c r="H170" s="9"/>
      <c r="I170" s="107"/>
      <c r="J170" s="107"/>
      <c r="K170" s="9"/>
      <c r="L170" s="9"/>
    </row>
    <row r="171" spans="1:16" s="268" customFormat="1" x14ac:dyDescent="0.25">
      <c r="A171" s="107"/>
      <c r="B171" s="107"/>
      <c r="C171" s="9"/>
      <c r="D171" s="9"/>
      <c r="E171" s="107"/>
      <c r="F171" s="107"/>
      <c r="G171" s="9"/>
      <c r="H171" s="9"/>
      <c r="I171" s="107"/>
      <c r="J171" s="107"/>
      <c r="K171" s="9"/>
      <c r="L171" s="9"/>
    </row>
    <row r="172" spans="1:16" s="268" customFormat="1" x14ac:dyDescent="0.25">
      <c r="A172" s="107"/>
      <c r="B172" s="107"/>
      <c r="C172" s="9"/>
      <c r="D172" s="9"/>
      <c r="E172" s="107"/>
      <c r="F172" s="107"/>
      <c r="G172" s="9"/>
      <c r="H172" s="9"/>
      <c r="I172" s="107"/>
      <c r="J172" s="107"/>
      <c r="K172" s="9"/>
      <c r="L172" s="9"/>
    </row>
    <row r="173" spans="1:16" s="268" customFormat="1" x14ac:dyDescent="0.25">
      <c r="A173" s="107"/>
      <c r="B173" s="107"/>
      <c r="C173" s="9"/>
      <c r="D173" s="9"/>
      <c r="E173" s="107"/>
      <c r="F173" s="107"/>
      <c r="G173" s="9"/>
      <c r="H173" s="9"/>
      <c r="I173" s="107"/>
      <c r="J173" s="107"/>
      <c r="K173" s="9"/>
      <c r="L173" s="9"/>
    </row>
    <row r="174" spans="1:16" s="268" customFormat="1" x14ac:dyDescent="0.25">
      <c r="A174" s="107"/>
      <c r="B174" s="107"/>
      <c r="C174" s="9"/>
      <c r="D174" s="9"/>
      <c r="E174" s="107"/>
      <c r="F174" s="107"/>
      <c r="G174" s="9"/>
      <c r="H174" s="9"/>
      <c r="I174" s="107"/>
      <c r="J174" s="107"/>
      <c r="K174" s="9"/>
      <c r="L174" s="9"/>
    </row>
    <row r="175" spans="1:16" s="268" customFormat="1" x14ac:dyDescent="0.25">
      <c r="A175" s="107"/>
      <c r="B175" s="107"/>
      <c r="C175" s="9"/>
      <c r="D175" s="9"/>
      <c r="E175" s="107"/>
      <c r="F175" s="107"/>
      <c r="G175" s="9"/>
      <c r="H175" s="9"/>
      <c r="I175" s="107"/>
      <c r="J175" s="107"/>
      <c r="K175" s="9"/>
      <c r="L175" s="9"/>
    </row>
    <row r="176" spans="1:16" s="268" customFormat="1" x14ac:dyDescent="0.25">
      <c r="A176" s="107"/>
      <c r="B176" s="107"/>
      <c r="C176" s="9"/>
      <c r="D176" s="9"/>
      <c r="E176" s="107"/>
      <c r="F176" s="107"/>
      <c r="G176" s="9"/>
      <c r="H176" s="9"/>
      <c r="I176" s="107"/>
      <c r="J176" s="107"/>
      <c r="K176" s="9"/>
      <c r="L176" s="9"/>
    </row>
    <row r="177" spans="1:14" s="268" customFormat="1" x14ac:dyDescent="0.25">
      <c r="A177" s="107"/>
      <c r="B177" s="107"/>
      <c r="C177" s="9"/>
      <c r="D177" s="9"/>
      <c r="E177" s="107"/>
      <c r="F177" s="107"/>
      <c r="G177" s="9"/>
      <c r="H177" s="9"/>
      <c r="I177" s="107"/>
      <c r="J177" s="107"/>
      <c r="K177" s="9"/>
      <c r="L177" s="9"/>
    </row>
    <row r="178" spans="1:14" s="268" customFormat="1" x14ac:dyDescent="0.25">
      <c r="A178" s="107"/>
      <c r="B178" s="107"/>
      <c r="C178" s="9"/>
      <c r="D178" s="9"/>
      <c r="E178" s="107"/>
      <c r="F178" s="107"/>
      <c r="G178" s="9"/>
      <c r="H178" s="9"/>
      <c r="I178" s="107"/>
      <c r="J178" s="107"/>
      <c r="K178" s="9"/>
      <c r="L178" s="9"/>
    </row>
    <row r="179" spans="1:14" s="268" customFormat="1" x14ac:dyDescent="0.25">
      <c r="A179" s="107"/>
      <c r="B179" s="107"/>
      <c r="C179" s="9"/>
      <c r="D179" s="9"/>
      <c r="E179" s="107"/>
      <c r="F179" s="107"/>
      <c r="G179" s="7"/>
      <c r="H179" s="7"/>
      <c r="I179" s="107"/>
      <c r="J179" s="107"/>
      <c r="K179" s="7"/>
      <c r="L179" s="7"/>
      <c r="M179" s="266"/>
      <c r="N179" s="266"/>
    </row>
    <row r="180" spans="1:14" s="268" customFormat="1" x14ac:dyDescent="0.25">
      <c r="A180" s="107"/>
      <c r="B180" s="107"/>
      <c r="C180" s="9"/>
      <c r="D180" s="9"/>
      <c r="E180" s="107"/>
      <c r="F180" s="107"/>
      <c r="G180" s="7"/>
      <c r="H180" s="7"/>
      <c r="I180" s="107"/>
      <c r="J180" s="107"/>
      <c r="K180" s="7"/>
      <c r="L180" s="7"/>
      <c r="M180" s="266"/>
      <c r="N180" s="266"/>
    </row>
    <row r="181" spans="1:14" s="268" customFormat="1" x14ac:dyDescent="0.25">
      <c r="A181" s="107"/>
      <c r="B181" s="107"/>
      <c r="C181" s="9"/>
      <c r="D181" s="9"/>
      <c r="E181" s="107"/>
      <c r="F181" s="107"/>
      <c r="G181" s="7"/>
      <c r="H181" s="7"/>
      <c r="I181" s="107"/>
      <c r="J181" s="107"/>
      <c r="K181" s="7"/>
      <c r="L181" s="7"/>
      <c r="M181" s="266"/>
      <c r="N181" s="266"/>
    </row>
    <row r="182" spans="1:14" s="268" customFormat="1" x14ac:dyDescent="0.25">
      <c r="A182" s="107"/>
      <c r="B182" s="107"/>
      <c r="C182" s="9"/>
      <c r="D182" s="9"/>
      <c r="E182" s="107"/>
      <c r="F182" s="107"/>
      <c r="G182" s="7"/>
      <c r="H182" s="7"/>
      <c r="I182" s="107"/>
      <c r="J182" s="107"/>
      <c r="K182" s="7"/>
      <c r="L182" s="7"/>
      <c r="M182" s="266"/>
      <c r="N182" s="266"/>
    </row>
    <row r="183" spans="1:14" s="268" customFormat="1" x14ac:dyDescent="0.25">
      <c r="A183" s="107"/>
      <c r="B183" s="107"/>
      <c r="C183" s="9"/>
      <c r="D183" s="9"/>
      <c r="E183" s="107"/>
      <c r="F183" s="107"/>
      <c r="G183" s="7"/>
      <c r="H183" s="7"/>
      <c r="I183" s="107"/>
      <c r="J183" s="107"/>
      <c r="K183" s="7"/>
      <c r="L183" s="7"/>
      <c r="M183" s="266"/>
      <c r="N183" s="266"/>
    </row>
    <row r="184" spans="1:14" s="268" customFormat="1" x14ac:dyDescent="0.25">
      <c r="A184" s="107"/>
      <c r="B184" s="107"/>
      <c r="C184" s="9"/>
      <c r="D184" s="9"/>
      <c r="E184" s="107"/>
      <c r="F184" s="107"/>
      <c r="G184" s="7"/>
      <c r="H184" s="7"/>
      <c r="I184" s="107"/>
      <c r="J184" s="107"/>
      <c r="K184" s="7"/>
      <c r="L184" s="7"/>
      <c r="M184" s="266"/>
      <c r="N184" s="266"/>
    </row>
    <row r="185" spans="1:14" s="268" customFormat="1" x14ac:dyDescent="0.25">
      <c r="A185" s="107"/>
      <c r="B185" s="107"/>
      <c r="C185" s="9"/>
      <c r="D185" s="9"/>
      <c r="E185" s="107"/>
      <c r="F185" s="107"/>
      <c r="G185" s="7"/>
      <c r="H185" s="7"/>
      <c r="I185" s="107"/>
      <c r="J185" s="107"/>
      <c r="K185" s="7"/>
      <c r="L185" s="7"/>
      <c r="M185" s="266"/>
      <c r="N185" s="266"/>
    </row>
    <row r="186" spans="1:14" s="268" customFormat="1" x14ac:dyDescent="0.25">
      <c r="A186" s="107"/>
      <c r="B186" s="107"/>
      <c r="C186" s="9"/>
      <c r="D186" s="9"/>
      <c r="E186" s="107"/>
      <c r="F186" s="107"/>
      <c r="G186" s="7"/>
      <c r="H186" s="7"/>
      <c r="I186" s="107"/>
      <c r="J186" s="107"/>
      <c r="K186" s="7"/>
      <c r="L186" s="7"/>
      <c r="M186" s="266"/>
      <c r="N186" s="266"/>
    </row>
    <row r="187" spans="1:14" s="268" customFormat="1" x14ac:dyDescent="0.25">
      <c r="A187" s="107"/>
      <c r="B187" s="107"/>
      <c r="C187" s="9"/>
      <c r="D187" s="9"/>
      <c r="E187" s="107"/>
      <c r="F187" s="107"/>
      <c r="G187" s="7"/>
      <c r="H187" s="7"/>
      <c r="I187" s="107"/>
      <c r="J187" s="107"/>
      <c r="K187" s="7"/>
      <c r="L187" s="7"/>
      <c r="M187" s="266"/>
      <c r="N187" s="266"/>
    </row>
    <row r="188" spans="1:14" s="268" customFormat="1" x14ac:dyDescent="0.25">
      <c r="A188" s="107"/>
      <c r="B188" s="107"/>
      <c r="C188" s="9"/>
      <c r="D188" s="9"/>
      <c r="E188" s="107"/>
      <c r="F188" s="107"/>
      <c r="G188" s="7"/>
      <c r="H188" s="7"/>
      <c r="I188" s="107"/>
      <c r="J188" s="107"/>
      <c r="K188" s="7"/>
      <c r="L188" s="7"/>
      <c r="M188" s="266"/>
      <c r="N188" s="266"/>
    </row>
    <row r="189" spans="1:14" s="268" customFormat="1" x14ac:dyDescent="0.25">
      <c r="A189" s="107"/>
      <c r="B189" s="107"/>
      <c r="C189" s="9"/>
      <c r="D189" s="9"/>
      <c r="E189" s="107"/>
      <c r="F189" s="107"/>
      <c r="G189" s="7"/>
      <c r="H189" s="7"/>
      <c r="I189" s="107"/>
      <c r="J189" s="107"/>
      <c r="K189" s="7"/>
      <c r="L189" s="7"/>
      <c r="M189" s="266"/>
      <c r="N189" s="266"/>
    </row>
    <row r="190" spans="1:14" s="268" customFormat="1" x14ac:dyDescent="0.25">
      <c r="A190" s="107"/>
      <c r="B190" s="107"/>
      <c r="C190" s="9"/>
      <c r="D190" s="9"/>
      <c r="E190" s="107"/>
      <c r="F190" s="107"/>
      <c r="G190" s="7"/>
      <c r="H190" s="7"/>
      <c r="I190" s="107"/>
      <c r="J190" s="107"/>
      <c r="K190" s="7"/>
      <c r="L190" s="7"/>
      <c r="M190" s="266"/>
      <c r="N190" s="266"/>
    </row>
    <row r="191" spans="1:14" s="268" customFormat="1" x14ac:dyDescent="0.25">
      <c r="A191" s="107"/>
      <c r="B191" s="107"/>
      <c r="C191" s="9"/>
      <c r="D191" s="9"/>
      <c r="E191" s="107"/>
      <c r="F191" s="107"/>
      <c r="G191" s="7"/>
      <c r="H191" s="7"/>
      <c r="I191" s="107"/>
      <c r="J191" s="107"/>
      <c r="K191" s="7"/>
      <c r="L191" s="7"/>
      <c r="M191" s="266"/>
      <c r="N191" s="266"/>
    </row>
    <row r="192" spans="1:14" s="268" customFormat="1" x14ac:dyDescent="0.25">
      <c r="A192" s="107"/>
      <c r="B192" s="107"/>
      <c r="C192" s="9"/>
      <c r="D192" s="9"/>
      <c r="E192" s="107"/>
      <c r="F192" s="107"/>
      <c r="G192" s="7"/>
      <c r="H192" s="7"/>
      <c r="I192" s="107"/>
      <c r="J192" s="107"/>
      <c r="K192" s="7"/>
      <c r="L192" s="7"/>
      <c r="M192" s="266"/>
      <c r="N192" s="266"/>
    </row>
    <row r="193" spans="1:14" s="268" customFormat="1" x14ac:dyDescent="0.25">
      <c r="A193" s="107"/>
      <c r="B193" s="107"/>
      <c r="C193" s="9"/>
      <c r="D193" s="9"/>
      <c r="E193" s="107"/>
      <c r="F193" s="107"/>
      <c r="G193" s="7"/>
      <c r="H193" s="7"/>
      <c r="I193" s="107"/>
      <c r="J193" s="107"/>
      <c r="K193" s="7"/>
      <c r="L193" s="7"/>
      <c r="M193" s="266"/>
      <c r="N193" s="266"/>
    </row>
    <row r="194" spans="1:14" s="268" customFormat="1" x14ac:dyDescent="0.25">
      <c r="A194" s="107"/>
      <c r="B194" s="107"/>
      <c r="C194" s="9"/>
      <c r="D194" s="9"/>
      <c r="E194" s="107"/>
      <c r="F194" s="107"/>
      <c r="G194" s="7"/>
      <c r="H194" s="7"/>
      <c r="I194" s="107"/>
      <c r="J194" s="107"/>
      <c r="K194" s="7"/>
      <c r="L194" s="7"/>
      <c r="M194" s="266"/>
      <c r="N194" s="266"/>
    </row>
    <row r="195" spans="1:14" s="268" customFormat="1" x14ac:dyDescent="0.25">
      <c r="A195" s="107"/>
      <c r="B195" s="107"/>
      <c r="C195" s="9"/>
      <c r="D195" s="9"/>
      <c r="E195" s="107"/>
      <c r="F195" s="107"/>
      <c r="G195" s="7"/>
      <c r="H195" s="7"/>
      <c r="I195" s="107"/>
      <c r="J195" s="107"/>
      <c r="K195" s="7"/>
      <c r="L195" s="7"/>
      <c r="M195" s="266"/>
      <c r="N195" s="266"/>
    </row>
    <row r="196" spans="1:14" s="268" customFormat="1" x14ac:dyDescent="0.25">
      <c r="A196" s="107"/>
      <c r="B196" s="107"/>
      <c r="C196" s="9"/>
      <c r="D196" s="9"/>
      <c r="E196" s="107"/>
      <c r="F196" s="107"/>
      <c r="G196" s="7"/>
      <c r="H196" s="7"/>
      <c r="I196" s="107"/>
      <c r="J196" s="107"/>
      <c r="K196" s="7"/>
      <c r="L196" s="7"/>
      <c r="M196" s="266"/>
      <c r="N196" s="266"/>
    </row>
    <row r="197" spans="1:14" s="268" customFormat="1" x14ac:dyDescent="0.25">
      <c r="A197" s="107"/>
      <c r="B197" s="107"/>
      <c r="C197" s="9"/>
      <c r="D197" s="9"/>
      <c r="E197" s="107"/>
      <c r="F197" s="107"/>
      <c r="G197" s="7"/>
      <c r="H197" s="7"/>
      <c r="I197" s="107"/>
      <c r="J197" s="107"/>
      <c r="K197" s="7"/>
      <c r="L197" s="7"/>
      <c r="M197" s="266"/>
      <c r="N197" s="266"/>
    </row>
    <row r="198" spans="1:14" s="268" customFormat="1" x14ac:dyDescent="0.25">
      <c r="A198" s="107"/>
      <c r="B198" s="107"/>
      <c r="C198" s="9"/>
      <c r="D198" s="9"/>
      <c r="E198" s="107"/>
      <c r="F198" s="107"/>
      <c r="G198" s="7"/>
      <c r="H198" s="7"/>
      <c r="I198" s="107"/>
      <c r="J198" s="107"/>
      <c r="K198" s="7"/>
      <c r="L198" s="7"/>
      <c r="M198" s="266"/>
      <c r="N198" s="266"/>
    </row>
    <row r="199" spans="1:14" s="268" customFormat="1" x14ac:dyDescent="0.25">
      <c r="A199" s="107"/>
      <c r="B199" s="107"/>
      <c r="C199" s="9"/>
      <c r="D199" s="9"/>
      <c r="E199" s="107"/>
      <c r="F199" s="107"/>
      <c r="G199" s="7"/>
      <c r="H199" s="7"/>
      <c r="I199" s="107"/>
      <c r="J199" s="107"/>
      <c r="K199" s="7"/>
      <c r="L199" s="7"/>
      <c r="M199" s="266"/>
      <c r="N199" s="266"/>
    </row>
    <row r="200" spans="1:14" s="268" customFormat="1" x14ac:dyDescent="0.25">
      <c r="A200" s="107"/>
      <c r="B200" s="107"/>
      <c r="C200" s="9"/>
      <c r="D200" s="9"/>
      <c r="E200" s="107"/>
      <c r="F200" s="107"/>
      <c r="G200" s="7"/>
      <c r="H200" s="7"/>
      <c r="I200" s="107"/>
      <c r="J200" s="107"/>
      <c r="K200" s="7"/>
      <c r="L200" s="7"/>
      <c r="M200" s="266"/>
      <c r="N200" s="266"/>
    </row>
    <row r="201" spans="1:14" s="268" customFormat="1" x14ac:dyDescent="0.25">
      <c r="A201" s="107"/>
      <c r="B201" s="107"/>
      <c r="C201" s="9"/>
      <c r="D201" s="9"/>
      <c r="E201" s="107"/>
      <c r="F201" s="107"/>
      <c r="G201" s="7"/>
      <c r="H201" s="7"/>
      <c r="I201" s="107"/>
      <c r="J201" s="107"/>
      <c r="K201" s="7"/>
      <c r="L201" s="7"/>
      <c r="M201" s="266"/>
      <c r="N201" s="266"/>
    </row>
    <row r="202" spans="1:14" s="268" customFormat="1" x14ac:dyDescent="0.25">
      <c r="A202" s="107"/>
      <c r="B202" s="107"/>
      <c r="C202" s="9"/>
      <c r="D202" s="9"/>
      <c r="E202" s="107"/>
      <c r="F202" s="107"/>
      <c r="G202" s="7"/>
      <c r="H202" s="7"/>
      <c r="I202" s="107"/>
      <c r="J202" s="107"/>
      <c r="K202" s="7"/>
      <c r="L202" s="7"/>
      <c r="M202" s="266"/>
      <c r="N202" s="266"/>
    </row>
    <row r="203" spans="1:14" s="268" customFormat="1" x14ac:dyDescent="0.25">
      <c r="A203" s="107"/>
      <c r="B203" s="107"/>
      <c r="C203" s="9"/>
      <c r="D203" s="9"/>
      <c r="E203" s="107"/>
      <c r="F203" s="107"/>
      <c r="G203" s="7"/>
      <c r="H203" s="7"/>
      <c r="I203" s="107"/>
      <c r="J203" s="107"/>
      <c r="K203" s="7"/>
      <c r="L203" s="7"/>
      <c r="M203" s="266"/>
      <c r="N203" s="266"/>
    </row>
    <row r="204" spans="1:14" s="268" customFormat="1" x14ac:dyDescent="0.25">
      <c r="A204" s="107"/>
      <c r="B204" s="107"/>
      <c r="C204" s="7"/>
      <c r="D204" s="7"/>
      <c r="E204" s="107"/>
      <c r="F204" s="107"/>
      <c r="G204" s="7"/>
      <c r="H204" s="7"/>
      <c r="I204" s="107"/>
      <c r="J204" s="107"/>
      <c r="K204" s="7"/>
      <c r="L204" s="7"/>
      <c r="M204" s="266"/>
      <c r="N204" s="266"/>
    </row>
    <row r="205" spans="1:14" s="268" customFormat="1" x14ac:dyDescent="0.25">
      <c r="A205" s="107"/>
      <c r="B205" s="107"/>
      <c r="C205" s="7"/>
      <c r="D205" s="7"/>
      <c r="E205" s="107"/>
      <c r="F205" s="107"/>
      <c r="G205" s="7"/>
      <c r="H205" s="7"/>
      <c r="I205" s="107"/>
      <c r="J205" s="107"/>
      <c r="K205" s="7"/>
      <c r="L205" s="7"/>
      <c r="M205" s="266"/>
      <c r="N205" s="266"/>
    </row>
    <row r="206" spans="1:14" s="268" customFormat="1" x14ac:dyDescent="0.25">
      <c r="A206" s="107"/>
      <c r="B206" s="107"/>
      <c r="C206" s="7"/>
      <c r="D206" s="7"/>
      <c r="E206" s="107"/>
      <c r="F206" s="107"/>
      <c r="G206" s="7"/>
      <c r="H206" s="7"/>
      <c r="I206" s="107"/>
      <c r="J206" s="107"/>
      <c r="K206" s="7"/>
      <c r="L206" s="7"/>
      <c r="M206" s="266"/>
      <c r="N206" s="266"/>
    </row>
    <row r="207" spans="1:14" s="268" customFormat="1" x14ac:dyDescent="0.25">
      <c r="A207" s="107"/>
      <c r="B207" s="107"/>
      <c r="C207" s="7"/>
      <c r="D207" s="7"/>
      <c r="E207" s="107"/>
      <c r="F207" s="107"/>
      <c r="G207" s="7"/>
      <c r="H207" s="7"/>
      <c r="I207" s="107"/>
      <c r="J207" s="107"/>
      <c r="K207" s="7"/>
      <c r="L207" s="7"/>
      <c r="M207" s="266"/>
      <c r="N207" s="266"/>
    </row>
    <row r="208" spans="1:14" s="268" customFormat="1" x14ac:dyDescent="0.25">
      <c r="A208" s="107"/>
      <c r="B208" s="107"/>
      <c r="C208" s="7"/>
      <c r="D208" s="7"/>
      <c r="E208" s="107"/>
      <c r="F208" s="107"/>
      <c r="G208" s="7"/>
      <c r="H208" s="7"/>
      <c r="I208" s="107"/>
      <c r="J208" s="107"/>
      <c r="K208" s="7"/>
      <c r="L208" s="7"/>
      <c r="M208" s="266"/>
      <c r="N208" s="266"/>
    </row>
    <row r="209" spans="1:14" s="268" customFormat="1" x14ac:dyDescent="0.25">
      <c r="A209" s="107"/>
      <c r="B209" s="107"/>
      <c r="C209" s="7"/>
      <c r="D209" s="7"/>
      <c r="E209" s="107"/>
      <c r="F209" s="107"/>
      <c r="G209" s="7"/>
      <c r="H209" s="7"/>
      <c r="I209" s="107"/>
      <c r="J209" s="107"/>
      <c r="K209" s="7"/>
      <c r="L209" s="7"/>
      <c r="M209" s="266"/>
      <c r="N209" s="266"/>
    </row>
    <row r="210" spans="1:14" s="268" customFormat="1" x14ac:dyDescent="0.25">
      <c r="A210" s="107"/>
      <c r="B210" s="107"/>
      <c r="C210" s="7"/>
      <c r="D210" s="7"/>
      <c r="E210" s="107"/>
      <c r="F210" s="107"/>
      <c r="G210" s="7"/>
      <c r="H210" s="7"/>
      <c r="I210" s="107"/>
      <c r="J210" s="107"/>
      <c r="K210" s="7"/>
      <c r="L210" s="7"/>
      <c r="M210" s="266"/>
      <c r="N210" s="266"/>
    </row>
    <row r="211" spans="1:14" s="268" customFormat="1" x14ac:dyDescent="0.25">
      <c r="A211" s="107"/>
      <c r="B211" s="107"/>
      <c r="C211" s="7"/>
      <c r="D211" s="7"/>
      <c r="E211" s="107"/>
      <c r="F211" s="107"/>
      <c r="G211" s="7"/>
      <c r="H211" s="7"/>
      <c r="I211" s="107"/>
      <c r="J211" s="107"/>
      <c r="K211" s="7"/>
      <c r="L211" s="7"/>
      <c r="M211" s="266"/>
      <c r="N211" s="266"/>
    </row>
    <row r="212" spans="1:14" s="268" customFormat="1" x14ac:dyDescent="0.25">
      <c r="A212" s="107"/>
      <c r="B212" s="107"/>
      <c r="C212" s="7"/>
      <c r="D212" s="7"/>
      <c r="E212" s="107"/>
      <c r="F212" s="107"/>
      <c r="G212" s="7"/>
      <c r="H212" s="7"/>
      <c r="I212" s="107"/>
      <c r="J212" s="107"/>
      <c r="K212" s="7"/>
      <c r="L212" s="7"/>
      <c r="M212" s="266"/>
      <c r="N212" s="266"/>
    </row>
    <row r="213" spans="1:14" s="268" customFormat="1" x14ac:dyDescent="0.25">
      <c r="A213" s="107"/>
      <c r="B213" s="107"/>
      <c r="C213" s="7"/>
      <c r="D213" s="7"/>
      <c r="E213" s="107"/>
      <c r="F213" s="107"/>
      <c r="G213" s="7"/>
      <c r="H213" s="7"/>
      <c r="I213" s="107"/>
      <c r="J213" s="107"/>
      <c r="K213" s="7"/>
      <c r="L213" s="7"/>
      <c r="M213" s="266"/>
      <c r="N213" s="266"/>
    </row>
    <row r="214" spans="1:14" s="268" customFormat="1" x14ac:dyDescent="0.25">
      <c r="A214" s="107"/>
      <c r="B214" s="107"/>
      <c r="C214" s="7"/>
      <c r="D214" s="7"/>
      <c r="E214" s="107"/>
      <c r="F214" s="107"/>
      <c r="G214" s="7"/>
      <c r="H214" s="7"/>
      <c r="I214" s="107"/>
      <c r="J214" s="107"/>
      <c r="K214" s="7"/>
      <c r="L214" s="7"/>
      <c r="M214" s="266"/>
      <c r="N214" s="266"/>
    </row>
    <row r="215" spans="1:14" s="268" customFormat="1" x14ac:dyDescent="0.25">
      <c r="A215" s="107"/>
      <c r="B215" s="107"/>
      <c r="C215" s="7"/>
      <c r="D215" s="7"/>
      <c r="E215" s="107"/>
      <c r="F215" s="107"/>
      <c r="G215" s="7"/>
      <c r="H215" s="7"/>
      <c r="I215" s="107"/>
      <c r="J215" s="107"/>
      <c r="K215" s="7"/>
      <c r="L215" s="7"/>
      <c r="M215" s="266"/>
      <c r="N215" s="266"/>
    </row>
    <row r="216" spans="1:14" s="268" customFormat="1" x14ac:dyDescent="0.25">
      <c r="A216" s="107"/>
      <c r="B216" s="107"/>
      <c r="C216" s="7"/>
      <c r="D216" s="7"/>
      <c r="E216" s="107"/>
      <c r="F216" s="107"/>
      <c r="G216" s="7"/>
      <c r="H216" s="7"/>
      <c r="I216" s="107"/>
      <c r="J216" s="107"/>
      <c r="K216" s="7"/>
      <c r="L216" s="7"/>
      <c r="M216" s="266"/>
      <c r="N216" s="266"/>
    </row>
    <row r="217" spans="1:14" s="268" customFormat="1" x14ac:dyDescent="0.25">
      <c r="A217" s="107"/>
      <c r="B217" s="107"/>
      <c r="C217" s="7"/>
      <c r="D217" s="7"/>
      <c r="E217" s="107"/>
      <c r="F217" s="107"/>
      <c r="G217" s="7"/>
      <c r="H217" s="7"/>
      <c r="I217" s="107"/>
      <c r="J217" s="107"/>
      <c r="K217" s="7"/>
      <c r="L217" s="7"/>
      <c r="M217" s="266"/>
      <c r="N217" s="266"/>
    </row>
    <row r="218" spans="1:14" s="268" customFormat="1" x14ac:dyDescent="0.25">
      <c r="A218" s="107"/>
      <c r="B218" s="107"/>
      <c r="C218" s="7"/>
      <c r="D218" s="7"/>
      <c r="E218" s="107"/>
      <c r="F218" s="107"/>
      <c r="G218" s="7"/>
      <c r="H218" s="7"/>
      <c r="I218" s="107"/>
      <c r="J218" s="107"/>
      <c r="K218" s="7"/>
      <c r="L218" s="7"/>
      <c r="M218" s="266"/>
      <c r="N218" s="266"/>
    </row>
    <row r="219" spans="1:14" s="268" customFormat="1" x14ac:dyDescent="0.25">
      <c r="A219" s="107"/>
      <c r="B219" s="107"/>
      <c r="C219" s="7"/>
      <c r="D219" s="7"/>
      <c r="E219" s="107"/>
      <c r="F219" s="107"/>
      <c r="G219" s="7"/>
      <c r="H219" s="7"/>
      <c r="I219" s="107"/>
      <c r="J219" s="107"/>
      <c r="K219" s="7"/>
      <c r="L219" s="7"/>
      <c r="M219" s="266"/>
      <c r="N219" s="266"/>
    </row>
    <row r="220" spans="1:14" s="268" customFormat="1" x14ac:dyDescent="0.25">
      <c r="A220" s="107"/>
      <c r="B220" s="107"/>
      <c r="C220" s="7"/>
      <c r="D220" s="7"/>
      <c r="E220" s="107"/>
      <c r="F220" s="107"/>
      <c r="G220" s="7"/>
      <c r="H220" s="7"/>
      <c r="I220" s="107"/>
      <c r="J220" s="107"/>
      <c r="K220" s="7"/>
      <c r="L220" s="7"/>
      <c r="M220" s="266"/>
      <c r="N220" s="266"/>
    </row>
    <row r="221" spans="1:14" s="268" customFormat="1" x14ac:dyDescent="0.25">
      <c r="A221" s="107"/>
      <c r="B221" s="107"/>
      <c r="C221" s="7"/>
      <c r="D221" s="7"/>
      <c r="E221" s="107"/>
      <c r="F221" s="107"/>
      <c r="G221" s="7"/>
      <c r="H221" s="7"/>
      <c r="I221" s="107"/>
      <c r="J221" s="107"/>
      <c r="K221" s="7"/>
      <c r="L221" s="7"/>
      <c r="M221" s="266"/>
      <c r="N221" s="266"/>
    </row>
    <row r="222" spans="1:14" s="268" customFormat="1" x14ac:dyDescent="0.25">
      <c r="A222" s="107"/>
      <c r="B222" s="107"/>
      <c r="C222" s="7"/>
      <c r="D222" s="7"/>
      <c r="E222" s="107"/>
      <c r="F222" s="107"/>
      <c r="G222" s="7"/>
      <c r="H222" s="7"/>
      <c r="I222" s="107"/>
      <c r="J222" s="107"/>
      <c r="K222" s="7"/>
      <c r="L222" s="7"/>
      <c r="M222" s="266"/>
      <c r="N222" s="266"/>
    </row>
    <row r="223" spans="1:14" s="268" customFormat="1" x14ac:dyDescent="0.25">
      <c r="A223" s="107"/>
      <c r="B223" s="107"/>
      <c r="C223" s="7"/>
      <c r="D223" s="7"/>
      <c r="E223" s="107"/>
      <c r="F223" s="107"/>
      <c r="G223" s="7"/>
      <c r="H223" s="7"/>
      <c r="I223" s="107"/>
      <c r="J223" s="107"/>
      <c r="K223" s="7"/>
      <c r="L223" s="7"/>
      <c r="M223" s="266"/>
      <c r="N223" s="266"/>
    </row>
    <row r="224" spans="1:14" s="268" customFormat="1" x14ac:dyDescent="0.25">
      <c r="A224" s="107"/>
      <c r="B224" s="107"/>
      <c r="C224" s="7"/>
      <c r="D224" s="7"/>
      <c r="E224" s="107"/>
      <c r="F224" s="107"/>
      <c r="G224" s="7"/>
      <c r="H224" s="7"/>
      <c r="I224" s="107"/>
      <c r="J224" s="107"/>
      <c r="K224" s="7"/>
      <c r="L224" s="7"/>
      <c r="M224" s="266"/>
      <c r="N224" s="266"/>
    </row>
    <row r="225" spans="1:14" s="268" customFormat="1" x14ac:dyDescent="0.25">
      <c r="A225" s="107"/>
      <c r="B225" s="107"/>
      <c r="C225" s="7"/>
      <c r="D225" s="7"/>
      <c r="E225" s="107"/>
      <c r="F225" s="107"/>
      <c r="G225" s="7"/>
      <c r="H225" s="7"/>
      <c r="I225" s="107"/>
      <c r="J225" s="107"/>
      <c r="K225" s="7"/>
      <c r="L225" s="7"/>
      <c r="M225" s="266"/>
      <c r="N225" s="266"/>
    </row>
    <row r="226" spans="1:14" s="268" customFormat="1" x14ac:dyDescent="0.25">
      <c r="A226" s="107"/>
      <c r="B226" s="107"/>
      <c r="C226" s="7"/>
      <c r="D226" s="7"/>
      <c r="E226" s="107"/>
      <c r="F226" s="107"/>
      <c r="G226" s="7"/>
      <c r="H226" s="7"/>
      <c r="I226" s="107"/>
      <c r="J226" s="107"/>
      <c r="K226" s="7"/>
      <c r="L226" s="7"/>
      <c r="M226" s="266"/>
      <c r="N226" s="266"/>
    </row>
    <row r="227" spans="1:14" s="268" customFormat="1" x14ac:dyDescent="0.25">
      <c r="A227" s="107"/>
      <c r="B227" s="107"/>
      <c r="C227" s="7"/>
      <c r="D227" s="7"/>
      <c r="E227" s="107"/>
      <c r="F227" s="107"/>
      <c r="G227" s="7"/>
      <c r="H227" s="7"/>
      <c r="I227" s="107"/>
      <c r="J227" s="107"/>
      <c r="K227" s="7"/>
      <c r="L227" s="7"/>
      <c r="M227" s="266"/>
      <c r="N227" s="266"/>
    </row>
    <row r="228" spans="1:14" s="268" customFormat="1" x14ac:dyDescent="0.25">
      <c r="A228" s="107"/>
      <c r="B228" s="107"/>
      <c r="C228" s="7"/>
      <c r="D228" s="7"/>
      <c r="E228" s="107"/>
      <c r="F228" s="107"/>
      <c r="G228" s="7"/>
      <c r="H228" s="7"/>
      <c r="I228" s="107"/>
      <c r="J228" s="107"/>
      <c r="K228" s="7"/>
      <c r="L228" s="7"/>
      <c r="M228" s="266"/>
      <c r="N228" s="266"/>
    </row>
    <row r="229" spans="1:14" s="268" customFormat="1" x14ac:dyDescent="0.25">
      <c r="A229" s="107"/>
      <c r="B229" s="107"/>
      <c r="C229" s="7"/>
      <c r="D229" s="7"/>
      <c r="E229" s="107"/>
      <c r="F229" s="107"/>
      <c r="G229" s="7"/>
      <c r="H229" s="7"/>
      <c r="I229" s="107"/>
      <c r="J229" s="107"/>
      <c r="K229" s="7"/>
      <c r="L229" s="7"/>
      <c r="M229" s="266"/>
      <c r="N229" s="266"/>
    </row>
    <row r="230" spans="1:14" s="268" customFormat="1" x14ac:dyDescent="0.25">
      <c r="A230" s="107"/>
      <c r="B230" s="107"/>
      <c r="C230" s="7"/>
      <c r="D230" s="7"/>
      <c r="E230" s="107"/>
      <c r="F230" s="107"/>
      <c r="G230" s="7"/>
      <c r="H230" s="7"/>
      <c r="I230" s="107"/>
      <c r="J230" s="107"/>
      <c r="K230" s="7"/>
      <c r="L230" s="7"/>
      <c r="M230" s="266"/>
      <c r="N230" s="266"/>
    </row>
    <row r="231" spans="1:14" s="268" customFormat="1" x14ac:dyDescent="0.25">
      <c r="A231" s="107"/>
      <c r="B231" s="107"/>
      <c r="C231" s="7"/>
      <c r="D231" s="7"/>
      <c r="E231" s="107"/>
      <c r="F231" s="107"/>
      <c r="G231" s="7"/>
      <c r="H231" s="7"/>
      <c r="I231" s="107"/>
      <c r="J231" s="107"/>
      <c r="K231" s="7"/>
      <c r="L231" s="7"/>
      <c r="M231" s="266"/>
      <c r="N231" s="266"/>
    </row>
    <row r="232" spans="1:14" s="268" customFormat="1" x14ac:dyDescent="0.25">
      <c r="A232" s="107"/>
      <c r="B232" s="107"/>
      <c r="C232" s="7"/>
      <c r="D232" s="7"/>
      <c r="E232" s="107"/>
      <c r="F232" s="107"/>
      <c r="G232" s="7"/>
      <c r="H232" s="7"/>
      <c r="I232" s="107"/>
      <c r="J232" s="107"/>
      <c r="K232" s="7"/>
      <c r="L232" s="7"/>
      <c r="M232" s="266"/>
      <c r="N232" s="266"/>
    </row>
    <row r="233" spans="1:14" s="268" customFormat="1" x14ac:dyDescent="0.25">
      <c r="A233" s="107"/>
      <c r="B233" s="107"/>
      <c r="C233" s="7"/>
      <c r="D233" s="7"/>
      <c r="E233" s="107"/>
      <c r="F233" s="107"/>
      <c r="G233" s="7"/>
      <c r="H233" s="7"/>
      <c r="I233" s="107"/>
      <c r="J233" s="107"/>
      <c r="K233" s="7"/>
      <c r="L233" s="7"/>
      <c r="M233" s="266"/>
      <c r="N233" s="266"/>
    </row>
    <row r="234" spans="1:14" s="268" customFormat="1" x14ac:dyDescent="0.25">
      <c r="A234" s="107"/>
      <c r="B234" s="107"/>
      <c r="C234" s="7"/>
      <c r="D234" s="7"/>
      <c r="E234" s="107"/>
      <c r="F234" s="107"/>
      <c r="G234" s="7"/>
      <c r="H234" s="7"/>
      <c r="I234" s="107"/>
      <c r="J234" s="107"/>
      <c r="K234" s="7"/>
      <c r="L234" s="7"/>
      <c r="M234" s="266"/>
      <c r="N234" s="266"/>
    </row>
    <row r="235" spans="1:14" s="268" customFormat="1" x14ac:dyDescent="0.25">
      <c r="A235" s="107"/>
      <c r="B235" s="107"/>
      <c r="C235" s="7"/>
      <c r="D235" s="7"/>
      <c r="E235" s="107"/>
      <c r="F235" s="107"/>
      <c r="G235" s="7"/>
      <c r="H235" s="7"/>
      <c r="I235" s="107"/>
      <c r="J235" s="107"/>
      <c r="K235" s="7"/>
      <c r="L235" s="7"/>
      <c r="M235" s="266"/>
      <c r="N235" s="266"/>
    </row>
    <row r="236" spans="1:14" s="268" customFormat="1" x14ac:dyDescent="0.25">
      <c r="A236" s="107"/>
      <c r="B236" s="107"/>
      <c r="C236" s="7"/>
      <c r="D236" s="7"/>
      <c r="E236" s="107"/>
      <c r="F236" s="107"/>
      <c r="G236" s="7"/>
      <c r="H236" s="7"/>
      <c r="I236" s="107"/>
      <c r="J236" s="107"/>
      <c r="K236" s="7"/>
      <c r="L236" s="7"/>
      <c r="M236" s="266"/>
      <c r="N236" s="266"/>
    </row>
    <row r="237" spans="1:14" s="268" customFormat="1" x14ac:dyDescent="0.25">
      <c r="A237" s="107"/>
      <c r="B237" s="107"/>
      <c r="C237" s="7"/>
      <c r="D237" s="7"/>
      <c r="E237" s="107"/>
      <c r="F237" s="107"/>
      <c r="G237" s="7"/>
      <c r="H237" s="7"/>
      <c r="I237" s="107"/>
      <c r="J237" s="107"/>
      <c r="K237" s="7"/>
      <c r="L237" s="7"/>
      <c r="M237" s="266"/>
      <c r="N237" s="266"/>
    </row>
    <row r="238" spans="1:14" s="268" customFormat="1" x14ac:dyDescent="0.25">
      <c r="A238" s="107"/>
      <c r="B238" s="107"/>
      <c r="C238" s="7"/>
      <c r="D238" s="7"/>
      <c r="E238" s="107"/>
      <c r="F238" s="107"/>
      <c r="G238" s="7"/>
      <c r="H238" s="7"/>
      <c r="I238" s="107"/>
      <c r="J238" s="107"/>
      <c r="K238" s="7"/>
      <c r="L238" s="7"/>
      <c r="M238" s="266"/>
      <c r="N238" s="266"/>
    </row>
    <row r="239" spans="1:14" s="268" customFormat="1" x14ac:dyDescent="0.25">
      <c r="A239" s="107"/>
      <c r="B239" s="107"/>
      <c r="C239" s="7"/>
      <c r="D239" s="7"/>
      <c r="E239" s="107"/>
      <c r="F239" s="107"/>
      <c r="G239" s="7"/>
      <c r="H239" s="7"/>
      <c r="I239" s="107"/>
      <c r="J239" s="107"/>
      <c r="K239" s="7"/>
      <c r="L239" s="7"/>
      <c r="M239" s="266"/>
      <c r="N239" s="266"/>
    </row>
    <row r="240" spans="1:14" s="268" customFormat="1" x14ac:dyDescent="0.25">
      <c r="A240" s="107"/>
      <c r="B240" s="107"/>
      <c r="C240" s="7"/>
      <c r="D240" s="7"/>
      <c r="E240" s="107"/>
      <c r="F240" s="107"/>
      <c r="G240" s="7"/>
      <c r="H240" s="7"/>
      <c r="I240" s="107"/>
      <c r="J240" s="107"/>
      <c r="K240" s="7"/>
      <c r="L240" s="7"/>
      <c r="M240" s="266"/>
      <c r="N240" s="266"/>
    </row>
    <row r="241" spans="1:14" s="268" customFormat="1" x14ac:dyDescent="0.25">
      <c r="A241" s="107"/>
      <c r="B241" s="107"/>
      <c r="C241" s="7"/>
      <c r="D241" s="7"/>
      <c r="E241" s="107"/>
      <c r="F241" s="107"/>
      <c r="G241" s="7"/>
      <c r="H241" s="7"/>
      <c r="I241" s="107"/>
      <c r="J241" s="107"/>
      <c r="K241" s="7"/>
      <c r="L241" s="7"/>
      <c r="M241" s="266"/>
      <c r="N241" s="266"/>
    </row>
    <row r="242" spans="1:14" s="268" customFormat="1" x14ac:dyDescent="0.25">
      <c r="A242" s="107"/>
      <c r="B242" s="107"/>
      <c r="C242" s="7"/>
      <c r="D242" s="7"/>
      <c r="E242" s="107"/>
      <c r="F242" s="107"/>
      <c r="G242" s="7"/>
      <c r="H242" s="7"/>
      <c r="I242" s="107"/>
      <c r="J242" s="107"/>
      <c r="K242" s="7"/>
      <c r="L242" s="7"/>
      <c r="M242" s="266"/>
      <c r="N242" s="266"/>
    </row>
    <row r="243" spans="1:14" s="268" customFormat="1" x14ac:dyDescent="0.25">
      <c r="A243" s="107"/>
      <c r="B243" s="107"/>
      <c r="C243" s="7"/>
      <c r="D243" s="7"/>
      <c r="E243" s="107"/>
      <c r="F243" s="107"/>
      <c r="G243" s="7"/>
      <c r="H243" s="7"/>
      <c r="I243" s="107"/>
      <c r="J243" s="107"/>
      <c r="K243" s="7"/>
      <c r="L243" s="7"/>
      <c r="M243" s="266"/>
      <c r="N243" s="266"/>
    </row>
    <row r="244" spans="1:14" s="268" customFormat="1" x14ac:dyDescent="0.25">
      <c r="A244" s="107"/>
      <c r="B244" s="107"/>
      <c r="C244" s="7"/>
      <c r="D244" s="7"/>
      <c r="E244" s="107"/>
      <c r="F244" s="107"/>
      <c r="G244" s="7"/>
      <c r="H244" s="7"/>
      <c r="I244" s="107"/>
      <c r="J244" s="107"/>
      <c r="K244" s="7"/>
      <c r="L244" s="7"/>
      <c r="M244" s="266"/>
      <c r="N244" s="266"/>
    </row>
    <row r="245" spans="1:14" s="268" customFormat="1" x14ac:dyDescent="0.25">
      <c r="A245" s="107"/>
      <c r="B245" s="107"/>
      <c r="C245" s="7"/>
      <c r="D245" s="7"/>
      <c r="E245" s="107"/>
      <c r="F245" s="107"/>
      <c r="G245" s="108"/>
      <c r="H245" s="108"/>
      <c r="I245" s="107"/>
      <c r="J245" s="107"/>
      <c r="K245" s="108"/>
      <c r="L245" s="108"/>
      <c r="M245" s="270"/>
      <c r="N245" s="270"/>
    </row>
    <row r="246" spans="1:14" s="268" customFormat="1" x14ac:dyDescent="0.25">
      <c r="A246" s="107"/>
      <c r="B246" s="107"/>
      <c r="C246" s="7"/>
      <c r="D246" s="7"/>
      <c r="E246" s="107"/>
      <c r="F246" s="107"/>
      <c r="G246" s="108"/>
      <c r="H246" s="108"/>
      <c r="I246" s="107"/>
      <c r="J246" s="107"/>
      <c r="K246" s="108"/>
      <c r="L246" s="108"/>
      <c r="M246" s="270"/>
      <c r="N246" s="270"/>
    </row>
    <row r="247" spans="1:14" s="268" customFormat="1" x14ac:dyDescent="0.25">
      <c r="A247" s="107"/>
      <c r="B247" s="107"/>
      <c r="C247" s="7"/>
      <c r="D247" s="7"/>
      <c r="E247" s="107"/>
      <c r="F247" s="107"/>
      <c r="G247" s="108"/>
      <c r="H247" s="108"/>
      <c r="I247" s="107"/>
      <c r="J247" s="107"/>
      <c r="K247" s="108"/>
      <c r="L247" s="108"/>
      <c r="M247" s="270"/>
      <c r="N247" s="270"/>
    </row>
    <row r="248" spans="1:14" s="268" customFormat="1" x14ac:dyDescent="0.25">
      <c r="A248" s="107"/>
      <c r="B248" s="107"/>
      <c r="C248" s="7"/>
      <c r="D248" s="7"/>
      <c r="E248" s="107"/>
      <c r="F248" s="107"/>
      <c r="G248" s="108"/>
      <c r="H248" s="108"/>
      <c r="I248" s="107"/>
      <c r="J248" s="107"/>
      <c r="K248" s="108"/>
      <c r="L248" s="108"/>
      <c r="M248" s="270"/>
      <c r="N248" s="270"/>
    </row>
    <row r="249" spans="1:14" s="268" customFormat="1" x14ac:dyDescent="0.25">
      <c r="A249" s="107"/>
      <c r="B249" s="107"/>
      <c r="C249" s="7"/>
      <c r="D249" s="7"/>
      <c r="E249" s="107"/>
      <c r="F249" s="107"/>
      <c r="G249" s="108"/>
      <c r="H249" s="108"/>
      <c r="I249" s="107"/>
      <c r="J249" s="107"/>
      <c r="K249" s="108"/>
      <c r="L249" s="108"/>
      <c r="M249" s="270"/>
      <c r="N249" s="270"/>
    </row>
    <row r="250" spans="1:14" s="268" customFormat="1" x14ac:dyDescent="0.25">
      <c r="A250" s="107"/>
      <c r="B250" s="107"/>
      <c r="C250" s="7"/>
      <c r="D250" s="7"/>
      <c r="E250" s="107"/>
      <c r="F250" s="107"/>
      <c r="G250" s="108"/>
      <c r="H250" s="108"/>
      <c r="I250" s="107"/>
      <c r="J250" s="107"/>
      <c r="K250" s="108"/>
      <c r="L250" s="108"/>
      <c r="M250" s="270"/>
      <c r="N250" s="270"/>
    </row>
    <row r="251" spans="1:14" s="268" customFormat="1" x14ac:dyDescent="0.25">
      <c r="A251" s="107"/>
      <c r="B251" s="107"/>
      <c r="C251" s="7"/>
      <c r="D251" s="7"/>
      <c r="E251" s="107"/>
      <c r="F251" s="107"/>
      <c r="G251" s="108"/>
      <c r="H251" s="108"/>
      <c r="I251" s="107"/>
      <c r="J251" s="107"/>
      <c r="K251" s="108"/>
      <c r="L251" s="108"/>
      <c r="M251" s="270"/>
      <c r="N251" s="270"/>
    </row>
    <row r="252" spans="1:14" s="268" customFormat="1" x14ac:dyDescent="0.25">
      <c r="A252" s="107"/>
      <c r="B252" s="107"/>
      <c r="C252" s="7"/>
      <c r="D252" s="7"/>
      <c r="E252" s="107"/>
      <c r="F252" s="107"/>
      <c r="G252" s="108"/>
      <c r="H252" s="108"/>
      <c r="I252" s="107"/>
      <c r="J252" s="107"/>
      <c r="K252" s="108"/>
      <c r="L252" s="108"/>
      <c r="M252" s="270"/>
      <c r="N252" s="270"/>
    </row>
    <row r="253" spans="1:14" s="268" customFormat="1" x14ac:dyDescent="0.25">
      <c r="A253" s="107"/>
      <c r="B253" s="107"/>
      <c r="C253" s="7"/>
      <c r="D253" s="7"/>
      <c r="E253" s="107"/>
      <c r="F253" s="107"/>
      <c r="G253" s="108"/>
      <c r="H253" s="108"/>
      <c r="I253" s="107"/>
      <c r="J253" s="107"/>
      <c r="K253" s="108"/>
      <c r="L253" s="108"/>
      <c r="M253" s="270"/>
      <c r="N253" s="270"/>
    </row>
    <row r="254" spans="1:14" s="268" customFormat="1" x14ac:dyDescent="0.25">
      <c r="A254" s="107"/>
      <c r="B254" s="107"/>
      <c r="C254" s="7"/>
      <c r="D254" s="7"/>
      <c r="E254" s="107"/>
      <c r="F254" s="107"/>
      <c r="G254" s="108"/>
      <c r="H254" s="108"/>
      <c r="I254" s="107"/>
      <c r="J254" s="107"/>
      <c r="K254" s="108"/>
      <c r="L254" s="108"/>
      <c r="M254" s="270"/>
      <c r="N254" s="270"/>
    </row>
    <row r="255" spans="1:14" s="268" customFormat="1" x14ac:dyDescent="0.25">
      <c r="A255" s="107"/>
      <c r="B255" s="107"/>
      <c r="C255" s="7"/>
      <c r="D255" s="7"/>
      <c r="E255" s="107"/>
      <c r="F255" s="107"/>
      <c r="G255" s="108"/>
      <c r="H255" s="108"/>
      <c r="I255" s="107"/>
      <c r="J255" s="107"/>
      <c r="K255" s="108"/>
      <c r="L255" s="108"/>
      <c r="M255" s="270"/>
      <c r="N255" s="270"/>
    </row>
    <row r="256" spans="1:14" s="268" customFormat="1" x14ac:dyDescent="0.25">
      <c r="A256" s="107"/>
      <c r="B256" s="107"/>
      <c r="C256" s="7"/>
      <c r="D256" s="7"/>
      <c r="E256" s="107"/>
      <c r="F256" s="107"/>
      <c r="G256" s="108"/>
      <c r="H256" s="108"/>
      <c r="I256" s="107"/>
      <c r="J256" s="107"/>
      <c r="K256" s="108"/>
      <c r="L256" s="108"/>
      <c r="M256" s="270"/>
      <c r="N256" s="270"/>
    </row>
    <row r="257" spans="1:14" s="268" customFormat="1" x14ac:dyDescent="0.25">
      <c r="A257" s="107"/>
      <c r="B257" s="107"/>
      <c r="C257" s="7"/>
      <c r="D257" s="7"/>
      <c r="E257" s="107"/>
      <c r="F257" s="107"/>
      <c r="G257" s="108"/>
      <c r="H257" s="108"/>
      <c r="I257" s="107"/>
      <c r="J257" s="107"/>
      <c r="K257" s="108"/>
      <c r="L257" s="108"/>
      <c r="M257" s="270"/>
      <c r="N257" s="270"/>
    </row>
    <row r="258" spans="1:14" s="268" customFormat="1" x14ac:dyDescent="0.25">
      <c r="A258" s="107"/>
      <c r="B258" s="107"/>
      <c r="C258" s="7"/>
      <c r="D258" s="7"/>
      <c r="E258" s="107"/>
      <c r="F258" s="107"/>
      <c r="G258" s="7"/>
      <c r="H258" s="7"/>
      <c r="I258" s="107"/>
      <c r="J258" s="107"/>
      <c r="K258" s="7"/>
      <c r="L258" s="7"/>
      <c r="M258" s="266"/>
      <c r="N258" s="266"/>
    </row>
    <row r="259" spans="1:14" s="268" customFormat="1" x14ac:dyDescent="0.25">
      <c r="A259" s="107"/>
      <c r="B259" s="107"/>
      <c r="C259" s="7"/>
      <c r="D259" s="7"/>
      <c r="E259" s="107"/>
      <c r="F259" s="107"/>
      <c r="G259" s="7"/>
      <c r="H259" s="7"/>
      <c r="I259" s="107"/>
      <c r="J259" s="107"/>
      <c r="K259" s="7"/>
      <c r="L259" s="7"/>
      <c r="M259" s="266"/>
      <c r="N259" s="266"/>
    </row>
    <row r="260" spans="1:14" s="268" customFormat="1" x14ac:dyDescent="0.25">
      <c r="A260" s="107"/>
      <c r="B260" s="107"/>
      <c r="C260" s="7"/>
      <c r="D260" s="7"/>
      <c r="E260" s="107"/>
      <c r="F260" s="107"/>
      <c r="G260" s="7"/>
      <c r="H260" s="7"/>
      <c r="I260" s="107"/>
      <c r="J260" s="107"/>
      <c r="K260" s="7"/>
      <c r="L260" s="7"/>
      <c r="M260" s="266"/>
      <c r="N260" s="266"/>
    </row>
    <row r="261" spans="1:14" s="268" customFormat="1" x14ac:dyDescent="0.25">
      <c r="A261" s="107"/>
      <c r="B261" s="107"/>
      <c r="C261" s="7"/>
      <c r="D261" s="7"/>
      <c r="E261" s="107"/>
      <c r="F261" s="107"/>
      <c r="G261" s="7"/>
      <c r="H261" s="7"/>
      <c r="I261" s="107"/>
      <c r="J261" s="107"/>
      <c r="K261" s="7"/>
      <c r="L261" s="7"/>
      <c r="M261" s="266"/>
      <c r="N261" s="266"/>
    </row>
    <row r="262" spans="1:14" s="268" customFormat="1" x14ac:dyDescent="0.25">
      <c r="A262" s="107"/>
      <c r="B262" s="107"/>
      <c r="C262" s="7"/>
      <c r="D262" s="7"/>
      <c r="E262" s="107"/>
      <c r="F262" s="107"/>
      <c r="G262" s="7"/>
      <c r="H262" s="7"/>
      <c r="I262" s="107"/>
      <c r="J262" s="107"/>
      <c r="K262" s="7"/>
      <c r="L262" s="7"/>
      <c r="M262" s="266"/>
      <c r="N262" s="266"/>
    </row>
    <row r="263" spans="1:14" s="268" customFormat="1" x14ac:dyDescent="0.25">
      <c r="A263" s="107"/>
      <c r="B263" s="107"/>
      <c r="C263" s="7"/>
      <c r="D263" s="7"/>
      <c r="E263" s="107"/>
      <c r="F263" s="107"/>
      <c r="G263" s="7"/>
      <c r="H263" s="7"/>
      <c r="I263" s="107"/>
      <c r="J263" s="107"/>
      <c r="K263" s="7"/>
      <c r="L263" s="7"/>
      <c r="M263" s="266"/>
      <c r="N263" s="266"/>
    </row>
    <row r="264" spans="1:14" s="268" customFormat="1" x14ac:dyDescent="0.25">
      <c r="A264" s="107"/>
      <c r="B264" s="107"/>
      <c r="C264" s="7"/>
      <c r="D264" s="7"/>
      <c r="E264" s="107"/>
      <c r="F264" s="107"/>
      <c r="G264" s="7"/>
      <c r="H264" s="7"/>
      <c r="I264" s="107"/>
      <c r="J264" s="107"/>
      <c r="K264" s="7"/>
      <c r="L264" s="7"/>
      <c r="M264" s="266"/>
      <c r="N264" s="266"/>
    </row>
    <row r="265" spans="1:14" s="268" customFormat="1" x14ac:dyDescent="0.25">
      <c r="A265" s="107"/>
      <c r="B265" s="107"/>
      <c r="C265" s="7"/>
      <c r="D265" s="7"/>
      <c r="E265" s="107"/>
      <c r="F265" s="107"/>
      <c r="G265" s="7"/>
      <c r="H265" s="7"/>
      <c r="I265" s="107"/>
      <c r="J265" s="107"/>
      <c r="K265" s="7"/>
      <c r="L265" s="7"/>
      <c r="M265" s="266"/>
      <c r="N265" s="266"/>
    </row>
    <row r="266" spans="1:14" s="268" customFormat="1" x14ac:dyDescent="0.25">
      <c r="A266" s="107"/>
      <c r="B266" s="107"/>
      <c r="C266" s="7"/>
      <c r="D266" s="7"/>
      <c r="E266" s="107"/>
      <c r="F266" s="107"/>
      <c r="G266" s="7"/>
      <c r="H266" s="7"/>
      <c r="I266" s="107"/>
      <c r="J266" s="107"/>
      <c r="K266" s="7"/>
      <c r="L266" s="7"/>
      <c r="M266" s="266"/>
      <c r="N266" s="266"/>
    </row>
    <row r="267" spans="1:14" s="268" customFormat="1" x14ac:dyDescent="0.25">
      <c r="A267" s="107"/>
      <c r="B267" s="107"/>
      <c r="C267" s="7"/>
      <c r="D267" s="7"/>
      <c r="E267" s="107"/>
      <c r="F267" s="107"/>
      <c r="G267" s="7"/>
      <c r="H267" s="7"/>
      <c r="I267" s="107"/>
      <c r="J267" s="107"/>
      <c r="K267" s="7"/>
      <c r="L267" s="7"/>
      <c r="M267" s="266"/>
      <c r="N267" s="266"/>
    </row>
    <row r="268" spans="1:14" s="268" customFormat="1" x14ac:dyDescent="0.25">
      <c r="A268" s="107"/>
      <c r="B268" s="107"/>
      <c r="C268" s="7"/>
      <c r="D268" s="7"/>
      <c r="E268" s="107"/>
      <c r="F268" s="107"/>
      <c r="G268" s="7"/>
      <c r="H268" s="7"/>
      <c r="I268" s="107"/>
      <c r="J268" s="107"/>
      <c r="K268" s="7"/>
      <c r="L268" s="7"/>
      <c r="M268" s="266"/>
      <c r="N268" s="266"/>
    </row>
    <row r="269" spans="1:14" s="268" customFormat="1" x14ac:dyDescent="0.25">
      <c r="A269" s="107"/>
      <c r="B269" s="107"/>
      <c r="C269" s="7"/>
      <c r="D269" s="7"/>
      <c r="E269" s="107"/>
      <c r="F269" s="107"/>
      <c r="G269" s="7"/>
      <c r="H269" s="7"/>
      <c r="I269" s="107"/>
      <c r="J269" s="107"/>
      <c r="K269" s="7"/>
      <c r="L269" s="7"/>
      <c r="M269" s="266"/>
      <c r="N269" s="266"/>
    </row>
    <row r="270" spans="1:14" s="268" customFormat="1" x14ac:dyDescent="0.25">
      <c r="A270" s="107"/>
      <c r="B270" s="107"/>
      <c r="C270" s="108"/>
      <c r="D270" s="108"/>
      <c r="E270" s="107"/>
      <c r="F270" s="107"/>
      <c r="G270" s="7"/>
      <c r="H270" s="7"/>
      <c r="I270" s="107"/>
      <c r="J270" s="107"/>
      <c r="K270" s="7"/>
      <c r="L270" s="7"/>
      <c r="M270" s="266"/>
      <c r="N270" s="266"/>
    </row>
    <row r="271" spans="1:14" s="268" customFormat="1" x14ac:dyDescent="0.25">
      <c r="A271" s="107"/>
      <c r="B271" s="107"/>
      <c r="C271" s="108"/>
      <c r="D271" s="108"/>
      <c r="E271" s="107"/>
      <c r="F271" s="107"/>
      <c r="G271" s="7"/>
      <c r="H271" s="7"/>
      <c r="I271" s="107"/>
      <c r="J271" s="107"/>
      <c r="K271" s="7"/>
      <c r="L271" s="7"/>
      <c r="M271" s="266"/>
      <c r="N271" s="266"/>
    </row>
    <row r="272" spans="1:14" s="268" customFormat="1" x14ac:dyDescent="0.25">
      <c r="A272" s="107"/>
      <c r="B272" s="107"/>
      <c r="C272" s="108"/>
      <c r="D272" s="108"/>
      <c r="E272" s="107"/>
      <c r="F272" s="107"/>
      <c r="G272" s="7"/>
      <c r="H272" s="7"/>
      <c r="I272" s="107"/>
      <c r="J272" s="107"/>
      <c r="K272" s="7"/>
      <c r="L272" s="7"/>
      <c r="M272" s="266"/>
      <c r="N272" s="266"/>
    </row>
    <row r="273" spans="1:14" s="268" customFormat="1" x14ac:dyDescent="0.25">
      <c r="A273" s="107"/>
      <c r="B273" s="107"/>
      <c r="C273" s="108"/>
      <c r="D273" s="108"/>
      <c r="E273" s="107"/>
      <c r="F273" s="107"/>
      <c r="G273" s="7"/>
      <c r="H273" s="7"/>
      <c r="I273" s="107"/>
      <c r="J273" s="107"/>
      <c r="K273" s="7"/>
      <c r="L273" s="7"/>
      <c r="M273" s="266"/>
      <c r="N273" s="266"/>
    </row>
    <row r="274" spans="1:14" s="268" customFormat="1" x14ac:dyDescent="0.25">
      <c r="A274" s="107"/>
      <c r="B274" s="107"/>
      <c r="C274" s="108"/>
      <c r="D274" s="108"/>
      <c r="E274" s="107"/>
      <c r="F274" s="107"/>
      <c r="G274" s="7"/>
      <c r="H274" s="7"/>
      <c r="I274" s="107"/>
      <c r="J274" s="107"/>
      <c r="K274" s="7"/>
      <c r="L274" s="7"/>
      <c r="M274" s="266"/>
      <c r="N274" s="266"/>
    </row>
    <row r="275" spans="1:14" s="268" customFormat="1" x14ac:dyDescent="0.25">
      <c r="A275" s="107"/>
      <c r="B275" s="107"/>
      <c r="C275" s="108"/>
      <c r="D275" s="108"/>
      <c r="E275" s="107"/>
      <c r="F275" s="107"/>
      <c r="G275" s="7"/>
      <c r="H275" s="7"/>
      <c r="I275" s="107"/>
      <c r="J275" s="107"/>
      <c r="K275" s="7"/>
      <c r="L275" s="7"/>
      <c r="M275" s="266"/>
      <c r="N275" s="266"/>
    </row>
    <row r="276" spans="1:14" s="268" customFormat="1" x14ac:dyDescent="0.25">
      <c r="A276" s="107"/>
      <c r="B276" s="107"/>
      <c r="C276" s="108"/>
      <c r="D276" s="108"/>
      <c r="E276" s="107"/>
      <c r="F276" s="107"/>
      <c r="G276" s="7"/>
      <c r="H276" s="7"/>
      <c r="I276" s="107"/>
      <c r="J276" s="107"/>
      <c r="K276" s="7"/>
      <c r="L276" s="7"/>
      <c r="M276" s="266"/>
      <c r="N276" s="266"/>
    </row>
    <row r="277" spans="1:14" s="268" customFormat="1" x14ac:dyDescent="0.25">
      <c r="A277" s="107"/>
      <c r="B277" s="107"/>
      <c r="C277" s="108"/>
      <c r="D277" s="108"/>
      <c r="E277" s="107"/>
      <c r="F277" s="107"/>
      <c r="G277" s="7"/>
      <c r="H277" s="7"/>
      <c r="I277" s="107"/>
      <c r="J277" s="107"/>
      <c r="K277" s="7"/>
      <c r="L277" s="7"/>
      <c r="M277" s="266"/>
      <c r="N277" s="266"/>
    </row>
    <row r="278" spans="1:14" s="268" customFormat="1" x14ac:dyDescent="0.25">
      <c r="A278" s="107"/>
      <c r="B278" s="107"/>
      <c r="C278" s="108"/>
      <c r="D278" s="108"/>
      <c r="E278" s="107"/>
      <c r="F278" s="107"/>
      <c r="G278" s="7"/>
      <c r="H278" s="7"/>
      <c r="I278" s="107"/>
      <c r="J278" s="107"/>
      <c r="K278" s="7"/>
      <c r="L278" s="7"/>
      <c r="M278" s="266"/>
      <c r="N278" s="266"/>
    </row>
    <row r="279" spans="1:14" s="268" customFormat="1" x14ac:dyDescent="0.25">
      <c r="A279" s="107"/>
      <c r="B279" s="107"/>
      <c r="C279" s="108"/>
      <c r="D279" s="108"/>
      <c r="E279" s="107"/>
      <c r="F279" s="107"/>
      <c r="G279" s="7"/>
      <c r="H279" s="7"/>
      <c r="I279" s="107"/>
      <c r="J279" s="107"/>
      <c r="K279" s="7"/>
      <c r="L279" s="7"/>
      <c r="M279" s="266"/>
      <c r="N279" s="266"/>
    </row>
    <row r="280" spans="1:14" s="268" customFormat="1" x14ac:dyDescent="0.25">
      <c r="A280" s="107"/>
      <c r="B280" s="107"/>
      <c r="C280" s="108"/>
      <c r="D280" s="108"/>
      <c r="E280" s="107"/>
      <c r="F280" s="107"/>
      <c r="G280" s="7"/>
      <c r="H280" s="7"/>
      <c r="I280" s="107"/>
      <c r="J280" s="107"/>
      <c r="K280" s="7"/>
      <c r="L280" s="7"/>
      <c r="M280" s="266"/>
      <c r="N280" s="266"/>
    </row>
    <row r="281" spans="1:14" s="268" customFormat="1" x14ac:dyDescent="0.25">
      <c r="A281" s="107"/>
      <c r="B281" s="107"/>
      <c r="C281" s="108"/>
      <c r="D281" s="108"/>
      <c r="E281" s="107"/>
      <c r="F281" s="107"/>
      <c r="G281" s="7"/>
      <c r="H281" s="7"/>
      <c r="I281" s="107"/>
      <c r="J281" s="107"/>
      <c r="K281" s="7"/>
      <c r="L281" s="7"/>
      <c r="M281" s="266"/>
      <c r="N281" s="266"/>
    </row>
    <row r="282" spans="1:14" s="268" customFormat="1" x14ac:dyDescent="0.25">
      <c r="A282" s="107"/>
      <c r="B282" s="107"/>
      <c r="C282" s="108"/>
      <c r="D282" s="108"/>
      <c r="E282" s="107"/>
      <c r="F282" s="107"/>
      <c r="G282" s="7"/>
      <c r="H282" s="7"/>
      <c r="I282" s="107"/>
      <c r="J282" s="107"/>
      <c r="K282" s="7"/>
      <c r="L282" s="7"/>
      <c r="M282" s="266"/>
      <c r="N282" s="266"/>
    </row>
    <row r="283" spans="1:14" s="268" customFormat="1" x14ac:dyDescent="0.25">
      <c r="A283" s="107"/>
      <c r="B283" s="107"/>
      <c r="C283" s="7"/>
      <c r="D283" s="7"/>
      <c r="E283" s="107"/>
      <c r="F283" s="107"/>
      <c r="G283" s="7"/>
      <c r="H283" s="7"/>
      <c r="I283" s="107"/>
      <c r="J283" s="107"/>
      <c r="K283" s="7"/>
      <c r="L283" s="7"/>
      <c r="M283" s="266"/>
      <c r="N283" s="266"/>
    </row>
    <row r="284" spans="1:14" s="268" customFormat="1" x14ac:dyDescent="0.25">
      <c r="A284" s="107"/>
      <c r="B284" s="107"/>
      <c r="C284" s="7"/>
      <c r="D284" s="7"/>
      <c r="E284" s="107"/>
      <c r="F284" s="107"/>
      <c r="G284" s="7"/>
      <c r="H284" s="7"/>
      <c r="I284" s="107"/>
      <c r="J284" s="107"/>
      <c r="K284" s="7"/>
      <c r="L284" s="7"/>
      <c r="M284" s="266"/>
      <c r="N284" s="266"/>
    </row>
    <row r="285" spans="1:14" s="268" customFormat="1" x14ac:dyDescent="0.25">
      <c r="A285" s="107"/>
      <c r="B285" s="107"/>
      <c r="C285" s="7"/>
      <c r="D285" s="7"/>
      <c r="E285" s="107"/>
      <c r="F285" s="107"/>
      <c r="G285" s="7"/>
      <c r="H285" s="7"/>
      <c r="I285" s="107"/>
      <c r="J285" s="107"/>
      <c r="K285" s="7"/>
      <c r="L285" s="7"/>
      <c r="M285" s="266"/>
      <c r="N285" s="266"/>
    </row>
    <row r="286" spans="1:14" s="268" customFormat="1" x14ac:dyDescent="0.25">
      <c r="A286" s="107"/>
      <c r="B286" s="107"/>
      <c r="C286" s="7"/>
      <c r="D286" s="7"/>
      <c r="E286" s="107"/>
      <c r="F286" s="107"/>
      <c r="G286" s="7"/>
      <c r="H286" s="7"/>
      <c r="I286" s="107"/>
      <c r="J286" s="107"/>
      <c r="K286" s="7"/>
      <c r="L286" s="7"/>
      <c r="M286" s="266"/>
      <c r="N286" s="266"/>
    </row>
    <row r="287" spans="1:14" s="268" customFormat="1" x14ac:dyDescent="0.25">
      <c r="A287" s="107"/>
      <c r="B287" s="107"/>
      <c r="C287" s="7"/>
      <c r="D287" s="7"/>
      <c r="E287" s="107"/>
      <c r="F287" s="107"/>
      <c r="G287" s="7"/>
      <c r="H287" s="7"/>
      <c r="I287" s="107"/>
      <c r="J287" s="107"/>
      <c r="K287" s="7"/>
      <c r="L287" s="7"/>
      <c r="M287" s="266"/>
      <c r="N287" s="266"/>
    </row>
    <row r="288" spans="1:14" s="268" customFormat="1" x14ac:dyDescent="0.25">
      <c r="A288" s="107"/>
      <c r="B288" s="107"/>
      <c r="C288" s="7"/>
      <c r="D288" s="7"/>
      <c r="E288" s="107"/>
      <c r="F288" s="107"/>
      <c r="G288" s="7"/>
      <c r="H288" s="7"/>
      <c r="I288" s="107"/>
      <c r="J288" s="107"/>
      <c r="K288" s="7"/>
      <c r="L288" s="7"/>
      <c r="M288" s="266"/>
      <c r="N288" s="266"/>
    </row>
    <row r="289" spans="1:14" s="268" customFormat="1" x14ac:dyDescent="0.25">
      <c r="A289" s="107"/>
      <c r="B289" s="107"/>
      <c r="C289" s="7"/>
      <c r="D289" s="7"/>
      <c r="E289" s="107"/>
      <c r="F289" s="107"/>
      <c r="G289" s="7"/>
      <c r="H289" s="7"/>
      <c r="I289" s="107"/>
      <c r="J289" s="107"/>
      <c r="K289" s="7"/>
      <c r="L289" s="7"/>
      <c r="M289" s="266"/>
      <c r="N289" s="266"/>
    </row>
    <row r="290" spans="1:14" s="268" customFormat="1" x14ac:dyDescent="0.25">
      <c r="A290" s="107"/>
      <c r="B290" s="107"/>
      <c r="C290" s="7"/>
      <c r="D290" s="7"/>
      <c r="E290" s="107"/>
      <c r="F290" s="107"/>
      <c r="G290" s="7"/>
      <c r="H290" s="7"/>
      <c r="I290" s="107"/>
      <c r="J290" s="107"/>
      <c r="K290" s="7"/>
      <c r="L290" s="7"/>
      <c r="M290" s="266"/>
      <c r="N290" s="266"/>
    </row>
    <row r="291" spans="1:14" s="268" customFormat="1" x14ac:dyDescent="0.25">
      <c r="A291" s="107"/>
      <c r="B291" s="107"/>
      <c r="C291" s="7"/>
      <c r="D291" s="7"/>
      <c r="E291" s="107"/>
      <c r="F291" s="107"/>
      <c r="G291" s="7"/>
      <c r="H291" s="7"/>
      <c r="I291" s="107"/>
      <c r="J291" s="107"/>
      <c r="K291" s="7"/>
      <c r="L291" s="7"/>
      <c r="M291" s="266"/>
      <c r="N291" s="266"/>
    </row>
    <row r="292" spans="1:14" s="268" customFormat="1" x14ac:dyDescent="0.25">
      <c r="A292" s="107"/>
      <c r="B292" s="107"/>
      <c r="C292" s="7"/>
      <c r="D292" s="7"/>
      <c r="E292" s="107"/>
      <c r="F292" s="107"/>
      <c r="G292" s="7"/>
      <c r="H292" s="7"/>
      <c r="I292" s="107"/>
      <c r="J292" s="107"/>
      <c r="K292" s="7"/>
      <c r="L292" s="7"/>
      <c r="M292" s="266"/>
      <c r="N292" s="266"/>
    </row>
    <row r="293" spans="1:14" s="268" customFormat="1" x14ac:dyDescent="0.25">
      <c r="A293" s="107"/>
      <c r="B293" s="107"/>
      <c r="C293" s="7"/>
      <c r="D293" s="7"/>
      <c r="E293" s="107"/>
      <c r="F293" s="107"/>
      <c r="G293" s="7"/>
      <c r="H293" s="7"/>
      <c r="I293" s="107"/>
      <c r="J293" s="107"/>
      <c r="K293" s="7"/>
      <c r="L293" s="7"/>
      <c r="M293" s="266"/>
      <c r="N293" s="266"/>
    </row>
    <row r="294" spans="1:14" s="268" customFormat="1" x14ac:dyDescent="0.25">
      <c r="A294" s="107"/>
      <c r="B294" s="107"/>
      <c r="C294" s="7"/>
      <c r="D294" s="7"/>
      <c r="E294" s="107"/>
      <c r="F294" s="107"/>
      <c r="G294" s="7"/>
      <c r="H294" s="7"/>
      <c r="I294" s="107"/>
      <c r="J294" s="107"/>
      <c r="K294" s="7"/>
      <c r="L294" s="7"/>
      <c r="M294" s="266"/>
      <c r="N294" s="266"/>
    </row>
    <row r="295" spans="1:14" s="268" customFormat="1" x14ac:dyDescent="0.25">
      <c r="A295" s="107"/>
      <c r="B295" s="107"/>
      <c r="C295" s="7"/>
      <c r="D295" s="7"/>
      <c r="E295" s="107"/>
      <c r="F295" s="107"/>
      <c r="G295" s="7"/>
      <c r="H295" s="7"/>
      <c r="I295" s="107"/>
      <c r="J295" s="107"/>
      <c r="K295" s="7"/>
      <c r="L295" s="7"/>
      <c r="M295" s="266"/>
      <c r="N295" s="266"/>
    </row>
    <row r="296" spans="1:14" s="268" customFormat="1" x14ac:dyDescent="0.25">
      <c r="A296" s="107"/>
      <c r="B296" s="107"/>
      <c r="C296" s="7"/>
      <c r="D296" s="7"/>
      <c r="E296" s="107"/>
      <c r="F296" s="107"/>
      <c r="G296" s="7"/>
      <c r="H296" s="7"/>
      <c r="I296" s="107"/>
      <c r="J296" s="107"/>
      <c r="K296" s="7"/>
      <c r="L296" s="7"/>
      <c r="M296" s="266"/>
      <c r="N296" s="266"/>
    </row>
    <row r="297" spans="1:14" s="268" customFormat="1" x14ac:dyDescent="0.25">
      <c r="A297" s="107"/>
      <c r="B297" s="107"/>
      <c r="C297" s="7"/>
      <c r="D297" s="7"/>
      <c r="E297" s="107"/>
      <c r="F297" s="107"/>
      <c r="G297" s="7"/>
      <c r="H297" s="7"/>
      <c r="I297" s="107"/>
      <c r="J297" s="107"/>
      <c r="K297" s="7"/>
      <c r="L297" s="7"/>
      <c r="M297" s="266"/>
      <c r="N297" s="266"/>
    </row>
    <row r="298" spans="1:14" s="268" customFormat="1" x14ac:dyDescent="0.25">
      <c r="A298" s="107"/>
      <c r="B298" s="107"/>
      <c r="C298" s="7"/>
      <c r="D298" s="7"/>
      <c r="E298" s="107"/>
      <c r="F298" s="107"/>
      <c r="G298" s="7"/>
      <c r="H298" s="7"/>
      <c r="I298" s="107"/>
      <c r="J298" s="107"/>
      <c r="K298" s="7"/>
      <c r="L298" s="7"/>
      <c r="M298" s="266"/>
      <c r="N298" s="266"/>
    </row>
    <row r="299" spans="1:14" s="268" customFormat="1" x14ac:dyDescent="0.25">
      <c r="A299" s="107"/>
      <c r="B299" s="107"/>
      <c r="C299" s="7"/>
      <c r="D299" s="7"/>
      <c r="E299" s="107"/>
      <c r="F299" s="107"/>
      <c r="G299" s="7"/>
      <c r="H299" s="7"/>
      <c r="I299" s="107"/>
      <c r="J299" s="107"/>
      <c r="K299" s="7"/>
      <c r="L299" s="7"/>
      <c r="M299" s="266"/>
      <c r="N299" s="266"/>
    </row>
    <row r="300" spans="1:14" s="268" customFormat="1" x14ac:dyDescent="0.25">
      <c r="A300" s="107"/>
      <c r="B300" s="107"/>
      <c r="C300" s="7"/>
      <c r="D300" s="7"/>
      <c r="E300" s="107"/>
      <c r="F300" s="107"/>
      <c r="G300" s="7"/>
      <c r="H300" s="7"/>
      <c r="I300" s="107"/>
      <c r="J300" s="107"/>
      <c r="K300" s="7"/>
      <c r="L300" s="7"/>
      <c r="M300" s="266"/>
      <c r="N300" s="266"/>
    </row>
    <row r="301" spans="1:14" s="268" customFormat="1" x14ac:dyDescent="0.25">
      <c r="A301" s="107"/>
      <c r="B301" s="107"/>
      <c r="C301" s="7"/>
      <c r="D301" s="7"/>
      <c r="E301" s="107"/>
      <c r="F301" s="107"/>
      <c r="G301" s="7"/>
      <c r="H301" s="7"/>
      <c r="I301" s="107"/>
      <c r="J301" s="107"/>
      <c r="K301" s="7"/>
      <c r="L301" s="7"/>
      <c r="M301" s="266"/>
      <c r="N301" s="266"/>
    </row>
    <row r="302" spans="1:14" s="268" customFormat="1" x14ac:dyDescent="0.25">
      <c r="A302" s="107"/>
      <c r="B302" s="107"/>
      <c r="C302" s="7"/>
      <c r="D302" s="7"/>
      <c r="E302" s="107"/>
      <c r="F302" s="107"/>
      <c r="G302" s="7"/>
      <c r="H302" s="7"/>
      <c r="I302" s="107"/>
      <c r="J302" s="107"/>
      <c r="K302" s="7"/>
      <c r="L302" s="7"/>
      <c r="M302" s="266"/>
      <c r="N302" s="266"/>
    </row>
    <row r="303" spans="1:14" s="268" customFormat="1" x14ac:dyDescent="0.25">
      <c r="A303" s="107"/>
      <c r="B303" s="107"/>
      <c r="C303" s="7"/>
      <c r="D303" s="7"/>
      <c r="E303" s="107"/>
      <c r="F303" s="107"/>
      <c r="G303" s="7"/>
      <c r="H303" s="7"/>
      <c r="I303" s="107"/>
      <c r="J303" s="107"/>
      <c r="K303" s="7"/>
      <c r="L303" s="7"/>
      <c r="M303" s="266"/>
      <c r="N303" s="266"/>
    </row>
    <row r="304" spans="1:14" s="268" customFormat="1" x14ac:dyDescent="0.25">
      <c r="A304" s="107"/>
      <c r="B304" s="107"/>
      <c r="C304" s="7"/>
      <c r="D304" s="7"/>
      <c r="E304" s="107"/>
      <c r="F304" s="107"/>
      <c r="G304" s="7"/>
      <c r="H304" s="7"/>
      <c r="I304" s="107"/>
      <c r="J304" s="107"/>
      <c r="K304" s="7"/>
      <c r="L304" s="7"/>
      <c r="M304" s="266"/>
      <c r="N304" s="266"/>
    </row>
    <row r="305" spans="1:14" s="268" customFormat="1" x14ac:dyDescent="0.25">
      <c r="A305" s="107"/>
      <c r="B305" s="107"/>
      <c r="C305" s="7"/>
      <c r="D305" s="7"/>
      <c r="E305" s="107"/>
      <c r="F305" s="107"/>
      <c r="G305" s="7"/>
      <c r="H305" s="7"/>
      <c r="I305" s="107"/>
      <c r="J305" s="107"/>
      <c r="K305" s="7"/>
      <c r="L305" s="7"/>
      <c r="M305" s="266"/>
      <c r="N305" s="266"/>
    </row>
    <row r="306" spans="1:14" s="268" customFormat="1" x14ac:dyDescent="0.25">
      <c r="A306" s="107"/>
      <c r="B306" s="107"/>
      <c r="C306" s="7"/>
      <c r="D306" s="7"/>
      <c r="E306" s="107"/>
      <c r="F306" s="107"/>
      <c r="G306" s="7"/>
      <c r="H306" s="7"/>
      <c r="I306" s="107"/>
      <c r="J306" s="107"/>
      <c r="K306" s="7"/>
      <c r="L306" s="7"/>
      <c r="M306" s="266"/>
      <c r="N306" s="266"/>
    </row>
    <row r="307" spans="1:14" s="268" customFormat="1" x14ac:dyDescent="0.25">
      <c r="A307" s="107"/>
      <c r="B307" s="107"/>
      <c r="C307" s="7"/>
      <c r="D307" s="7"/>
      <c r="E307" s="107"/>
      <c r="F307" s="107"/>
      <c r="G307" s="7"/>
      <c r="H307" s="7"/>
      <c r="I307" s="107"/>
      <c r="J307" s="107"/>
      <c r="K307" s="7"/>
      <c r="L307" s="7"/>
      <c r="M307" s="266"/>
      <c r="N307" s="266"/>
    </row>
    <row r="308" spans="1:14" s="268" customFormat="1" x14ac:dyDescent="0.25">
      <c r="A308" s="107"/>
      <c r="B308" s="107"/>
      <c r="C308" s="7"/>
      <c r="D308" s="7"/>
      <c r="E308" s="107"/>
      <c r="F308" s="107"/>
      <c r="G308" s="7"/>
      <c r="H308" s="7"/>
      <c r="I308" s="107"/>
      <c r="J308" s="107"/>
      <c r="K308" s="7"/>
      <c r="L308" s="7"/>
      <c r="M308" s="266"/>
      <c r="N308" s="266"/>
    </row>
    <row r="309" spans="1:14" s="268" customFormat="1" x14ac:dyDescent="0.25">
      <c r="A309" s="107"/>
      <c r="B309" s="107"/>
      <c r="C309" s="7"/>
      <c r="D309" s="7"/>
      <c r="E309" s="107"/>
      <c r="F309" s="107"/>
      <c r="G309" s="7"/>
      <c r="H309" s="7"/>
      <c r="I309" s="107"/>
      <c r="J309" s="107"/>
      <c r="K309" s="7"/>
      <c r="L309" s="7"/>
      <c r="M309" s="266"/>
      <c r="N309" s="266"/>
    </row>
    <row r="310" spans="1:14" s="268" customFormat="1" x14ac:dyDescent="0.25">
      <c r="A310" s="107"/>
      <c r="B310" s="107"/>
      <c r="C310" s="7"/>
      <c r="D310" s="7"/>
      <c r="E310" s="107"/>
      <c r="F310" s="107"/>
      <c r="G310" s="7"/>
      <c r="H310" s="7"/>
      <c r="I310" s="107"/>
      <c r="J310" s="107"/>
      <c r="K310" s="7"/>
      <c r="L310" s="7"/>
      <c r="M310" s="266"/>
      <c r="N310" s="266"/>
    </row>
    <row r="311" spans="1:14" s="268" customFormat="1" x14ac:dyDescent="0.25">
      <c r="A311" s="107"/>
      <c r="B311" s="107"/>
      <c r="C311" s="7"/>
      <c r="D311" s="7"/>
      <c r="E311" s="107"/>
      <c r="F311" s="107"/>
      <c r="G311" s="7"/>
      <c r="H311" s="7"/>
      <c r="I311" s="107"/>
      <c r="J311" s="107"/>
      <c r="K311" s="7"/>
      <c r="L311" s="7"/>
      <c r="M311" s="266"/>
      <c r="N311" s="266"/>
    </row>
    <row r="312" spans="1:14" s="268" customFormat="1" x14ac:dyDescent="0.25">
      <c r="A312" s="107"/>
      <c r="B312" s="107"/>
      <c r="C312" s="7"/>
      <c r="D312" s="7"/>
      <c r="E312" s="107"/>
      <c r="F312" s="107"/>
      <c r="G312" s="7"/>
      <c r="H312" s="7"/>
      <c r="I312" s="107"/>
      <c r="J312" s="107"/>
      <c r="K312" s="7"/>
      <c r="L312" s="7"/>
      <c r="M312" s="266"/>
      <c r="N312" s="266"/>
    </row>
    <row r="313" spans="1:14" s="268" customFormat="1" x14ac:dyDescent="0.25">
      <c r="A313" s="107"/>
      <c r="B313" s="107"/>
      <c r="C313" s="7"/>
      <c r="D313" s="7"/>
      <c r="E313" s="107"/>
      <c r="F313" s="107"/>
      <c r="G313" s="7"/>
      <c r="H313" s="7"/>
      <c r="I313" s="107"/>
      <c r="J313" s="107"/>
      <c r="K313" s="7"/>
      <c r="L313" s="7"/>
      <c r="M313" s="266"/>
      <c r="N313" s="266"/>
    </row>
    <row r="314" spans="1:14" s="268" customFormat="1" x14ac:dyDescent="0.25">
      <c r="A314" s="107"/>
      <c r="B314" s="107"/>
      <c r="C314" s="7"/>
      <c r="D314" s="7"/>
      <c r="E314" s="107"/>
      <c r="F314" s="107"/>
      <c r="G314" s="7"/>
      <c r="H314" s="7"/>
      <c r="I314" s="107"/>
      <c r="J314" s="107"/>
      <c r="K314" s="7"/>
      <c r="L314" s="7"/>
      <c r="M314" s="266"/>
      <c r="N314" s="266"/>
    </row>
    <row r="315" spans="1:14" s="268" customFormat="1" x14ac:dyDescent="0.25">
      <c r="A315" s="107"/>
      <c r="B315" s="107"/>
      <c r="C315" s="7"/>
      <c r="D315" s="7"/>
      <c r="E315" s="107"/>
      <c r="F315" s="107"/>
      <c r="G315" s="7"/>
      <c r="H315" s="7"/>
      <c r="I315" s="107"/>
      <c r="J315" s="107"/>
      <c r="K315" s="7"/>
      <c r="L315" s="7"/>
      <c r="M315" s="266"/>
      <c r="N315" s="266"/>
    </row>
    <row r="316" spans="1:14" s="268" customFormat="1" x14ac:dyDescent="0.25">
      <c r="A316" s="107"/>
      <c r="B316" s="107"/>
      <c r="C316" s="7"/>
      <c r="D316" s="7"/>
      <c r="E316" s="107"/>
      <c r="F316" s="107"/>
      <c r="G316" s="7"/>
      <c r="H316" s="7"/>
      <c r="I316" s="107"/>
      <c r="J316" s="107"/>
      <c r="K316" s="7"/>
      <c r="L316" s="7"/>
      <c r="M316" s="266"/>
      <c r="N316" s="266"/>
    </row>
    <row r="317" spans="1:14" s="268" customFormat="1" x14ac:dyDescent="0.25">
      <c r="A317" s="107"/>
      <c r="B317" s="107"/>
      <c r="C317" s="7"/>
      <c r="D317" s="7"/>
      <c r="E317" s="107"/>
      <c r="F317" s="107"/>
      <c r="G317" s="7"/>
      <c r="H317" s="7"/>
      <c r="I317" s="107"/>
      <c r="J317" s="107"/>
      <c r="K317" s="7"/>
      <c r="L317" s="7"/>
      <c r="M317" s="266"/>
      <c r="N317" s="266"/>
    </row>
    <row r="318" spans="1:14" s="268" customFormat="1" x14ac:dyDescent="0.25">
      <c r="A318" s="107"/>
      <c r="B318" s="107"/>
      <c r="C318" s="7"/>
      <c r="D318" s="7"/>
      <c r="E318" s="107"/>
      <c r="F318" s="107"/>
      <c r="G318" s="7"/>
      <c r="H318" s="7"/>
      <c r="I318" s="107"/>
      <c r="J318" s="107"/>
      <c r="K318" s="7"/>
      <c r="L318" s="7"/>
      <c r="M318" s="266"/>
      <c r="N318" s="266"/>
    </row>
    <row r="319" spans="1:14" s="268" customFormat="1" x14ac:dyDescent="0.25">
      <c r="A319" s="107"/>
      <c r="B319" s="107"/>
      <c r="C319" s="7"/>
      <c r="D319" s="7"/>
      <c r="E319" s="107"/>
      <c r="F319" s="107"/>
      <c r="G319" s="7"/>
      <c r="H319" s="7"/>
      <c r="I319" s="107"/>
      <c r="J319" s="107"/>
      <c r="K319" s="7"/>
      <c r="L319" s="7"/>
      <c r="M319" s="266"/>
      <c r="N319" s="266"/>
    </row>
    <row r="320" spans="1:14" s="268" customFormat="1" x14ac:dyDescent="0.25">
      <c r="A320" s="107"/>
      <c r="B320" s="107"/>
      <c r="C320" s="7"/>
      <c r="D320" s="7"/>
      <c r="E320" s="107"/>
      <c r="F320" s="107"/>
      <c r="G320" s="7"/>
      <c r="H320" s="7"/>
      <c r="I320" s="107"/>
      <c r="J320" s="107"/>
      <c r="K320" s="7"/>
      <c r="L320" s="7"/>
      <c r="M320" s="266"/>
      <c r="N320" s="266"/>
    </row>
    <row r="321" spans="1:14" s="268" customFormat="1" x14ac:dyDescent="0.25">
      <c r="A321" s="107"/>
      <c r="B321" s="107"/>
      <c r="C321" s="7"/>
      <c r="D321" s="7"/>
      <c r="E321" s="107"/>
      <c r="F321" s="107"/>
      <c r="G321" s="7"/>
      <c r="H321" s="7"/>
      <c r="I321" s="107"/>
      <c r="J321" s="107"/>
      <c r="K321" s="7"/>
      <c r="L321" s="7"/>
      <c r="M321" s="266"/>
      <c r="N321" s="266"/>
    </row>
    <row r="322" spans="1:14" s="268" customFormat="1" x14ac:dyDescent="0.25">
      <c r="A322" s="107"/>
      <c r="B322" s="107"/>
      <c r="C322" s="7"/>
      <c r="D322" s="7"/>
      <c r="E322" s="107"/>
      <c r="F322" s="107"/>
      <c r="G322" s="7"/>
      <c r="H322" s="7"/>
      <c r="I322" s="107"/>
      <c r="J322" s="107"/>
      <c r="K322" s="7"/>
      <c r="L322" s="7"/>
      <c r="M322" s="266"/>
      <c r="N322" s="266"/>
    </row>
    <row r="323" spans="1:14" s="268" customFormat="1" x14ac:dyDescent="0.25">
      <c r="A323" s="107"/>
      <c r="B323" s="107"/>
      <c r="C323" s="7"/>
      <c r="D323" s="7"/>
      <c r="E323" s="107"/>
      <c r="F323" s="107"/>
      <c r="G323" s="7"/>
      <c r="H323" s="7"/>
      <c r="I323" s="107"/>
      <c r="J323" s="107"/>
      <c r="K323" s="7"/>
      <c r="L323" s="7"/>
      <c r="M323" s="266"/>
      <c r="N323" s="266"/>
    </row>
    <row r="324" spans="1:14" s="268" customFormat="1" x14ac:dyDescent="0.25">
      <c r="A324" s="107"/>
      <c r="B324" s="107"/>
      <c r="C324" s="7"/>
      <c r="D324" s="7"/>
      <c r="E324" s="107"/>
      <c r="F324" s="107"/>
      <c r="G324" s="108"/>
      <c r="H324" s="108"/>
      <c r="I324" s="107"/>
      <c r="J324" s="107"/>
      <c r="K324" s="108"/>
      <c r="L324" s="108"/>
      <c r="M324" s="270"/>
      <c r="N324" s="270"/>
    </row>
    <row r="325" spans="1:14" s="268" customFormat="1" x14ac:dyDescent="0.25">
      <c r="A325" s="107"/>
      <c r="B325" s="107"/>
      <c r="C325" s="7"/>
      <c r="D325" s="7"/>
      <c r="E325" s="107"/>
      <c r="F325" s="107"/>
      <c r="G325" s="108"/>
      <c r="H325" s="108"/>
      <c r="I325" s="107"/>
      <c r="J325" s="107"/>
      <c r="K325" s="108"/>
      <c r="L325" s="108"/>
      <c r="M325" s="270"/>
      <c r="N325" s="270"/>
    </row>
    <row r="326" spans="1:14" s="268" customFormat="1" x14ac:dyDescent="0.25">
      <c r="A326" s="107"/>
      <c r="B326" s="107"/>
      <c r="C326" s="7"/>
      <c r="D326" s="7"/>
      <c r="E326" s="107"/>
      <c r="F326" s="107"/>
      <c r="G326" s="108"/>
      <c r="H326" s="108"/>
      <c r="I326" s="107"/>
      <c r="J326" s="107"/>
      <c r="K326" s="108"/>
      <c r="L326" s="108"/>
      <c r="M326" s="270"/>
      <c r="N326" s="270"/>
    </row>
    <row r="327" spans="1:14" s="268" customFormat="1" x14ac:dyDescent="0.25">
      <c r="A327" s="107"/>
      <c r="B327" s="107"/>
      <c r="C327" s="7"/>
      <c r="D327" s="7"/>
      <c r="E327" s="107"/>
      <c r="F327" s="107"/>
      <c r="G327" s="108"/>
      <c r="H327" s="108"/>
      <c r="I327" s="107"/>
      <c r="J327" s="107"/>
      <c r="K327" s="108"/>
      <c r="L327" s="108"/>
      <c r="M327" s="270"/>
      <c r="N327" s="270"/>
    </row>
    <row r="328" spans="1:14" s="268" customFormat="1" x14ac:dyDescent="0.25">
      <c r="A328" s="107"/>
      <c r="B328" s="107"/>
      <c r="C328" s="7"/>
      <c r="D328" s="7"/>
      <c r="E328" s="107"/>
      <c r="F328" s="107"/>
      <c r="G328" s="108"/>
      <c r="H328" s="108"/>
      <c r="I328" s="107"/>
      <c r="J328" s="107"/>
      <c r="K328" s="108"/>
      <c r="L328" s="108"/>
      <c r="M328" s="270"/>
      <c r="N328" s="270"/>
    </row>
    <row r="329" spans="1:14" s="268" customFormat="1" x14ac:dyDescent="0.25">
      <c r="A329" s="107"/>
      <c r="B329" s="107"/>
      <c r="C329" s="7"/>
      <c r="D329" s="7"/>
      <c r="E329" s="107"/>
      <c r="F329" s="107"/>
      <c r="G329" s="108"/>
      <c r="H329" s="108"/>
      <c r="I329" s="107"/>
      <c r="J329" s="107"/>
      <c r="K329" s="108"/>
      <c r="L329" s="108"/>
      <c r="M329" s="270"/>
      <c r="N329" s="270"/>
    </row>
    <row r="330" spans="1:14" s="268" customFormat="1" x14ac:dyDescent="0.25">
      <c r="A330" s="107"/>
      <c r="B330" s="107"/>
      <c r="C330" s="7"/>
      <c r="D330" s="7"/>
      <c r="E330" s="107"/>
      <c r="F330" s="107"/>
      <c r="G330" s="108"/>
      <c r="H330" s="108"/>
      <c r="I330" s="107"/>
      <c r="J330" s="107"/>
      <c r="K330" s="108"/>
      <c r="L330" s="108"/>
      <c r="M330" s="270"/>
      <c r="N330" s="270"/>
    </row>
    <row r="331" spans="1:14" s="268" customFormat="1" x14ac:dyDescent="0.25">
      <c r="A331" s="107"/>
      <c r="B331" s="107"/>
      <c r="C331" s="7"/>
      <c r="D331" s="7"/>
      <c r="E331" s="107"/>
      <c r="F331" s="107"/>
      <c r="G331" s="108"/>
      <c r="H331" s="108"/>
      <c r="I331" s="107"/>
      <c r="J331" s="107"/>
      <c r="K331" s="108"/>
      <c r="L331" s="108"/>
      <c r="M331" s="270"/>
      <c r="N331" s="270"/>
    </row>
    <row r="332" spans="1:14" s="268" customFormat="1" x14ac:dyDescent="0.25">
      <c r="A332" s="107"/>
      <c r="B332" s="107"/>
      <c r="C332" s="7"/>
      <c r="D332" s="7"/>
      <c r="E332" s="107"/>
      <c r="F332" s="107"/>
      <c r="G332" s="108"/>
      <c r="H332" s="108"/>
      <c r="I332" s="107"/>
      <c r="J332" s="107"/>
      <c r="K332" s="108"/>
      <c r="L332" s="108"/>
      <c r="M332" s="270"/>
      <c r="N332" s="270"/>
    </row>
    <row r="333" spans="1:14" s="268" customFormat="1" x14ac:dyDescent="0.25">
      <c r="A333" s="107"/>
      <c r="B333" s="107"/>
      <c r="C333" s="7"/>
      <c r="D333" s="7"/>
      <c r="E333" s="107"/>
      <c r="F333" s="107"/>
      <c r="G333" s="108"/>
      <c r="H333" s="108"/>
      <c r="I333" s="107"/>
      <c r="J333" s="107"/>
      <c r="K333" s="108"/>
      <c r="L333" s="108"/>
      <c r="M333" s="270"/>
      <c r="N333" s="270"/>
    </row>
    <row r="334" spans="1:14" s="268" customFormat="1" x14ac:dyDescent="0.25">
      <c r="A334" s="107"/>
      <c r="B334" s="107"/>
      <c r="C334" s="7"/>
      <c r="D334" s="7"/>
      <c r="E334" s="107"/>
      <c r="F334" s="107"/>
      <c r="G334" s="108"/>
      <c r="H334" s="108"/>
      <c r="I334" s="107"/>
      <c r="J334" s="107"/>
      <c r="K334" s="108"/>
      <c r="L334" s="108"/>
      <c r="M334" s="270"/>
      <c r="N334" s="270"/>
    </row>
    <row r="335" spans="1:14" s="268" customFormat="1" x14ac:dyDescent="0.25">
      <c r="A335" s="107"/>
      <c r="B335" s="107"/>
      <c r="C335" s="7"/>
      <c r="D335" s="7"/>
      <c r="E335" s="107"/>
      <c r="F335" s="107"/>
      <c r="G335" s="108"/>
      <c r="H335" s="108"/>
      <c r="I335" s="107"/>
      <c r="J335" s="107"/>
      <c r="K335" s="108"/>
      <c r="L335" s="108"/>
      <c r="M335" s="270"/>
      <c r="N335" s="270"/>
    </row>
    <row r="336" spans="1:14" s="268" customFormat="1" x14ac:dyDescent="0.25">
      <c r="A336" s="107"/>
      <c r="B336" s="107"/>
      <c r="C336" s="7"/>
      <c r="D336" s="7"/>
      <c r="E336" s="107"/>
      <c r="F336" s="107"/>
      <c r="G336" s="108"/>
      <c r="H336" s="108"/>
      <c r="I336" s="107"/>
      <c r="J336" s="107"/>
      <c r="K336" s="108"/>
      <c r="L336" s="108"/>
      <c r="M336" s="270"/>
      <c r="N336" s="270"/>
    </row>
    <row r="337" spans="1:17" s="268" customFormat="1" x14ac:dyDescent="0.25">
      <c r="A337" s="107"/>
      <c r="B337" s="107"/>
      <c r="C337" s="7"/>
      <c r="D337" s="7"/>
      <c r="E337" s="107"/>
      <c r="F337" s="107"/>
      <c r="G337" s="108"/>
      <c r="H337" s="108"/>
      <c r="I337" s="107"/>
      <c r="J337" s="107"/>
      <c r="K337" s="108"/>
      <c r="L337" s="108"/>
      <c r="M337" s="270"/>
      <c r="N337" s="270"/>
    </row>
    <row r="338" spans="1:17" s="268" customFormat="1" x14ac:dyDescent="0.25">
      <c r="A338" s="107"/>
      <c r="B338" s="107"/>
      <c r="C338" s="7"/>
      <c r="D338" s="7"/>
      <c r="E338" s="107"/>
      <c r="F338" s="107"/>
      <c r="G338" s="108"/>
      <c r="H338" s="108"/>
      <c r="I338" s="107"/>
      <c r="J338" s="107"/>
      <c r="K338" s="108"/>
      <c r="L338" s="108"/>
      <c r="M338" s="270"/>
      <c r="N338" s="270"/>
    </row>
    <row r="339" spans="1:17" s="268" customFormat="1" x14ac:dyDescent="0.25">
      <c r="A339" s="107"/>
      <c r="B339" s="107"/>
      <c r="C339" s="7"/>
      <c r="D339" s="7"/>
      <c r="E339" s="107"/>
      <c r="F339" s="107"/>
      <c r="G339" s="107"/>
      <c r="H339" s="107"/>
      <c r="I339" s="107"/>
      <c r="J339" s="107"/>
      <c r="K339" s="107"/>
      <c r="L339" s="107"/>
      <c r="Q339" s="107"/>
    </row>
    <row r="340" spans="1:17" s="268" customFormat="1" x14ac:dyDescent="0.25">
      <c r="A340" s="107"/>
      <c r="B340" s="107"/>
      <c r="C340" s="7"/>
      <c r="D340" s="7"/>
      <c r="E340" s="107"/>
      <c r="F340" s="107"/>
      <c r="G340" s="107"/>
      <c r="H340" s="107"/>
      <c r="I340" s="107"/>
      <c r="J340" s="107"/>
      <c r="K340" s="107"/>
      <c r="L340" s="107"/>
      <c r="Q340" s="107"/>
    </row>
    <row r="341" spans="1:17" s="268" customFormat="1" x14ac:dyDescent="0.25">
      <c r="A341" s="107"/>
      <c r="B341" s="107"/>
      <c r="C341" s="7"/>
      <c r="D341" s="7"/>
      <c r="E341" s="107"/>
      <c r="F341" s="107"/>
      <c r="G341" s="107"/>
      <c r="H341" s="107"/>
      <c r="I341" s="107"/>
      <c r="J341" s="107"/>
      <c r="K341" s="107"/>
      <c r="L341" s="107"/>
      <c r="Q341" s="107"/>
    </row>
    <row r="342" spans="1:17" s="268" customFormat="1" x14ac:dyDescent="0.25">
      <c r="A342" s="107"/>
      <c r="B342" s="107"/>
      <c r="C342" s="7"/>
      <c r="D342" s="7"/>
      <c r="E342" s="107"/>
      <c r="F342" s="107"/>
      <c r="G342" s="107"/>
      <c r="H342" s="107"/>
      <c r="I342" s="107"/>
      <c r="J342" s="107"/>
      <c r="K342" s="107"/>
      <c r="L342" s="107"/>
      <c r="Q342" s="107"/>
    </row>
    <row r="343" spans="1:17" s="268" customFormat="1" x14ac:dyDescent="0.25">
      <c r="A343" s="107"/>
      <c r="B343" s="107"/>
      <c r="C343" s="7"/>
      <c r="D343" s="7"/>
      <c r="E343" s="107"/>
      <c r="F343" s="107"/>
      <c r="G343" s="107"/>
      <c r="H343" s="107"/>
      <c r="I343" s="107"/>
      <c r="J343" s="107"/>
      <c r="K343" s="107"/>
      <c r="L343" s="107"/>
      <c r="Q343" s="107"/>
    </row>
    <row r="344" spans="1:17" s="268" customFormat="1" x14ac:dyDescent="0.25">
      <c r="A344" s="107"/>
      <c r="B344" s="107"/>
      <c r="C344" s="7"/>
      <c r="D344" s="7"/>
      <c r="E344" s="107"/>
      <c r="F344" s="107"/>
      <c r="G344" s="107"/>
      <c r="H344" s="107"/>
      <c r="I344" s="107"/>
      <c r="J344" s="107"/>
      <c r="K344" s="107"/>
      <c r="L344" s="107"/>
      <c r="Q344" s="107"/>
    </row>
    <row r="345" spans="1:17" s="268" customFormat="1" x14ac:dyDescent="0.25">
      <c r="A345" s="107"/>
      <c r="B345" s="107"/>
      <c r="C345" s="7"/>
      <c r="D345" s="7"/>
      <c r="E345" s="107"/>
      <c r="F345" s="107"/>
      <c r="G345" s="107"/>
      <c r="H345" s="107"/>
      <c r="I345" s="107"/>
      <c r="J345" s="107"/>
      <c r="K345" s="107"/>
      <c r="L345" s="107"/>
      <c r="Q345" s="107"/>
    </row>
    <row r="346" spans="1:17" s="268" customFormat="1" x14ac:dyDescent="0.25">
      <c r="A346" s="107"/>
      <c r="B346" s="107"/>
      <c r="C346" s="7"/>
      <c r="D346" s="7"/>
      <c r="E346" s="107"/>
      <c r="F346" s="107"/>
      <c r="G346" s="107"/>
      <c r="H346" s="107"/>
      <c r="I346" s="107"/>
      <c r="J346" s="107"/>
      <c r="K346" s="107"/>
      <c r="L346" s="107"/>
      <c r="Q346" s="107"/>
    </row>
    <row r="347" spans="1:17" s="268" customFormat="1" x14ac:dyDescent="0.25">
      <c r="A347" s="107"/>
      <c r="B347" s="107"/>
      <c r="C347" s="7"/>
      <c r="D347" s="7"/>
      <c r="E347" s="107"/>
      <c r="F347" s="107"/>
      <c r="G347" s="107"/>
      <c r="H347" s="107"/>
      <c r="I347" s="107"/>
      <c r="J347" s="107"/>
      <c r="K347" s="107"/>
      <c r="L347" s="107"/>
      <c r="Q347" s="107"/>
    </row>
    <row r="348" spans="1:17" s="268" customFormat="1" x14ac:dyDescent="0.25">
      <c r="A348" s="107"/>
      <c r="B348" s="107"/>
      <c r="C348" s="7"/>
      <c r="D348" s="7"/>
      <c r="E348" s="107"/>
      <c r="F348" s="107"/>
      <c r="G348" s="107"/>
      <c r="H348" s="107"/>
      <c r="I348" s="107"/>
      <c r="J348" s="107"/>
      <c r="K348" s="107"/>
      <c r="L348" s="107"/>
      <c r="Q348" s="107"/>
    </row>
    <row r="349" spans="1:17" s="268" customFormat="1" x14ac:dyDescent="0.25">
      <c r="A349" s="107"/>
      <c r="B349" s="107"/>
      <c r="C349" s="108"/>
      <c r="D349" s="108"/>
      <c r="E349" s="107"/>
      <c r="F349" s="107"/>
      <c r="G349" s="107"/>
      <c r="H349" s="107"/>
      <c r="I349" s="107"/>
      <c r="J349" s="107"/>
      <c r="K349" s="107"/>
      <c r="L349" s="107"/>
      <c r="Q349" s="107"/>
    </row>
    <row r="350" spans="1:17" s="268" customFormat="1" x14ac:dyDescent="0.25">
      <c r="A350" s="107"/>
      <c r="B350" s="107"/>
      <c r="C350" s="108"/>
      <c r="D350" s="108"/>
      <c r="E350" s="107"/>
      <c r="F350" s="107"/>
      <c r="G350" s="107"/>
      <c r="H350" s="107"/>
      <c r="I350" s="107"/>
      <c r="J350" s="107"/>
      <c r="K350" s="107"/>
      <c r="L350" s="107"/>
      <c r="Q350" s="107"/>
    </row>
    <row r="351" spans="1:17" x14ac:dyDescent="0.25">
      <c r="C351" s="108"/>
      <c r="D351" s="108"/>
    </row>
    <row r="352" spans="1:17" x14ac:dyDescent="0.25">
      <c r="C352" s="108"/>
      <c r="D352" s="108"/>
    </row>
    <row r="353" spans="3:4" x14ac:dyDescent="0.25">
      <c r="C353" s="108"/>
      <c r="D353" s="108"/>
    </row>
    <row r="354" spans="3:4" x14ac:dyDescent="0.25">
      <c r="C354" s="108"/>
      <c r="D354" s="108"/>
    </row>
    <row r="355" spans="3:4" x14ac:dyDescent="0.25">
      <c r="C355" s="108"/>
      <c r="D355" s="108"/>
    </row>
    <row r="356" spans="3:4" x14ac:dyDescent="0.25">
      <c r="C356" s="108"/>
      <c r="D356" s="108"/>
    </row>
    <row r="357" spans="3:4" x14ac:dyDescent="0.25">
      <c r="C357" s="108"/>
      <c r="D357" s="108"/>
    </row>
    <row r="358" spans="3:4" x14ac:dyDescent="0.25">
      <c r="C358" s="108"/>
      <c r="D358" s="108"/>
    </row>
    <row r="359" spans="3:4" x14ac:dyDescent="0.25">
      <c r="C359" s="108"/>
      <c r="D359" s="108"/>
    </row>
    <row r="360" spans="3:4" x14ac:dyDescent="0.25">
      <c r="C360" s="108"/>
      <c r="D360" s="108"/>
    </row>
    <row r="361" spans="3:4" x14ac:dyDescent="0.25">
      <c r="C361" s="108"/>
      <c r="D361" s="108"/>
    </row>
    <row r="362" spans="3:4" x14ac:dyDescent="0.25">
      <c r="C362" s="108"/>
      <c r="D362" s="108"/>
    </row>
    <row r="363" spans="3:4" x14ac:dyDescent="0.25">
      <c r="C363" s="108"/>
      <c r="D363" s="108"/>
    </row>
  </sheetData>
  <mergeCells count="13">
    <mergeCell ref="H3:H4"/>
    <mergeCell ref="I3:I4"/>
    <mergeCell ref="J3:J4"/>
    <mergeCell ref="K3:L3"/>
    <mergeCell ref="B1:L1"/>
    <mergeCell ref="B2:C2"/>
    <mergeCell ref="D2:D4"/>
    <mergeCell ref="F2:F4"/>
    <mergeCell ref="G2:G4"/>
    <mergeCell ref="H2:L2"/>
    <mergeCell ref="B3:B4"/>
    <mergeCell ref="C3:C4"/>
    <mergeCell ref="E3:E4"/>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D9F2F-7AD1-4678-B748-3292F354579C}">
  <dimension ref="A1:ET368"/>
  <sheetViews>
    <sheetView topLeftCell="Q1" zoomScale="80" zoomScaleNormal="80" workbookViewId="0">
      <pane ySplit="4" topLeftCell="A5" activePane="bottomLeft" state="frozen"/>
      <selection activeCell="T1" sqref="T1"/>
      <selection pane="bottomLeft" activeCell="O13" sqref="O13:R15"/>
    </sheetView>
  </sheetViews>
  <sheetFormatPr baseColWidth="10" defaultRowHeight="15" x14ac:dyDescent="0.25"/>
  <cols>
    <col min="1" max="1" width="6.140625" style="107" customWidth="1"/>
    <col min="2" max="5" width="5.28515625" style="107" customWidth="1"/>
    <col min="6" max="6" width="21.42578125" style="107" bestFit="1" customWidth="1"/>
    <col min="7" max="7" width="7.140625" style="107" customWidth="1"/>
    <col min="8" max="8" width="7" style="107" customWidth="1"/>
    <col min="9" max="9" width="8.85546875" style="107" bestFit="1" customWidth="1"/>
    <col min="10" max="12" width="7.140625" style="107" customWidth="1"/>
    <col min="13" max="14" width="5.7109375" style="107" customWidth="1"/>
    <col min="15" max="15" width="51.42578125" style="268" bestFit="1" customWidth="1"/>
    <col min="16" max="16" width="212.140625" style="268" bestFit="1" customWidth="1"/>
    <col min="17" max="17" width="117.28515625" style="268" bestFit="1" customWidth="1"/>
    <col min="18" max="18" width="103.7109375" style="268" bestFit="1" customWidth="1"/>
    <col min="19" max="16384" width="11.42578125" style="107"/>
  </cols>
  <sheetData>
    <row r="1" spans="1:150" s="12" customFormat="1" ht="23.25" customHeight="1" thickTop="1" x14ac:dyDescent="0.25">
      <c r="B1" s="634" t="s">
        <v>1018</v>
      </c>
      <c r="C1" s="634"/>
      <c r="D1" s="634"/>
      <c r="E1" s="634"/>
      <c r="F1" s="634"/>
      <c r="G1" s="634"/>
      <c r="H1" s="634"/>
      <c r="I1" s="634"/>
      <c r="J1" s="634"/>
      <c r="K1" s="634"/>
      <c r="L1" s="634"/>
      <c r="M1" s="634"/>
      <c r="N1" s="634"/>
      <c r="O1" s="459"/>
      <c r="P1" s="459"/>
      <c r="Q1" s="459"/>
      <c r="R1" s="459"/>
      <c r="S1" s="459"/>
      <c r="T1" s="459"/>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60"/>
      <c r="CQ1" s="359"/>
      <c r="CR1" s="362"/>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8"/>
      <c r="EQ1" s="263"/>
      <c r="ER1" s="264"/>
      <c r="ES1" s="264"/>
      <c r="ET1" s="264"/>
    </row>
    <row r="2" spans="1:150" s="12" customFormat="1" ht="30" customHeight="1" x14ac:dyDescent="0.25">
      <c r="B2" s="531" t="s">
        <v>554</v>
      </c>
      <c r="C2" s="524"/>
      <c r="D2" s="598" t="s">
        <v>456</v>
      </c>
      <c r="E2" s="598" t="s">
        <v>933</v>
      </c>
      <c r="F2" s="461" t="s">
        <v>658</v>
      </c>
      <c r="G2" s="637" t="s">
        <v>1017</v>
      </c>
      <c r="H2" s="637" t="s">
        <v>1018</v>
      </c>
      <c r="I2" s="515" t="s">
        <v>1019</v>
      </c>
      <c r="J2" s="524"/>
      <c r="K2" s="524"/>
      <c r="L2" s="524"/>
      <c r="M2" s="524"/>
      <c r="N2" s="516"/>
      <c r="O2" s="263"/>
      <c r="P2" s="263"/>
      <c r="Q2" s="264"/>
      <c r="R2" s="264"/>
    </row>
    <row r="3" spans="1:150" s="12" customFormat="1" ht="26.25" customHeight="1" x14ac:dyDescent="0.25">
      <c r="B3" s="614" t="s">
        <v>986</v>
      </c>
      <c r="C3" s="631" t="s">
        <v>335</v>
      </c>
      <c r="D3" s="636"/>
      <c r="E3" s="636"/>
      <c r="F3" s="548" t="s">
        <v>180</v>
      </c>
      <c r="G3" s="638"/>
      <c r="H3" s="638"/>
      <c r="I3" s="561" t="s">
        <v>180</v>
      </c>
      <c r="J3" s="513" t="s">
        <v>1020</v>
      </c>
      <c r="K3" s="520" t="s">
        <v>886</v>
      </c>
      <c r="L3" s="513" t="s">
        <v>1021</v>
      </c>
      <c r="M3" s="515" t="s">
        <v>554</v>
      </c>
      <c r="N3" s="516"/>
      <c r="O3" s="263"/>
      <c r="P3" s="263"/>
      <c r="Q3" s="264"/>
      <c r="R3" s="264"/>
    </row>
    <row r="4" spans="1:150" s="12" customFormat="1" ht="78.75" customHeight="1" x14ac:dyDescent="0.25">
      <c r="B4" s="615"/>
      <c r="C4" s="632"/>
      <c r="D4" s="599"/>
      <c r="E4" s="599"/>
      <c r="F4" s="548"/>
      <c r="G4" s="639"/>
      <c r="H4" s="639"/>
      <c r="I4" s="562"/>
      <c r="J4" s="514"/>
      <c r="K4" s="521"/>
      <c r="L4" s="514"/>
      <c r="M4" s="455" t="s">
        <v>668</v>
      </c>
      <c r="N4" s="455" t="s">
        <v>355</v>
      </c>
      <c r="O4" s="263" t="s">
        <v>549</v>
      </c>
      <c r="P4" s="264" t="s">
        <v>981</v>
      </c>
      <c r="Q4" s="264" t="s">
        <v>7</v>
      </c>
      <c r="R4" s="265" t="s">
        <v>8</v>
      </c>
    </row>
    <row r="5" spans="1:150" s="109" customFormat="1" ht="15" customHeight="1" x14ac:dyDescent="0.25">
      <c r="A5" s="23"/>
      <c r="B5" s="20"/>
      <c r="C5" s="13"/>
      <c r="D5" s="13"/>
      <c r="E5" s="13">
        <v>1</v>
      </c>
      <c r="F5" s="111"/>
      <c r="G5" s="111"/>
      <c r="H5" s="13"/>
      <c r="I5" s="289"/>
      <c r="J5" s="111"/>
      <c r="K5" s="111"/>
      <c r="L5" s="111"/>
      <c r="M5" s="289"/>
      <c r="N5" s="289"/>
      <c r="O5" s="266" t="s">
        <v>1023</v>
      </c>
      <c r="P5" s="266" t="str">
        <f xml:space="preserve"> CONCATENATE("Acceder al sistema Gemma con usuario y perfil activo para la funcionalidad modulo Maestro - Razon de Seguimiento, hacer clic en el boton,"," ",IF(B5=1,"Modificar un registro","")," ",IF(C5=1,"Eliminar un registro","")," ",IF(D5=1,"Agregar un nuevo registro",""), " ",IF(E5=1,"Exportar Documento Excel","")," sin colocar un Nombre en el filtro ",)</f>
        <v xml:space="preserve">Acceder al sistema Gemma con usuario y perfil activo para la funcionalidad modulo Maestro - Razon de Seguimiento, hacer clic en el boton,    Exportar Documento Excel sin colocar un Nombre en el filtro </v>
      </c>
      <c r="Q5" s="267" t="str">
        <f>CONCATENATE(" Validar funcionalidad Maestro Razon Seguimiento seleccionando la opcion "," ",IF(B5=1,$B$3,IF(C5=1,$C$3,IF(D5=1,$D$2,IF(E5=1,$E$2,""))))," sin seleccionar valores",)</f>
        <v xml:space="preserve"> Validar funcionalidad Maestro Razon Seguimiento seleccionando la opcion  Exportar Excel sin seleccionar valores</v>
      </c>
      <c r="R5" s="267" t="s">
        <v>1008</v>
      </c>
    </row>
    <row r="6" spans="1:150" s="109" customFormat="1" ht="15" customHeight="1" x14ac:dyDescent="0.25">
      <c r="A6" s="23"/>
      <c r="B6" s="20"/>
      <c r="C6" s="13"/>
      <c r="D6" s="13">
        <v>1</v>
      </c>
      <c r="E6" s="103"/>
      <c r="F6" s="111"/>
      <c r="G6" s="111"/>
      <c r="H6" s="13"/>
      <c r="I6" s="289">
        <v>1</v>
      </c>
      <c r="J6" s="111">
        <v>1</v>
      </c>
      <c r="K6" s="111">
        <v>1</v>
      </c>
      <c r="L6" s="111">
        <v>1</v>
      </c>
      <c r="M6" s="289">
        <v>1</v>
      </c>
      <c r="N6" s="289"/>
      <c r="O6" s="266" t="s">
        <v>1024</v>
      </c>
      <c r="P6" s="266" t="str">
        <f xml:space="preserve"> CONCATENATE("Acceder al sistema Gemma con usuario y perfil activo para la funcionalidad modulo Maestro - Razon de Seguimiento, hacer clic en el boton,"," ",IF(B6=1,"Modificar un registro","")," ",IF(C6=1,"Eliminar un registro","")," ",IF(D6=1,"Agregar un nuevo registro",""), " con los valores obligatorios y opcionales, presionar Confirmar ",IF(E6=1,"Exportar Documento Excel","")," ",)</f>
        <v xml:space="preserve">Acceder al sistema Gemma con usuario y perfil activo para la funcionalidad modulo Maestro - Razon de Seguimiento, hacer clic en el boton,   Agregar un nuevo registro con los valores obligatorios y opcionales, presionar Confirmar  </v>
      </c>
      <c r="Q6" s="267" t="str">
        <f>CONCATENATE(" Validar funcionalidad Maestro Razon Seguimiento seleccionando la opcion "," ",IF(B6=1,$B$3,IF(C6=1,$C$3,IF(D6=1,$D$2,IF(E6=1,$E$2,""))))," ",)</f>
        <v xml:space="preserve"> Validar funcionalidad Maestro Razon Seguimiento seleccionando la opcion  Agregar </v>
      </c>
      <c r="R6" s="267" t="s">
        <v>982</v>
      </c>
    </row>
    <row r="7" spans="1:150" s="109" customFormat="1" ht="15" customHeight="1" x14ac:dyDescent="0.25">
      <c r="A7" s="23"/>
      <c r="B7" s="20">
        <v>1</v>
      </c>
      <c r="C7" s="13"/>
      <c r="D7" s="13"/>
      <c r="E7" s="103"/>
      <c r="F7" s="111">
        <v>1</v>
      </c>
      <c r="G7" s="111"/>
      <c r="H7" s="13"/>
      <c r="I7" s="289">
        <v>1</v>
      </c>
      <c r="J7" s="111"/>
      <c r="K7" s="111"/>
      <c r="L7" s="111">
        <v>1</v>
      </c>
      <c r="M7" s="289">
        <v>1</v>
      </c>
      <c r="N7" s="289"/>
      <c r="O7" s="266" t="s">
        <v>1025</v>
      </c>
      <c r="P7" s="266" t="str">
        <f xml:space="preserve"> CONCATENATE("Acceder al sistema Gemma con usuario y perfil activo para la funcionalidad modulo Maestro - Razon de Seguimiento, considerando los datos del Nombre en el filtro, hacer clic en el boton,"," ",IF(B7=1,"Modificar",""),", presionar Confirmar ",IF(C7=1,"Eliminar un registro","")," ",IF(D7=1,"Agregar un nuevo registro",""), " ",IF(E7=1,"Exportar Documento Excel","")," ",)</f>
        <v xml:space="preserve">Acceder al sistema Gemma con usuario y perfil activo para la funcionalidad modulo Maestro - Razon de Seguimiento, considerando los datos del Nombre en el filtro, hacer clic en el boton, Modificar, presionar Confirmar    </v>
      </c>
      <c r="Q7" s="267" t="str">
        <f>CONCATENATE(" Validar funcionalidad Maestro Razon Seguimiento seleccionando la opcion "," ",IF(B7=1,$B$3,IF(C7=1,$C$3,IF(D7=1,$D$2,IF(E7=1,$E$2,""))))," seleccionando valores",)</f>
        <v xml:space="preserve"> Validar funcionalidad Maestro Razon Seguimiento seleccionando la opcion   Modificar seleccionando valores</v>
      </c>
      <c r="R7" s="267" t="s">
        <v>1009</v>
      </c>
    </row>
    <row r="8" spans="1:150" s="109" customFormat="1" ht="15" customHeight="1" x14ac:dyDescent="0.25">
      <c r="A8" s="23"/>
      <c r="B8" s="20">
        <v>1</v>
      </c>
      <c r="C8" s="13"/>
      <c r="D8" s="13"/>
      <c r="E8" s="103"/>
      <c r="F8" s="111"/>
      <c r="G8" s="111"/>
      <c r="H8" s="13"/>
      <c r="I8" s="289"/>
      <c r="J8" s="111">
        <v>1</v>
      </c>
      <c r="K8" s="111">
        <v>1</v>
      </c>
      <c r="L8" s="111"/>
      <c r="M8" s="289">
        <v>1</v>
      </c>
      <c r="N8" s="289"/>
      <c r="O8" s="266" t="s">
        <v>1026</v>
      </c>
      <c r="P8" s="266" t="str">
        <f xml:space="preserve"> CONCATENATE("Acceder al sistema Gemma con usuario y perfil activo para la funcionalidad modulo Maestro - Razon de Seguimiento, seleccionando un registro de la tabla resumen, hacer clic en el boton,"," ",IF(B8=1,"Modificar",""),", presionar Confirmar ",IF(C8=1,"Eliminar un registro","")," ",IF(D8=1,"Agregar un nuevo registro",""), " ",IF(E8=1,"Exportar Documento Excel","")," ",)</f>
        <v xml:space="preserve">Acceder al sistema Gemma con usuario y perfil activo para la funcionalidad modulo Maestro - Razon de Seguimiento, seleccionando un registro de la tabla resumen, hacer clic en el boton, Modificar, presionar Confirmar    </v>
      </c>
      <c r="Q8" s="267" t="str">
        <f>CONCATENATE(" Validar funcionalidad Maestro Razon Seguimiento seleccionando la opcion "," ",IF(B8=1,$B$3,IF(C8=1,$C$3,IF(D8=1,$D$2,IF(E8=1,$E$2,""))))," sin seleccionar valores",)</f>
        <v xml:space="preserve"> Validar funcionalidad Maestro Razon Seguimiento seleccionando la opcion   Modificar sin seleccionar valores</v>
      </c>
      <c r="R8" s="267" t="s">
        <v>1010</v>
      </c>
    </row>
    <row r="9" spans="1:150" s="109" customFormat="1" ht="15" customHeight="1" x14ac:dyDescent="0.25">
      <c r="A9" s="23"/>
      <c r="B9" s="20"/>
      <c r="C9" s="13">
        <v>1</v>
      </c>
      <c r="D9" s="13"/>
      <c r="E9" s="103"/>
      <c r="F9" s="111">
        <v>1</v>
      </c>
      <c r="G9" s="111"/>
      <c r="H9" s="13"/>
      <c r="I9" s="289"/>
      <c r="J9" s="111"/>
      <c r="K9" s="111"/>
      <c r="L9" s="111"/>
      <c r="M9" s="289">
        <v>1</v>
      </c>
      <c r="N9" s="289"/>
      <c r="O9" s="266" t="s">
        <v>1027</v>
      </c>
      <c r="P9" s="266" t="str">
        <f xml:space="preserve"> CONCATENATE("Acceder al sistema Gemma con usuario y perfil activo para la funcionalidad modulo Maestro - Razon de Seguimiento, considerando los datos del Nombre en el filtro, hacer clic en el boton,"," ",IF(B9=1,"Modificar",""),"",IF(C9=1,"Eliminar un registro",""),", presionar Confirmar  ",IF(D9=1,"Agregar un nuevo registro",""), " ",IF(E9=1,"Exportar Documento Excel","")," ",)</f>
        <v xml:space="preserve">Acceder al sistema Gemma con usuario y perfil activo para la funcionalidad modulo Maestro - Razon de Seguimiento, considerando los datos del Nombre en el filtro, hacer clic en el boton, Eliminar un registro, presionar Confirmar    </v>
      </c>
      <c r="Q9" s="267" t="str">
        <f>CONCATENATE(" Validar funcionalidad Maestro Razon Seguimiento seleccionando la opcion "," ",IF(B9=1,$B$3,IF(C9=1,$C$3,IF(D9=1,$D$2,IF(E9=1,$E$2,""))))," seleccionando valores",)</f>
        <v xml:space="preserve"> Validar funcionalidad Maestro Razon Seguimiento seleccionando la opcion  Eliminar seleccionando valores</v>
      </c>
      <c r="R9" s="267" t="s">
        <v>1011</v>
      </c>
    </row>
    <row r="10" spans="1:150" s="109" customFormat="1" ht="15" customHeight="1" x14ac:dyDescent="0.25">
      <c r="A10" s="23"/>
      <c r="B10" s="20"/>
      <c r="C10" s="13">
        <v>1</v>
      </c>
      <c r="D10" s="13"/>
      <c r="E10" s="103"/>
      <c r="F10" s="111"/>
      <c r="G10" s="111"/>
      <c r="H10" s="13"/>
      <c r="I10" s="289"/>
      <c r="J10" s="111"/>
      <c r="K10" s="111"/>
      <c r="L10" s="111"/>
      <c r="M10" s="289">
        <v>1</v>
      </c>
      <c r="N10" s="289"/>
      <c r="O10" s="266" t="s">
        <v>1028</v>
      </c>
      <c r="P10" s="266" t="str">
        <f xml:space="preserve"> CONCATENATE("Acceder al sistema Gemma con usuario y perfil activo para la funcionalidad modulo Maestro - Razon de Seguimiento, seleccionando un registro de la tabla resumen, hacer clic en el boton,"," ",IF(B10=1,"Modificar","")," ",IF(C10=1,"Eliminar un registro",""),", presionar Confirmar ",IF(D10=1,"Agregar un nuevo registro",""), " ",IF(E10=1,"Exportar Documento Excel","")," ",)</f>
        <v xml:space="preserve">Acceder al sistema Gemma con usuario y perfil activo para la funcionalidad modulo Maestro - Razon de Seguimiento, seleccionando un registro de la tabla resumen, hacer clic en el boton,  Eliminar un registro, presionar Confirmar   </v>
      </c>
      <c r="Q10" s="267" t="str">
        <f>CONCATENATE(" Validar funcionalidad Maestro Razon Seguimiento seleccionando la opcion "," ",IF(B10=1,$B$3,IF(C10=1,$C$3,IF(D10=1,$D$2,IF(E10=1,$E$2,""))))," sin seleccionar valores",)</f>
        <v xml:space="preserve"> Validar funcionalidad Maestro Razon Seguimiento seleccionando la opcion  Eliminar sin seleccionar valores</v>
      </c>
      <c r="R10" s="267" t="s">
        <v>1012</v>
      </c>
    </row>
    <row r="11" spans="1:150" s="109" customFormat="1" ht="15" customHeight="1" x14ac:dyDescent="0.25">
      <c r="A11" s="23"/>
      <c r="B11" s="20">
        <v>1</v>
      </c>
      <c r="C11" s="13"/>
      <c r="D11" s="13"/>
      <c r="E11" s="103"/>
      <c r="F11" s="450"/>
      <c r="G11" s="450">
        <v>1</v>
      </c>
      <c r="H11" s="13"/>
      <c r="I11" s="13">
        <v>1</v>
      </c>
      <c r="J11" s="450"/>
      <c r="K11" s="450"/>
      <c r="L11" s="450"/>
      <c r="M11" s="13">
        <v>1</v>
      </c>
      <c r="N11" s="13"/>
      <c r="O11" s="266" t="s">
        <v>1029</v>
      </c>
      <c r="P11" s="266" t="str">
        <f xml:space="preserve"> CONCATENATE("Acceder al sistema Gemma con usuario y perfil activo para la funcionalidad modulo Maestro - Razon de Seguimiento, considerando los datos del Nombre en el filtro, "," ",IF(G11=1,"Presionar el Link Nombre",""),", hacer clic en el boton ",IF(B11=1,"Modificar","")," y presionar Confirmar ",IF(C11=1,"Eliminar un registro","")," ",IF(D11=1,"Agregar un nuevo registro",""), " ",IF(E11=1,"Exportar Documento Excel","")," ",)</f>
        <v xml:space="preserve">Acceder al sistema Gemma con usuario y perfil activo para la funcionalidad modulo Maestro - Razon de Seguimiento, considerando los datos del Nombre en el filtro,  Presionar el Link Nombre, hacer clic en el boton Modificar y presionar Confirmar    </v>
      </c>
      <c r="Q11" s="267" t="str">
        <f>CONCATENATE(" Validar funcionalidad Maestro Razon Seguimiento seleccionando la opcion "," ",IF(B11=1,$B$3,IF(C11=1,$C$3,IF(D11=1,$D$2,IF(E11=1,$E$2,""))))," mediante el link Descripcion y seleccionando valores",)</f>
        <v xml:space="preserve"> Validar funcionalidad Maestro Razon Seguimiento seleccionando la opcion   Modificar mediante el link Descripcion y seleccionando valores</v>
      </c>
      <c r="R11" s="267" t="s">
        <v>1014</v>
      </c>
    </row>
    <row r="12" spans="1:150" s="109" customFormat="1" ht="15" customHeight="1" thickBot="1" x14ac:dyDescent="0.3">
      <c r="A12" s="23"/>
      <c r="B12" s="291"/>
      <c r="C12" s="272">
        <v>1</v>
      </c>
      <c r="D12" s="272"/>
      <c r="E12" s="318"/>
      <c r="F12" s="273"/>
      <c r="G12" s="273">
        <v>1</v>
      </c>
      <c r="H12" s="272"/>
      <c r="I12" s="396"/>
      <c r="J12" s="273"/>
      <c r="K12" s="273"/>
      <c r="L12" s="273"/>
      <c r="M12" s="396">
        <v>1</v>
      </c>
      <c r="N12" s="396"/>
      <c r="O12" s="266" t="s">
        <v>1030</v>
      </c>
      <c r="P12" s="266" t="str">
        <f xml:space="preserve"> CONCATENATE("Acceder al sistema Gemma con usuario y perfil activo para la funcionalidad modulo Maestro - Razon de Seguimiento, seleccionando un registro de la tabla resumen, "," ",IF(G12=1,"Presionar el Link Nombre",""),", hacer clic en el boton, ",IF(B12=1,"Modificar un registro","")," ",IF(C12=1,"Eliminar","")," y presionar Confirmar",IF(D12=1,"Agregar un nuevo registro",""), " ",IF(E12=1,"Exportar Documento Excel","")," ",)</f>
        <v xml:space="preserve">Acceder al sistema Gemma con usuario y perfil activo para la funcionalidad modulo Maestro - Razon de Seguimiento, seleccionando un registro de la tabla resumen,  Presionar el Link Nombre, hacer clic en el boton,  Eliminar y presionar Confirmar  </v>
      </c>
      <c r="Q12" s="267" t="str">
        <f>CONCATENATE(" Validar funcionalidad Maestro Razon Seguimiento seleccionando la opcion "," ",IF(B12=1,$B$3,IF(C12=1,$C$3,IF(D12=1,$D$2,IF(E12=1,$E$2,""))))," mediante el link Descripcion y sin seleccionar valores",)</f>
        <v xml:space="preserve"> Validar funcionalidad Maestro Razon Seguimiento seleccionando la opcion  Eliminar mediante el link Descripcion y sin seleccionar valores</v>
      </c>
      <c r="R12" s="267" t="s">
        <v>1013</v>
      </c>
    </row>
    <row r="13" spans="1:150" s="109" customFormat="1" ht="15" customHeight="1" thickTop="1" x14ac:dyDescent="0.25">
      <c r="A13" s="23"/>
      <c r="B13" s="292"/>
      <c r="C13" s="293"/>
      <c r="D13" s="293">
        <v>1</v>
      </c>
      <c r="E13" s="293"/>
      <c r="F13" s="106"/>
      <c r="G13" s="106">
        <v>1</v>
      </c>
      <c r="H13" s="293">
        <v>1</v>
      </c>
      <c r="I13" s="398"/>
      <c r="J13" s="106"/>
      <c r="K13" s="106"/>
      <c r="L13" s="106"/>
      <c r="M13" s="398"/>
      <c r="N13" s="398">
        <v>1</v>
      </c>
      <c r="O13" s="266" t="s">
        <v>1569</v>
      </c>
      <c r="P13" s="266" t="s">
        <v>1570</v>
      </c>
      <c r="Q13" s="267" t="str">
        <f>CONCATENATE(" Validar funcionalidad Maestro Razon Seguimiento seleccionando la opcion "," ",IF(B13=1,$B$3,IF(C13=1,$C$3,IF(D13=1,$D$2,IF(E13=1,$E$2,""))))," un registro con los campos vacios ",)</f>
        <v xml:space="preserve"> Validar funcionalidad Maestro Razon Seguimiento seleccionando la opcion  Agregar un registro con los campos vacios </v>
      </c>
      <c r="R13" s="267" t="s">
        <v>1572</v>
      </c>
    </row>
    <row r="14" spans="1:150" s="109" customFormat="1" ht="15" customHeight="1" x14ac:dyDescent="0.25">
      <c r="A14" s="23"/>
      <c r="B14" s="105"/>
      <c r="C14" s="25">
        <v>1</v>
      </c>
      <c r="D14" s="25"/>
      <c r="E14" s="25"/>
      <c r="F14" s="24"/>
      <c r="G14" s="24"/>
      <c r="H14" s="25"/>
      <c r="I14" s="649"/>
      <c r="J14" s="24"/>
      <c r="K14" s="24"/>
      <c r="L14" s="24"/>
      <c r="M14" s="649"/>
      <c r="N14" s="649"/>
      <c r="O14" s="266" t="s">
        <v>1568</v>
      </c>
      <c r="P14" s="266" t="s">
        <v>1571</v>
      </c>
      <c r="Q14" s="267" t="str">
        <f>CONCATENATE(" Validar funcionalidad Maestro Razon Seguimiento seleccionando la opcion "," ",IF(B14=1,$B$3,IF(C14=1,$C$3,IF(D14=1,$D$2,IF(E14=1,$E$2,""))))," un registro que esta en uso ",)</f>
        <v xml:space="preserve"> Validar funcionalidad Maestro Razon Seguimiento seleccionando la opcion  Eliminar un registro que esta en uso </v>
      </c>
      <c r="R14" s="267" t="s">
        <v>1572</v>
      </c>
    </row>
    <row r="15" spans="1:150" s="109" customFormat="1" ht="15" customHeight="1" x14ac:dyDescent="0.25">
      <c r="A15" s="23"/>
      <c r="B15" s="20"/>
      <c r="C15" s="13"/>
      <c r="D15" s="13"/>
      <c r="E15" s="13"/>
      <c r="F15" s="21" t="s">
        <v>1022</v>
      </c>
      <c r="G15" s="450"/>
      <c r="H15" s="111"/>
      <c r="I15" s="451"/>
      <c r="J15" s="450"/>
      <c r="K15" s="450"/>
      <c r="L15" s="450"/>
      <c r="M15" s="289"/>
      <c r="N15" s="289"/>
      <c r="O15" s="266" t="s">
        <v>1031</v>
      </c>
      <c r="P15" s="266" t="str">
        <f xml:space="preserve"> CONCATENATE("Acceder al sistema Gemma con usuario y perfil activo para la funcionalidad modulo Maestro - Razon de Seguimiento, "," ",IF(B15=1,"Modificar un registro","")," ",IF(C15=1,"Eliminar un registro","")," ",IF(D15=1,"Agregar un nuevo registro",""), " ",IF(E15=1,"Exportar Documento Excel",""),"colocando un Nombre Invalido en el filtro ",)</f>
        <v xml:space="preserve">Acceder al sistema Gemma con usuario y perfil activo para la funcionalidad modulo Maestro - Razon de Seguimiento,     colocando un Nombre Invalido en el filtro </v>
      </c>
      <c r="Q15" s="267" t="str">
        <f>CONCATENATE(" Validar funcionalidad Maestro Razon Seguimiento seleccionando la opcion "," ",IF(B15=1,$B$3,IF(C15=1,$C$3,IF(D15=1,$D$2,IF(E15=1,$E$2,""))))," colocar un Nombre invalido en el filtro",)</f>
        <v xml:space="preserve"> Validar funcionalidad Maestro Razon Seguimiento seleccionando la opcion   colocar un Nombre invalido en el filtro</v>
      </c>
      <c r="R15" s="267" t="s">
        <v>1016</v>
      </c>
    </row>
    <row r="16" spans="1:150" s="109" customFormat="1" x14ac:dyDescent="0.25">
      <c r="B16" s="14"/>
      <c r="C16" s="110"/>
      <c r="D16" s="110"/>
      <c r="E16" s="110"/>
      <c r="F16" s="13"/>
      <c r="G16" s="13"/>
      <c r="H16" s="13"/>
      <c r="I16" s="13"/>
      <c r="J16" s="13"/>
      <c r="K16" s="13"/>
      <c r="L16" s="13"/>
      <c r="M16" s="13"/>
      <c r="N16" s="13"/>
      <c r="O16" s="266"/>
      <c r="P16" s="266"/>
      <c r="Q16" s="267"/>
      <c r="R16" s="267"/>
    </row>
    <row r="17" spans="2:18" s="109" customFormat="1" x14ac:dyDescent="0.25">
      <c r="B17" s="14"/>
      <c r="C17" s="110"/>
      <c r="D17" s="110"/>
      <c r="E17" s="110"/>
      <c r="F17" s="13"/>
      <c r="G17" s="13"/>
      <c r="H17" s="13"/>
      <c r="I17" s="13"/>
      <c r="J17" s="13"/>
      <c r="K17" s="13"/>
      <c r="L17" s="13"/>
      <c r="M17" s="13"/>
      <c r="N17" s="13"/>
      <c r="O17" s="266"/>
      <c r="P17" s="266"/>
      <c r="Q17" s="267"/>
      <c r="R17" s="267"/>
    </row>
    <row r="18" spans="2:18" s="109" customFormat="1" x14ac:dyDescent="0.25">
      <c r="B18" s="14"/>
      <c r="C18" s="110"/>
      <c r="D18" s="110"/>
      <c r="E18" s="110"/>
      <c r="F18" s="13"/>
      <c r="G18" s="13"/>
      <c r="H18" s="13"/>
      <c r="I18" s="13"/>
      <c r="J18" s="13"/>
      <c r="K18" s="13"/>
      <c r="L18" s="13"/>
      <c r="M18" s="13"/>
      <c r="N18" s="13"/>
      <c r="O18" s="266"/>
      <c r="P18" s="266"/>
      <c r="Q18" s="267"/>
      <c r="R18" s="267"/>
    </row>
    <row r="19" spans="2:18" s="109" customFormat="1" x14ac:dyDescent="0.25">
      <c r="B19" s="14"/>
      <c r="C19" s="110"/>
      <c r="D19" s="110"/>
      <c r="E19" s="110"/>
      <c r="F19" s="13"/>
      <c r="G19" s="13"/>
      <c r="H19" s="13"/>
      <c r="I19" s="13"/>
      <c r="J19" s="13"/>
      <c r="K19" s="13"/>
      <c r="L19" s="13"/>
      <c r="M19" s="13"/>
      <c r="N19" s="13"/>
      <c r="O19" s="266"/>
      <c r="P19" s="266"/>
      <c r="Q19" s="267"/>
      <c r="R19" s="267"/>
    </row>
    <row r="20" spans="2:18" s="109" customFormat="1" x14ac:dyDescent="0.25">
      <c r="B20" s="14"/>
      <c r="C20" s="110"/>
      <c r="D20" s="110"/>
      <c r="E20" s="110"/>
      <c r="F20" s="13"/>
      <c r="G20" s="13"/>
      <c r="H20" s="13"/>
      <c r="I20" s="13"/>
      <c r="J20" s="13"/>
      <c r="K20" s="13"/>
      <c r="L20" s="13"/>
      <c r="M20" s="13"/>
      <c r="N20" s="13"/>
      <c r="O20" s="266"/>
      <c r="P20" s="266"/>
      <c r="Q20" s="267"/>
      <c r="R20" s="267"/>
    </row>
    <row r="21" spans="2:18" s="109" customFormat="1" x14ac:dyDescent="0.25">
      <c r="B21" s="14"/>
      <c r="C21" s="110"/>
      <c r="D21" s="110"/>
      <c r="E21" s="110"/>
      <c r="F21" s="13"/>
      <c r="G21" s="13"/>
      <c r="H21" s="13"/>
      <c r="I21" s="13"/>
      <c r="J21" s="13"/>
      <c r="K21" s="13"/>
      <c r="L21" s="13"/>
      <c r="M21" s="13"/>
      <c r="N21" s="13"/>
      <c r="O21" s="266"/>
      <c r="P21" s="266"/>
      <c r="Q21" s="267"/>
      <c r="R21" s="267"/>
    </row>
    <row r="22" spans="2:18" s="109" customFormat="1" x14ac:dyDescent="0.25">
      <c r="B22" s="14"/>
      <c r="C22" s="110"/>
      <c r="D22" s="110"/>
      <c r="E22" s="110"/>
      <c r="F22" s="13"/>
      <c r="G22" s="13"/>
      <c r="H22" s="13"/>
      <c r="I22" s="13"/>
      <c r="J22" s="13"/>
      <c r="K22" s="13"/>
      <c r="L22" s="13"/>
      <c r="M22" s="13"/>
      <c r="N22" s="13"/>
      <c r="O22" s="266"/>
      <c r="P22" s="266"/>
      <c r="Q22" s="267"/>
      <c r="R22" s="267"/>
    </row>
    <row r="23" spans="2:18" s="109" customFormat="1" x14ac:dyDescent="0.25">
      <c r="B23" s="14"/>
      <c r="C23" s="110"/>
      <c r="D23" s="110"/>
      <c r="E23" s="110"/>
      <c r="F23" s="13"/>
      <c r="G23" s="13"/>
      <c r="H23" s="13"/>
      <c r="I23" s="13"/>
      <c r="J23" s="13"/>
      <c r="K23" s="13"/>
      <c r="L23" s="13"/>
      <c r="M23" s="13"/>
      <c r="N23" s="13"/>
      <c r="O23" s="266"/>
      <c r="P23" s="266"/>
      <c r="Q23" s="267"/>
      <c r="R23" s="267"/>
    </row>
    <row r="24" spans="2:18" s="109" customFormat="1" x14ac:dyDescent="0.25">
      <c r="B24" s="14"/>
      <c r="C24" s="110"/>
      <c r="D24" s="110"/>
      <c r="E24" s="110"/>
      <c r="F24" s="13"/>
      <c r="G24" s="13"/>
      <c r="H24" s="13"/>
      <c r="I24" s="13"/>
      <c r="J24" s="13"/>
      <c r="K24" s="13"/>
      <c r="L24" s="13"/>
      <c r="M24" s="13"/>
      <c r="N24" s="13"/>
      <c r="O24" s="266"/>
      <c r="P24" s="266"/>
      <c r="Q24" s="267"/>
      <c r="R24" s="267"/>
    </row>
    <row r="25" spans="2:18" s="109" customFormat="1" x14ac:dyDescent="0.25">
      <c r="B25" s="14"/>
      <c r="C25" s="110"/>
      <c r="D25" s="110"/>
      <c r="E25" s="110"/>
      <c r="F25" s="13"/>
      <c r="G25" s="13"/>
      <c r="H25" s="13"/>
      <c r="I25" s="13"/>
      <c r="J25" s="13"/>
      <c r="K25" s="13"/>
      <c r="L25" s="13"/>
      <c r="M25" s="13"/>
      <c r="N25" s="13"/>
      <c r="O25" s="266"/>
      <c r="P25" s="266"/>
      <c r="Q25" s="267"/>
      <c r="R25" s="267"/>
    </row>
    <row r="26" spans="2:18" s="109" customFormat="1" x14ac:dyDescent="0.25">
      <c r="B26" s="14"/>
      <c r="C26" s="110"/>
      <c r="D26" s="110"/>
      <c r="E26" s="110"/>
      <c r="F26" s="13"/>
      <c r="G26" s="13"/>
      <c r="H26" s="13"/>
      <c r="I26" s="13"/>
      <c r="J26" s="13"/>
      <c r="K26" s="13"/>
      <c r="L26" s="13"/>
      <c r="M26" s="13"/>
      <c r="N26" s="13"/>
      <c r="O26" s="266"/>
      <c r="P26" s="266"/>
      <c r="Q26" s="267"/>
      <c r="R26" s="267"/>
    </row>
    <row r="27" spans="2:18" s="109" customFormat="1" x14ac:dyDescent="0.25">
      <c r="B27" s="18"/>
      <c r="C27" s="13"/>
      <c r="D27" s="13"/>
      <c r="E27" s="13"/>
      <c r="F27" s="13"/>
      <c r="G27" s="13"/>
      <c r="H27" s="13"/>
      <c r="I27" s="13"/>
      <c r="J27" s="13"/>
      <c r="K27" s="13"/>
      <c r="L27" s="13"/>
      <c r="M27" s="13"/>
      <c r="N27" s="13"/>
      <c r="O27" s="266"/>
      <c r="P27" s="266"/>
      <c r="Q27" s="267"/>
      <c r="R27" s="267"/>
    </row>
    <row r="28" spans="2:18" s="109" customFormat="1" x14ac:dyDescent="0.25">
      <c r="B28" s="18"/>
      <c r="C28" s="13"/>
      <c r="D28" s="13"/>
      <c r="E28" s="13"/>
      <c r="F28" s="110"/>
      <c r="G28" s="110"/>
      <c r="H28" s="110"/>
      <c r="I28" s="110"/>
      <c r="J28" s="110"/>
      <c r="K28" s="110"/>
      <c r="L28" s="110"/>
      <c r="M28" s="110"/>
      <c r="N28" s="110"/>
      <c r="O28" s="270"/>
      <c r="P28" s="270"/>
      <c r="Q28" s="267"/>
      <c r="R28" s="267"/>
    </row>
    <row r="29" spans="2:18" s="109" customFormat="1" x14ac:dyDescent="0.25">
      <c r="B29" s="18"/>
      <c r="C29" s="13"/>
      <c r="D29" s="13"/>
      <c r="E29" s="13"/>
      <c r="F29" s="110"/>
      <c r="G29" s="110"/>
      <c r="H29" s="110"/>
      <c r="I29" s="110"/>
      <c r="J29" s="110"/>
      <c r="K29" s="110"/>
      <c r="L29" s="110"/>
      <c r="M29" s="110"/>
      <c r="N29" s="110"/>
      <c r="O29" s="270"/>
      <c r="P29" s="270"/>
      <c r="Q29" s="267"/>
      <c r="R29" s="267"/>
    </row>
    <row r="30" spans="2:18" s="109" customFormat="1" x14ac:dyDescent="0.25">
      <c r="B30" s="18"/>
      <c r="C30" s="13"/>
      <c r="D30" s="13"/>
      <c r="E30" s="13"/>
      <c r="F30" s="110"/>
      <c r="G30" s="110"/>
      <c r="H30" s="110"/>
      <c r="I30" s="110"/>
      <c r="J30" s="110"/>
      <c r="K30" s="110"/>
      <c r="L30" s="110"/>
      <c r="M30" s="110"/>
      <c r="N30" s="110"/>
      <c r="O30" s="270"/>
      <c r="P30" s="270"/>
      <c r="Q30" s="267"/>
      <c r="R30" s="267"/>
    </row>
    <row r="31" spans="2:18" s="109" customFormat="1" x14ac:dyDescent="0.25">
      <c r="B31" s="18"/>
      <c r="C31" s="13"/>
      <c r="D31" s="13"/>
      <c r="E31" s="13"/>
      <c r="F31" s="110"/>
      <c r="G31" s="110"/>
      <c r="H31" s="110"/>
      <c r="I31" s="110"/>
      <c r="J31" s="110"/>
      <c r="K31" s="110"/>
      <c r="L31" s="110"/>
      <c r="M31" s="110"/>
      <c r="N31" s="110"/>
      <c r="O31" s="270"/>
      <c r="P31" s="270"/>
      <c r="Q31" s="267"/>
      <c r="R31" s="267"/>
    </row>
    <row r="32" spans="2:18" s="109" customFormat="1" x14ac:dyDescent="0.25">
      <c r="B32" s="18"/>
      <c r="C32" s="13"/>
      <c r="D32" s="13"/>
      <c r="E32" s="13"/>
      <c r="F32" s="110"/>
      <c r="G32" s="110"/>
      <c r="H32" s="110"/>
      <c r="I32" s="110"/>
      <c r="J32" s="110"/>
      <c r="K32" s="110"/>
      <c r="L32" s="110"/>
      <c r="M32" s="110"/>
      <c r="N32" s="110"/>
      <c r="O32" s="270"/>
      <c r="P32" s="270"/>
      <c r="Q32" s="267"/>
      <c r="R32" s="267"/>
    </row>
    <row r="33" spans="2:18" s="109" customFormat="1" x14ac:dyDescent="0.25">
      <c r="B33" s="18"/>
      <c r="C33" s="13"/>
      <c r="D33" s="13"/>
      <c r="E33" s="13"/>
      <c r="F33" s="110"/>
      <c r="G33" s="110"/>
      <c r="H33" s="110"/>
      <c r="I33" s="110"/>
      <c r="J33" s="110"/>
      <c r="K33" s="110"/>
      <c r="L33" s="110"/>
      <c r="M33" s="110"/>
      <c r="N33" s="110"/>
      <c r="O33" s="270"/>
      <c r="P33" s="270"/>
      <c r="Q33" s="267"/>
      <c r="R33" s="267"/>
    </row>
    <row r="34" spans="2:18" s="109" customFormat="1" x14ac:dyDescent="0.25">
      <c r="B34" s="18"/>
      <c r="C34" s="13"/>
      <c r="D34" s="13"/>
      <c r="E34" s="13"/>
      <c r="F34" s="110"/>
      <c r="G34" s="110"/>
      <c r="H34" s="110"/>
      <c r="I34" s="110"/>
      <c r="J34" s="110"/>
      <c r="K34" s="110"/>
      <c r="L34" s="110"/>
      <c r="M34" s="110"/>
      <c r="N34" s="110"/>
      <c r="O34" s="270"/>
      <c r="P34" s="270"/>
      <c r="Q34" s="267"/>
      <c r="R34" s="267"/>
    </row>
    <row r="35" spans="2:18" s="109" customFormat="1" x14ac:dyDescent="0.25">
      <c r="B35" s="18"/>
      <c r="C35" s="13"/>
      <c r="D35" s="13"/>
      <c r="E35" s="13"/>
      <c r="F35" s="110"/>
      <c r="G35" s="110"/>
      <c r="H35" s="110"/>
      <c r="I35" s="110"/>
      <c r="J35" s="110"/>
      <c r="K35" s="110"/>
      <c r="L35" s="110"/>
      <c r="M35" s="110"/>
      <c r="N35" s="110"/>
      <c r="O35" s="270"/>
      <c r="P35" s="270"/>
      <c r="Q35" s="267"/>
      <c r="R35" s="267"/>
    </row>
    <row r="36" spans="2:18" s="109" customFormat="1" x14ac:dyDescent="0.25">
      <c r="B36" s="18"/>
      <c r="C36" s="13"/>
      <c r="D36" s="13"/>
      <c r="E36" s="13"/>
      <c r="F36" s="110"/>
      <c r="G36" s="110"/>
      <c r="H36" s="110"/>
      <c r="I36" s="110"/>
      <c r="J36" s="110"/>
      <c r="K36" s="110"/>
      <c r="L36" s="110"/>
      <c r="M36" s="110"/>
      <c r="N36" s="110"/>
      <c r="O36" s="270"/>
      <c r="P36" s="270"/>
      <c r="Q36" s="267"/>
      <c r="R36" s="267"/>
    </row>
    <row r="37" spans="2:18" s="109" customFormat="1" x14ac:dyDescent="0.25">
      <c r="B37" s="18"/>
      <c r="C37" s="13"/>
      <c r="D37" s="13"/>
      <c r="E37" s="13"/>
      <c r="F37" s="110"/>
      <c r="G37" s="110"/>
      <c r="H37" s="110"/>
      <c r="I37" s="110"/>
      <c r="J37" s="110"/>
      <c r="K37" s="110"/>
      <c r="L37" s="110"/>
      <c r="M37" s="110"/>
      <c r="N37" s="110"/>
      <c r="O37" s="270"/>
      <c r="P37" s="270"/>
      <c r="Q37" s="267"/>
      <c r="R37" s="267"/>
    </row>
    <row r="38" spans="2:18" s="109" customFormat="1" x14ac:dyDescent="0.25">
      <c r="B38" s="18"/>
      <c r="C38" s="13"/>
      <c r="D38" s="13"/>
      <c r="E38" s="13"/>
      <c r="F38" s="110"/>
      <c r="G38" s="110"/>
      <c r="H38" s="110"/>
      <c r="I38" s="110"/>
      <c r="J38" s="110"/>
      <c r="K38" s="110"/>
      <c r="L38" s="110"/>
      <c r="M38" s="110"/>
      <c r="N38" s="110"/>
      <c r="O38" s="270"/>
      <c r="P38" s="270"/>
      <c r="Q38" s="267"/>
      <c r="R38" s="267"/>
    </row>
    <row r="39" spans="2:18" s="109" customFormat="1" x14ac:dyDescent="0.25">
      <c r="B39" s="18"/>
      <c r="C39" s="13"/>
      <c r="D39" s="13"/>
      <c r="E39" s="13"/>
      <c r="F39" s="110"/>
      <c r="G39" s="110"/>
      <c r="H39" s="110"/>
      <c r="I39" s="110"/>
      <c r="J39" s="110"/>
      <c r="K39" s="110"/>
      <c r="L39" s="110"/>
      <c r="M39" s="110"/>
      <c r="N39" s="110"/>
      <c r="O39" s="270"/>
      <c r="P39" s="270"/>
      <c r="Q39" s="267"/>
      <c r="R39" s="267"/>
    </row>
    <row r="40" spans="2:18" s="109" customFormat="1" x14ac:dyDescent="0.25">
      <c r="B40" s="18"/>
      <c r="C40" s="13"/>
      <c r="D40" s="13"/>
      <c r="E40" s="13"/>
      <c r="F40" s="110"/>
      <c r="G40" s="110"/>
      <c r="H40" s="110"/>
      <c r="I40" s="110"/>
      <c r="J40" s="110"/>
      <c r="K40" s="110"/>
      <c r="L40" s="110"/>
      <c r="M40" s="110"/>
      <c r="N40" s="110"/>
      <c r="O40" s="270"/>
      <c r="P40" s="270"/>
      <c r="Q40" s="267"/>
      <c r="R40" s="267"/>
    </row>
    <row r="41" spans="2:18" s="109" customFormat="1" x14ac:dyDescent="0.25">
      <c r="B41" s="18"/>
      <c r="C41" s="13"/>
      <c r="D41" s="13"/>
      <c r="E41" s="13"/>
      <c r="F41" s="110"/>
      <c r="G41" s="110"/>
      <c r="H41" s="110"/>
      <c r="I41" s="110"/>
      <c r="J41" s="110"/>
      <c r="K41" s="110"/>
      <c r="L41" s="110"/>
      <c r="M41" s="110"/>
      <c r="N41" s="110"/>
      <c r="O41" s="270"/>
      <c r="P41" s="270"/>
      <c r="Q41" s="267"/>
      <c r="R41" s="267"/>
    </row>
    <row r="42" spans="2:18" s="109" customFormat="1" x14ac:dyDescent="0.25">
      <c r="B42" s="18"/>
      <c r="C42" s="13"/>
      <c r="D42" s="13"/>
      <c r="E42" s="13"/>
      <c r="F42" s="110"/>
      <c r="G42" s="110"/>
      <c r="H42" s="110"/>
      <c r="I42" s="110"/>
      <c r="J42" s="110"/>
      <c r="K42" s="110"/>
      <c r="L42" s="110"/>
      <c r="M42" s="110"/>
      <c r="N42" s="110"/>
      <c r="O42" s="270"/>
      <c r="P42" s="270"/>
      <c r="Q42" s="267"/>
      <c r="R42" s="267"/>
    </row>
    <row r="43" spans="2:18" s="109" customFormat="1" x14ac:dyDescent="0.25">
      <c r="B43" s="18"/>
      <c r="C43" s="13"/>
      <c r="D43" s="13"/>
      <c r="E43" s="13"/>
      <c r="F43" s="110"/>
      <c r="G43" s="110"/>
      <c r="H43" s="110"/>
      <c r="I43" s="110"/>
      <c r="J43" s="110"/>
      <c r="K43" s="110"/>
      <c r="L43" s="110"/>
      <c r="M43" s="110"/>
      <c r="N43" s="110"/>
      <c r="O43" s="270"/>
      <c r="P43" s="270"/>
      <c r="Q43" s="267"/>
      <c r="R43" s="267"/>
    </row>
    <row r="44" spans="2:18" s="109" customFormat="1" x14ac:dyDescent="0.25">
      <c r="B44" s="18"/>
      <c r="C44" s="13"/>
      <c r="D44" s="13"/>
      <c r="E44" s="13"/>
      <c r="F44" s="110"/>
      <c r="G44" s="110"/>
      <c r="H44" s="110"/>
      <c r="I44" s="110"/>
      <c r="J44" s="110"/>
      <c r="K44" s="110"/>
      <c r="L44" s="110"/>
      <c r="M44" s="110"/>
      <c r="N44" s="110"/>
      <c r="O44" s="270"/>
      <c r="P44" s="270"/>
      <c r="Q44" s="267"/>
      <c r="R44" s="267"/>
    </row>
    <row r="45" spans="2:18" s="109" customFormat="1" x14ac:dyDescent="0.25">
      <c r="B45" s="18"/>
      <c r="C45" s="13"/>
      <c r="D45" s="13"/>
      <c r="E45" s="13"/>
      <c r="F45" s="110"/>
      <c r="G45" s="110"/>
      <c r="H45" s="110"/>
      <c r="I45" s="110"/>
      <c r="J45" s="110"/>
      <c r="K45" s="110"/>
      <c r="L45" s="110"/>
      <c r="M45" s="110"/>
      <c r="N45" s="110"/>
      <c r="O45" s="270"/>
      <c r="P45" s="270"/>
      <c r="Q45" s="267"/>
      <c r="R45" s="267"/>
    </row>
    <row r="46" spans="2:18" s="109" customFormat="1" x14ac:dyDescent="0.25">
      <c r="B46" s="18"/>
      <c r="C46" s="13"/>
      <c r="D46" s="13"/>
      <c r="E46" s="13"/>
      <c r="F46" s="110"/>
      <c r="G46" s="110"/>
      <c r="H46" s="110"/>
      <c r="I46" s="110"/>
      <c r="J46" s="110"/>
      <c r="K46" s="110"/>
      <c r="L46" s="110"/>
      <c r="M46" s="110"/>
      <c r="N46" s="110"/>
      <c r="O46" s="270"/>
      <c r="P46" s="270"/>
      <c r="Q46" s="267"/>
      <c r="R46" s="267"/>
    </row>
    <row r="47" spans="2:18" s="109" customFormat="1" x14ac:dyDescent="0.25">
      <c r="B47" s="18"/>
      <c r="C47" s="13"/>
      <c r="D47" s="13"/>
      <c r="E47" s="13"/>
      <c r="F47" s="110"/>
      <c r="G47" s="110"/>
      <c r="H47" s="110"/>
      <c r="I47" s="110"/>
      <c r="J47" s="110"/>
      <c r="K47" s="110"/>
      <c r="L47" s="110"/>
      <c r="M47" s="110"/>
      <c r="N47" s="110"/>
      <c r="O47" s="270"/>
      <c r="P47" s="270"/>
      <c r="Q47" s="267"/>
      <c r="R47" s="267"/>
    </row>
    <row r="48" spans="2:18" s="109" customFormat="1" x14ac:dyDescent="0.25">
      <c r="B48" s="18"/>
      <c r="C48" s="13"/>
      <c r="D48" s="13"/>
      <c r="E48" s="13"/>
      <c r="F48" s="110"/>
      <c r="G48" s="110"/>
      <c r="H48" s="110"/>
      <c r="I48" s="110"/>
      <c r="J48" s="110"/>
      <c r="K48" s="110"/>
      <c r="L48" s="110"/>
      <c r="M48" s="110"/>
      <c r="N48" s="110"/>
      <c r="O48" s="270"/>
      <c r="P48" s="270"/>
      <c r="Q48" s="267"/>
      <c r="R48" s="267"/>
    </row>
    <row r="49" spans="2:18" s="109" customFormat="1" x14ac:dyDescent="0.25">
      <c r="B49" s="18"/>
      <c r="C49" s="13"/>
      <c r="D49" s="13"/>
      <c r="E49" s="13"/>
      <c r="F49" s="110"/>
      <c r="G49" s="110"/>
      <c r="H49" s="110"/>
      <c r="I49" s="110"/>
      <c r="J49" s="110"/>
      <c r="K49" s="110"/>
      <c r="L49" s="110"/>
      <c r="M49" s="110"/>
      <c r="N49" s="110"/>
      <c r="O49" s="270"/>
      <c r="P49" s="270"/>
      <c r="Q49" s="267"/>
      <c r="R49" s="267"/>
    </row>
    <row r="50" spans="2:18" s="109" customFormat="1" x14ac:dyDescent="0.25">
      <c r="B50" s="18"/>
      <c r="C50" s="13"/>
      <c r="D50" s="13"/>
      <c r="E50" s="13"/>
      <c r="F50" s="110"/>
      <c r="G50" s="110"/>
      <c r="H50" s="110"/>
      <c r="I50" s="110"/>
      <c r="J50" s="110"/>
      <c r="K50" s="110"/>
      <c r="L50" s="110"/>
      <c r="M50" s="110"/>
      <c r="N50" s="110"/>
      <c r="O50" s="270"/>
      <c r="P50" s="270"/>
      <c r="Q50" s="267"/>
      <c r="R50" s="267"/>
    </row>
    <row r="51" spans="2:18" s="109" customFormat="1" x14ac:dyDescent="0.25">
      <c r="B51" s="18"/>
      <c r="C51" s="13"/>
      <c r="D51" s="13"/>
      <c r="E51" s="13"/>
      <c r="F51" s="110"/>
      <c r="G51" s="110"/>
      <c r="H51" s="110"/>
      <c r="I51" s="110"/>
      <c r="J51" s="110"/>
      <c r="K51" s="110"/>
      <c r="L51" s="110"/>
      <c r="M51" s="110"/>
      <c r="N51" s="110"/>
      <c r="O51" s="270"/>
      <c r="P51" s="270"/>
      <c r="Q51" s="267"/>
      <c r="R51" s="267"/>
    </row>
    <row r="52" spans="2:18" s="109" customFormat="1" ht="15.75" thickBot="1" x14ac:dyDescent="0.3">
      <c r="B52" s="323"/>
      <c r="C52" s="281"/>
      <c r="D52" s="281"/>
      <c r="E52" s="281"/>
      <c r="F52" s="304"/>
      <c r="G52" s="304"/>
      <c r="H52" s="304"/>
      <c r="I52" s="304"/>
      <c r="J52" s="304"/>
      <c r="K52" s="304"/>
      <c r="L52" s="304"/>
      <c r="M52" s="304"/>
      <c r="N52" s="304"/>
      <c r="O52" s="270"/>
      <c r="P52" s="270"/>
      <c r="Q52" s="267"/>
      <c r="R52" s="267"/>
    </row>
    <row r="53" spans="2:18" s="109" customFormat="1" ht="15.75" thickTop="1" x14ac:dyDescent="0.25">
      <c r="B53" s="108"/>
      <c r="C53" s="108"/>
      <c r="D53" s="108"/>
      <c r="E53" s="108"/>
      <c r="F53" s="108"/>
      <c r="G53" s="108"/>
      <c r="H53" s="108"/>
      <c r="I53" s="108"/>
      <c r="J53" s="108"/>
      <c r="K53" s="108"/>
      <c r="L53" s="108"/>
      <c r="M53" s="108"/>
      <c r="N53" s="108"/>
      <c r="O53" s="270"/>
      <c r="P53" s="270"/>
      <c r="Q53" s="267"/>
      <c r="R53" s="267"/>
    </row>
    <row r="54" spans="2:18" s="109" customFormat="1" x14ac:dyDescent="0.25">
      <c r="B54" s="108"/>
      <c r="C54" s="108"/>
      <c r="D54" s="108"/>
      <c r="E54" s="108"/>
      <c r="F54" s="108"/>
      <c r="G54" s="108"/>
      <c r="H54" s="108"/>
      <c r="I54" s="108"/>
      <c r="J54" s="108"/>
      <c r="K54" s="108"/>
      <c r="L54" s="108"/>
      <c r="M54" s="108"/>
      <c r="N54" s="108"/>
      <c r="O54" s="270"/>
      <c r="P54" s="270"/>
      <c r="Q54" s="267"/>
      <c r="R54" s="267"/>
    </row>
    <row r="55" spans="2:18" s="109" customFormat="1" x14ac:dyDescent="0.25">
      <c r="B55" s="108"/>
      <c r="C55" s="108"/>
      <c r="D55" s="108"/>
      <c r="E55" s="108"/>
      <c r="F55" s="108"/>
      <c r="G55" s="108"/>
      <c r="H55" s="108"/>
      <c r="I55" s="108"/>
      <c r="J55" s="108"/>
      <c r="K55" s="108"/>
      <c r="L55" s="108"/>
      <c r="M55" s="108"/>
      <c r="N55" s="108"/>
      <c r="O55" s="270"/>
      <c r="P55" s="270"/>
      <c r="Q55" s="267"/>
      <c r="R55" s="267"/>
    </row>
    <row r="56" spans="2:18" s="109" customFormat="1" x14ac:dyDescent="0.25">
      <c r="B56" s="108"/>
      <c r="C56" s="108"/>
      <c r="D56" s="108"/>
      <c r="E56" s="108"/>
      <c r="F56" s="108"/>
      <c r="G56" s="108"/>
      <c r="H56" s="108"/>
      <c r="I56" s="108"/>
      <c r="J56" s="108"/>
      <c r="K56" s="108"/>
      <c r="L56" s="108"/>
      <c r="M56" s="108"/>
      <c r="N56" s="108"/>
      <c r="O56" s="270"/>
      <c r="P56" s="270"/>
      <c r="Q56" s="267"/>
      <c r="R56" s="267"/>
    </row>
    <row r="57" spans="2:18" s="109" customFormat="1" x14ac:dyDescent="0.25">
      <c r="B57" s="108"/>
      <c r="C57" s="108"/>
      <c r="D57" s="108"/>
      <c r="E57" s="108"/>
      <c r="F57" s="108"/>
      <c r="G57" s="108"/>
      <c r="H57" s="108"/>
      <c r="I57" s="108"/>
      <c r="J57" s="108"/>
      <c r="K57" s="108"/>
      <c r="L57" s="108"/>
      <c r="M57" s="108"/>
      <c r="N57" s="108"/>
      <c r="O57" s="270"/>
      <c r="P57" s="270"/>
      <c r="Q57" s="267"/>
      <c r="R57" s="267"/>
    </row>
    <row r="58" spans="2:18" s="109" customFormat="1" x14ac:dyDescent="0.25">
      <c r="B58" s="108"/>
      <c r="C58" s="108"/>
      <c r="D58" s="108"/>
      <c r="E58" s="108"/>
      <c r="F58" s="108"/>
      <c r="G58" s="108"/>
      <c r="H58" s="108"/>
      <c r="I58" s="108"/>
      <c r="J58" s="108"/>
      <c r="K58" s="108"/>
      <c r="L58" s="108"/>
      <c r="M58" s="108"/>
      <c r="N58" s="108"/>
      <c r="O58" s="270"/>
      <c r="P58" s="270"/>
      <c r="Q58" s="267"/>
      <c r="R58" s="267"/>
    </row>
    <row r="59" spans="2:18" s="109" customFormat="1" x14ac:dyDescent="0.25">
      <c r="B59" s="108"/>
      <c r="C59" s="108"/>
      <c r="D59" s="108"/>
      <c r="E59" s="108"/>
      <c r="F59" s="108"/>
      <c r="G59" s="108"/>
      <c r="H59" s="108"/>
      <c r="I59" s="108"/>
      <c r="J59" s="108"/>
      <c r="K59" s="108"/>
      <c r="L59" s="108"/>
      <c r="M59" s="108"/>
      <c r="N59" s="108"/>
      <c r="O59" s="270"/>
      <c r="P59" s="270"/>
      <c r="Q59" s="267"/>
      <c r="R59" s="267"/>
    </row>
    <row r="60" spans="2:18" s="109" customFormat="1" x14ac:dyDescent="0.25">
      <c r="B60" s="108"/>
      <c r="C60" s="108"/>
      <c r="D60" s="108"/>
      <c r="E60" s="108"/>
      <c r="F60" s="108"/>
      <c r="G60" s="108"/>
      <c r="H60" s="108"/>
      <c r="I60" s="108"/>
      <c r="J60" s="108"/>
      <c r="K60" s="108"/>
      <c r="L60" s="108"/>
      <c r="M60" s="108"/>
      <c r="N60" s="108"/>
      <c r="O60" s="270"/>
      <c r="P60" s="270"/>
      <c r="Q60" s="267"/>
      <c r="R60" s="267"/>
    </row>
    <row r="61" spans="2:18" s="109" customFormat="1" x14ac:dyDescent="0.25">
      <c r="B61" s="108"/>
      <c r="C61" s="108"/>
      <c r="D61" s="108"/>
      <c r="E61" s="108"/>
      <c r="F61" s="108"/>
      <c r="G61" s="108"/>
      <c r="H61" s="108"/>
      <c r="I61" s="108"/>
      <c r="J61" s="108"/>
      <c r="K61" s="108"/>
      <c r="L61" s="108"/>
      <c r="M61" s="108"/>
      <c r="N61" s="108"/>
      <c r="O61" s="270"/>
      <c r="P61" s="270"/>
      <c r="Q61" s="267"/>
      <c r="R61" s="267"/>
    </row>
    <row r="62" spans="2:18" s="109" customFormat="1" x14ac:dyDescent="0.25">
      <c r="B62" s="108"/>
      <c r="C62" s="108"/>
      <c r="D62" s="108"/>
      <c r="E62" s="108"/>
      <c r="F62" s="108"/>
      <c r="G62" s="108"/>
      <c r="H62" s="108"/>
      <c r="I62" s="108"/>
      <c r="J62" s="108"/>
      <c r="K62" s="108"/>
      <c r="L62" s="108"/>
      <c r="M62" s="108"/>
      <c r="N62" s="108"/>
      <c r="O62" s="270"/>
      <c r="P62" s="270"/>
      <c r="Q62" s="267"/>
      <c r="R62" s="267"/>
    </row>
    <row r="63" spans="2:18" s="109" customFormat="1" x14ac:dyDescent="0.25">
      <c r="B63" s="108"/>
      <c r="C63" s="108"/>
      <c r="D63" s="108"/>
      <c r="E63" s="108"/>
      <c r="F63" s="108"/>
      <c r="G63" s="108"/>
      <c r="H63" s="108"/>
      <c r="I63" s="108"/>
      <c r="J63" s="108"/>
      <c r="K63" s="108"/>
      <c r="L63" s="108"/>
      <c r="M63" s="108"/>
      <c r="N63" s="108"/>
      <c r="O63" s="270"/>
      <c r="P63" s="270"/>
      <c r="Q63" s="267"/>
      <c r="R63" s="267"/>
    </row>
    <row r="64" spans="2:18" s="109" customFormat="1" x14ac:dyDescent="0.25">
      <c r="B64" s="108"/>
      <c r="C64" s="108"/>
      <c r="D64" s="108"/>
      <c r="E64" s="108"/>
      <c r="F64" s="108"/>
      <c r="G64" s="108"/>
      <c r="H64" s="108"/>
      <c r="I64" s="108"/>
      <c r="J64" s="108"/>
      <c r="K64" s="108"/>
      <c r="L64" s="108"/>
      <c r="M64" s="108"/>
      <c r="N64" s="108"/>
      <c r="O64" s="270"/>
      <c r="P64" s="270"/>
      <c r="Q64" s="267"/>
      <c r="R64" s="267"/>
    </row>
    <row r="65" spans="2:18" s="109" customFormat="1" x14ac:dyDescent="0.25">
      <c r="B65" s="108"/>
      <c r="C65" s="108"/>
      <c r="D65" s="108"/>
      <c r="E65" s="108"/>
      <c r="F65" s="108"/>
      <c r="G65" s="108"/>
      <c r="H65" s="108"/>
      <c r="I65" s="108"/>
      <c r="J65" s="108"/>
      <c r="K65" s="108"/>
      <c r="L65" s="108"/>
      <c r="M65" s="108"/>
      <c r="N65" s="108"/>
      <c r="O65" s="270"/>
      <c r="P65" s="270"/>
      <c r="Q65" s="267"/>
      <c r="R65" s="267"/>
    </row>
    <row r="66" spans="2:18" s="109" customFormat="1" x14ac:dyDescent="0.25">
      <c r="B66" s="108"/>
      <c r="C66" s="108"/>
      <c r="D66" s="108"/>
      <c r="E66" s="108"/>
      <c r="F66" s="108"/>
      <c r="G66" s="108"/>
      <c r="H66" s="108"/>
      <c r="I66" s="108"/>
      <c r="J66" s="108"/>
      <c r="K66" s="108"/>
      <c r="L66" s="108"/>
      <c r="M66" s="108"/>
      <c r="N66" s="108"/>
      <c r="O66" s="270"/>
      <c r="P66" s="270"/>
      <c r="Q66" s="267"/>
      <c r="R66" s="267"/>
    </row>
    <row r="67" spans="2:18" s="109" customFormat="1" x14ac:dyDescent="0.25">
      <c r="B67" s="108"/>
      <c r="C67" s="108"/>
      <c r="D67" s="108"/>
      <c r="E67" s="108"/>
      <c r="F67" s="108"/>
      <c r="G67" s="108"/>
      <c r="H67" s="108"/>
      <c r="I67" s="108"/>
      <c r="J67" s="108"/>
      <c r="K67" s="108"/>
      <c r="L67" s="108"/>
      <c r="M67" s="108"/>
      <c r="N67" s="108"/>
      <c r="O67" s="270"/>
      <c r="P67" s="270"/>
      <c r="Q67" s="267"/>
      <c r="R67" s="267"/>
    </row>
    <row r="68" spans="2:18" s="109" customFormat="1" x14ac:dyDescent="0.25">
      <c r="B68" s="108"/>
      <c r="C68" s="108"/>
      <c r="D68" s="108"/>
      <c r="E68" s="108"/>
      <c r="F68" s="108"/>
      <c r="G68" s="108"/>
      <c r="H68" s="108"/>
      <c r="I68" s="108"/>
      <c r="J68" s="108"/>
      <c r="K68" s="108"/>
      <c r="L68" s="108"/>
      <c r="M68" s="108"/>
      <c r="N68" s="108"/>
      <c r="O68" s="270"/>
      <c r="P68" s="270"/>
      <c r="Q68" s="267"/>
      <c r="R68" s="267"/>
    </row>
    <row r="69" spans="2:18" s="109" customFormat="1" x14ac:dyDescent="0.25">
      <c r="B69" s="108"/>
      <c r="C69" s="108"/>
      <c r="D69" s="108"/>
      <c r="E69" s="108"/>
      <c r="F69" s="108"/>
      <c r="G69" s="108"/>
      <c r="H69" s="108"/>
      <c r="I69" s="108"/>
      <c r="J69" s="108"/>
      <c r="K69" s="108"/>
      <c r="L69" s="108"/>
      <c r="M69" s="108"/>
      <c r="N69" s="108"/>
      <c r="O69" s="270"/>
      <c r="P69" s="270"/>
      <c r="Q69" s="267"/>
      <c r="R69" s="267"/>
    </row>
    <row r="70" spans="2:18" s="109" customFormat="1" x14ac:dyDescent="0.25">
      <c r="B70" s="108"/>
      <c r="C70" s="108"/>
      <c r="D70" s="108"/>
      <c r="E70" s="108"/>
      <c r="F70" s="108"/>
      <c r="G70" s="108"/>
      <c r="H70" s="108"/>
      <c r="I70" s="108"/>
      <c r="J70" s="108"/>
      <c r="K70" s="108"/>
      <c r="L70" s="108"/>
      <c r="M70" s="108"/>
      <c r="N70" s="108"/>
      <c r="O70" s="270"/>
      <c r="P70" s="270"/>
      <c r="Q70" s="267"/>
      <c r="R70" s="267"/>
    </row>
    <row r="71" spans="2:18" s="109" customFormat="1" x14ac:dyDescent="0.25">
      <c r="B71" s="108"/>
      <c r="C71" s="108"/>
      <c r="D71" s="108"/>
      <c r="E71" s="108"/>
      <c r="F71" s="108"/>
      <c r="G71" s="108"/>
      <c r="H71" s="108"/>
      <c r="I71" s="108"/>
      <c r="J71" s="108"/>
      <c r="K71" s="108"/>
      <c r="L71" s="108"/>
      <c r="M71" s="108"/>
      <c r="N71" s="108"/>
      <c r="O71" s="270"/>
      <c r="P71" s="270"/>
      <c r="Q71" s="267"/>
      <c r="R71" s="267"/>
    </row>
    <row r="72" spans="2:18" s="109" customFormat="1" x14ac:dyDescent="0.25">
      <c r="B72" s="108"/>
      <c r="C72" s="108"/>
      <c r="D72" s="108"/>
      <c r="E72" s="108"/>
      <c r="F72" s="108"/>
      <c r="G72" s="108"/>
      <c r="H72" s="108"/>
      <c r="I72" s="108"/>
      <c r="J72" s="108"/>
      <c r="K72" s="108"/>
      <c r="L72" s="108"/>
      <c r="M72" s="108"/>
      <c r="N72" s="108"/>
      <c r="O72" s="270"/>
      <c r="P72" s="270"/>
      <c r="Q72" s="267"/>
      <c r="R72" s="267"/>
    </row>
    <row r="73" spans="2:18" s="109" customFormat="1" x14ac:dyDescent="0.25">
      <c r="B73" s="108"/>
      <c r="C73" s="108"/>
      <c r="D73" s="108"/>
      <c r="E73" s="108"/>
      <c r="F73" s="108"/>
      <c r="G73" s="108"/>
      <c r="H73" s="108"/>
      <c r="I73" s="108"/>
      <c r="J73" s="108"/>
      <c r="K73" s="108"/>
      <c r="L73" s="108"/>
      <c r="M73" s="108"/>
      <c r="N73" s="108"/>
      <c r="O73" s="270"/>
      <c r="P73" s="270"/>
      <c r="Q73" s="267"/>
      <c r="R73" s="267"/>
    </row>
    <row r="74" spans="2:18" s="109" customFormat="1" x14ac:dyDescent="0.25">
      <c r="B74" s="108"/>
      <c r="C74" s="108"/>
      <c r="D74" s="108"/>
      <c r="E74" s="108"/>
      <c r="F74" s="108"/>
      <c r="G74" s="108"/>
      <c r="H74" s="108"/>
      <c r="I74" s="108"/>
      <c r="J74" s="108"/>
      <c r="K74" s="108"/>
      <c r="L74" s="108"/>
      <c r="M74" s="108"/>
      <c r="N74" s="108"/>
      <c r="O74" s="270"/>
      <c r="P74" s="270"/>
      <c r="Q74" s="267"/>
      <c r="R74" s="267"/>
    </row>
    <row r="75" spans="2:18" s="109" customFormat="1" x14ac:dyDescent="0.25">
      <c r="B75" s="108"/>
      <c r="C75" s="108"/>
      <c r="D75" s="108"/>
      <c r="E75" s="108"/>
      <c r="F75" s="108"/>
      <c r="G75" s="108"/>
      <c r="H75" s="108"/>
      <c r="I75" s="108"/>
      <c r="J75" s="108"/>
      <c r="K75" s="108"/>
      <c r="L75" s="108"/>
      <c r="M75" s="108"/>
      <c r="N75" s="108"/>
      <c r="O75" s="270"/>
      <c r="P75" s="270"/>
      <c r="Q75" s="267"/>
      <c r="R75" s="267"/>
    </row>
    <row r="76" spans="2:18" s="109" customFormat="1" x14ac:dyDescent="0.25">
      <c r="B76" s="108"/>
      <c r="C76" s="108"/>
      <c r="D76" s="108"/>
      <c r="E76" s="108"/>
      <c r="F76" s="108"/>
      <c r="G76" s="108"/>
      <c r="H76" s="108"/>
      <c r="I76" s="108"/>
      <c r="J76" s="108"/>
      <c r="K76" s="108"/>
      <c r="L76" s="108"/>
      <c r="M76" s="108"/>
      <c r="N76" s="108"/>
      <c r="O76" s="270"/>
      <c r="P76" s="270"/>
      <c r="Q76" s="267"/>
      <c r="R76" s="267"/>
    </row>
    <row r="77" spans="2:18" s="109" customFormat="1" x14ac:dyDescent="0.25">
      <c r="B77" s="108"/>
      <c r="C77" s="108"/>
      <c r="D77" s="108"/>
      <c r="E77" s="108"/>
      <c r="F77" s="108"/>
      <c r="G77" s="108"/>
      <c r="H77" s="108"/>
      <c r="I77" s="108"/>
      <c r="J77" s="108"/>
      <c r="K77" s="108"/>
      <c r="L77" s="108"/>
      <c r="M77" s="108"/>
      <c r="N77" s="108"/>
      <c r="O77" s="270"/>
      <c r="P77" s="270"/>
      <c r="Q77" s="267"/>
      <c r="R77" s="267"/>
    </row>
    <row r="78" spans="2:18" s="109" customFormat="1" x14ac:dyDescent="0.25">
      <c r="B78" s="108"/>
      <c r="C78" s="108"/>
      <c r="D78" s="108"/>
      <c r="E78" s="108"/>
      <c r="F78" s="108"/>
      <c r="G78" s="108"/>
      <c r="H78" s="108"/>
      <c r="I78" s="108"/>
      <c r="J78" s="108"/>
      <c r="K78" s="108"/>
      <c r="L78" s="108"/>
      <c r="M78" s="108"/>
      <c r="N78" s="108"/>
      <c r="O78" s="270"/>
      <c r="P78" s="270"/>
      <c r="Q78" s="267"/>
      <c r="R78" s="267"/>
    </row>
    <row r="79" spans="2:18" s="109" customFormat="1" x14ac:dyDescent="0.25">
      <c r="B79" s="108"/>
      <c r="C79" s="108"/>
      <c r="D79" s="108"/>
      <c r="E79" s="108"/>
      <c r="F79" s="108"/>
      <c r="G79" s="108"/>
      <c r="H79" s="108"/>
      <c r="I79" s="108"/>
      <c r="J79" s="108"/>
      <c r="K79" s="108"/>
      <c r="L79" s="108"/>
      <c r="M79" s="108"/>
      <c r="N79" s="108"/>
      <c r="O79" s="270"/>
      <c r="P79" s="270"/>
      <c r="Q79" s="267"/>
      <c r="R79" s="267"/>
    </row>
    <row r="80" spans="2:18" s="109" customFormat="1" x14ac:dyDescent="0.25">
      <c r="B80" s="108"/>
      <c r="C80" s="108"/>
      <c r="D80" s="108"/>
      <c r="E80" s="108"/>
      <c r="F80" s="108"/>
      <c r="G80" s="108"/>
      <c r="H80" s="108"/>
      <c r="I80" s="108"/>
      <c r="J80" s="108"/>
      <c r="K80" s="108"/>
      <c r="L80" s="108"/>
      <c r="M80" s="108"/>
      <c r="N80" s="108"/>
      <c r="O80" s="270"/>
      <c r="P80" s="270"/>
      <c r="Q80" s="267"/>
      <c r="R80" s="267"/>
    </row>
    <row r="81" spans="2:18" s="109" customFormat="1" x14ac:dyDescent="0.25">
      <c r="B81" s="108"/>
      <c r="C81" s="108"/>
      <c r="D81" s="108"/>
      <c r="E81" s="108"/>
      <c r="F81" s="108"/>
      <c r="G81" s="108"/>
      <c r="H81" s="108"/>
      <c r="I81" s="108"/>
      <c r="J81" s="108"/>
      <c r="K81" s="108"/>
      <c r="L81" s="108"/>
      <c r="M81" s="108"/>
      <c r="N81" s="108"/>
      <c r="O81" s="270"/>
      <c r="P81" s="270"/>
      <c r="Q81" s="267"/>
      <c r="R81" s="267"/>
    </row>
    <row r="82" spans="2:18" s="109" customFormat="1" x14ac:dyDescent="0.25">
      <c r="B82" s="108"/>
      <c r="C82" s="108"/>
      <c r="D82" s="108"/>
      <c r="E82" s="108"/>
      <c r="F82" s="108"/>
      <c r="G82" s="108"/>
      <c r="H82" s="108"/>
      <c r="I82" s="108"/>
      <c r="J82" s="108"/>
      <c r="K82" s="108"/>
      <c r="L82" s="108"/>
      <c r="M82" s="108"/>
      <c r="N82" s="108"/>
      <c r="O82" s="270"/>
      <c r="P82" s="270"/>
      <c r="Q82" s="267"/>
      <c r="R82" s="267"/>
    </row>
    <row r="83" spans="2:18" s="109" customFormat="1" x14ac:dyDescent="0.25">
      <c r="B83" s="108"/>
      <c r="C83" s="108"/>
      <c r="D83" s="108"/>
      <c r="E83" s="108"/>
      <c r="F83" s="108"/>
      <c r="G83" s="108"/>
      <c r="H83" s="108"/>
      <c r="I83" s="108"/>
      <c r="J83" s="108"/>
      <c r="K83" s="108"/>
      <c r="L83" s="108"/>
      <c r="M83" s="108"/>
      <c r="N83" s="108"/>
      <c r="O83" s="270"/>
      <c r="P83" s="270"/>
      <c r="Q83" s="267"/>
      <c r="R83" s="267"/>
    </row>
    <row r="84" spans="2:18" s="109" customFormat="1" x14ac:dyDescent="0.25">
      <c r="B84" s="108"/>
      <c r="C84" s="108"/>
      <c r="D84" s="108"/>
      <c r="E84" s="108"/>
      <c r="F84" s="108"/>
      <c r="G84" s="108"/>
      <c r="H84" s="108"/>
      <c r="I84" s="108"/>
      <c r="J84" s="108"/>
      <c r="K84" s="108"/>
      <c r="L84" s="108"/>
      <c r="M84" s="108"/>
      <c r="N84" s="108"/>
      <c r="O84" s="270"/>
      <c r="P84" s="270"/>
      <c r="Q84" s="267"/>
      <c r="R84" s="267"/>
    </row>
    <row r="85" spans="2:18" s="109" customFormat="1" x14ac:dyDescent="0.25">
      <c r="B85" s="108"/>
      <c r="C85" s="108"/>
      <c r="D85" s="108"/>
      <c r="E85" s="108"/>
      <c r="F85" s="108"/>
      <c r="G85" s="108"/>
      <c r="H85" s="108"/>
      <c r="I85" s="108"/>
      <c r="J85" s="108"/>
      <c r="K85" s="108"/>
      <c r="L85" s="108"/>
      <c r="M85" s="108"/>
      <c r="N85" s="108"/>
      <c r="O85" s="270"/>
      <c r="P85" s="270"/>
      <c r="Q85" s="267"/>
      <c r="R85" s="267"/>
    </row>
    <row r="86" spans="2:18" s="109" customFormat="1" x14ac:dyDescent="0.25">
      <c r="B86" s="108"/>
      <c r="C86" s="108"/>
      <c r="D86" s="108"/>
      <c r="E86" s="108"/>
      <c r="F86" s="108"/>
      <c r="G86" s="108"/>
      <c r="H86" s="108"/>
      <c r="I86" s="108"/>
      <c r="J86" s="108"/>
      <c r="K86" s="108"/>
      <c r="L86" s="108"/>
      <c r="M86" s="108"/>
      <c r="N86" s="108"/>
      <c r="O86" s="270"/>
      <c r="P86" s="270"/>
      <c r="Q86" s="267"/>
      <c r="R86" s="267"/>
    </row>
    <row r="87" spans="2:18" s="109" customFormat="1" x14ac:dyDescent="0.25">
      <c r="B87" s="108"/>
      <c r="C87" s="108"/>
      <c r="D87" s="108"/>
      <c r="E87" s="108"/>
      <c r="F87" s="108"/>
      <c r="G87" s="108"/>
      <c r="H87" s="108"/>
      <c r="I87" s="108"/>
      <c r="J87" s="108"/>
      <c r="K87" s="108"/>
      <c r="L87" s="108"/>
      <c r="M87" s="108"/>
      <c r="N87" s="108"/>
      <c r="O87" s="270"/>
      <c r="P87" s="270"/>
      <c r="Q87" s="267"/>
      <c r="R87" s="267"/>
    </row>
    <row r="88" spans="2:18" s="109" customFormat="1" x14ac:dyDescent="0.25">
      <c r="B88" s="108"/>
      <c r="C88" s="108"/>
      <c r="D88" s="108"/>
      <c r="E88" s="108"/>
      <c r="F88" s="108"/>
      <c r="G88" s="108"/>
      <c r="H88" s="108"/>
      <c r="I88" s="108"/>
      <c r="J88" s="108"/>
      <c r="K88" s="108"/>
      <c r="L88" s="108"/>
      <c r="M88" s="108"/>
      <c r="N88" s="108"/>
      <c r="O88" s="270"/>
      <c r="P88" s="270"/>
      <c r="Q88" s="267"/>
      <c r="R88" s="267"/>
    </row>
    <row r="89" spans="2:18" s="109" customFormat="1" x14ac:dyDescent="0.25">
      <c r="B89" s="108"/>
      <c r="C89" s="108"/>
      <c r="D89" s="108"/>
      <c r="E89" s="108"/>
      <c r="F89" s="108"/>
      <c r="G89" s="108"/>
      <c r="H89" s="108"/>
      <c r="I89" s="108"/>
      <c r="J89" s="108"/>
      <c r="K89" s="108"/>
      <c r="L89" s="108"/>
      <c r="M89" s="108"/>
      <c r="N89" s="108"/>
      <c r="O89" s="270"/>
      <c r="P89" s="270"/>
      <c r="Q89" s="267"/>
      <c r="R89" s="267"/>
    </row>
    <row r="90" spans="2:18" s="109" customFormat="1" x14ac:dyDescent="0.25">
      <c r="B90" s="108"/>
      <c r="C90" s="108"/>
      <c r="D90" s="108"/>
      <c r="E90" s="108"/>
      <c r="F90" s="108"/>
      <c r="G90" s="108"/>
      <c r="H90" s="108"/>
      <c r="I90" s="108"/>
      <c r="J90" s="108"/>
      <c r="K90" s="108"/>
      <c r="L90" s="108"/>
      <c r="M90" s="108"/>
      <c r="N90" s="108"/>
      <c r="O90" s="270"/>
      <c r="P90" s="270"/>
      <c r="Q90" s="267"/>
      <c r="R90" s="267"/>
    </row>
    <row r="91" spans="2:18" s="109" customFormat="1" x14ac:dyDescent="0.25">
      <c r="B91" s="108"/>
      <c r="C91" s="108"/>
      <c r="D91" s="108"/>
      <c r="E91" s="108"/>
      <c r="F91" s="108"/>
      <c r="G91" s="108"/>
      <c r="H91" s="108"/>
      <c r="I91" s="108"/>
      <c r="J91" s="108"/>
      <c r="K91" s="108"/>
      <c r="L91" s="108"/>
      <c r="M91" s="108"/>
      <c r="N91" s="108"/>
      <c r="O91" s="270"/>
      <c r="P91" s="270"/>
      <c r="Q91" s="267"/>
      <c r="R91" s="267"/>
    </row>
    <row r="92" spans="2:18" s="109" customFormat="1" x14ac:dyDescent="0.25">
      <c r="B92" s="108"/>
      <c r="C92" s="108"/>
      <c r="D92" s="108"/>
      <c r="E92" s="108"/>
      <c r="F92" s="108"/>
      <c r="G92" s="108"/>
      <c r="H92" s="108"/>
      <c r="I92" s="108"/>
      <c r="J92" s="108"/>
      <c r="K92" s="108"/>
      <c r="L92" s="108"/>
      <c r="M92" s="108"/>
      <c r="N92" s="108"/>
      <c r="O92" s="270"/>
      <c r="P92" s="270"/>
      <c r="Q92" s="267"/>
      <c r="R92" s="267"/>
    </row>
    <row r="93" spans="2:18" s="109" customFormat="1" x14ac:dyDescent="0.25">
      <c r="B93" s="108"/>
      <c r="C93" s="108"/>
      <c r="D93" s="108"/>
      <c r="E93" s="108"/>
      <c r="F93" s="108"/>
      <c r="G93" s="108"/>
      <c r="H93" s="108"/>
      <c r="I93" s="108"/>
      <c r="J93" s="108"/>
      <c r="K93" s="108"/>
      <c r="L93" s="108"/>
      <c r="M93" s="108"/>
      <c r="N93" s="108"/>
      <c r="O93" s="270"/>
      <c r="P93" s="270"/>
      <c r="Q93" s="267"/>
      <c r="R93" s="267"/>
    </row>
    <row r="94" spans="2:18" s="109" customFormat="1" x14ac:dyDescent="0.25">
      <c r="B94" s="108"/>
      <c r="C94" s="108"/>
      <c r="D94" s="108"/>
      <c r="E94" s="108"/>
      <c r="F94" s="108"/>
      <c r="G94" s="108"/>
      <c r="H94" s="108"/>
      <c r="I94" s="108"/>
      <c r="J94" s="108"/>
      <c r="K94" s="108"/>
      <c r="L94" s="108"/>
      <c r="M94" s="108"/>
      <c r="N94" s="108"/>
      <c r="O94" s="270"/>
      <c r="P94" s="270"/>
      <c r="Q94" s="268"/>
      <c r="R94" s="267"/>
    </row>
    <row r="95" spans="2:18" x14ac:dyDescent="0.25">
      <c r="B95" s="108"/>
      <c r="C95" s="108"/>
      <c r="D95" s="108"/>
      <c r="E95" s="108"/>
      <c r="F95" s="108"/>
      <c r="G95" s="108"/>
      <c r="H95" s="108"/>
      <c r="I95" s="108"/>
      <c r="J95" s="108"/>
      <c r="K95" s="108"/>
      <c r="L95" s="108"/>
      <c r="M95" s="108"/>
      <c r="N95" s="108"/>
      <c r="O95" s="270"/>
      <c r="P95" s="270"/>
    </row>
    <row r="96" spans="2:18" x14ac:dyDescent="0.25">
      <c r="B96" s="108"/>
      <c r="C96" s="108"/>
      <c r="D96" s="108"/>
      <c r="E96" s="108"/>
      <c r="F96" s="108"/>
      <c r="G96" s="108"/>
      <c r="H96" s="108"/>
      <c r="I96" s="108"/>
      <c r="J96" s="108"/>
      <c r="K96" s="108"/>
      <c r="L96" s="108"/>
      <c r="M96" s="108"/>
      <c r="N96" s="108"/>
      <c r="O96" s="270"/>
      <c r="P96" s="270"/>
    </row>
    <row r="97" spans="1:19" x14ac:dyDescent="0.25">
      <c r="B97" s="108"/>
      <c r="C97" s="108"/>
      <c r="D97" s="108"/>
      <c r="E97" s="108"/>
      <c r="F97" s="108"/>
      <c r="G97" s="108"/>
      <c r="H97" s="108"/>
      <c r="I97" s="108"/>
      <c r="J97" s="108"/>
      <c r="K97" s="108"/>
      <c r="L97" s="108"/>
      <c r="M97" s="108"/>
      <c r="N97" s="108"/>
      <c r="O97" s="270"/>
      <c r="P97" s="270"/>
    </row>
    <row r="98" spans="1:19" s="268" customFormat="1" x14ac:dyDescent="0.25">
      <c r="A98" s="107"/>
      <c r="B98" s="108"/>
      <c r="C98" s="108"/>
      <c r="D98" s="108"/>
      <c r="E98" s="108"/>
      <c r="F98" s="108"/>
      <c r="G98" s="108"/>
      <c r="H98" s="108"/>
      <c r="I98" s="108"/>
      <c r="J98" s="108"/>
      <c r="K98" s="108"/>
      <c r="L98" s="108"/>
      <c r="M98" s="108"/>
      <c r="N98" s="108"/>
      <c r="O98" s="270"/>
      <c r="P98" s="270"/>
      <c r="S98" s="107"/>
    </row>
    <row r="99" spans="1:19" s="268" customFormat="1" x14ac:dyDescent="0.25">
      <c r="A99" s="107"/>
      <c r="B99" s="108"/>
      <c r="C99" s="108"/>
      <c r="D99" s="108"/>
      <c r="E99" s="108"/>
      <c r="F99" s="108"/>
      <c r="G99" s="108"/>
      <c r="H99" s="108"/>
      <c r="I99" s="108"/>
      <c r="J99" s="108"/>
      <c r="K99" s="108"/>
      <c r="L99" s="108"/>
      <c r="M99" s="108"/>
      <c r="N99" s="108"/>
      <c r="O99" s="270"/>
      <c r="P99" s="270"/>
      <c r="S99" s="107"/>
    </row>
    <row r="100" spans="1:19" s="268" customFormat="1" x14ac:dyDescent="0.25">
      <c r="A100" s="107"/>
      <c r="B100" s="108"/>
      <c r="C100" s="108"/>
      <c r="D100" s="108"/>
      <c r="E100" s="108"/>
      <c r="F100" s="108"/>
      <c r="G100" s="108"/>
      <c r="H100" s="108"/>
      <c r="I100" s="108"/>
      <c r="J100" s="108"/>
      <c r="K100" s="108"/>
      <c r="L100" s="108"/>
      <c r="M100" s="108"/>
      <c r="N100" s="108"/>
      <c r="O100" s="270"/>
      <c r="P100" s="270"/>
      <c r="S100" s="107"/>
    </row>
    <row r="101" spans="1:19" s="268" customFormat="1" x14ac:dyDescent="0.25">
      <c r="A101" s="107"/>
      <c r="B101" s="108"/>
      <c r="C101" s="108"/>
      <c r="D101" s="108"/>
      <c r="E101" s="108"/>
      <c r="F101" s="108"/>
      <c r="G101" s="108"/>
      <c r="H101" s="108"/>
      <c r="I101" s="108"/>
      <c r="J101" s="108"/>
      <c r="K101" s="108"/>
      <c r="L101" s="108"/>
      <c r="M101" s="108"/>
      <c r="N101" s="108"/>
      <c r="O101" s="270"/>
      <c r="P101" s="270"/>
      <c r="S101" s="107"/>
    </row>
    <row r="102" spans="1:19" s="268" customFormat="1" x14ac:dyDescent="0.25">
      <c r="A102" s="107"/>
      <c r="B102" s="108"/>
      <c r="C102" s="108"/>
      <c r="D102" s="108"/>
      <c r="E102" s="108"/>
      <c r="F102" s="108"/>
      <c r="G102" s="108"/>
      <c r="H102" s="108"/>
      <c r="I102" s="108"/>
      <c r="J102" s="108"/>
      <c r="K102" s="108"/>
      <c r="L102" s="108"/>
      <c r="M102" s="108"/>
      <c r="N102" s="108"/>
      <c r="O102" s="270"/>
      <c r="P102" s="270"/>
      <c r="S102" s="107"/>
    </row>
    <row r="103" spans="1:19" s="268" customFormat="1" x14ac:dyDescent="0.25">
      <c r="A103" s="107"/>
      <c r="B103" s="108"/>
      <c r="C103" s="108"/>
      <c r="D103" s="108"/>
      <c r="E103" s="108"/>
      <c r="F103" s="108"/>
      <c r="G103" s="108"/>
      <c r="H103" s="108"/>
      <c r="I103" s="108"/>
      <c r="J103" s="108"/>
      <c r="K103" s="108"/>
      <c r="L103" s="108"/>
      <c r="M103" s="108"/>
      <c r="N103" s="108"/>
      <c r="O103" s="270"/>
      <c r="P103" s="270"/>
      <c r="S103" s="107"/>
    </row>
    <row r="104" spans="1:19" s="268" customFormat="1" x14ac:dyDescent="0.25">
      <c r="A104" s="107"/>
      <c r="B104" s="108"/>
      <c r="C104" s="108"/>
      <c r="D104" s="108"/>
      <c r="E104" s="108"/>
      <c r="F104" s="108"/>
      <c r="G104" s="108"/>
      <c r="H104" s="108"/>
      <c r="I104" s="108"/>
      <c r="J104" s="108"/>
      <c r="K104" s="108"/>
      <c r="L104" s="108"/>
      <c r="M104" s="108"/>
      <c r="N104" s="108"/>
      <c r="O104" s="270"/>
      <c r="P104" s="270"/>
      <c r="S104" s="107"/>
    </row>
    <row r="105" spans="1:19" s="268" customFormat="1" x14ac:dyDescent="0.25">
      <c r="A105" s="107"/>
      <c r="B105" s="108"/>
      <c r="C105" s="108"/>
      <c r="D105" s="108"/>
      <c r="E105" s="108"/>
      <c r="F105" s="108"/>
      <c r="G105" s="108"/>
      <c r="H105" s="108"/>
      <c r="I105" s="108"/>
      <c r="J105" s="108"/>
      <c r="K105" s="108"/>
      <c r="L105" s="108"/>
      <c r="M105" s="108"/>
      <c r="N105" s="108"/>
      <c r="O105" s="270"/>
      <c r="P105" s="270"/>
      <c r="S105" s="107"/>
    </row>
    <row r="106" spans="1:19" s="268" customFormat="1" x14ac:dyDescent="0.25">
      <c r="A106" s="107"/>
      <c r="B106" s="108"/>
      <c r="C106" s="108"/>
      <c r="D106" s="108"/>
      <c r="E106" s="108"/>
      <c r="F106" s="108"/>
      <c r="G106" s="108"/>
      <c r="H106" s="108"/>
      <c r="I106" s="108"/>
      <c r="J106" s="108"/>
      <c r="K106" s="108"/>
      <c r="L106" s="108"/>
      <c r="M106" s="108"/>
      <c r="N106" s="108"/>
      <c r="O106" s="270"/>
      <c r="P106" s="270"/>
    </row>
    <row r="107" spans="1:19" s="268" customFormat="1" x14ac:dyDescent="0.25">
      <c r="A107" s="107"/>
      <c r="B107" s="108"/>
      <c r="C107" s="108"/>
      <c r="D107" s="108"/>
      <c r="E107" s="108"/>
      <c r="F107" s="108"/>
      <c r="G107" s="108"/>
      <c r="H107" s="108"/>
      <c r="I107" s="108"/>
      <c r="J107" s="108"/>
      <c r="K107" s="108"/>
      <c r="L107" s="108"/>
      <c r="M107" s="108"/>
      <c r="N107" s="108"/>
      <c r="O107" s="270"/>
      <c r="P107" s="270"/>
    </row>
    <row r="108" spans="1:19" s="268" customFormat="1" x14ac:dyDescent="0.25">
      <c r="A108" s="107"/>
      <c r="B108" s="108"/>
      <c r="C108" s="108"/>
      <c r="D108" s="108"/>
      <c r="E108" s="108"/>
      <c r="F108" s="108"/>
      <c r="G108" s="108"/>
      <c r="H108" s="108"/>
      <c r="I108" s="108"/>
      <c r="J108" s="108"/>
      <c r="K108" s="108"/>
      <c r="L108" s="108"/>
      <c r="M108" s="108"/>
      <c r="N108" s="108"/>
      <c r="O108" s="270"/>
      <c r="P108" s="270"/>
    </row>
    <row r="109" spans="1:19" s="268" customFormat="1" x14ac:dyDescent="0.25">
      <c r="A109" s="107"/>
      <c r="B109" s="108"/>
      <c r="C109" s="108"/>
      <c r="D109" s="108"/>
      <c r="E109" s="108"/>
      <c r="F109" s="108"/>
      <c r="G109" s="108"/>
      <c r="H109" s="108"/>
      <c r="I109" s="108"/>
      <c r="J109" s="108"/>
      <c r="K109" s="108"/>
      <c r="L109" s="108"/>
      <c r="M109" s="108"/>
      <c r="N109" s="108"/>
      <c r="O109" s="270"/>
      <c r="P109" s="270"/>
    </row>
    <row r="110" spans="1:19" s="268" customFormat="1" x14ac:dyDescent="0.25">
      <c r="A110" s="107"/>
      <c r="B110" s="108"/>
      <c r="C110" s="108"/>
      <c r="D110" s="108"/>
      <c r="E110" s="108"/>
      <c r="F110" s="108"/>
      <c r="G110" s="108"/>
      <c r="H110" s="108"/>
      <c r="I110" s="108"/>
      <c r="J110" s="108"/>
      <c r="K110" s="108"/>
      <c r="L110" s="108"/>
      <c r="M110" s="108"/>
      <c r="N110" s="108"/>
      <c r="O110" s="270"/>
      <c r="P110" s="270"/>
    </row>
    <row r="111" spans="1:19" s="268" customFormat="1" x14ac:dyDescent="0.25">
      <c r="A111" s="107"/>
      <c r="B111" s="108"/>
      <c r="C111" s="108"/>
      <c r="D111" s="108"/>
      <c r="E111" s="108"/>
      <c r="F111" s="107"/>
      <c r="G111" s="107"/>
      <c r="H111" s="9"/>
      <c r="I111" s="9"/>
      <c r="J111" s="107"/>
      <c r="K111" s="107"/>
      <c r="L111" s="107"/>
      <c r="M111" s="9"/>
      <c r="N111" s="9"/>
    </row>
    <row r="112" spans="1:19" s="268" customFormat="1" x14ac:dyDescent="0.25">
      <c r="A112" s="107"/>
      <c r="B112" s="108"/>
      <c r="C112" s="108"/>
      <c r="D112" s="108"/>
      <c r="E112" s="108"/>
      <c r="F112" s="107"/>
      <c r="G112" s="107"/>
      <c r="H112" s="9"/>
      <c r="I112" s="9"/>
      <c r="J112" s="107"/>
      <c r="K112" s="107"/>
      <c r="L112" s="107"/>
      <c r="M112" s="9"/>
      <c r="N112" s="9"/>
    </row>
    <row r="113" spans="1:14" s="268" customFormat="1" x14ac:dyDescent="0.25">
      <c r="A113" s="107"/>
      <c r="B113" s="108"/>
      <c r="C113" s="108"/>
      <c r="D113" s="108"/>
      <c r="E113" s="108"/>
      <c r="F113" s="107"/>
      <c r="G113" s="107"/>
      <c r="H113" s="9"/>
      <c r="I113" s="9"/>
      <c r="J113" s="107"/>
      <c r="K113" s="107"/>
      <c r="L113" s="107"/>
      <c r="M113" s="9"/>
      <c r="N113" s="9"/>
    </row>
    <row r="114" spans="1:14" s="268" customFormat="1" x14ac:dyDescent="0.25">
      <c r="A114" s="107"/>
      <c r="B114" s="108"/>
      <c r="C114" s="108"/>
      <c r="D114" s="108"/>
      <c r="E114" s="108"/>
      <c r="F114" s="107"/>
      <c r="G114" s="107"/>
      <c r="H114" s="9"/>
      <c r="I114" s="9"/>
      <c r="J114" s="107"/>
      <c r="K114" s="107"/>
      <c r="L114" s="107"/>
      <c r="M114" s="9"/>
      <c r="N114" s="9"/>
    </row>
    <row r="115" spans="1:14" s="268" customFormat="1" x14ac:dyDescent="0.25">
      <c r="A115" s="107"/>
      <c r="B115" s="108"/>
      <c r="C115" s="108"/>
      <c r="D115" s="108"/>
      <c r="E115" s="108"/>
      <c r="F115" s="107"/>
      <c r="G115" s="107"/>
      <c r="H115" s="9"/>
      <c r="I115" s="9"/>
      <c r="J115" s="107"/>
      <c r="K115" s="107"/>
      <c r="L115" s="107"/>
      <c r="M115" s="9"/>
      <c r="N115" s="9"/>
    </row>
    <row r="116" spans="1:14" s="268" customFormat="1" x14ac:dyDescent="0.25">
      <c r="A116" s="107"/>
      <c r="B116" s="108"/>
      <c r="C116" s="108"/>
      <c r="D116" s="108"/>
      <c r="E116" s="108"/>
      <c r="F116" s="107"/>
      <c r="G116" s="107"/>
      <c r="H116" s="9"/>
      <c r="I116" s="9"/>
      <c r="J116" s="107"/>
      <c r="K116" s="107"/>
      <c r="L116" s="107"/>
      <c r="M116" s="9"/>
      <c r="N116" s="9"/>
    </row>
    <row r="117" spans="1:14" s="268" customFormat="1" x14ac:dyDescent="0.25">
      <c r="A117" s="107"/>
      <c r="B117" s="108"/>
      <c r="C117" s="108"/>
      <c r="D117" s="108"/>
      <c r="E117" s="108"/>
      <c r="F117" s="107"/>
      <c r="G117" s="107"/>
      <c r="H117" s="9"/>
      <c r="I117" s="9"/>
      <c r="J117" s="107"/>
      <c r="K117" s="107"/>
      <c r="L117" s="107"/>
      <c r="M117" s="9"/>
      <c r="N117" s="9"/>
    </row>
    <row r="118" spans="1:14" s="268" customFormat="1" x14ac:dyDescent="0.25">
      <c r="A118" s="107"/>
      <c r="B118" s="108"/>
      <c r="C118" s="108"/>
      <c r="D118" s="108"/>
      <c r="E118" s="108"/>
      <c r="F118" s="107"/>
      <c r="G118" s="107"/>
      <c r="H118" s="9"/>
      <c r="I118" s="9"/>
      <c r="J118" s="107"/>
      <c r="K118" s="107"/>
      <c r="L118" s="107"/>
      <c r="M118" s="9"/>
      <c r="N118" s="9"/>
    </row>
    <row r="119" spans="1:14" s="268" customFormat="1" x14ac:dyDescent="0.25">
      <c r="A119" s="107"/>
      <c r="B119" s="108"/>
      <c r="C119" s="108"/>
      <c r="D119" s="108"/>
      <c r="E119" s="108"/>
      <c r="F119" s="107"/>
      <c r="G119" s="107"/>
      <c r="H119" s="9"/>
      <c r="I119" s="9"/>
      <c r="J119" s="107"/>
      <c r="K119" s="107"/>
      <c r="L119" s="107"/>
      <c r="M119" s="9"/>
      <c r="N119" s="9"/>
    </row>
    <row r="120" spans="1:14" s="268" customFormat="1" x14ac:dyDescent="0.25">
      <c r="A120" s="107"/>
      <c r="B120" s="108"/>
      <c r="C120" s="108"/>
      <c r="D120" s="108"/>
      <c r="E120" s="108"/>
      <c r="F120" s="107"/>
      <c r="G120" s="107"/>
      <c r="H120" s="9"/>
      <c r="I120" s="9"/>
      <c r="J120" s="107"/>
      <c r="K120" s="107"/>
      <c r="L120" s="107"/>
      <c r="M120" s="9"/>
      <c r="N120" s="9"/>
    </row>
    <row r="121" spans="1:14" s="268" customFormat="1" x14ac:dyDescent="0.25">
      <c r="A121" s="107"/>
      <c r="B121" s="108"/>
      <c r="C121" s="108"/>
      <c r="D121" s="108"/>
      <c r="E121" s="108"/>
      <c r="F121" s="107"/>
      <c r="G121" s="107"/>
      <c r="H121" s="9"/>
      <c r="I121" s="9"/>
      <c r="J121" s="107"/>
      <c r="K121" s="107"/>
      <c r="L121" s="107"/>
      <c r="M121" s="9"/>
      <c r="N121" s="9"/>
    </row>
    <row r="122" spans="1:14" s="268" customFormat="1" x14ac:dyDescent="0.25">
      <c r="A122" s="107"/>
      <c r="B122" s="108"/>
      <c r="C122" s="108"/>
      <c r="D122" s="108"/>
      <c r="E122" s="108"/>
      <c r="F122" s="107"/>
      <c r="G122" s="107"/>
      <c r="H122" s="9"/>
      <c r="I122" s="9"/>
      <c r="J122" s="107"/>
      <c r="K122" s="107"/>
      <c r="L122" s="107"/>
      <c r="M122" s="9"/>
      <c r="N122" s="9"/>
    </row>
    <row r="123" spans="1:14" s="268" customFormat="1" x14ac:dyDescent="0.25">
      <c r="A123" s="107"/>
      <c r="B123" s="108"/>
      <c r="C123" s="108"/>
      <c r="D123" s="108"/>
      <c r="E123" s="108"/>
      <c r="F123" s="107"/>
      <c r="G123" s="107"/>
      <c r="H123" s="9"/>
      <c r="I123" s="9"/>
      <c r="J123" s="107"/>
      <c r="K123" s="107"/>
      <c r="L123" s="107"/>
      <c r="M123" s="9"/>
      <c r="N123" s="9"/>
    </row>
    <row r="124" spans="1:14" s="268" customFormat="1" x14ac:dyDescent="0.25">
      <c r="A124" s="107"/>
      <c r="B124" s="108"/>
      <c r="C124" s="108"/>
      <c r="D124" s="108"/>
      <c r="E124" s="108"/>
      <c r="F124" s="107"/>
      <c r="G124" s="107"/>
      <c r="H124" s="9"/>
      <c r="I124" s="9"/>
      <c r="J124" s="107"/>
      <c r="K124" s="107"/>
      <c r="L124" s="107"/>
      <c r="M124" s="9"/>
      <c r="N124" s="9"/>
    </row>
    <row r="125" spans="1:14" s="268" customFormat="1" x14ac:dyDescent="0.25">
      <c r="A125" s="107"/>
      <c r="B125" s="108"/>
      <c r="C125" s="108"/>
      <c r="D125" s="108"/>
      <c r="E125" s="108"/>
      <c r="F125" s="107"/>
      <c r="G125" s="107"/>
      <c r="H125" s="9"/>
      <c r="I125" s="9"/>
      <c r="J125" s="107"/>
      <c r="K125" s="107"/>
      <c r="L125" s="107"/>
      <c r="M125" s="9"/>
      <c r="N125" s="9"/>
    </row>
    <row r="126" spans="1:14" s="268" customFormat="1" x14ac:dyDescent="0.25">
      <c r="A126" s="107"/>
      <c r="B126" s="108"/>
      <c r="C126" s="108"/>
      <c r="D126" s="108"/>
      <c r="E126" s="108"/>
      <c r="F126" s="107"/>
      <c r="G126" s="107"/>
      <c r="H126" s="9"/>
      <c r="I126" s="9"/>
      <c r="J126" s="107"/>
      <c r="K126" s="107"/>
      <c r="L126" s="107"/>
      <c r="M126" s="9"/>
      <c r="N126" s="9"/>
    </row>
    <row r="127" spans="1:14" s="268" customFormat="1" x14ac:dyDescent="0.25">
      <c r="A127" s="107"/>
      <c r="B127" s="108"/>
      <c r="C127" s="108"/>
      <c r="D127" s="108"/>
      <c r="E127" s="108"/>
      <c r="F127" s="107"/>
      <c r="G127" s="107"/>
      <c r="H127" s="9"/>
      <c r="I127" s="9"/>
      <c r="J127" s="107"/>
      <c r="K127" s="107"/>
      <c r="L127" s="107"/>
      <c r="M127" s="9"/>
      <c r="N127" s="9"/>
    </row>
    <row r="128" spans="1:14" s="268" customFormat="1" x14ac:dyDescent="0.25">
      <c r="A128" s="107"/>
      <c r="B128" s="108"/>
      <c r="C128" s="108"/>
      <c r="D128" s="108"/>
      <c r="E128" s="108"/>
      <c r="F128" s="107"/>
      <c r="G128" s="107"/>
      <c r="H128" s="9"/>
      <c r="I128" s="9"/>
      <c r="J128" s="107"/>
      <c r="K128" s="107"/>
      <c r="L128" s="107"/>
      <c r="M128" s="9"/>
      <c r="N128" s="9"/>
    </row>
    <row r="129" spans="1:18" s="268" customFormat="1" x14ac:dyDescent="0.25">
      <c r="A129" s="107"/>
      <c r="B129" s="108"/>
      <c r="C129" s="108"/>
      <c r="D129" s="108"/>
      <c r="E129" s="108"/>
      <c r="F129" s="107"/>
      <c r="G129" s="107"/>
      <c r="H129" s="9"/>
      <c r="I129" s="9"/>
      <c r="J129" s="107"/>
      <c r="K129" s="107"/>
      <c r="L129" s="107"/>
      <c r="M129" s="9"/>
      <c r="N129" s="9"/>
    </row>
    <row r="130" spans="1:18" s="268" customFormat="1" x14ac:dyDescent="0.25">
      <c r="A130" s="107"/>
      <c r="B130" s="108"/>
      <c r="C130" s="108"/>
      <c r="D130" s="108"/>
      <c r="E130" s="108"/>
      <c r="F130" s="107"/>
      <c r="G130" s="107"/>
      <c r="H130" s="9"/>
      <c r="I130" s="9"/>
      <c r="J130" s="107"/>
      <c r="K130" s="107"/>
      <c r="L130" s="107"/>
      <c r="M130" s="9"/>
      <c r="N130" s="9"/>
    </row>
    <row r="131" spans="1:18" s="268" customFormat="1" x14ac:dyDescent="0.25">
      <c r="A131" s="107"/>
      <c r="B131" s="108"/>
      <c r="C131" s="108"/>
      <c r="D131" s="108"/>
      <c r="E131" s="108"/>
      <c r="F131" s="107"/>
      <c r="G131" s="107"/>
      <c r="H131" s="9"/>
      <c r="I131" s="9"/>
      <c r="J131" s="107"/>
      <c r="K131" s="107"/>
      <c r="L131" s="107"/>
      <c r="M131" s="9"/>
      <c r="N131" s="9"/>
    </row>
    <row r="132" spans="1:18" s="268" customFormat="1" x14ac:dyDescent="0.25">
      <c r="A132" s="107"/>
      <c r="B132" s="108"/>
      <c r="C132" s="108"/>
      <c r="D132" s="108"/>
      <c r="E132" s="108"/>
      <c r="F132" s="107"/>
      <c r="G132" s="107"/>
      <c r="H132" s="9"/>
      <c r="I132" s="9"/>
      <c r="J132" s="107"/>
      <c r="K132" s="107"/>
      <c r="L132" s="107"/>
      <c r="M132" s="9"/>
      <c r="N132" s="9"/>
    </row>
    <row r="133" spans="1:18" s="268" customFormat="1" x14ac:dyDescent="0.25">
      <c r="A133" s="107"/>
      <c r="B133" s="108"/>
      <c r="C133" s="108"/>
      <c r="D133" s="108"/>
      <c r="E133" s="108"/>
      <c r="F133" s="107"/>
      <c r="G133" s="107"/>
      <c r="H133" s="9"/>
      <c r="I133" s="9"/>
      <c r="J133" s="107"/>
      <c r="K133" s="107"/>
      <c r="L133" s="107"/>
      <c r="M133" s="9"/>
      <c r="N133" s="9"/>
    </row>
    <row r="134" spans="1:18" s="268" customFormat="1" x14ac:dyDescent="0.25">
      <c r="A134" s="107"/>
      <c r="B134" s="108"/>
      <c r="C134" s="108"/>
      <c r="D134" s="108"/>
      <c r="E134" s="108"/>
      <c r="F134" s="107"/>
      <c r="G134" s="107"/>
      <c r="H134" s="9"/>
      <c r="I134" s="9"/>
      <c r="J134" s="107"/>
      <c r="K134" s="107"/>
      <c r="L134" s="107"/>
      <c r="M134" s="9"/>
      <c r="N134" s="9"/>
    </row>
    <row r="135" spans="1:18" s="268" customFormat="1" x14ac:dyDescent="0.25">
      <c r="A135" s="107"/>
      <c r="B135" s="108"/>
      <c r="C135" s="108"/>
      <c r="D135" s="108"/>
      <c r="E135" s="108"/>
      <c r="F135" s="107"/>
      <c r="G135" s="107"/>
      <c r="H135" s="9"/>
      <c r="I135" s="9"/>
      <c r="J135" s="107"/>
      <c r="K135" s="107"/>
      <c r="L135" s="107"/>
      <c r="M135" s="9"/>
      <c r="N135" s="9"/>
    </row>
    <row r="136" spans="1:18" s="268" customFormat="1" x14ac:dyDescent="0.25">
      <c r="A136" s="107"/>
      <c r="B136" s="107"/>
      <c r="C136" s="9"/>
      <c r="D136" s="9"/>
      <c r="E136" s="107"/>
      <c r="F136" s="107"/>
      <c r="G136" s="107"/>
      <c r="H136" s="9"/>
      <c r="I136" s="9"/>
      <c r="J136" s="107"/>
      <c r="K136" s="107"/>
      <c r="L136" s="107"/>
      <c r="M136" s="9"/>
      <c r="N136" s="9"/>
    </row>
    <row r="137" spans="1:18" s="268" customFormat="1" x14ac:dyDescent="0.25">
      <c r="A137" s="107"/>
      <c r="B137" s="107"/>
      <c r="C137" s="9"/>
      <c r="D137" s="9"/>
      <c r="E137" s="107"/>
      <c r="F137" s="107"/>
      <c r="G137" s="107"/>
      <c r="H137" s="9"/>
      <c r="I137" s="9"/>
      <c r="J137" s="107"/>
      <c r="K137" s="107"/>
      <c r="L137" s="107"/>
      <c r="M137" s="9"/>
      <c r="N137" s="9"/>
    </row>
    <row r="138" spans="1:18" x14ac:dyDescent="0.25">
      <c r="C138" s="9"/>
      <c r="D138" s="9"/>
      <c r="H138" s="9"/>
      <c r="I138" s="9"/>
      <c r="M138" s="9"/>
      <c r="N138" s="9"/>
      <c r="O138" s="107"/>
      <c r="P138" s="107"/>
      <c r="Q138" s="107"/>
      <c r="R138" s="107"/>
    </row>
    <row r="139" spans="1:18" x14ac:dyDescent="0.25">
      <c r="C139" s="9"/>
      <c r="D139" s="9"/>
      <c r="H139" s="9"/>
      <c r="I139" s="9"/>
      <c r="M139" s="9"/>
      <c r="N139" s="9"/>
      <c r="O139" s="107"/>
      <c r="P139" s="107"/>
      <c r="Q139" s="107"/>
      <c r="R139" s="107"/>
    </row>
    <row r="140" spans="1:18" x14ac:dyDescent="0.25">
      <c r="C140" s="9"/>
      <c r="D140" s="9"/>
      <c r="H140" s="9"/>
      <c r="I140" s="9"/>
      <c r="M140" s="9"/>
      <c r="N140" s="9"/>
      <c r="O140" s="107"/>
      <c r="P140" s="107"/>
      <c r="Q140" s="107"/>
      <c r="R140" s="107"/>
    </row>
    <row r="141" spans="1:18" x14ac:dyDescent="0.25">
      <c r="C141" s="9"/>
      <c r="D141" s="9"/>
      <c r="H141" s="9"/>
      <c r="I141" s="9"/>
      <c r="M141" s="9"/>
      <c r="N141" s="9"/>
      <c r="O141" s="107"/>
      <c r="P141" s="107"/>
      <c r="Q141" s="107"/>
      <c r="R141" s="107"/>
    </row>
    <row r="142" spans="1:18" x14ac:dyDescent="0.25">
      <c r="C142" s="9"/>
      <c r="D142" s="9"/>
      <c r="H142" s="9"/>
      <c r="I142" s="9"/>
      <c r="M142" s="9"/>
      <c r="N142" s="9"/>
      <c r="O142" s="107"/>
      <c r="P142" s="107"/>
      <c r="Q142" s="107"/>
      <c r="R142" s="107"/>
    </row>
    <row r="143" spans="1:18" x14ac:dyDescent="0.25">
      <c r="C143" s="9"/>
      <c r="D143" s="9"/>
      <c r="H143" s="9"/>
      <c r="I143" s="9"/>
      <c r="M143" s="9"/>
      <c r="N143" s="9"/>
      <c r="O143" s="107"/>
      <c r="P143" s="107"/>
      <c r="Q143" s="107"/>
      <c r="R143" s="107"/>
    </row>
    <row r="144" spans="1:18" x14ac:dyDescent="0.25">
      <c r="C144" s="9"/>
      <c r="D144" s="9"/>
      <c r="H144" s="9"/>
      <c r="I144" s="9"/>
      <c r="M144" s="9"/>
      <c r="N144" s="9"/>
      <c r="O144" s="107"/>
      <c r="P144" s="107"/>
      <c r="Q144" s="107"/>
      <c r="R144" s="107"/>
    </row>
    <row r="145" spans="3:18" x14ac:dyDescent="0.25">
      <c r="C145" s="9"/>
      <c r="D145" s="9"/>
      <c r="H145" s="9"/>
      <c r="I145" s="9"/>
      <c r="M145" s="9"/>
      <c r="N145" s="9"/>
      <c r="O145" s="107"/>
      <c r="P145" s="107"/>
      <c r="Q145" s="107"/>
      <c r="R145" s="107"/>
    </row>
    <row r="146" spans="3:18" x14ac:dyDescent="0.25">
      <c r="C146" s="9"/>
      <c r="D146" s="9"/>
      <c r="H146" s="9"/>
      <c r="I146" s="9"/>
      <c r="M146" s="9"/>
      <c r="N146" s="9"/>
      <c r="O146" s="107"/>
      <c r="P146" s="107"/>
      <c r="Q146" s="107"/>
      <c r="R146" s="107"/>
    </row>
    <row r="147" spans="3:18" x14ac:dyDescent="0.25">
      <c r="C147" s="9"/>
      <c r="D147" s="9"/>
      <c r="H147" s="9"/>
      <c r="I147" s="9"/>
      <c r="M147" s="9"/>
      <c r="N147" s="9"/>
      <c r="O147" s="107"/>
      <c r="P147" s="107"/>
      <c r="Q147" s="107"/>
      <c r="R147" s="107"/>
    </row>
    <row r="148" spans="3:18" x14ac:dyDescent="0.25">
      <c r="C148" s="9"/>
      <c r="D148" s="9"/>
      <c r="H148" s="9"/>
      <c r="I148" s="9"/>
      <c r="M148" s="9"/>
      <c r="N148" s="9"/>
      <c r="O148" s="107"/>
      <c r="P148" s="107"/>
      <c r="Q148" s="107"/>
      <c r="R148" s="107"/>
    </row>
    <row r="149" spans="3:18" x14ac:dyDescent="0.25">
      <c r="C149" s="9"/>
      <c r="D149" s="9"/>
      <c r="H149" s="9"/>
      <c r="I149" s="9"/>
      <c r="M149" s="9"/>
      <c r="N149" s="9"/>
      <c r="O149" s="107"/>
      <c r="P149" s="107"/>
      <c r="Q149" s="107"/>
      <c r="R149" s="107"/>
    </row>
    <row r="150" spans="3:18" x14ac:dyDescent="0.25">
      <c r="C150" s="9"/>
      <c r="D150" s="9"/>
      <c r="H150" s="9"/>
      <c r="I150" s="9"/>
      <c r="M150" s="9"/>
      <c r="N150" s="9"/>
      <c r="O150" s="107"/>
      <c r="P150" s="107"/>
      <c r="Q150" s="107"/>
      <c r="R150" s="107"/>
    </row>
    <row r="151" spans="3:18" x14ac:dyDescent="0.25">
      <c r="C151" s="9"/>
      <c r="D151" s="9"/>
      <c r="H151" s="9"/>
      <c r="I151" s="9"/>
      <c r="M151" s="9"/>
      <c r="N151" s="9"/>
      <c r="O151" s="107"/>
      <c r="P151" s="107"/>
      <c r="Q151" s="107"/>
      <c r="R151" s="107"/>
    </row>
    <row r="152" spans="3:18" x14ac:dyDescent="0.25">
      <c r="C152" s="9"/>
      <c r="D152" s="9"/>
      <c r="H152" s="9"/>
      <c r="I152" s="9"/>
      <c r="M152" s="9"/>
      <c r="N152" s="9"/>
      <c r="O152" s="107"/>
      <c r="P152" s="107"/>
      <c r="Q152" s="107"/>
      <c r="R152" s="107"/>
    </row>
    <row r="153" spans="3:18" x14ac:dyDescent="0.25">
      <c r="C153" s="9"/>
      <c r="D153" s="9"/>
      <c r="H153" s="9"/>
      <c r="I153" s="9"/>
      <c r="M153" s="9"/>
      <c r="N153" s="9"/>
      <c r="O153" s="107"/>
      <c r="P153" s="107"/>
      <c r="Q153" s="107"/>
      <c r="R153" s="107"/>
    </row>
    <row r="154" spans="3:18" x14ac:dyDescent="0.25">
      <c r="C154" s="9"/>
      <c r="D154" s="9"/>
      <c r="H154" s="9"/>
      <c r="I154" s="9"/>
      <c r="M154" s="9"/>
      <c r="N154" s="9"/>
      <c r="O154" s="107"/>
      <c r="P154" s="107"/>
      <c r="Q154" s="107"/>
      <c r="R154" s="107"/>
    </row>
    <row r="155" spans="3:18" x14ac:dyDescent="0.25">
      <c r="C155" s="9"/>
      <c r="D155" s="9"/>
      <c r="H155" s="9"/>
      <c r="I155" s="9"/>
      <c r="M155" s="9"/>
      <c r="N155" s="9"/>
      <c r="O155" s="107"/>
      <c r="P155" s="107"/>
      <c r="Q155" s="107"/>
      <c r="R155" s="107"/>
    </row>
    <row r="156" spans="3:18" x14ac:dyDescent="0.25">
      <c r="C156" s="9"/>
      <c r="D156" s="9"/>
      <c r="H156" s="9"/>
      <c r="I156" s="9"/>
      <c r="M156" s="9"/>
      <c r="N156" s="9"/>
      <c r="O156" s="107"/>
      <c r="P156" s="107"/>
      <c r="Q156" s="107"/>
      <c r="R156" s="107"/>
    </row>
    <row r="157" spans="3:18" x14ac:dyDescent="0.25">
      <c r="C157" s="9"/>
      <c r="D157" s="9"/>
      <c r="H157" s="9"/>
      <c r="I157" s="9"/>
      <c r="M157" s="9"/>
      <c r="N157" s="9"/>
      <c r="O157" s="107"/>
      <c r="P157" s="107"/>
      <c r="Q157" s="107"/>
      <c r="R157" s="107"/>
    </row>
    <row r="158" spans="3:18" x14ac:dyDescent="0.25">
      <c r="C158" s="9"/>
      <c r="D158" s="9"/>
      <c r="H158" s="9"/>
      <c r="I158" s="9"/>
      <c r="M158" s="9"/>
      <c r="N158" s="9"/>
      <c r="O158" s="107"/>
      <c r="P158" s="107"/>
      <c r="Q158" s="107"/>
      <c r="R158" s="107"/>
    </row>
    <row r="159" spans="3:18" x14ac:dyDescent="0.25">
      <c r="C159" s="9"/>
      <c r="D159" s="9"/>
      <c r="H159" s="9"/>
      <c r="I159" s="9"/>
      <c r="M159" s="9"/>
      <c r="N159" s="9"/>
      <c r="O159" s="107"/>
      <c r="P159" s="107"/>
      <c r="Q159" s="107"/>
      <c r="R159" s="107"/>
    </row>
    <row r="160" spans="3:18" x14ac:dyDescent="0.25">
      <c r="C160" s="9"/>
      <c r="D160" s="9"/>
      <c r="H160" s="9"/>
      <c r="I160" s="9"/>
      <c r="M160" s="9"/>
      <c r="N160" s="9"/>
      <c r="O160" s="107"/>
      <c r="P160" s="107"/>
      <c r="Q160" s="107"/>
      <c r="R160" s="107"/>
    </row>
    <row r="161" spans="1:18" x14ac:dyDescent="0.25">
      <c r="C161" s="9"/>
      <c r="D161" s="9"/>
      <c r="H161" s="9"/>
      <c r="I161" s="9"/>
      <c r="M161" s="9"/>
      <c r="N161" s="9"/>
      <c r="O161" s="107"/>
      <c r="P161" s="107"/>
      <c r="Q161" s="107"/>
      <c r="R161" s="107"/>
    </row>
    <row r="162" spans="1:18" x14ac:dyDescent="0.25">
      <c r="C162" s="9"/>
      <c r="D162" s="9"/>
      <c r="H162" s="9"/>
      <c r="I162" s="9"/>
      <c r="M162" s="9"/>
      <c r="N162" s="9"/>
      <c r="O162" s="107"/>
      <c r="P162" s="107"/>
      <c r="Q162" s="107"/>
      <c r="R162" s="107"/>
    </row>
    <row r="163" spans="1:18" x14ac:dyDescent="0.25">
      <c r="C163" s="9"/>
      <c r="D163" s="9"/>
      <c r="H163" s="9"/>
      <c r="I163" s="9"/>
      <c r="M163" s="9"/>
      <c r="N163" s="9"/>
      <c r="O163" s="107"/>
      <c r="P163" s="107"/>
      <c r="Q163" s="107"/>
      <c r="R163" s="107"/>
    </row>
    <row r="164" spans="1:18" x14ac:dyDescent="0.25">
      <c r="C164" s="9"/>
      <c r="D164" s="9"/>
      <c r="H164" s="9"/>
      <c r="I164" s="9"/>
      <c r="M164" s="9"/>
      <c r="N164" s="9"/>
      <c r="O164" s="107"/>
      <c r="P164" s="107"/>
      <c r="Q164" s="107"/>
      <c r="R164" s="107"/>
    </row>
    <row r="165" spans="1:18" x14ac:dyDescent="0.25">
      <c r="C165" s="9"/>
      <c r="D165" s="9"/>
      <c r="H165" s="9"/>
      <c r="I165" s="9"/>
      <c r="M165" s="9"/>
      <c r="N165" s="9"/>
      <c r="O165" s="107"/>
      <c r="P165" s="107"/>
      <c r="Q165" s="107"/>
      <c r="R165" s="107"/>
    </row>
    <row r="166" spans="1:18" x14ac:dyDescent="0.25">
      <c r="C166" s="9"/>
      <c r="D166" s="9"/>
      <c r="H166" s="9"/>
      <c r="I166" s="9"/>
      <c r="M166" s="9"/>
      <c r="N166" s="9"/>
      <c r="O166" s="107"/>
      <c r="P166" s="107"/>
      <c r="Q166" s="107"/>
      <c r="R166" s="107"/>
    </row>
    <row r="167" spans="1:18" x14ac:dyDescent="0.25">
      <c r="C167" s="9"/>
      <c r="D167" s="9"/>
      <c r="H167" s="9"/>
      <c r="I167" s="9"/>
      <c r="M167" s="9"/>
      <c r="N167" s="9"/>
      <c r="O167" s="107"/>
      <c r="P167" s="107"/>
      <c r="Q167" s="107"/>
      <c r="R167" s="107"/>
    </row>
    <row r="168" spans="1:18" x14ac:dyDescent="0.25">
      <c r="C168" s="9"/>
      <c r="D168" s="9"/>
      <c r="H168" s="9"/>
      <c r="I168" s="9"/>
      <c r="M168" s="9"/>
      <c r="N168" s="9"/>
      <c r="O168" s="107"/>
      <c r="P168" s="107"/>
      <c r="Q168" s="107"/>
      <c r="R168" s="107"/>
    </row>
    <row r="169" spans="1:18" x14ac:dyDescent="0.25">
      <c r="C169" s="9"/>
      <c r="D169" s="9"/>
      <c r="H169" s="9"/>
      <c r="I169" s="9"/>
      <c r="M169" s="9"/>
      <c r="N169" s="9"/>
      <c r="O169" s="107"/>
      <c r="P169" s="107"/>
      <c r="Q169" s="107"/>
      <c r="R169" s="107"/>
    </row>
    <row r="170" spans="1:18" s="268" customFormat="1" x14ac:dyDescent="0.25">
      <c r="A170" s="107"/>
      <c r="B170" s="107"/>
      <c r="C170" s="9"/>
      <c r="D170" s="9"/>
      <c r="E170" s="107"/>
      <c r="F170" s="107"/>
      <c r="G170" s="107"/>
      <c r="H170" s="9"/>
      <c r="I170" s="9"/>
      <c r="J170" s="107"/>
      <c r="K170" s="107"/>
      <c r="L170" s="107"/>
      <c r="M170" s="9"/>
      <c r="N170" s="9"/>
    </row>
    <row r="171" spans="1:18" s="268" customFormat="1" x14ac:dyDescent="0.25">
      <c r="A171" s="107"/>
      <c r="B171" s="107"/>
      <c r="C171" s="9"/>
      <c r="D171" s="9"/>
      <c r="E171" s="107"/>
      <c r="F171" s="107"/>
      <c r="G171" s="107"/>
      <c r="H171" s="9"/>
      <c r="I171" s="9"/>
      <c r="J171" s="107"/>
      <c r="K171" s="107"/>
      <c r="L171" s="107"/>
      <c r="M171" s="9"/>
      <c r="N171" s="9"/>
    </row>
    <row r="172" spans="1:18" s="268" customFormat="1" x14ac:dyDescent="0.25">
      <c r="A172" s="107"/>
      <c r="B172" s="107"/>
      <c r="C172" s="9"/>
      <c r="D172" s="9"/>
      <c r="E172" s="107"/>
      <c r="F172" s="107"/>
      <c r="G172" s="107"/>
      <c r="H172" s="9"/>
      <c r="I172" s="9"/>
      <c r="J172" s="107"/>
      <c r="K172" s="107"/>
      <c r="L172" s="107"/>
      <c r="M172" s="9"/>
      <c r="N172" s="9"/>
    </row>
    <row r="173" spans="1:18" s="268" customFormat="1" x14ac:dyDescent="0.25">
      <c r="A173" s="107"/>
      <c r="B173" s="107"/>
      <c r="C173" s="9"/>
      <c r="D173" s="9"/>
      <c r="E173" s="107"/>
      <c r="F173" s="107"/>
      <c r="G173" s="107"/>
      <c r="H173" s="9"/>
      <c r="I173" s="9"/>
      <c r="J173" s="107"/>
      <c r="K173" s="107"/>
      <c r="L173" s="107"/>
      <c r="M173" s="9"/>
      <c r="N173" s="9"/>
    </row>
    <row r="174" spans="1:18" s="268" customFormat="1" x14ac:dyDescent="0.25">
      <c r="A174" s="107"/>
      <c r="B174" s="107"/>
      <c r="C174" s="9"/>
      <c r="D174" s="9"/>
      <c r="E174" s="107"/>
      <c r="F174" s="107"/>
      <c r="G174" s="107"/>
      <c r="H174" s="9"/>
      <c r="I174" s="9"/>
      <c r="J174" s="107"/>
      <c r="K174" s="107"/>
      <c r="L174" s="107"/>
      <c r="M174" s="9"/>
      <c r="N174" s="9"/>
    </row>
    <row r="175" spans="1:18" s="268" customFormat="1" x14ac:dyDescent="0.25">
      <c r="A175" s="107"/>
      <c r="B175" s="107"/>
      <c r="C175" s="9"/>
      <c r="D175" s="9"/>
      <c r="E175" s="107"/>
      <c r="F175" s="107"/>
      <c r="G175" s="107"/>
      <c r="H175" s="9"/>
      <c r="I175" s="9"/>
      <c r="J175" s="107"/>
      <c r="K175" s="107"/>
      <c r="L175" s="107"/>
      <c r="M175" s="9"/>
      <c r="N175" s="9"/>
    </row>
    <row r="176" spans="1:18" s="268" customFormat="1" x14ac:dyDescent="0.25">
      <c r="A176" s="107"/>
      <c r="B176" s="107"/>
      <c r="C176" s="9"/>
      <c r="D176" s="9"/>
      <c r="E176" s="107"/>
      <c r="F176" s="107"/>
      <c r="G176" s="107"/>
      <c r="H176" s="9"/>
      <c r="I176" s="9"/>
      <c r="J176" s="107"/>
      <c r="K176" s="107"/>
      <c r="L176" s="107"/>
      <c r="M176" s="9"/>
      <c r="N176" s="9"/>
    </row>
    <row r="177" spans="1:16" s="268" customFormat="1" x14ac:dyDescent="0.25">
      <c r="A177" s="107"/>
      <c r="B177" s="107"/>
      <c r="C177" s="9"/>
      <c r="D177" s="9"/>
      <c r="E177" s="107"/>
      <c r="F177" s="107"/>
      <c r="G177" s="107"/>
      <c r="H177" s="9"/>
      <c r="I177" s="9"/>
      <c r="J177" s="107"/>
      <c r="K177" s="107"/>
      <c r="L177" s="107"/>
      <c r="M177" s="9"/>
      <c r="N177" s="9"/>
    </row>
    <row r="178" spans="1:16" s="268" customFormat="1" x14ac:dyDescent="0.25">
      <c r="A178" s="107"/>
      <c r="B178" s="107"/>
      <c r="C178" s="9"/>
      <c r="D178" s="9"/>
      <c r="E178" s="107"/>
      <c r="F178" s="107"/>
      <c r="G178" s="107"/>
      <c r="H178" s="9"/>
      <c r="I178" s="9"/>
      <c r="J178" s="107"/>
      <c r="K178" s="107"/>
      <c r="L178" s="107"/>
      <c r="M178" s="9"/>
      <c r="N178" s="9"/>
    </row>
    <row r="179" spans="1:16" s="268" customFormat="1" x14ac:dyDescent="0.25">
      <c r="A179" s="107"/>
      <c r="B179" s="107"/>
      <c r="C179" s="9"/>
      <c r="D179" s="9"/>
      <c r="E179" s="107"/>
      <c r="F179" s="107"/>
      <c r="G179" s="107"/>
      <c r="H179" s="9"/>
      <c r="I179" s="9"/>
      <c r="J179" s="107"/>
      <c r="K179" s="107"/>
      <c r="L179" s="107"/>
      <c r="M179" s="9"/>
      <c r="N179" s="9"/>
    </row>
    <row r="180" spans="1:16" s="268" customFormat="1" x14ac:dyDescent="0.25">
      <c r="A180" s="107"/>
      <c r="B180" s="107"/>
      <c r="C180" s="9"/>
      <c r="D180" s="9"/>
      <c r="E180" s="107"/>
      <c r="F180" s="107"/>
      <c r="G180" s="107"/>
      <c r="H180" s="9"/>
      <c r="I180" s="9"/>
      <c r="J180" s="107"/>
      <c r="K180" s="107"/>
      <c r="L180" s="107"/>
      <c r="M180" s="9"/>
      <c r="N180" s="9"/>
    </row>
    <row r="181" spans="1:16" s="268" customFormat="1" x14ac:dyDescent="0.25">
      <c r="A181" s="107"/>
      <c r="B181" s="107"/>
      <c r="C181" s="9"/>
      <c r="D181" s="9"/>
      <c r="E181" s="107"/>
      <c r="F181" s="107"/>
      <c r="G181" s="107"/>
      <c r="H181" s="9"/>
      <c r="I181" s="9"/>
      <c r="J181" s="107"/>
      <c r="K181" s="107"/>
      <c r="L181" s="107"/>
      <c r="M181" s="9"/>
      <c r="N181" s="9"/>
    </row>
    <row r="182" spans="1:16" s="268" customFormat="1" x14ac:dyDescent="0.25">
      <c r="A182" s="107"/>
      <c r="B182" s="107"/>
      <c r="C182" s="9"/>
      <c r="D182" s="9"/>
      <c r="E182" s="107"/>
      <c r="F182" s="107"/>
      <c r="G182" s="107"/>
      <c r="H182" s="9"/>
      <c r="I182" s="9"/>
      <c r="J182" s="107"/>
      <c r="K182" s="107"/>
      <c r="L182" s="107"/>
      <c r="M182" s="9"/>
      <c r="N182" s="9"/>
    </row>
    <row r="183" spans="1:16" s="268" customFormat="1" x14ac:dyDescent="0.25">
      <c r="A183" s="107"/>
      <c r="B183" s="107"/>
      <c r="C183" s="9"/>
      <c r="D183" s="9"/>
      <c r="E183" s="107"/>
      <c r="F183" s="107"/>
      <c r="G183" s="107"/>
      <c r="H183" s="9"/>
      <c r="I183" s="9"/>
      <c r="J183" s="107"/>
      <c r="K183" s="107"/>
      <c r="L183" s="107"/>
      <c r="M183" s="9"/>
      <c r="N183" s="9"/>
    </row>
    <row r="184" spans="1:16" s="268" customFormat="1" x14ac:dyDescent="0.25">
      <c r="A184" s="107"/>
      <c r="B184" s="107"/>
      <c r="C184" s="9"/>
      <c r="D184" s="9"/>
      <c r="E184" s="107"/>
      <c r="F184" s="107"/>
      <c r="G184" s="107"/>
      <c r="H184" s="7"/>
      <c r="I184" s="7"/>
      <c r="J184" s="107"/>
      <c r="K184" s="107"/>
      <c r="L184" s="107"/>
      <c r="M184" s="7"/>
      <c r="N184" s="7"/>
      <c r="O184" s="266"/>
      <c r="P184" s="266"/>
    </row>
    <row r="185" spans="1:16" s="268" customFormat="1" x14ac:dyDescent="0.25">
      <c r="A185" s="107"/>
      <c r="B185" s="107"/>
      <c r="C185" s="9"/>
      <c r="D185" s="9"/>
      <c r="E185" s="107"/>
      <c r="F185" s="107"/>
      <c r="G185" s="107"/>
      <c r="H185" s="7"/>
      <c r="I185" s="7"/>
      <c r="J185" s="107"/>
      <c r="K185" s="107"/>
      <c r="L185" s="107"/>
      <c r="M185" s="7"/>
      <c r="N185" s="7"/>
      <c r="O185" s="266"/>
      <c r="P185" s="266"/>
    </row>
    <row r="186" spans="1:16" s="268" customFormat="1" x14ac:dyDescent="0.25">
      <c r="A186" s="107"/>
      <c r="B186" s="107"/>
      <c r="C186" s="9"/>
      <c r="D186" s="9"/>
      <c r="E186" s="107"/>
      <c r="F186" s="107"/>
      <c r="G186" s="107"/>
      <c r="H186" s="7"/>
      <c r="I186" s="7"/>
      <c r="J186" s="107"/>
      <c r="K186" s="107"/>
      <c r="L186" s="107"/>
      <c r="M186" s="7"/>
      <c r="N186" s="7"/>
      <c r="O186" s="266"/>
      <c r="P186" s="266"/>
    </row>
    <row r="187" spans="1:16" s="268" customFormat="1" x14ac:dyDescent="0.25">
      <c r="A187" s="107"/>
      <c r="B187" s="107"/>
      <c r="C187" s="9"/>
      <c r="D187" s="9"/>
      <c r="E187" s="107"/>
      <c r="F187" s="107"/>
      <c r="G187" s="107"/>
      <c r="H187" s="7"/>
      <c r="I187" s="7"/>
      <c r="J187" s="107"/>
      <c r="K187" s="107"/>
      <c r="L187" s="107"/>
      <c r="M187" s="7"/>
      <c r="N187" s="7"/>
      <c r="O187" s="266"/>
      <c r="P187" s="266"/>
    </row>
    <row r="188" spans="1:16" s="268" customFormat="1" x14ac:dyDescent="0.25">
      <c r="A188" s="107"/>
      <c r="B188" s="107"/>
      <c r="C188" s="9"/>
      <c r="D188" s="9"/>
      <c r="E188" s="107"/>
      <c r="F188" s="107"/>
      <c r="G188" s="107"/>
      <c r="H188" s="7"/>
      <c r="I188" s="7"/>
      <c r="J188" s="107"/>
      <c r="K188" s="107"/>
      <c r="L188" s="107"/>
      <c r="M188" s="7"/>
      <c r="N188" s="7"/>
      <c r="O188" s="266"/>
      <c r="P188" s="266"/>
    </row>
    <row r="189" spans="1:16" s="268" customFormat="1" x14ac:dyDescent="0.25">
      <c r="A189" s="107"/>
      <c r="B189" s="107"/>
      <c r="C189" s="9"/>
      <c r="D189" s="9"/>
      <c r="E189" s="107"/>
      <c r="F189" s="107"/>
      <c r="G189" s="107"/>
      <c r="H189" s="7"/>
      <c r="I189" s="7"/>
      <c r="J189" s="107"/>
      <c r="K189" s="107"/>
      <c r="L189" s="107"/>
      <c r="M189" s="7"/>
      <c r="N189" s="7"/>
      <c r="O189" s="266"/>
      <c r="P189" s="266"/>
    </row>
    <row r="190" spans="1:16" s="268" customFormat="1" x14ac:dyDescent="0.25">
      <c r="A190" s="107"/>
      <c r="B190" s="107"/>
      <c r="C190" s="9"/>
      <c r="D190" s="9"/>
      <c r="E190" s="107"/>
      <c r="F190" s="107"/>
      <c r="G190" s="107"/>
      <c r="H190" s="7"/>
      <c r="I190" s="7"/>
      <c r="J190" s="107"/>
      <c r="K190" s="107"/>
      <c r="L190" s="107"/>
      <c r="M190" s="7"/>
      <c r="N190" s="7"/>
      <c r="O190" s="266"/>
      <c r="P190" s="266"/>
    </row>
    <row r="191" spans="1:16" s="268" customFormat="1" x14ac:dyDescent="0.25">
      <c r="A191" s="107"/>
      <c r="B191" s="107"/>
      <c r="C191" s="9"/>
      <c r="D191" s="9"/>
      <c r="E191" s="107"/>
      <c r="F191" s="107"/>
      <c r="G191" s="107"/>
      <c r="H191" s="7"/>
      <c r="I191" s="7"/>
      <c r="J191" s="107"/>
      <c r="K191" s="107"/>
      <c r="L191" s="107"/>
      <c r="M191" s="7"/>
      <c r="N191" s="7"/>
      <c r="O191" s="266"/>
      <c r="P191" s="266"/>
    </row>
    <row r="192" spans="1:16" s="268" customFormat="1" x14ac:dyDescent="0.25">
      <c r="A192" s="107"/>
      <c r="B192" s="107"/>
      <c r="C192" s="9"/>
      <c r="D192" s="9"/>
      <c r="E192" s="107"/>
      <c r="F192" s="107"/>
      <c r="G192" s="107"/>
      <c r="H192" s="7"/>
      <c r="I192" s="7"/>
      <c r="J192" s="107"/>
      <c r="K192" s="107"/>
      <c r="L192" s="107"/>
      <c r="M192" s="7"/>
      <c r="N192" s="7"/>
      <c r="O192" s="266"/>
      <c r="P192" s="266"/>
    </row>
    <row r="193" spans="1:16" s="268" customFormat="1" x14ac:dyDescent="0.25">
      <c r="A193" s="107"/>
      <c r="B193" s="107"/>
      <c r="C193" s="9"/>
      <c r="D193" s="9"/>
      <c r="E193" s="107"/>
      <c r="F193" s="107"/>
      <c r="G193" s="107"/>
      <c r="H193" s="7"/>
      <c r="I193" s="7"/>
      <c r="J193" s="107"/>
      <c r="K193" s="107"/>
      <c r="L193" s="107"/>
      <c r="M193" s="7"/>
      <c r="N193" s="7"/>
      <c r="O193" s="266"/>
      <c r="P193" s="266"/>
    </row>
    <row r="194" spans="1:16" s="268" customFormat="1" x14ac:dyDescent="0.25">
      <c r="A194" s="107"/>
      <c r="B194" s="107"/>
      <c r="C194" s="9"/>
      <c r="D194" s="9"/>
      <c r="E194" s="107"/>
      <c r="F194" s="107"/>
      <c r="G194" s="107"/>
      <c r="H194" s="7"/>
      <c r="I194" s="7"/>
      <c r="J194" s="107"/>
      <c r="K194" s="107"/>
      <c r="L194" s="107"/>
      <c r="M194" s="7"/>
      <c r="N194" s="7"/>
      <c r="O194" s="266"/>
      <c r="P194" s="266"/>
    </row>
    <row r="195" spans="1:16" s="268" customFormat="1" x14ac:dyDescent="0.25">
      <c r="A195" s="107"/>
      <c r="B195" s="107"/>
      <c r="C195" s="9"/>
      <c r="D195" s="9"/>
      <c r="E195" s="107"/>
      <c r="F195" s="107"/>
      <c r="G195" s="107"/>
      <c r="H195" s="7"/>
      <c r="I195" s="7"/>
      <c r="J195" s="107"/>
      <c r="K195" s="107"/>
      <c r="L195" s="107"/>
      <c r="M195" s="7"/>
      <c r="N195" s="7"/>
      <c r="O195" s="266"/>
      <c r="P195" s="266"/>
    </row>
    <row r="196" spans="1:16" s="268" customFormat="1" x14ac:dyDescent="0.25">
      <c r="A196" s="107"/>
      <c r="B196" s="107"/>
      <c r="C196" s="9"/>
      <c r="D196" s="9"/>
      <c r="E196" s="107"/>
      <c r="F196" s="107"/>
      <c r="G196" s="107"/>
      <c r="H196" s="7"/>
      <c r="I196" s="7"/>
      <c r="J196" s="107"/>
      <c r="K196" s="107"/>
      <c r="L196" s="107"/>
      <c r="M196" s="7"/>
      <c r="N196" s="7"/>
      <c r="O196" s="266"/>
      <c r="P196" s="266"/>
    </row>
    <row r="197" spans="1:16" s="268" customFormat="1" x14ac:dyDescent="0.25">
      <c r="A197" s="107"/>
      <c r="B197" s="107"/>
      <c r="C197" s="9"/>
      <c r="D197" s="9"/>
      <c r="E197" s="107"/>
      <c r="F197" s="107"/>
      <c r="G197" s="107"/>
      <c r="H197" s="7"/>
      <c r="I197" s="7"/>
      <c r="J197" s="107"/>
      <c r="K197" s="107"/>
      <c r="L197" s="107"/>
      <c r="M197" s="7"/>
      <c r="N197" s="7"/>
      <c r="O197" s="266"/>
      <c r="P197" s="266"/>
    </row>
    <row r="198" spans="1:16" s="268" customFormat="1" x14ac:dyDescent="0.25">
      <c r="A198" s="107"/>
      <c r="B198" s="107"/>
      <c r="C198" s="9"/>
      <c r="D198" s="9"/>
      <c r="E198" s="107"/>
      <c r="F198" s="107"/>
      <c r="G198" s="107"/>
      <c r="H198" s="7"/>
      <c r="I198" s="7"/>
      <c r="J198" s="107"/>
      <c r="K198" s="107"/>
      <c r="L198" s="107"/>
      <c r="M198" s="7"/>
      <c r="N198" s="7"/>
      <c r="O198" s="266"/>
      <c r="P198" s="266"/>
    </row>
    <row r="199" spans="1:16" s="268" customFormat="1" x14ac:dyDescent="0.25">
      <c r="A199" s="107"/>
      <c r="B199" s="107"/>
      <c r="C199" s="9"/>
      <c r="D199" s="9"/>
      <c r="E199" s="107"/>
      <c r="F199" s="107"/>
      <c r="G199" s="107"/>
      <c r="H199" s="7"/>
      <c r="I199" s="7"/>
      <c r="J199" s="107"/>
      <c r="K199" s="107"/>
      <c r="L199" s="107"/>
      <c r="M199" s="7"/>
      <c r="N199" s="7"/>
      <c r="O199" s="266"/>
      <c r="P199" s="266"/>
    </row>
    <row r="200" spans="1:16" s="268" customFormat="1" x14ac:dyDescent="0.25">
      <c r="A200" s="107"/>
      <c r="B200" s="107"/>
      <c r="C200" s="9"/>
      <c r="D200" s="9"/>
      <c r="E200" s="107"/>
      <c r="F200" s="107"/>
      <c r="G200" s="107"/>
      <c r="H200" s="7"/>
      <c r="I200" s="7"/>
      <c r="J200" s="107"/>
      <c r="K200" s="107"/>
      <c r="L200" s="107"/>
      <c r="M200" s="7"/>
      <c r="N200" s="7"/>
      <c r="O200" s="266"/>
      <c r="P200" s="266"/>
    </row>
    <row r="201" spans="1:16" s="268" customFormat="1" x14ac:dyDescent="0.25">
      <c r="A201" s="107"/>
      <c r="B201" s="107"/>
      <c r="C201" s="9"/>
      <c r="D201" s="9"/>
      <c r="E201" s="107"/>
      <c r="F201" s="107"/>
      <c r="G201" s="107"/>
      <c r="H201" s="7"/>
      <c r="I201" s="7"/>
      <c r="J201" s="107"/>
      <c r="K201" s="107"/>
      <c r="L201" s="107"/>
      <c r="M201" s="7"/>
      <c r="N201" s="7"/>
      <c r="O201" s="266"/>
      <c r="P201" s="266"/>
    </row>
    <row r="202" spans="1:16" s="268" customFormat="1" x14ac:dyDescent="0.25">
      <c r="A202" s="107"/>
      <c r="B202" s="107"/>
      <c r="C202" s="9"/>
      <c r="D202" s="9"/>
      <c r="E202" s="107"/>
      <c r="F202" s="107"/>
      <c r="G202" s="107"/>
      <c r="H202" s="7"/>
      <c r="I202" s="7"/>
      <c r="J202" s="107"/>
      <c r="K202" s="107"/>
      <c r="L202" s="107"/>
      <c r="M202" s="7"/>
      <c r="N202" s="7"/>
      <c r="O202" s="266"/>
      <c r="P202" s="266"/>
    </row>
    <row r="203" spans="1:16" s="268" customFormat="1" x14ac:dyDescent="0.25">
      <c r="A203" s="107"/>
      <c r="B203" s="107"/>
      <c r="C203" s="9"/>
      <c r="D203" s="9"/>
      <c r="E203" s="107"/>
      <c r="F203" s="107"/>
      <c r="G203" s="107"/>
      <c r="H203" s="7"/>
      <c r="I203" s="7"/>
      <c r="J203" s="107"/>
      <c r="K203" s="107"/>
      <c r="L203" s="107"/>
      <c r="M203" s="7"/>
      <c r="N203" s="7"/>
      <c r="O203" s="266"/>
      <c r="P203" s="266"/>
    </row>
    <row r="204" spans="1:16" s="268" customFormat="1" x14ac:dyDescent="0.25">
      <c r="A204" s="107"/>
      <c r="B204" s="107"/>
      <c r="C204" s="9"/>
      <c r="D204" s="9"/>
      <c r="E204" s="107"/>
      <c r="F204" s="107"/>
      <c r="G204" s="107"/>
      <c r="H204" s="7"/>
      <c r="I204" s="7"/>
      <c r="J204" s="107"/>
      <c r="K204" s="107"/>
      <c r="L204" s="107"/>
      <c r="M204" s="7"/>
      <c r="N204" s="7"/>
      <c r="O204" s="266"/>
      <c r="P204" s="266"/>
    </row>
    <row r="205" spans="1:16" s="268" customFormat="1" x14ac:dyDescent="0.25">
      <c r="A205" s="107"/>
      <c r="B205" s="107"/>
      <c r="C205" s="9"/>
      <c r="D205" s="9"/>
      <c r="E205" s="107"/>
      <c r="F205" s="107"/>
      <c r="G205" s="107"/>
      <c r="H205" s="7"/>
      <c r="I205" s="7"/>
      <c r="J205" s="107"/>
      <c r="K205" s="107"/>
      <c r="L205" s="107"/>
      <c r="M205" s="7"/>
      <c r="N205" s="7"/>
      <c r="O205" s="266"/>
      <c r="P205" s="266"/>
    </row>
    <row r="206" spans="1:16" s="268" customFormat="1" x14ac:dyDescent="0.25">
      <c r="A206" s="107"/>
      <c r="B206" s="107"/>
      <c r="C206" s="9"/>
      <c r="D206" s="9"/>
      <c r="E206" s="107"/>
      <c r="F206" s="107"/>
      <c r="G206" s="107"/>
      <c r="H206" s="7"/>
      <c r="I206" s="7"/>
      <c r="J206" s="107"/>
      <c r="K206" s="107"/>
      <c r="L206" s="107"/>
      <c r="M206" s="7"/>
      <c r="N206" s="7"/>
      <c r="O206" s="266"/>
      <c r="P206" s="266"/>
    </row>
    <row r="207" spans="1:16" s="268" customFormat="1" x14ac:dyDescent="0.25">
      <c r="A207" s="107"/>
      <c r="B207" s="107"/>
      <c r="C207" s="9"/>
      <c r="D207" s="9"/>
      <c r="E207" s="107"/>
      <c r="F207" s="107"/>
      <c r="G207" s="107"/>
      <c r="H207" s="7"/>
      <c r="I207" s="7"/>
      <c r="J207" s="107"/>
      <c r="K207" s="107"/>
      <c r="L207" s="107"/>
      <c r="M207" s="7"/>
      <c r="N207" s="7"/>
      <c r="O207" s="266"/>
      <c r="P207" s="266"/>
    </row>
    <row r="208" spans="1:16" s="268" customFormat="1" x14ac:dyDescent="0.25">
      <c r="A208" s="107"/>
      <c r="B208" s="107"/>
      <c r="C208" s="9"/>
      <c r="D208" s="9"/>
      <c r="E208" s="107"/>
      <c r="F208" s="107"/>
      <c r="G208" s="107"/>
      <c r="H208" s="7"/>
      <c r="I208" s="7"/>
      <c r="J208" s="107"/>
      <c r="K208" s="107"/>
      <c r="L208" s="107"/>
      <c r="M208" s="7"/>
      <c r="N208" s="7"/>
      <c r="O208" s="266"/>
      <c r="P208" s="266"/>
    </row>
    <row r="209" spans="1:16" s="268" customFormat="1" x14ac:dyDescent="0.25">
      <c r="A209" s="107"/>
      <c r="B209" s="107"/>
      <c r="C209" s="7"/>
      <c r="D209" s="7"/>
      <c r="E209" s="10"/>
      <c r="F209" s="107"/>
      <c r="G209" s="107"/>
      <c r="H209" s="7"/>
      <c r="I209" s="7"/>
      <c r="J209" s="107"/>
      <c r="K209" s="107"/>
      <c r="L209" s="107"/>
      <c r="M209" s="7"/>
      <c r="N209" s="7"/>
      <c r="O209" s="266"/>
      <c r="P209" s="266"/>
    </row>
    <row r="210" spans="1:16" s="268" customFormat="1" x14ac:dyDescent="0.25">
      <c r="A210" s="107"/>
      <c r="B210" s="107"/>
      <c r="C210" s="7"/>
      <c r="D210" s="7"/>
      <c r="E210" s="10"/>
      <c r="F210" s="107"/>
      <c r="G210" s="107"/>
      <c r="H210" s="7"/>
      <c r="I210" s="7"/>
      <c r="J210" s="107"/>
      <c r="K210" s="107"/>
      <c r="L210" s="107"/>
      <c r="M210" s="7"/>
      <c r="N210" s="7"/>
      <c r="O210" s="266"/>
      <c r="P210" s="266"/>
    </row>
    <row r="211" spans="1:16" s="268" customFormat="1" x14ac:dyDescent="0.25">
      <c r="A211" s="107"/>
      <c r="B211" s="107"/>
      <c r="C211" s="7"/>
      <c r="D211" s="7"/>
      <c r="E211" s="10"/>
      <c r="F211" s="107"/>
      <c r="G211" s="107"/>
      <c r="H211" s="7"/>
      <c r="I211" s="7"/>
      <c r="J211" s="107"/>
      <c r="K211" s="107"/>
      <c r="L211" s="107"/>
      <c r="M211" s="7"/>
      <c r="N211" s="7"/>
      <c r="O211" s="266"/>
      <c r="P211" s="266"/>
    </row>
    <row r="212" spans="1:16" s="268" customFormat="1" x14ac:dyDescent="0.25">
      <c r="A212" s="107"/>
      <c r="B212" s="107"/>
      <c r="C212" s="7"/>
      <c r="D212" s="7"/>
      <c r="E212" s="10"/>
      <c r="F212" s="107"/>
      <c r="G212" s="107"/>
      <c r="H212" s="7"/>
      <c r="I212" s="7"/>
      <c r="J212" s="107"/>
      <c r="K212" s="107"/>
      <c r="L212" s="107"/>
      <c r="M212" s="7"/>
      <c r="N212" s="7"/>
      <c r="O212" s="266"/>
      <c r="P212" s="266"/>
    </row>
    <row r="213" spans="1:16" s="268" customFormat="1" x14ac:dyDescent="0.25">
      <c r="A213" s="107"/>
      <c r="B213" s="107"/>
      <c r="C213" s="7"/>
      <c r="D213" s="7"/>
      <c r="E213" s="10"/>
      <c r="F213" s="107"/>
      <c r="G213" s="107"/>
      <c r="H213" s="7"/>
      <c r="I213" s="7"/>
      <c r="J213" s="107"/>
      <c r="K213" s="107"/>
      <c r="L213" s="107"/>
      <c r="M213" s="7"/>
      <c r="N213" s="7"/>
      <c r="O213" s="266"/>
      <c r="P213" s="266"/>
    </row>
    <row r="214" spans="1:16" s="268" customFormat="1" x14ac:dyDescent="0.25">
      <c r="A214" s="107"/>
      <c r="B214" s="107"/>
      <c r="C214" s="7"/>
      <c r="D214" s="7"/>
      <c r="E214" s="10"/>
      <c r="F214" s="107"/>
      <c r="G214" s="107"/>
      <c r="H214" s="7"/>
      <c r="I214" s="7"/>
      <c r="J214" s="107"/>
      <c r="K214" s="107"/>
      <c r="L214" s="107"/>
      <c r="M214" s="7"/>
      <c r="N214" s="7"/>
      <c r="O214" s="266"/>
      <c r="P214" s="266"/>
    </row>
    <row r="215" spans="1:16" s="268" customFormat="1" x14ac:dyDescent="0.25">
      <c r="A215" s="107"/>
      <c r="B215" s="107"/>
      <c r="C215" s="7"/>
      <c r="D215" s="7"/>
      <c r="E215" s="10"/>
      <c r="F215" s="107"/>
      <c r="G215" s="107"/>
      <c r="H215" s="7"/>
      <c r="I215" s="7"/>
      <c r="J215" s="107"/>
      <c r="K215" s="107"/>
      <c r="L215" s="107"/>
      <c r="M215" s="7"/>
      <c r="N215" s="7"/>
      <c r="O215" s="266"/>
      <c r="P215" s="266"/>
    </row>
    <row r="216" spans="1:16" s="268" customFormat="1" x14ac:dyDescent="0.25">
      <c r="A216" s="107"/>
      <c r="B216" s="107"/>
      <c r="C216" s="7"/>
      <c r="D216" s="7"/>
      <c r="E216" s="10"/>
      <c r="F216" s="107"/>
      <c r="G216" s="107"/>
      <c r="H216" s="7"/>
      <c r="I216" s="7"/>
      <c r="J216" s="107"/>
      <c r="K216" s="107"/>
      <c r="L216" s="107"/>
      <c r="M216" s="7"/>
      <c r="N216" s="7"/>
      <c r="O216" s="266"/>
      <c r="P216" s="266"/>
    </row>
    <row r="217" spans="1:16" s="268" customFormat="1" x14ac:dyDescent="0.25">
      <c r="A217" s="107"/>
      <c r="B217" s="107"/>
      <c r="C217" s="7"/>
      <c r="D217" s="7"/>
      <c r="E217" s="10"/>
      <c r="F217" s="107"/>
      <c r="G217" s="107"/>
      <c r="H217" s="7"/>
      <c r="I217" s="7"/>
      <c r="J217" s="107"/>
      <c r="K217" s="107"/>
      <c r="L217" s="107"/>
      <c r="M217" s="7"/>
      <c r="N217" s="7"/>
      <c r="O217" s="266"/>
      <c r="P217" s="266"/>
    </row>
    <row r="218" spans="1:16" s="268" customFormat="1" x14ac:dyDescent="0.25">
      <c r="A218" s="107"/>
      <c r="B218" s="107"/>
      <c r="C218" s="7"/>
      <c r="D218" s="7"/>
      <c r="E218" s="10"/>
      <c r="F218" s="107"/>
      <c r="G218" s="107"/>
      <c r="H218" s="7"/>
      <c r="I218" s="7"/>
      <c r="J218" s="107"/>
      <c r="K218" s="107"/>
      <c r="L218" s="107"/>
      <c r="M218" s="7"/>
      <c r="N218" s="7"/>
      <c r="O218" s="266"/>
      <c r="P218" s="266"/>
    </row>
    <row r="219" spans="1:16" s="268" customFormat="1" x14ac:dyDescent="0.25">
      <c r="A219" s="107"/>
      <c r="B219" s="107"/>
      <c r="C219" s="7"/>
      <c r="D219" s="7"/>
      <c r="E219" s="10"/>
      <c r="F219" s="107"/>
      <c r="G219" s="107"/>
      <c r="H219" s="7"/>
      <c r="I219" s="7"/>
      <c r="J219" s="107"/>
      <c r="K219" s="107"/>
      <c r="L219" s="107"/>
      <c r="M219" s="7"/>
      <c r="N219" s="7"/>
      <c r="O219" s="266"/>
      <c r="P219" s="266"/>
    </row>
    <row r="220" spans="1:16" s="268" customFormat="1" x14ac:dyDescent="0.25">
      <c r="A220" s="107"/>
      <c r="B220" s="107"/>
      <c r="C220" s="7"/>
      <c r="D220" s="7"/>
      <c r="E220" s="10"/>
      <c r="F220" s="107"/>
      <c r="G220" s="107"/>
      <c r="H220" s="7"/>
      <c r="I220" s="7"/>
      <c r="J220" s="107"/>
      <c r="K220" s="107"/>
      <c r="L220" s="107"/>
      <c r="M220" s="7"/>
      <c r="N220" s="7"/>
      <c r="O220" s="266"/>
      <c r="P220" s="266"/>
    </row>
    <row r="221" spans="1:16" s="268" customFormat="1" x14ac:dyDescent="0.25">
      <c r="A221" s="107"/>
      <c r="B221" s="107"/>
      <c r="C221" s="7"/>
      <c r="D221" s="7"/>
      <c r="E221" s="10"/>
      <c r="F221" s="107"/>
      <c r="G221" s="107"/>
      <c r="H221" s="7"/>
      <c r="I221" s="7"/>
      <c r="J221" s="107"/>
      <c r="K221" s="107"/>
      <c r="L221" s="107"/>
      <c r="M221" s="7"/>
      <c r="N221" s="7"/>
      <c r="O221" s="266"/>
      <c r="P221" s="266"/>
    </row>
    <row r="222" spans="1:16" s="268" customFormat="1" x14ac:dyDescent="0.25">
      <c r="A222" s="107"/>
      <c r="B222" s="107"/>
      <c r="C222" s="7"/>
      <c r="D222" s="7"/>
      <c r="E222" s="10"/>
      <c r="F222" s="107"/>
      <c r="G222" s="107"/>
      <c r="H222" s="7"/>
      <c r="I222" s="7"/>
      <c r="J222" s="107"/>
      <c r="K222" s="107"/>
      <c r="L222" s="107"/>
      <c r="M222" s="7"/>
      <c r="N222" s="7"/>
      <c r="O222" s="266"/>
      <c r="P222" s="266"/>
    </row>
    <row r="223" spans="1:16" s="268" customFormat="1" x14ac:dyDescent="0.25">
      <c r="A223" s="107"/>
      <c r="B223" s="107"/>
      <c r="C223" s="7"/>
      <c r="D223" s="7"/>
      <c r="E223" s="10"/>
      <c r="F223" s="107"/>
      <c r="G223" s="107"/>
      <c r="H223" s="7"/>
      <c r="I223" s="7"/>
      <c r="J223" s="107"/>
      <c r="K223" s="107"/>
      <c r="L223" s="107"/>
      <c r="M223" s="7"/>
      <c r="N223" s="7"/>
      <c r="O223" s="266"/>
      <c r="P223" s="266"/>
    </row>
    <row r="224" spans="1:16" s="268" customFormat="1" x14ac:dyDescent="0.25">
      <c r="A224" s="107"/>
      <c r="B224" s="107"/>
      <c r="C224" s="7"/>
      <c r="D224" s="7"/>
      <c r="E224" s="10"/>
      <c r="F224" s="107"/>
      <c r="G224" s="107"/>
      <c r="H224" s="7"/>
      <c r="I224" s="7"/>
      <c r="J224" s="107"/>
      <c r="K224" s="107"/>
      <c r="L224" s="107"/>
      <c r="M224" s="7"/>
      <c r="N224" s="7"/>
      <c r="O224" s="266"/>
      <c r="P224" s="266"/>
    </row>
    <row r="225" spans="1:16" s="268" customFormat="1" x14ac:dyDescent="0.25">
      <c r="A225" s="107"/>
      <c r="B225" s="107"/>
      <c r="C225" s="7"/>
      <c r="D225" s="7"/>
      <c r="E225" s="10"/>
      <c r="F225" s="107"/>
      <c r="G225" s="107"/>
      <c r="H225" s="7"/>
      <c r="I225" s="7"/>
      <c r="J225" s="107"/>
      <c r="K225" s="107"/>
      <c r="L225" s="107"/>
      <c r="M225" s="7"/>
      <c r="N225" s="7"/>
      <c r="O225" s="266"/>
      <c r="P225" s="266"/>
    </row>
    <row r="226" spans="1:16" s="268" customFormat="1" x14ac:dyDescent="0.25">
      <c r="A226" s="107"/>
      <c r="B226" s="107"/>
      <c r="C226" s="7"/>
      <c r="D226" s="7"/>
      <c r="E226" s="10"/>
      <c r="F226" s="107"/>
      <c r="G226" s="107"/>
      <c r="H226" s="7"/>
      <c r="I226" s="7"/>
      <c r="J226" s="107"/>
      <c r="K226" s="107"/>
      <c r="L226" s="107"/>
      <c r="M226" s="7"/>
      <c r="N226" s="7"/>
      <c r="O226" s="266"/>
      <c r="P226" s="266"/>
    </row>
    <row r="227" spans="1:16" s="268" customFormat="1" x14ac:dyDescent="0.25">
      <c r="A227" s="107"/>
      <c r="B227" s="107"/>
      <c r="C227" s="7"/>
      <c r="D227" s="7"/>
      <c r="E227" s="10"/>
      <c r="F227" s="107"/>
      <c r="G227" s="107"/>
      <c r="H227" s="7"/>
      <c r="I227" s="7"/>
      <c r="J227" s="107"/>
      <c r="K227" s="107"/>
      <c r="L227" s="107"/>
      <c r="M227" s="7"/>
      <c r="N227" s="7"/>
      <c r="O227" s="266"/>
      <c r="P227" s="266"/>
    </row>
    <row r="228" spans="1:16" s="268" customFormat="1" x14ac:dyDescent="0.25">
      <c r="A228" s="107"/>
      <c r="B228" s="107"/>
      <c r="C228" s="7"/>
      <c r="D228" s="7"/>
      <c r="E228" s="10"/>
      <c r="F228" s="107"/>
      <c r="G228" s="107"/>
      <c r="H228" s="7"/>
      <c r="I228" s="7"/>
      <c r="J228" s="107"/>
      <c r="K228" s="107"/>
      <c r="L228" s="107"/>
      <c r="M228" s="7"/>
      <c r="N228" s="7"/>
      <c r="O228" s="266"/>
      <c r="P228" s="266"/>
    </row>
    <row r="229" spans="1:16" s="268" customFormat="1" x14ac:dyDescent="0.25">
      <c r="A229" s="107"/>
      <c r="B229" s="107"/>
      <c r="C229" s="7"/>
      <c r="D229" s="7"/>
      <c r="E229" s="10"/>
      <c r="F229" s="107"/>
      <c r="G229" s="107"/>
      <c r="H229" s="7"/>
      <c r="I229" s="7"/>
      <c r="J229" s="107"/>
      <c r="K229" s="107"/>
      <c r="L229" s="107"/>
      <c r="M229" s="7"/>
      <c r="N229" s="7"/>
      <c r="O229" s="266"/>
      <c r="P229" s="266"/>
    </row>
    <row r="230" spans="1:16" s="268" customFormat="1" x14ac:dyDescent="0.25">
      <c r="A230" s="107"/>
      <c r="B230" s="107"/>
      <c r="C230" s="7"/>
      <c r="D230" s="7"/>
      <c r="E230" s="10"/>
      <c r="F230" s="107"/>
      <c r="G230" s="107"/>
      <c r="H230" s="7"/>
      <c r="I230" s="7"/>
      <c r="J230" s="107"/>
      <c r="K230" s="107"/>
      <c r="L230" s="107"/>
      <c r="M230" s="7"/>
      <c r="N230" s="7"/>
      <c r="O230" s="266"/>
      <c r="P230" s="266"/>
    </row>
    <row r="231" spans="1:16" s="268" customFormat="1" x14ac:dyDescent="0.25">
      <c r="A231" s="107"/>
      <c r="B231" s="107"/>
      <c r="C231" s="7"/>
      <c r="D231" s="7"/>
      <c r="E231" s="10"/>
      <c r="F231" s="107"/>
      <c r="G231" s="107"/>
      <c r="H231" s="7"/>
      <c r="I231" s="7"/>
      <c r="J231" s="107"/>
      <c r="K231" s="107"/>
      <c r="L231" s="107"/>
      <c r="M231" s="7"/>
      <c r="N231" s="7"/>
      <c r="O231" s="266"/>
      <c r="P231" s="266"/>
    </row>
    <row r="232" spans="1:16" s="268" customFormat="1" x14ac:dyDescent="0.25">
      <c r="A232" s="107"/>
      <c r="B232" s="107"/>
      <c r="C232" s="7"/>
      <c r="D232" s="7"/>
      <c r="E232" s="10"/>
      <c r="F232" s="107"/>
      <c r="G232" s="107"/>
      <c r="H232" s="7"/>
      <c r="I232" s="7"/>
      <c r="J232" s="107"/>
      <c r="K232" s="107"/>
      <c r="L232" s="107"/>
      <c r="M232" s="7"/>
      <c r="N232" s="7"/>
      <c r="O232" s="266"/>
      <c r="P232" s="266"/>
    </row>
    <row r="233" spans="1:16" s="268" customFormat="1" x14ac:dyDescent="0.25">
      <c r="A233" s="107"/>
      <c r="B233" s="107"/>
      <c r="C233" s="7"/>
      <c r="D233" s="7"/>
      <c r="E233" s="10"/>
      <c r="F233" s="107"/>
      <c r="G233" s="107"/>
      <c r="H233" s="7"/>
      <c r="I233" s="7"/>
      <c r="J233" s="107"/>
      <c r="K233" s="107"/>
      <c r="L233" s="107"/>
      <c r="M233" s="7"/>
      <c r="N233" s="7"/>
      <c r="O233" s="266"/>
      <c r="P233" s="266"/>
    </row>
    <row r="234" spans="1:16" s="268" customFormat="1" x14ac:dyDescent="0.25">
      <c r="A234" s="107"/>
      <c r="B234" s="107"/>
      <c r="C234" s="7"/>
      <c r="D234" s="7"/>
      <c r="E234" s="10"/>
      <c r="F234" s="107"/>
      <c r="G234" s="107"/>
      <c r="H234" s="7"/>
      <c r="I234" s="7"/>
      <c r="J234" s="107"/>
      <c r="K234" s="107"/>
      <c r="L234" s="107"/>
      <c r="M234" s="7"/>
      <c r="N234" s="7"/>
      <c r="O234" s="266"/>
      <c r="P234" s="266"/>
    </row>
    <row r="235" spans="1:16" s="268" customFormat="1" x14ac:dyDescent="0.25">
      <c r="A235" s="107"/>
      <c r="B235" s="107"/>
      <c r="C235" s="7"/>
      <c r="D235" s="7"/>
      <c r="E235" s="10"/>
      <c r="F235" s="107"/>
      <c r="G235" s="107"/>
      <c r="H235" s="7"/>
      <c r="I235" s="7"/>
      <c r="J235" s="107"/>
      <c r="K235" s="107"/>
      <c r="L235" s="107"/>
      <c r="M235" s="7"/>
      <c r="N235" s="7"/>
      <c r="O235" s="266"/>
      <c r="P235" s="266"/>
    </row>
    <row r="236" spans="1:16" s="268" customFormat="1" x14ac:dyDescent="0.25">
      <c r="A236" s="107"/>
      <c r="B236" s="107"/>
      <c r="C236" s="7"/>
      <c r="D236" s="7"/>
      <c r="E236" s="10"/>
      <c r="F236" s="107"/>
      <c r="G236" s="107"/>
      <c r="H236" s="7"/>
      <c r="I236" s="7"/>
      <c r="J236" s="107"/>
      <c r="K236" s="107"/>
      <c r="L236" s="107"/>
      <c r="M236" s="7"/>
      <c r="N236" s="7"/>
      <c r="O236" s="266"/>
      <c r="P236" s="266"/>
    </row>
    <row r="237" spans="1:16" s="268" customFormat="1" x14ac:dyDescent="0.25">
      <c r="A237" s="107"/>
      <c r="B237" s="107"/>
      <c r="C237" s="7"/>
      <c r="D237" s="7"/>
      <c r="E237" s="10"/>
      <c r="F237" s="107"/>
      <c r="G237" s="107"/>
      <c r="H237" s="7"/>
      <c r="I237" s="7"/>
      <c r="J237" s="107"/>
      <c r="K237" s="107"/>
      <c r="L237" s="107"/>
      <c r="M237" s="7"/>
      <c r="N237" s="7"/>
      <c r="O237" s="266"/>
      <c r="P237" s="266"/>
    </row>
    <row r="238" spans="1:16" s="268" customFormat="1" x14ac:dyDescent="0.25">
      <c r="A238" s="107"/>
      <c r="B238" s="107"/>
      <c r="C238" s="7"/>
      <c r="D238" s="7"/>
      <c r="E238" s="10"/>
      <c r="F238" s="107"/>
      <c r="G238" s="107"/>
      <c r="H238" s="7"/>
      <c r="I238" s="7"/>
      <c r="J238" s="107"/>
      <c r="K238" s="107"/>
      <c r="L238" s="107"/>
      <c r="M238" s="7"/>
      <c r="N238" s="7"/>
      <c r="O238" s="266"/>
      <c r="P238" s="266"/>
    </row>
    <row r="239" spans="1:16" s="268" customFormat="1" x14ac:dyDescent="0.25">
      <c r="A239" s="107"/>
      <c r="B239" s="107"/>
      <c r="C239" s="7"/>
      <c r="D239" s="7"/>
      <c r="E239" s="10"/>
      <c r="F239" s="107"/>
      <c r="G239" s="107"/>
      <c r="H239" s="7"/>
      <c r="I239" s="7"/>
      <c r="J239" s="107"/>
      <c r="K239" s="107"/>
      <c r="L239" s="107"/>
      <c r="M239" s="7"/>
      <c r="N239" s="7"/>
      <c r="O239" s="266"/>
      <c r="P239" s="266"/>
    </row>
    <row r="240" spans="1:16" s="268" customFormat="1" x14ac:dyDescent="0.25">
      <c r="A240" s="107"/>
      <c r="B240" s="107"/>
      <c r="C240" s="7"/>
      <c r="D240" s="7"/>
      <c r="E240" s="10"/>
      <c r="F240" s="107"/>
      <c r="G240" s="107"/>
      <c r="H240" s="7"/>
      <c r="I240" s="7"/>
      <c r="J240" s="107"/>
      <c r="K240" s="107"/>
      <c r="L240" s="107"/>
      <c r="M240" s="7"/>
      <c r="N240" s="7"/>
      <c r="O240" s="266"/>
      <c r="P240" s="266"/>
    </row>
    <row r="241" spans="1:16" s="268" customFormat="1" x14ac:dyDescent="0.25">
      <c r="A241" s="107"/>
      <c r="B241" s="107"/>
      <c r="C241" s="7"/>
      <c r="D241" s="7"/>
      <c r="E241" s="10"/>
      <c r="F241" s="107"/>
      <c r="G241" s="107"/>
      <c r="H241" s="7"/>
      <c r="I241" s="7"/>
      <c r="J241" s="107"/>
      <c r="K241" s="107"/>
      <c r="L241" s="107"/>
      <c r="M241" s="7"/>
      <c r="N241" s="7"/>
      <c r="O241" s="266"/>
      <c r="P241" s="266"/>
    </row>
    <row r="242" spans="1:16" s="268" customFormat="1" x14ac:dyDescent="0.25">
      <c r="A242" s="107"/>
      <c r="B242" s="107"/>
      <c r="C242" s="7"/>
      <c r="D242" s="7"/>
      <c r="E242" s="10"/>
      <c r="F242" s="107"/>
      <c r="G242" s="107"/>
      <c r="H242" s="7"/>
      <c r="I242" s="7"/>
      <c r="J242" s="107"/>
      <c r="K242" s="107"/>
      <c r="L242" s="107"/>
      <c r="M242" s="7"/>
      <c r="N242" s="7"/>
      <c r="O242" s="266"/>
      <c r="P242" s="266"/>
    </row>
    <row r="243" spans="1:16" s="268" customFormat="1" x14ac:dyDescent="0.25">
      <c r="A243" s="107"/>
      <c r="B243" s="107"/>
      <c r="C243" s="7"/>
      <c r="D243" s="7"/>
      <c r="E243" s="10"/>
      <c r="F243" s="107"/>
      <c r="G243" s="107"/>
      <c r="H243" s="7"/>
      <c r="I243" s="7"/>
      <c r="J243" s="107"/>
      <c r="K243" s="107"/>
      <c r="L243" s="107"/>
      <c r="M243" s="7"/>
      <c r="N243" s="7"/>
      <c r="O243" s="266"/>
      <c r="P243" s="266"/>
    </row>
    <row r="244" spans="1:16" s="268" customFormat="1" x14ac:dyDescent="0.25">
      <c r="A244" s="107"/>
      <c r="B244" s="107"/>
      <c r="C244" s="7"/>
      <c r="D244" s="7"/>
      <c r="E244" s="10"/>
      <c r="F244" s="107"/>
      <c r="G244" s="107"/>
      <c r="H244" s="7"/>
      <c r="I244" s="7"/>
      <c r="J244" s="107"/>
      <c r="K244" s="107"/>
      <c r="L244" s="107"/>
      <c r="M244" s="7"/>
      <c r="N244" s="7"/>
      <c r="O244" s="266"/>
      <c r="P244" s="266"/>
    </row>
    <row r="245" spans="1:16" s="268" customFormat="1" x14ac:dyDescent="0.25">
      <c r="A245" s="107"/>
      <c r="B245" s="107"/>
      <c r="C245" s="7"/>
      <c r="D245" s="7"/>
      <c r="E245" s="10"/>
      <c r="F245" s="107"/>
      <c r="G245" s="107"/>
      <c r="H245" s="7"/>
      <c r="I245" s="7"/>
      <c r="J245" s="107"/>
      <c r="K245" s="107"/>
      <c r="L245" s="107"/>
      <c r="M245" s="7"/>
      <c r="N245" s="7"/>
      <c r="O245" s="266"/>
      <c r="P245" s="266"/>
    </row>
    <row r="246" spans="1:16" s="268" customFormat="1" x14ac:dyDescent="0.25">
      <c r="A246" s="107"/>
      <c r="B246" s="107"/>
      <c r="C246" s="7"/>
      <c r="D246" s="7"/>
      <c r="E246" s="10"/>
      <c r="F246" s="107"/>
      <c r="G246" s="107"/>
      <c r="H246" s="7"/>
      <c r="I246" s="7"/>
      <c r="J246" s="107"/>
      <c r="K246" s="107"/>
      <c r="L246" s="107"/>
      <c r="M246" s="7"/>
      <c r="N246" s="7"/>
      <c r="O246" s="266"/>
      <c r="P246" s="266"/>
    </row>
    <row r="247" spans="1:16" s="268" customFormat="1" x14ac:dyDescent="0.25">
      <c r="A247" s="107"/>
      <c r="B247" s="107"/>
      <c r="C247" s="7"/>
      <c r="D247" s="7"/>
      <c r="E247" s="10"/>
      <c r="F247" s="107"/>
      <c r="G247" s="107"/>
      <c r="H247" s="7"/>
      <c r="I247" s="7"/>
      <c r="J247" s="107"/>
      <c r="K247" s="107"/>
      <c r="L247" s="107"/>
      <c r="M247" s="7"/>
      <c r="N247" s="7"/>
      <c r="O247" s="266"/>
      <c r="P247" s="266"/>
    </row>
    <row r="248" spans="1:16" s="268" customFormat="1" x14ac:dyDescent="0.25">
      <c r="A248" s="107"/>
      <c r="B248" s="107"/>
      <c r="C248" s="7"/>
      <c r="D248" s="7"/>
      <c r="E248" s="10"/>
      <c r="F248" s="107"/>
      <c r="G248" s="107"/>
      <c r="H248" s="7"/>
      <c r="I248" s="7"/>
      <c r="J248" s="107"/>
      <c r="K248" s="107"/>
      <c r="L248" s="107"/>
      <c r="M248" s="7"/>
      <c r="N248" s="7"/>
      <c r="O248" s="266"/>
      <c r="P248" s="266"/>
    </row>
    <row r="249" spans="1:16" s="268" customFormat="1" x14ac:dyDescent="0.25">
      <c r="A249" s="107"/>
      <c r="B249" s="107"/>
      <c r="C249" s="7"/>
      <c r="D249" s="7"/>
      <c r="E249" s="10"/>
      <c r="F249" s="107"/>
      <c r="G249" s="107"/>
      <c r="H249" s="7"/>
      <c r="I249" s="7"/>
      <c r="J249" s="107"/>
      <c r="K249" s="107"/>
      <c r="L249" s="107"/>
      <c r="M249" s="7"/>
      <c r="N249" s="7"/>
      <c r="O249" s="266"/>
      <c r="P249" s="266"/>
    </row>
    <row r="250" spans="1:16" s="268" customFormat="1" x14ac:dyDescent="0.25">
      <c r="A250" s="107"/>
      <c r="B250" s="107"/>
      <c r="C250" s="7"/>
      <c r="D250" s="7"/>
      <c r="E250" s="10"/>
      <c r="F250" s="107"/>
      <c r="G250" s="107"/>
      <c r="H250" s="108"/>
      <c r="I250" s="108"/>
      <c r="J250" s="107"/>
      <c r="K250" s="107"/>
      <c r="L250" s="107"/>
      <c r="M250" s="108"/>
      <c r="N250" s="108"/>
      <c r="O250" s="270"/>
      <c r="P250" s="270"/>
    </row>
    <row r="251" spans="1:16" s="268" customFormat="1" x14ac:dyDescent="0.25">
      <c r="A251" s="107"/>
      <c r="B251" s="107"/>
      <c r="C251" s="7"/>
      <c r="D251" s="7"/>
      <c r="E251" s="10"/>
      <c r="F251" s="107"/>
      <c r="G251" s="107"/>
      <c r="H251" s="108"/>
      <c r="I251" s="108"/>
      <c r="J251" s="107"/>
      <c r="K251" s="107"/>
      <c r="L251" s="107"/>
      <c r="M251" s="108"/>
      <c r="N251" s="108"/>
      <c r="O251" s="270"/>
      <c r="P251" s="270"/>
    </row>
    <row r="252" spans="1:16" s="268" customFormat="1" x14ac:dyDescent="0.25">
      <c r="A252" s="107"/>
      <c r="B252" s="107"/>
      <c r="C252" s="7"/>
      <c r="D252" s="7"/>
      <c r="E252" s="10"/>
      <c r="F252" s="107"/>
      <c r="G252" s="107"/>
      <c r="H252" s="108"/>
      <c r="I252" s="108"/>
      <c r="J252" s="107"/>
      <c r="K252" s="107"/>
      <c r="L252" s="107"/>
      <c r="M252" s="108"/>
      <c r="N252" s="108"/>
      <c r="O252" s="270"/>
      <c r="P252" s="270"/>
    </row>
    <row r="253" spans="1:16" s="268" customFormat="1" x14ac:dyDescent="0.25">
      <c r="A253" s="107"/>
      <c r="B253" s="107"/>
      <c r="C253" s="7"/>
      <c r="D253" s="7"/>
      <c r="E253" s="10"/>
      <c r="F253" s="107"/>
      <c r="G253" s="107"/>
      <c r="H253" s="108"/>
      <c r="I253" s="108"/>
      <c r="J253" s="107"/>
      <c r="K253" s="107"/>
      <c r="L253" s="107"/>
      <c r="M253" s="108"/>
      <c r="N253" s="108"/>
      <c r="O253" s="270"/>
      <c r="P253" s="270"/>
    </row>
    <row r="254" spans="1:16" s="268" customFormat="1" x14ac:dyDescent="0.25">
      <c r="A254" s="107"/>
      <c r="B254" s="107"/>
      <c r="C254" s="7"/>
      <c r="D254" s="7"/>
      <c r="E254" s="10"/>
      <c r="F254" s="107"/>
      <c r="G254" s="107"/>
      <c r="H254" s="108"/>
      <c r="I254" s="108"/>
      <c r="J254" s="107"/>
      <c r="K254" s="107"/>
      <c r="L254" s="107"/>
      <c r="M254" s="108"/>
      <c r="N254" s="108"/>
      <c r="O254" s="270"/>
      <c r="P254" s="270"/>
    </row>
    <row r="255" spans="1:16" s="268" customFormat="1" x14ac:dyDescent="0.25">
      <c r="A255" s="107"/>
      <c r="B255" s="107"/>
      <c r="C255" s="7"/>
      <c r="D255" s="7"/>
      <c r="E255" s="10"/>
      <c r="F255" s="107"/>
      <c r="G255" s="107"/>
      <c r="H255" s="108"/>
      <c r="I255" s="108"/>
      <c r="J255" s="107"/>
      <c r="K255" s="107"/>
      <c r="L255" s="107"/>
      <c r="M255" s="108"/>
      <c r="N255" s="108"/>
      <c r="O255" s="270"/>
      <c r="P255" s="270"/>
    </row>
    <row r="256" spans="1:16" s="268" customFormat="1" x14ac:dyDescent="0.25">
      <c r="A256" s="107"/>
      <c r="B256" s="107"/>
      <c r="C256" s="7"/>
      <c r="D256" s="7"/>
      <c r="E256" s="10"/>
      <c r="F256" s="107"/>
      <c r="G256" s="107"/>
      <c r="H256" s="108"/>
      <c r="I256" s="108"/>
      <c r="J256" s="107"/>
      <c r="K256" s="107"/>
      <c r="L256" s="107"/>
      <c r="M256" s="108"/>
      <c r="N256" s="108"/>
      <c r="O256" s="270"/>
      <c r="P256" s="270"/>
    </row>
    <row r="257" spans="1:16" s="268" customFormat="1" x14ac:dyDescent="0.25">
      <c r="A257" s="107"/>
      <c r="B257" s="107"/>
      <c r="C257" s="7"/>
      <c r="D257" s="7"/>
      <c r="E257" s="10"/>
      <c r="F257" s="107"/>
      <c r="G257" s="107"/>
      <c r="H257" s="108"/>
      <c r="I257" s="108"/>
      <c r="J257" s="107"/>
      <c r="K257" s="107"/>
      <c r="L257" s="107"/>
      <c r="M257" s="108"/>
      <c r="N257" s="108"/>
      <c r="O257" s="270"/>
      <c r="P257" s="270"/>
    </row>
    <row r="258" spans="1:16" s="268" customFormat="1" x14ac:dyDescent="0.25">
      <c r="A258" s="107"/>
      <c r="B258" s="107"/>
      <c r="C258" s="7"/>
      <c r="D258" s="7"/>
      <c r="E258" s="10"/>
      <c r="F258" s="107"/>
      <c r="G258" s="107"/>
      <c r="H258" s="108"/>
      <c r="I258" s="108"/>
      <c r="J258" s="107"/>
      <c r="K258" s="107"/>
      <c r="L258" s="107"/>
      <c r="M258" s="108"/>
      <c r="N258" s="108"/>
      <c r="O258" s="270"/>
      <c r="P258" s="270"/>
    </row>
    <row r="259" spans="1:16" s="268" customFormat="1" x14ac:dyDescent="0.25">
      <c r="A259" s="107"/>
      <c r="B259" s="107"/>
      <c r="C259" s="7"/>
      <c r="D259" s="7"/>
      <c r="E259" s="10"/>
      <c r="F259" s="107"/>
      <c r="G259" s="107"/>
      <c r="H259" s="108"/>
      <c r="I259" s="108"/>
      <c r="J259" s="107"/>
      <c r="K259" s="107"/>
      <c r="L259" s="107"/>
      <c r="M259" s="108"/>
      <c r="N259" s="108"/>
      <c r="O259" s="270"/>
      <c r="P259" s="270"/>
    </row>
    <row r="260" spans="1:16" s="268" customFormat="1" x14ac:dyDescent="0.25">
      <c r="A260" s="107"/>
      <c r="B260" s="107"/>
      <c r="C260" s="7"/>
      <c r="D260" s="7"/>
      <c r="E260" s="10"/>
      <c r="F260" s="107"/>
      <c r="G260" s="107"/>
      <c r="H260" s="108"/>
      <c r="I260" s="108"/>
      <c r="J260" s="107"/>
      <c r="K260" s="107"/>
      <c r="L260" s="107"/>
      <c r="M260" s="108"/>
      <c r="N260" s="108"/>
      <c r="O260" s="270"/>
      <c r="P260" s="270"/>
    </row>
    <row r="261" spans="1:16" s="268" customFormat="1" x14ac:dyDescent="0.25">
      <c r="A261" s="107"/>
      <c r="B261" s="107"/>
      <c r="C261" s="7"/>
      <c r="D261" s="7"/>
      <c r="E261" s="10"/>
      <c r="F261" s="107"/>
      <c r="G261" s="107"/>
      <c r="H261" s="108"/>
      <c r="I261" s="108"/>
      <c r="J261" s="107"/>
      <c r="K261" s="107"/>
      <c r="L261" s="107"/>
      <c r="M261" s="108"/>
      <c r="N261" s="108"/>
      <c r="O261" s="270"/>
      <c r="P261" s="270"/>
    </row>
    <row r="262" spans="1:16" s="268" customFormat="1" x14ac:dyDescent="0.25">
      <c r="A262" s="107"/>
      <c r="B262" s="107"/>
      <c r="C262" s="7"/>
      <c r="D262" s="7"/>
      <c r="E262" s="10"/>
      <c r="F262" s="107"/>
      <c r="G262" s="107"/>
      <c r="H262" s="108"/>
      <c r="I262" s="108"/>
      <c r="J262" s="107"/>
      <c r="K262" s="107"/>
      <c r="L262" s="107"/>
      <c r="M262" s="108"/>
      <c r="N262" s="108"/>
      <c r="O262" s="270"/>
      <c r="P262" s="270"/>
    </row>
    <row r="263" spans="1:16" s="268" customFormat="1" x14ac:dyDescent="0.25">
      <c r="A263" s="107"/>
      <c r="B263" s="107"/>
      <c r="C263" s="7"/>
      <c r="D263" s="7"/>
      <c r="E263" s="10"/>
      <c r="F263" s="107"/>
      <c r="G263" s="107"/>
      <c r="H263" s="7"/>
      <c r="I263" s="7"/>
      <c r="J263" s="107"/>
      <c r="K263" s="107"/>
      <c r="L263" s="107"/>
      <c r="M263" s="7"/>
      <c r="N263" s="7"/>
      <c r="O263" s="266"/>
      <c r="P263" s="266"/>
    </row>
    <row r="264" spans="1:16" s="268" customFormat="1" x14ac:dyDescent="0.25">
      <c r="A264" s="107"/>
      <c r="B264" s="107"/>
      <c r="C264" s="7"/>
      <c r="D264" s="7"/>
      <c r="E264" s="10"/>
      <c r="F264" s="107"/>
      <c r="G264" s="107"/>
      <c r="H264" s="7"/>
      <c r="I264" s="7"/>
      <c r="J264" s="107"/>
      <c r="K264" s="107"/>
      <c r="L264" s="107"/>
      <c r="M264" s="7"/>
      <c r="N264" s="7"/>
      <c r="O264" s="266"/>
      <c r="P264" s="266"/>
    </row>
    <row r="265" spans="1:16" s="268" customFormat="1" x14ac:dyDescent="0.25">
      <c r="A265" s="107"/>
      <c r="B265" s="107"/>
      <c r="C265" s="7"/>
      <c r="D265" s="7"/>
      <c r="E265" s="10"/>
      <c r="F265" s="107"/>
      <c r="G265" s="107"/>
      <c r="H265" s="7"/>
      <c r="I265" s="7"/>
      <c r="J265" s="107"/>
      <c r="K265" s="107"/>
      <c r="L265" s="107"/>
      <c r="M265" s="7"/>
      <c r="N265" s="7"/>
      <c r="O265" s="266"/>
      <c r="P265" s="266"/>
    </row>
    <row r="266" spans="1:16" s="268" customFormat="1" x14ac:dyDescent="0.25">
      <c r="A266" s="107"/>
      <c r="B266" s="107"/>
      <c r="C266" s="7"/>
      <c r="D266" s="7"/>
      <c r="E266" s="10"/>
      <c r="F266" s="107"/>
      <c r="G266" s="107"/>
      <c r="H266" s="7"/>
      <c r="I266" s="7"/>
      <c r="J266" s="107"/>
      <c r="K266" s="107"/>
      <c r="L266" s="107"/>
      <c r="M266" s="7"/>
      <c r="N266" s="7"/>
      <c r="O266" s="266"/>
      <c r="P266" s="266"/>
    </row>
    <row r="267" spans="1:16" s="268" customFormat="1" x14ac:dyDescent="0.25">
      <c r="A267" s="107"/>
      <c r="B267" s="107"/>
      <c r="C267" s="7"/>
      <c r="D267" s="7"/>
      <c r="E267" s="10"/>
      <c r="F267" s="107"/>
      <c r="G267" s="107"/>
      <c r="H267" s="7"/>
      <c r="I267" s="7"/>
      <c r="J267" s="107"/>
      <c r="K267" s="107"/>
      <c r="L267" s="107"/>
      <c r="M267" s="7"/>
      <c r="N267" s="7"/>
      <c r="O267" s="266"/>
      <c r="P267" s="266"/>
    </row>
    <row r="268" spans="1:16" s="268" customFormat="1" x14ac:dyDescent="0.25">
      <c r="A268" s="107"/>
      <c r="B268" s="107"/>
      <c r="C268" s="7"/>
      <c r="D268" s="7"/>
      <c r="E268" s="10"/>
      <c r="F268" s="107"/>
      <c r="G268" s="107"/>
      <c r="H268" s="7"/>
      <c r="I268" s="7"/>
      <c r="J268" s="107"/>
      <c r="K268" s="107"/>
      <c r="L268" s="107"/>
      <c r="M268" s="7"/>
      <c r="N268" s="7"/>
      <c r="O268" s="266"/>
      <c r="P268" s="266"/>
    </row>
    <row r="269" spans="1:16" s="268" customFormat="1" x14ac:dyDescent="0.25">
      <c r="A269" s="107"/>
      <c r="B269" s="107"/>
      <c r="C269" s="7"/>
      <c r="D269" s="7"/>
      <c r="E269" s="10"/>
      <c r="F269" s="107"/>
      <c r="G269" s="107"/>
      <c r="H269" s="7"/>
      <c r="I269" s="7"/>
      <c r="J269" s="107"/>
      <c r="K269" s="107"/>
      <c r="L269" s="107"/>
      <c r="M269" s="7"/>
      <c r="N269" s="7"/>
      <c r="O269" s="266"/>
      <c r="P269" s="266"/>
    </row>
    <row r="270" spans="1:16" s="268" customFormat="1" x14ac:dyDescent="0.25">
      <c r="A270" s="107"/>
      <c r="B270" s="107"/>
      <c r="C270" s="7"/>
      <c r="D270" s="7"/>
      <c r="E270" s="10"/>
      <c r="F270" s="107"/>
      <c r="G270" s="107"/>
      <c r="H270" s="7"/>
      <c r="I270" s="7"/>
      <c r="J270" s="107"/>
      <c r="K270" s="107"/>
      <c r="L270" s="107"/>
      <c r="M270" s="7"/>
      <c r="N270" s="7"/>
      <c r="O270" s="266"/>
      <c r="P270" s="266"/>
    </row>
    <row r="271" spans="1:16" s="268" customFormat="1" x14ac:dyDescent="0.25">
      <c r="A271" s="107"/>
      <c r="B271" s="107"/>
      <c r="C271" s="7"/>
      <c r="D271" s="7"/>
      <c r="E271" s="10"/>
      <c r="F271" s="107"/>
      <c r="G271" s="107"/>
      <c r="H271" s="7"/>
      <c r="I271" s="7"/>
      <c r="J271" s="107"/>
      <c r="K271" s="107"/>
      <c r="L271" s="107"/>
      <c r="M271" s="7"/>
      <c r="N271" s="7"/>
      <c r="O271" s="266"/>
      <c r="P271" s="266"/>
    </row>
    <row r="272" spans="1:16" s="268" customFormat="1" x14ac:dyDescent="0.25">
      <c r="A272" s="107"/>
      <c r="B272" s="107"/>
      <c r="C272" s="7"/>
      <c r="D272" s="7"/>
      <c r="E272" s="10"/>
      <c r="F272" s="107"/>
      <c r="G272" s="107"/>
      <c r="H272" s="7"/>
      <c r="I272" s="7"/>
      <c r="J272" s="107"/>
      <c r="K272" s="107"/>
      <c r="L272" s="107"/>
      <c r="M272" s="7"/>
      <c r="N272" s="7"/>
      <c r="O272" s="266"/>
      <c r="P272" s="266"/>
    </row>
    <row r="273" spans="1:16" s="268" customFormat="1" x14ac:dyDescent="0.25">
      <c r="A273" s="107"/>
      <c r="B273" s="107"/>
      <c r="C273" s="7"/>
      <c r="D273" s="7"/>
      <c r="E273" s="10"/>
      <c r="F273" s="107"/>
      <c r="G273" s="107"/>
      <c r="H273" s="7"/>
      <c r="I273" s="7"/>
      <c r="J273" s="107"/>
      <c r="K273" s="107"/>
      <c r="L273" s="107"/>
      <c r="M273" s="7"/>
      <c r="N273" s="7"/>
      <c r="O273" s="266"/>
      <c r="P273" s="266"/>
    </row>
    <row r="274" spans="1:16" s="268" customFormat="1" x14ac:dyDescent="0.25">
      <c r="A274" s="107"/>
      <c r="B274" s="107"/>
      <c r="C274" s="7"/>
      <c r="D274" s="7"/>
      <c r="E274" s="10"/>
      <c r="F274" s="107"/>
      <c r="G274" s="107"/>
      <c r="H274" s="7"/>
      <c r="I274" s="7"/>
      <c r="J274" s="107"/>
      <c r="K274" s="107"/>
      <c r="L274" s="107"/>
      <c r="M274" s="7"/>
      <c r="N274" s="7"/>
      <c r="O274" s="266"/>
      <c r="P274" s="266"/>
    </row>
    <row r="275" spans="1:16" s="268" customFormat="1" x14ac:dyDescent="0.25">
      <c r="A275" s="107"/>
      <c r="B275" s="107"/>
      <c r="C275" s="108"/>
      <c r="D275" s="108"/>
      <c r="E275" s="11"/>
      <c r="F275" s="107"/>
      <c r="G275" s="107"/>
      <c r="H275" s="7"/>
      <c r="I275" s="7"/>
      <c r="J275" s="107"/>
      <c r="K275" s="107"/>
      <c r="L275" s="107"/>
      <c r="M275" s="7"/>
      <c r="N275" s="7"/>
      <c r="O275" s="266"/>
      <c r="P275" s="266"/>
    </row>
    <row r="276" spans="1:16" s="268" customFormat="1" x14ac:dyDescent="0.25">
      <c r="A276" s="107"/>
      <c r="B276" s="107"/>
      <c r="C276" s="108"/>
      <c r="D276" s="108"/>
      <c r="E276" s="11"/>
      <c r="F276" s="107"/>
      <c r="G276" s="107"/>
      <c r="H276" s="7"/>
      <c r="I276" s="7"/>
      <c r="J276" s="107"/>
      <c r="K276" s="107"/>
      <c r="L276" s="107"/>
      <c r="M276" s="7"/>
      <c r="N276" s="7"/>
      <c r="O276" s="266"/>
      <c r="P276" s="266"/>
    </row>
    <row r="277" spans="1:16" s="268" customFormat="1" x14ac:dyDescent="0.25">
      <c r="A277" s="107"/>
      <c r="B277" s="107"/>
      <c r="C277" s="108"/>
      <c r="D277" s="108"/>
      <c r="E277" s="11"/>
      <c r="F277" s="107"/>
      <c r="G277" s="107"/>
      <c r="H277" s="7"/>
      <c r="I277" s="7"/>
      <c r="J277" s="107"/>
      <c r="K277" s="107"/>
      <c r="L277" s="107"/>
      <c r="M277" s="7"/>
      <c r="N277" s="7"/>
      <c r="O277" s="266"/>
      <c r="P277" s="266"/>
    </row>
    <row r="278" spans="1:16" s="268" customFormat="1" x14ac:dyDescent="0.25">
      <c r="A278" s="107"/>
      <c r="B278" s="107"/>
      <c r="C278" s="108"/>
      <c r="D278" s="108"/>
      <c r="E278" s="11"/>
      <c r="F278" s="107"/>
      <c r="G278" s="107"/>
      <c r="H278" s="7"/>
      <c r="I278" s="7"/>
      <c r="J278" s="107"/>
      <c r="K278" s="107"/>
      <c r="L278" s="107"/>
      <c r="M278" s="7"/>
      <c r="N278" s="7"/>
      <c r="O278" s="266"/>
      <c r="P278" s="266"/>
    </row>
    <row r="279" spans="1:16" s="268" customFormat="1" x14ac:dyDescent="0.25">
      <c r="A279" s="107"/>
      <c r="B279" s="107"/>
      <c r="C279" s="108"/>
      <c r="D279" s="108"/>
      <c r="E279" s="11"/>
      <c r="F279" s="107"/>
      <c r="G279" s="107"/>
      <c r="H279" s="7"/>
      <c r="I279" s="7"/>
      <c r="J279" s="107"/>
      <c r="K279" s="107"/>
      <c r="L279" s="107"/>
      <c r="M279" s="7"/>
      <c r="N279" s="7"/>
      <c r="O279" s="266"/>
      <c r="P279" s="266"/>
    </row>
    <row r="280" spans="1:16" s="268" customFormat="1" x14ac:dyDescent="0.25">
      <c r="A280" s="107"/>
      <c r="B280" s="107"/>
      <c r="C280" s="108"/>
      <c r="D280" s="108"/>
      <c r="E280" s="11"/>
      <c r="F280" s="107"/>
      <c r="G280" s="107"/>
      <c r="H280" s="7"/>
      <c r="I280" s="7"/>
      <c r="J280" s="107"/>
      <c r="K280" s="107"/>
      <c r="L280" s="107"/>
      <c r="M280" s="7"/>
      <c r="N280" s="7"/>
      <c r="O280" s="266"/>
      <c r="P280" s="266"/>
    </row>
    <row r="281" spans="1:16" s="268" customFormat="1" x14ac:dyDescent="0.25">
      <c r="A281" s="107"/>
      <c r="B281" s="107"/>
      <c r="C281" s="108"/>
      <c r="D281" s="108"/>
      <c r="E281" s="11"/>
      <c r="F281" s="107"/>
      <c r="G281" s="107"/>
      <c r="H281" s="7"/>
      <c r="I281" s="7"/>
      <c r="J281" s="107"/>
      <c r="K281" s="107"/>
      <c r="L281" s="107"/>
      <c r="M281" s="7"/>
      <c r="N281" s="7"/>
      <c r="O281" s="266"/>
      <c r="P281" s="266"/>
    </row>
    <row r="282" spans="1:16" s="268" customFormat="1" x14ac:dyDescent="0.25">
      <c r="A282" s="107"/>
      <c r="B282" s="107"/>
      <c r="C282" s="108"/>
      <c r="D282" s="108"/>
      <c r="E282" s="11"/>
      <c r="F282" s="107"/>
      <c r="G282" s="107"/>
      <c r="H282" s="7"/>
      <c r="I282" s="7"/>
      <c r="J282" s="107"/>
      <c r="K282" s="107"/>
      <c r="L282" s="107"/>
      <c r="M282" s="7"/>
      <c r="N282" s="7"/>
      <c r="O282" s="266"/>
      <c r="P282" s="266"/>
    </row>
    <row r="283" spans="1:16" s="268" customFormat="1" x14ac:dyDescent="0.25">
      <c r="A283" s="107"/>
      <c r="B283" s="107"/>
      <c r="C283" s="108"/>
      <c r="D283" s="108"/>
      <c r="E283" s="11"/>
      <c r="F283" s="107"/>
      <c r="G283" s="107"/>
      <c r="H283" s="7"/>
      <c r="I283" s="7"/>
      <c r="J283" s="107"/>
      <c r="K283" s="107"/>
      <c r="L283" s="107"/>
      <c r="M283" s="7"/>
      <c r="N283" s="7"/>
      <c r="O283" s="266"/>
      <c r="P283" s="266"/>
    </row>
    <row r="284" spans="1:16" s="268" customFormat="1" x14ac:dyDescent="0.25">
      <c r="A284" s="107"/>
      <c r="B284" s="107"/>
      <c r="C284" s="108"/>
      <c r="D284" s="108"/>
      <c r="E284" s="11"/>
      <c r="F284" s="107"/>
      <c r="G284" s="107"/>
      <c r="H284" s="7"/>
      <c r="I284" s="7"/>
      <c r="J284" s="107"/>
      <c r="K284" s="107"/>
      <c r="L284" s="107"/>
      <c r="M284" s="7"/>
      <c r="N284" s="7"/>
      <c r="O284" s="266"/>
      <c r="P284" s="266"/>
    </row>
    <row r="285" spans="1:16" s="268" customFormat="1" x14ac:dyDescent="0.25">
      <c r="A285" s="107"/>
      <c r="B285" s="107"/>
      <c r="C285" s="108"/>
      <c r="D285" s="108"/>
      <c r="E285" s="11"/>
      <c r="F285" s="107"/>
      <c r="G285" s="107"/>
      <c r="H285" s="7"/>
      <c r="I285" s="7"/>
      <c r="J285" s="107"/>
      <c r="K285" s="107"/>
      <c r="L285" s="107"/>
      <c r="M285" s="7"/>
      <c r="N285" s="7"/>
      <c r="O285" s="266"/>
      <c r="P285" s="266"/>
    </row>
    <row r="286" spans="1:16" s="268" customFormat="1" x14ac:dyDescent="0.25">
      <c r="A286" s="107"/>
      <c r="B286" s="107"/>
      <c r="C286" s="108"/>
      <c r="D286" s="108"/>
      <c r="E286" s="11"/>
      <c r="F286" s="107"/>
      <c r="G286" s="107"/>
      <c r="H286" s="7"/>
      <c r="I286" s="7"/>
      <c r="J286" s="107"/>
      <c r="K286" s="107"/>
      <c r="L286" s="107"/>
      <c r="M286" s="7"/>
      <c r="N286" s="7"/>
      <c r="O286" s="266"/>
      <c r="P286" s="266"/>
    </row>
    <row r="287" spans="1:16" s="268" customFormat="1" x14ac:dyDescent="0.25">
      <c r="A287" s="107"/>
      <c r="B287" s="107"/>
      <c r="C287" s="108"/>
      <c r="D287" s="108"/>
      <c r="E287" s="11"/>
      <c r="F287" s="107"/>
      <c r="G287" s="107"/>
      <c r="H287" s="7"/>
      <c r="I287" s="7"/>
      <c r="J287" s="107"/>
      <c r="K287" s="107"/>
      <c r="L287" s="107"/>
      <c r="M287" s="7"/>
      <c r="N287" s="7"/>
      <c r="O287" s="266"/>
      <c r="P287" s="266"/>
    </row>
    <row r="288" spans="1:16" s="268" customFormat="1" x14ac:dyDescent="0.25">
      <c r="A288" s="107"/>
      <c r="B288" s="107"/>
      <c r="C288" s="7"/>
      <c r="D288" s="7"/>
      <c r="E288" s="10"/>
      <c r="F288" s="107"/>
      <c r="G288" s="107"/>
      <c r="H288" s="7"/>
      <c r="I288" s="7"/>
      <c r="J288" s="107"/>
      <c r="K288" s="107"/>
      <c r="L288" s="107"/>
      <c r="M288" s="7"/>
      <c r="N288" s="7"/>
      <c r="O288" s="266"/>
      <c r="P288" s="266"/>
    </row>
    <row r="289" spans="1:16" s="268" customFormat="1" x14ac:dyDescent="0.25">
      <c r="A289" s="107"/>
      <c r="B289" s="107"/>
      <c r="C289" s="7"/>
      <c r="D289" s="7"/>
      <c r="E289" s="10"/>
      <c r="F289" s="107"/>
      <c r="G289" s="107"/>
      <c r="H289" s="7"/>
      <c r="I289" s="7"/>
      <c r="J289" s="107"/>
      <c r="K289" s="107"/>
      <c r="L289" s="107"/>
      <c r="M289" s="7"/>
      <c r="N289" s="7"/>
      <c r="O289" s="266"/>
      <c r="P289" s="266"/>
    </row>
    <row r="290" spans="1:16" s="268" customFormat="1" x14ac:dyDescent="0.25">
      <c r="A290" s="107"/>
      <c r="B290" s="107"/>
      <c r="C290" s="7"/>
      <c r="D290" s="7"/>
      <c r="E290" s="10"/>
      <c r="F290" s="107"/>
      <c r="G290" s="107"/>
      <c r="H290" s="7"/>
      <c r="I290" s="7"/>
      <c r="J290" s="107"/>
      <c r="K290" s="107"/>
      <c r="L290" s="107"/>
      <c r="M290" s="7"/>
      <c r="N290" s="7"/>
      <c r="O290" s="266"/>
      <c r="P290" s="266"/>
    </row>
    <row r="291" spans="1:16" s="268" customFormat="1" x14ac:dyDescent="0.25">
      <c r="A291" s="107"/>
      <c r="B291" s="107"/>
      <c r="C291" s="7"/>
      <c r="D291" s="7"/>
      <c r="E291" s="10"/>
      <c r="F291" s="107"/>
      <c r="G291" s="107"/>
      <c r="H291" s="7"/>
      <c r="I291" s="7"/>
      <c r="J291" s="107"/>
      <c r="K291" s="107"/>
      <c r="L291" s="107"/>
      <c r="M291" s="7"/>
      <c r="N291" s="7"/>
      <c r="O291" s="266"/>
      <c r="P291" s="266"/>
    </row>
    <row r="292" spans="1:16" s="268" customFormat="1" x14ac:dyDescent="0.25">
      <c r="A292" s="107"/>
      <c r="B292" s="107"/>
      <c r="C292" s="7"/>
      <c r="D292" s="7"/>
      <c r="E292" s="10"/>
      <c r="F292" s="107"/>
      <c r="G292" s="107"/>
      <c r="H292" s="7"/>
      <c r="I292" s="7"/>
      <c r="J292" s="107"/>
      <c r="K292" s="107"/>
      <c r="L292" s="107"/>
      <c r="M292" s="7"/>
      <c r="N292" s="7"/>
      <c r="O292" s="266"/>
      <c r="P292" s="266"/>
    </row>
    <row r="293" spans="1:16" s="268" customFormat="1" x14ac:dyDescent="0.25">
      <c r="A293" s="107"/>
      <c r="B293" s="107"/>
      <c r="C293" s="7"/>
      <c r="D293" s="7"/>
      <c r="E293" s="10"/>
      <c r="F293" s="107"/>
      <c r="G293" s="107"/>
      <c r="H293" s="7"/>
      <c r="I293" s="7"/>
      <c r="J293" s="107"/>
      <c r="K293" s="107"/>
      <c r="L293" s="107"/>
      <c r="M293" s="7"/>
      <c r="N293" s="7"/>
      <c r="O293" s="266"/>
      <c r="P293" s="266"/>
    </row>
    <row r="294" spans="1:16" s="268" customFormat="1" x14ac:dyDescent="0.25">
      <c r="A294" s="107"/>
      <c r="B294" s="107"/>
      <c r="C294" s="7"/>
      <c r="D294" s="7"/>
      <c r="E294" s="10"/>
      <c r="F294" s="107"/>
      <c r="G294" s="107"/>
      <c r="H294" s="7"/>
      <c r="I294" s="7"/>
      <c r="J294" s="107"/>
      <c r="K294" s="107"/>
      <c r="L294" s="107"/>
      <c r="M294" s="7"/>
      <c r="N294" s="7"/>
      <c r="O294" s="266"/>
      <c r="P294" s="266"/>
    </row>
    <row r="295" spans="1:16" s="268" customFormat="1" x14ac:dyDescent="0.25">
      <c r="A295" s="107"/>
      <c r="B295" s="107"/>
      <c r="C295" s="7"/>
      <c r="D295" s="7"/>
      <c r="E295" s="10"/>
      <c r="F295" s="107"/>
      <c r="G295" s="107"/>
      <c r="H295" s="7"/>
      <c r="I295" s="7"/>
      <c r="J295" s="107"/>
      <c r="K295" s="107"/>
      <c r="L295" s="107"/>
      <c r="M295" s="7"/>
      <c r="N295" s="7"/>
      <c r="O295" s="266"/>
      <c r="P295" s="266"/>
    </row>
    <row r="296" spans="1:16" s="268" customFormat="1" x14ac:dyDescent="0.25">
      <c r="A296" s="107"/>
      <c r="B296" s="107"/>
      <c r="C296" s="7"/>
      <c r="D296" s="7"/>
      <c r="E296" s="10"/>
      <c r="F296" s="107"/>
      <c r="G296" s="107"/>
      <c r="H296" s="7"/>
      <c r="I296" s="7"/>
      <c r="J296" s="107"/>
      <c r="K296" s="107"/>
      <c r="L296" s="107"/>
      <c r="M296" s="7"/>
      <c r="N296" s="7"/>
      <c r="O296" s="266"/>
      <c r="P296" s="266"/>
    </row>
    <row r="297" spans="1:16" s="268" customFormat="1" x14ac:dyDescent="0.25">
      <c r="A297" s="107"/>
      <c r="B297" s="107"/>
      <c r="C297" s="7"/>
      <c r="D297" s="7"/>
      <c r="E297" s="10"/>
      <c r="F297" s="107"/>
      <c r="G297" s="107"/>
      <c r="H297" s="7"/>
      <c r="I297" s="7"/>
      <c r="J297" s="107"/>
      <c r="K297" s="107"/>
      <c r="L297" s="107"/>
      <c r="M297" s="7"/>
      <c r="N297" s="7"/>
      <c r="O297" s="266"/>
      <c r="P297" s="266"/>
    </row>
    <row r="298" spans="1:16" s="268" customFormat="1" x14ac:dyDescent="0.25">
      <c r="A298" s="107"/>
      <c r="B298" s="107"/>
      <c r="C298" s="7"/>
      <c r="D298" s="7"/>
      <c r="E298" s="10"/>
      <c r="F298" s="107"/>
      <c r="G298" s="107"/>
      <c r="H298" s="7"/>
      <c r="I298" s="7"/>
      <c r="J298" s="107"/>
      <c r="K298" s="107"/>
      <c r="L298" s="107"/>
      <c r="M298" s="7"/>
      <c r="N298" s="7"/>
      <c r="O298" s="266"/>
      <c r="P298" s="266"/>
    </row>
    <row r="299" spans="1:16" s="268" customFormat="1" x14ac:dyDescent="0.25">
      <c r="A299" s="107"/>
      <c r="B299" s="107"/>
      <c r="C299" s="7"/>
      <c r="D299" s="7"/>
      <c r="E299" s="10"/>
      <c r="F299" s="107"/>
      <c r="G299" s="107"/>
      <c r="H299" s="7"/>
      <c r="I299" s="7"/>
      <c r="J299" s="107"/>
      <c r="K299" s="107"/>
      <c r="L299" s="107"/>
      <c r="M299" s="7"/>
      <c r="N299" s="7"/>
      <c r="O299" s="266"/>
      <c r="P299" s="266"/>
    </row>
    <row r="300" spans="1:16" s="268" customFormat="1" x14ac:dyDescent="0.25">
      <c r="A300" s="107"/>
      <c r="B300" s="107"/>
      <c r="C300" s="7"/>
      <c r="D300" s="7"/>
      <c r="E300" s="10"/>
      <c r="F300" s="107"/>
      <c r="G300" s="107"/>
      <c r="H300" s="7"/>
      <c r="I300" s="7"/>
      <c r="J300" s="107"/>
      <c r="K300" s="107"/>
      <c r="L300" s="107"/>
      <c r="M300" s="7"/>
      <c r="N300" s="7"/>
      <c r="O300" s="266"/>
      <c r="P300" s="266"/>
    </row>
    <row r="301" spans="1:16" s="268" customFormat="1" x14ac:dyDescent="0.25">
      <c r="A301" s="107"/>
      <c r="B301" s="107"/>
      <c r="C301" s="7"/>
      <c r="D301" s="7"/>
      <c r="E301" s="10"/>
      <c r="F301" s="107"/>
      <c r="G301" s="107"/>
      <c r="H301" s="7"/>
      <c r="I301" s="7"/>
      <c r="J301" s="107"/>
      <c r="K301" s="107"/>
      <c r="L301" s="107"/>
      <c r="M301" s="7"/>
      <c r="N301" s="7"/>
      <c r="O301" s="266"/>
      <c r="P301" s="266"/>
    </row>
    <row r="302" spans="1:16" s="268" customFormat="1" x14ac:dyDescent="0.25">
      <c r="A302" s="107"/>
      <c r="B302" s="107"/>
      <c r="C302" s="7"/>
      <c r="D302" s="7"/>
      <c r="E302" s="10"/>
      <c r="F302" s="107"/>
      <c r="G302" s="107"/>
      <c r="H302" s="7"/>
      <c r="I302" s="7"/>
      <c r="J302" s="107"/>
      <c r="K302" s="107"/>
      <c r="L302" s="107"/>
      <c r="M302" s="7"/>
      <c r="N302" s="7"/>
      <c r="O302" s="266"/>
      <c r="P302" s="266"/>
    </row>
    <row r="303" spans="1:16" s="268" customFormat="1" x14ac:dyDescent="0.25">
      <c r="A303" s="107"/>
      <c r="B303" s="107"/>
      <c r="C303" s="7"/>
      <c r="D303" s="7"/>
      <c r="E303" s="10"/>
      <c r="F303" s="107"/>
      <c r="G303" s="107"/>
      <c r="H303" s="7"/>
      <c r="I303" s="7"/>
      <c r="J303" s="107"/>
      <c r="K303" s="107"/>
      <c r="L303" s="107"/>
      <c r="M303" s="7"/>
      <c r="N303" s="7"/>
      <c r="O303" s="266"/>
      <c r="P303" s="266"/>
    </row>
    <row r="304" spans="1:16" s="268" customFormat="1" x14ac:dyDescent="0.25">
      <c r="A304" s="107"/>
      <c r="B304" s="107"/>
      <c r="C304" s="7"/>
      <c r="D304" s="7"/>
      <c r="E304" s="10"/>
      <c r="F304" s="107"/>
      <c r="G304" s="107"/>
      <c r="H304" s="7"/>
      <c r="I304" s="7"/>
      <c r="J304" s="107"/>
      <c r="K304" s="107"/>
      <c r="L304" s="107"/>
      <c r="M304" s="7"/>
      <c r="N304" s="7"/>
      <c r="O304" s="266"/>
      <c r="P304" s="266"/>
    </row>
    <row r="305" spans="1:16" s="268" customFormat="1" x14ac:dyDescent="0.25">
      <c r="A305" s="107"/>
      <c r="B305" s="107"/>
      <c r="C305" s="7"/>
      <c r="D305" s="7"/>
      <c r="E305" s="10"/>
      <c r="F305" s="107"/>
      <c r="G305" s="107"/>
      <c r="H305" s="7"/>
      <c r="I305" s="7"/>
      <c r="J305" s="107"/>
      <c r="K305" s="107"/>
      <c r="L305" s="107"/>
      <c r="M305" s="7"/>
      <c r="N305" s="7"/>
      <c r="O305" s="266"/>
      <c r="P305" s="266"/>
    </row>
    <row r="306" spans="1:16" s="268" customFormat="1" x14ac:dyDescent="0.25">
      <c r="A306" s="107"/>
      <c r="B306" s="107"/>
      <c r="C306" s="7"/>
      <c r="D306" s="7"/>
      <c r="E306" s="10"/>
      <c r="F306" s="107"/>
      <c r="G306" s="107"/>
      <c r="H306" s="7"/>
      <c r="I306" s="7"/>
      <c r="J306" s="107"/>
      <c r="K306" s="107"/>
      <c r="L306" s="107"/>
      <c r="M306" s="7"/>
      <c r="N306" s="7"/>
      <c r="O306" s="266"/>
      <c r="P306" s="266"/>
    </row>
    <row r="307" spans="1:16" s="268" customFormat="1" x14ac:dyDescent="0.25">
      <c r="A307" s="107"/>
      <c r="B307" s="107"/>
      <c r="C307" s="7"/>
      <c r="D307" s="7"/>
      <c r="E307" s="10"/>
      <c r="F307" s="107"/>
      <c r="G307" s="107"/>
      <c r="H307" s="7"/>
      <c r="I307" s="7"/>
      <c r="J307" s="107"/>
      <c r="K307" s="107"/>
      <c r="L307" s="107"/>
      <c r="M307" s="7"/>
      <c r="N307" s="7"/>
      <c r="O307" s="266"/>
      <c r="P307" s="266"/>
    </row>
    <row r="308" spans="1:16" s="268" customFormat="1" x14ac:dyDescent="0.25">
      <c r="A308" s="107"/>
      <c r="B308" s="107"/>
      <c r="C308" s="7"/>
      <c r="D308" s="7"/>
      <c r="E308" s="10"/>
      <c r="F308" s="107"/>
      <c r="G308" s="107"/>
      <c r="H308" s="7"/>
      <c r="I308" s="7"/>
      <c r="J308" s="107"/>
      <c r="K308" s="107"/>
      <c r="L308" s="107"/>
      <c r="M308" s="7"/>
      <c r="N308" s="7"/>
      <c r="O308" s="266"/>
      <c r="P308" s="266"/>
    </row>
    <row r="309" spans="1:16" s="268" customFormat="1" x14ac:dyDescent="0.25">
      <c r="A309" s="107"/>
      <c r="B309" s="107"/>
      <c r="C309" s="7"/>
      <c r="D309" s="7"/>
      <c r="E309" s="10"/>
      <c r="F309" s="107"/>
      <c r="G309" s="107"/>
      <c r="H309" s="7"/>
      <c r="I309" s="7"/>
      <c r="J309" s="107"/>
      <c r="K309" s="107"/>
      <c r="L309" s="107"/>
      <c r="M309" s="7"/>
      <c r="N309" s="7"/>
      <c r="O309" s="266"/>
      <c r="P309" s="266"/>
    </row>
    <row r="310" spans="1:16" s="268" customFormat="1" x14ac:dyDescent="0.25">
      <c r="A310" s="107"/>
      <c r="B310" s="107"/>
      <c r="C310" s="7"/>
      <c r="D310" s="7"/>
      <c r="E310" s="10"/>
      <c r="F310" s="107"/>
      <c r="G310" s="107"/>
      <c r="H310" s="7"/>
      <c r="I310" s="7"/>
      <c r="J310" s="107"/>
      <c r="K310" s="107"/>
      <c r="L310" s="107"/>
      <c r="M310" s="7"/>
      <c r="N310" s="7"/>
      <c r="O310" s="266"/>
      <c r="P310" s="266"/>
    </row>
    <row r="311" spans="1:16" s="268" customFormat="1" x14ac:dyDescent="0.25">
      <c r="A311" s="107"/>
      <c r="B311" s="107"/>
      <c r="C311" s="7"/>
      <c r="D311" s="7"/>
      <c r="E311" s="10"/>
      <c r="F311" s="107"/>
      <c r="G311" s="107"/>
      <c r="H311" s="7"/>
      <c r="I311" s="7"/>
      <c r="J311" s="107"/>
      <c r="K311" s="107"/>
      <c r="L311" s="107"/>
      <c r="M311" s="7"/>
      <c r="N311" s="7"/>
      <c r="O311" s="266"/>
      <c r="P311" s="266"/>
    </row>
    <row r="312" spans="1:16" s="268" customFormat="1" x14ac:dyDescent="0.25">
      <c r="A312" s="107"/>
      <c r="B312" s="107"/>
      <c r="C312" s="7"/>
      <c r="D312" s="7"/>
      <c r="E312" s="10"/>
      <c r="F312" s="107"/>
      <c r="G312" s="107"/>
      <c r="H312" s="7"/>
      <c r="I312" s="7"/>
      <c r="J312" s="107"/>
      <c r="K312" s="107"/>
      <c r="L312" s="107"/>
      <c r="M312" s="7"/>
      <c r="N312" s="7"/>
      <c r="O312" s="266"/>
      <c r="P312" s="266"/>
    </row>
    <row r="313" spans="1:16" s="268" customFormat="1" x14ac:dyDescent="0.25">
      <c r="A313" s="107"/>
      <c r="B313" s="107"/>
      <c r="C313" s="7"/>
      <c r="D313" s="7"/>
      <c r="E313" s="10"/>
      <c r="F313" s="107"/>
      <c r="G313" s="107"/>
      <c r="H313" s="7"/>
      <c r="I313" s="7"/>
      <c r="J313" s="107"/>
      <c r="K313" s="107"/>
      <c r="L313" s="107"/>
      <c r="M313" s="7"/>
      <c r="N313" s="7"/>
      <c r="O313" s="266"/>
      <c r="P313" s="266"/>
    </row>
    <row r="314" spans="1:16" s="268" customFormat="1" x14ac:dyDescent="0.25">
      <c r="A314" s="107"/>
      <c r="B314" s="107"/>
      <c r="C314" s="7"/>
      <c r="D314" s="7"/>
      <c r="E314" s="10"/>
      <c r="F314" s="107"/>
      <c r="G314" s="107"/>
      <c r="H314" s="7"/>
      <c r="I314" s="7"/>
      <c r="J314" s="107"/>
      <c r="K314" s="107"/>
      <c r="L314" s="107"/>
      <c r="M314" s="7"/>
      <c r="N314" s="7"/>
      <c r="O314" s="266"/>
      <c r="P314" s="266"/>
    </row>
    <row r="315" spans="1:16" s="268" customFormat="1" x14ac:dyDescent="0.25">
      <c r="A315" s="107"/>
      <c r="B315" s="107"/>
      <c r="C315" s="7"/>
      <c r="D315" s="7"/>
      <c r="E315" s="10"/>
      <c r="F315" s="107"/>
      <c r="G315" s="107"/>
      <c r="H315" s="7"/>
      <c r="I315" s="7"/>
      <c r="J315" s="107"/>
      <c r="K315" s="107"/>
      <c r="L315" s="107"/>
      <c r="M315" s="7"/>
      <c r="N315" s="7"/>
      <c r="O315" s="266"/>
      <c r="P315" s="266"/>
    </row>
    <row r="316" spans="1:16" s="268" customFormat="1" x14ac:dyDescent="0.25">
      <c r="A316" s="107"/>
      <c r="B316" s="107"/>
      <c r="C316" s="7"/>
      <c r="D316" s="7"/>
      <c r="E316" s="10"/>
      <c r="F316" s="107"/>
      <c r="G316" s="107"/>
      <c r="H316" s="7"/>
      <c r="I316" s="7"/>
      <c r="J316" s="107"/>
      <c r="K316" s="107"/>
      <c r="L316" s="107"/>
      <c r="M316" s="7"/>
      <c r="N316" s="7"/>
      <c r="O316" s="266"/>
      <c r="P316" s="266"/>
    </row>
    <row r="317" spans="1:16" s="268" customFormat="1" x14ac:dyDescent="0.25">
      <c r="A317" s="107"/>
      <c r="B317" s="107"/>
      <c r="C317" s="7"/>
      <c r="D317" s="7"/>
      <c r="E317" s="10"/>
      <c r="F317" s="107"/>
      <c r="G317" s="107"/>
      <c r="H317" s="7"/>
      <c r="I317" s="7"/>
      <c r="J317" s="107"/>
      <c r="K317" s="107"/>
      <c r="L317" s="107"/>
      <c r="M317" s="7"/>
      <c r="N317" s="7"/>
      <c r="O317" s="266"/>
      <c r="P317" s="266"/>
    </row>
    <row r="318" spans="1:16" s="268" customFormat="1" x14ac:dyDescent="0.25">
      <c r="A318" s="107"/>
      <c r="B318" s="107"/>
      <c r="C318" s="7"/>
      <c r="D318" s="7"/>
      <c r="E318" s="10"/>
      <c r="F318" s="107"/>
      <c r="G318" s="107"/>
      <c r="H318" s="7"/>
      <c r="I318" s="7"/>
      <c r="J318" s="107"/>
      <c r="K318" s="107"/>
      <c r="L318" s="107"/>
      <c r="M318" s="7"/>
      <c r="N318" s="7"/>
      <c r="O318" s="266"/>
      <c r="P318" s="266"/>
    </row>
    <row r="319" spans="1:16" s="268" customFormat="1" x14ac:dyDescent="0.25">
      <c r="A319" s="107"/>
      <c r="B319" s="107"/>
      <c r="C319" s="7"/>
      <c r="D319" s="7"/>
      <c r="E319" s="10"/>
      <c r="F319" s="107"/>
      <c r="G319" s="107"/>
      <c r="H319" s="7"/>
      <c r="I319" s="7"/>
      <c r="J319" s="107"/>
      <c r="K319" s="107"/>
      <c r="L319" s="107"/>
      <c r="M319" s="7"/>
      <c r="N319" s="7"/>
      <c r="O319" s="266"/>
      <c r="P319" s="266"/>
    </row>
    <row r="320" spans="1:16" s="268" customFormat="1" x14ac:dyDescent="0.25">
      <c r="A320" s="107"/>
      <c r="B320" s="107"/>
      <c r="C320" s="7"/>
      <c r="D320" s="7"/>
      <c r="E320" s="10"/>
      <c r="F320" s="107"/>
      <c r="G320" s="107"/>
      <c r="H320" s="7"/>
      <c r="I320" s="7"/>
      <c r="J320" s="107"/>
      <c r="K320" s="107"/>
      <c r="L320" s="107"/>
      <c r="M320" s="7"/>
      <c r="N320" s="7"/>
      <c r="O320" s="266"/>
      <c r="P320" s="266"/>
    </row>
    <row r="321" spans="1:16" s="268" customFormat="1" x14ac:dyDescent="0.25">
      <c r="A321" s="107"/>
      <c r="B321" s="107"/>
      <c r="C321" s="7"/>
      <c r="D321" s="7"/>
      <c r="E321" s="10"/>
      <c r="F321" s="107"/>
      <c r="G321" s="107"/>
      <c r="H321" s="7"/>
      <c r="I321" s="7"/>
      <c r="J321" s="107"/>
      <c r="K321" s="107"/>
      <c r="L321" s="107"/>
      <c r="M321" s="7"/>
      <c r="N321" s="7"/>
      <c r="O321" s="266"/>
      <c r="P321" s="266"/>
    </row>
    <row r="322" spans="1:16" s="268" customFormat="1" x14ac:dyDescent="0.25">
      <c r="A322" s="107"/>
      <c r="B322" s="107"/>
      <c r="C322" s="7"/>
      <c r="D322" s="7"/>
      <c r="E322" s="10"/>
      <c r="F322" s="107"/>
      <c r="G322" s="107"/>
      <c r="H322" s="7"/>
      <c r="I322" s="7"/>
      <c r="J322" s="107"/>
      <c r="K322" s="107"/>
      <c r="L322" s="107"/>
      <c r="M322" s="7"/>
      <c r="N322" s="7"/>
      <c r="O322" s="266"/>
      <c r="P322" s="266"/>
    </row>
    <row r="323" spans="1:16" s="268" customFormat="1" x14ac:dyDescent="0.25">
      <c r="A323" s="107"/>
      <c r="B323" s="107"/>
      <c r="C323" s="7"/>
      <c r="D323" s="7"/>
      <c r="E323" s="10"/>
      <c r="F323" s="107"/>
      <c r="G323" s="107"/>
      <c r="H323" s="7"/>
      <c r="I323" s="7"/>
      <c r="J323" s="107"/>
      <c r="K323" s="107"/>
      <c r="L323" s="107"/>
      <c r="M323" s="7"/>
      <c r="N323" s="7"/>
      <c r="O323" s="266"/>
      <c r="P323" s="266"/>
    </row>
    <row r="324" spans="1:16" s="268" customFormat="1" x14ac:dyDescent="0.25">
      <c r="A324" s="107"/>
      <c r="B324" s="107"/>
      <c r="C324" s="7"/>
      <c r="D324" s="7"/>
      <c r="E324" s="10"/>
      <c r="F324" s="107"/>
      <c r="G324" s="107"/>
      <c r="H324" s="7"/>
      <c r="I324" s="7"/>
      <c r="J324" s="107"/>
      <c r="K324" s="107"/>
      <c r="L324" s="107"/>
      <c r="M324" s="7"/>
      <c r="N324" s="7"/>
      <c r="O324" s="266"/>
      <c r="P324" s="266"/>
    </row>
    <row r="325" spans="1:16" s="268" customFormat="1" x14ac:dyDescent="0.25">
      <c r="A325" s="107"/>
      <c r="B325" s="107"/>
      <c r="C325" s="7"/>
      <c r="D325" s="7"/>
      <c r="E325" s="10"/>
      <c r="F325" s="107"/>
      <c r="G325" s="107"/>
      <c r="H325" s="7"/>
      <c r="I325" s="7"/>
      <c r="J325" s="107"/>
      <c r="K325" s="107"/>
      <c r="L325" s="107"/>
      <c r="M325" s="7"/>
      <c r="N325" s="7"/>
      <c r="O325" s="266"/>
      <c r="P325" s="266"/>
    </row>
    <row r="326" spans="1:16" s="268" customFormat="1" x14ac:dyDescent="0.25">
      <c r="A326" s="107"/>
      <c r="B326" s="107"/>
      <c r="C326" s="7"/>
      <c r="D326" s="7"/>
      <c r="E326" s="10"/>
      <c r="F326" s="107"/>
      <c r="G326" s="107"/>
      <c r="H326" s="7"/>
      <c r="I326" s="7"/>
      <c r="J326" s="107"/>
      <c r="K326" s="107"/>
      <c r="L326" s="107"/>
      <c r="M326" s="7"/>
      <c r="N326" s="7"/>
      <c r="O326" s="266"/>
      <c r="P326" s="266"/>
    </row>
    <row r="327" spans="1:16" s="268" customFormat="1" x14ac:dyDescent="0.25">
      <c r="A327" s="107"/>
      <c r="B327" s="107"/>
      <c r="C327" s="7"/>
      <c r="D327" s="7"/>
      <c r="E327" s="10"/>
      <c r="F327" s="107"/>
      <c r="G327" s="107"/>
      <c r="H327" s="7"/>
      <c r="I327" s="7"/>
      <c r="J327" s="107"/>
      <c r="K327" s="107"/>
      <c r="L327" s="107"/>
      <c r="M327" s="7"/>
      <c r="N327" s="7"/>
      <c r="O327" s="266"/>
      <c r="P327" s="266"/>
    </row>
    <row r="328" spans="1:16" s="268" customFormat="1" x14ac:dyDescent="0.25">
      <c r="A328" s="107"/>
      <c r="B328" s="107"/>
      <c r="C328" s="7"/>
      <c r="D328" s="7"/>
      <c r="E328" s="10"/>
      <c r="F328" s="107"/>
      <c r="G328" s="107"/>
      <c r="H328" s="7"/>
      <c r="I328" s="7"/>
      <c r="J328" s="107"/>
      <c r="K328" s="107"/>
      <c r="L328" s="107"/>
      <c r="M328" s="7"/>
      <c r="N328" s="7"/>
      <c r="O328" s="266"/>
      <c r="P328" s="266"/>
    </row>
    <row r="329" spans="1:16" s="268" customFormat="1" x14ac:dyDescent="0.25">
      <c r="A329" s="107"/>
      <c r="B329" s="107"/>
      <c r="C329" s="7"/>
      <c r="D329" s="7"/>
      <c r="E329" s="10"/>
      <c r="F329" s="107"/>
      <c r="G329" s="107"/>
      <c r="H329" s="108"/>
      <c r="I329" s="108"/>
      <c r="J329" s="107"/>
      <c r="K329" s="107"/>
      <c r="L329" s="107"/>
      <c r="M329" s="108"/>
      <c r="N329" s="108"/>
      <c r="O329" s="270"/>
      <c r="P329" s="270"/>
    </row>
    <row r="330" spans="1:16" s="268" customFormat="1" x14ac:dyDescent="0.25">
      <c r="A330" s="107"/>
      <c r="B330" s="107"/>
      <c r="C330" s="7"/>
      <c r="D330" s="7"/>
      <c r="E330" s="10"/>
      <c r="F330" s="107"/>
      <c r="G330" s="107"/>
      <c r="H330" s="108"/>
      <c r="I330" s="108"/>
      <c r="J330" s="107"/>
      <c r="K330" s="107"/>
      <c r="L330" s="107"/>
      <c r="M330" s="108"/>
      <c r="N330" s="108"/>
      <c r="O330" s="270"/>
      <c r="P330" s="270"/>
    </row>
    <row r="331" spans="1:16" s="268" customFormat="1" x14ac:dyDescent="0.25">
      <c r="A331" s="107"/>
      <c r="B331" s="107"/>
      <c r="C331" s="7"/>
      <c r="D331" s="7"/>
      <c r="E331" s="10"/>
      <c r="F331" s="107"/>
      <c r="G331" s="107"/>
      <c r="H331" s="108"/>
      <c r="I331" s="108"/>
      <c r="J331" s="107"/>
      <c r="K331" s="107"/>
      <c r="L331" s="107"/>
      <c r="M331" s="108"/>
      <c r="N331" s="108"/>
      <c r="O331" s="270"/>
      <c r="P331" s="270"/>
    </row>
    <row r="332" spans="1:16" s="268" customFormat="1" x14ac:dyDescent="0.25">
      <c r="A332" s="107"/>
      <c r="B332" s="107"/>
      <c r="C332" s="7"/>
      <c r="D332" s="7"/>
      <c r="E332" s="10"/>
      <c r="F332" s="107"/>
      <c r="G332" s="107"/>
      <c r="H332" s="108"/>
      <c r="I332" s="108"/>
      <c r="J332" s="107"/>
      <c r="K332" s="107"/>
      <c r="L332" s="107"/>
      <c r="M332" s="108"/>
      <c r="N332" s="108"/>
      <c r="O332" s="270"/>
      <c r="P332" s="270"/>
    </row>
    <row r="333" spans="1:16" s="268" customFormat="1" x14ac:dyDescent="0.25">
      <c r="A333" s="107"/>
      <c r="B333" s="107"/>
      <c r="C333" s="7"/>
      <c r="D333" s="7"/>
      <c r="E333" s="10"/>
      <c r="F333" s="107"/>
      <c r="G333" s="107"/>
      <c r="H333" s="108"/>
      <c r="I333" s="108"/>
      <c r="J333" s="107"/>
      <c r="K333" s="107"/>
      <c r="L333" s="107"/>
      <c r="M333" s="108"/>
      <c r="N333" s="108"/>
      <c r="O333" s="270"/>
      <c r="P333" s="270"/>
    </row>
    <row r="334" spans="1:16" s="268" customFormat="1" x14ac:dyDescent="0.25">
      <c r="A334" s="107"/>
      <c r="B334" s="107"/>
      <c r="C334" s="7"/>
      <c r="D334" s="7"/>
      <c r="E334" s="10"/>
      <c r="F334" s="107"/>
      <c r="G334" s="107"/>
      <c r="H334" s="108"/>
      <c r="I334" s="108"/>
      <c r="J334" s="107"/>
      <c r="K334" s="107"/>
      <c r="L334" s="107"/>
      <c r="M334" s="108"/>
      <c r="N334" s="108"/>
      <c r="O334" s="270"/>
      <c r="P334" s="270"/>
    </row>
    <row r="335" spans="1:16" s="268" customFormat="1" x14ac:dyDescent="0.25">
      <c r="A335" s="107"/>
      <c r="B335" s="107"/>
      <c r="C335" s="7"/>
      <c r="D335" s="7"/>
      <c r="E335" s="10"/>
      <c r="F335" s="107"/>
      <c r="G335" s="107"/>
      <c r="H335" s="108"/>
      <c r="I335" s="108"/>
      <c r="J335" s="107"/>
      <c r="K335" s="107"/>
      <c r="L335" s="107"/>
      <c r="M335" s="108"/>
      <c r="N335" s="108"/>
      <c r="O335" s="270"/>
      <c r="P335" s="270"/>
    </row>
    <row r="336" spans="1:16" s="268" customFormat="1" x14ac:dyDescent="0.25">
      <c r="A336" s="107"/>
      <c r="B336" s="107"/>
      <c r="C336" s="7"/>
      <c r="D336" s="7"/>
      <c r="E336" s="10"/>
      <c r="F336" s="107"/>
      <c r="G336" s="107"/>
      <c r="H336" s="108"/>
      <c r="I336" s="108"/>
      <c r="J336" s="107"/>
      <c r="K336" s="107"/>
      <c r="L336" s="107"/>
      <c r="M336" s="108"/>
      <c r="N336" s="108"/>
      <c r="O336" s="270"/>
      <c r="P336" s="270"/>
    </row>
    <row r="337" spans="1:19" s="268" customFormat="1" x14ac:dyDescent="0.25">
      <c r="A337" s="107"/>
      <c r="B337" s="107"/>
      <c r="C337" s="7"/>
      <c r="D337" s="7"/>
      <c r="E337" s="10"/>
      <c r="F337" s="107"/>
      <c r="G337" s="107"/>
      <c r="H337" s="108"/>
      <c r="I337" s="108"/>
      <c r="J337" s="107"/>
      <c r="K337" s="107"/>
      <c r="L337" s="107"/>
      <c r="M337" s="108"/>
      <c r="N337" s="108"/>
      <c r="O337" s="270"/>
      <c r="P337" s="270"/>
    </row>
    <row r="338" spans="1:19" s="268" customFormat="1" x14ac:dyDescent="0.25">
      <c r="A338" s="107"/>
      <c r="B338" s="107"/>
      <c r="C338" s="7"/>
      <c r="D338" s="7"/>
      <c r="E338" s="10"/>
      <c r="F338" s="107"/>
      <c r="G338" s="107"/>
      <c r="H338" s="108"/>
      <c r="I338" s="108"/>
      <c r="J338" s="107"/>
      <c r="K338" s="107"/>
      <c r="L338" s="107"/>
      <c r="M338" s="108"/>
      <c r="N338" s="108"/>
      <c r="O338" s="270"/>
      <c r="P338" s="270"/>
    </row>
    <row r="339" spans="1:19" s="268" customFormat="1" x14ac:dyDescent="0.25">
      <c r="A339" s="107"/>
      <c r="B339" s="107"/>
      <c r="C339" s="7"/>
      <c r="D339" s="7"/>
      <c r="E339" s="10"/>
      <c r="F339" s="107"/>
      <c r="G339" s="107"/>
      <c r="H339" s="108"/>
      <c r="I339" s="108"/>
      <c r="J339" s="107"/>
      <c r="K339" s="107"/>
      <c r="L339" s="107"/>
      <c r="M339" s="108"/>
      <c r="N339" s="108"/>
      <c r="O339" s="270"/>
      <c r="P339" s="270"/>
    </row>
    <row r="340" spans="1:19" s="268" customFormat="1" x14ac:dyDescent="0.25">
      <c r="A340" s="107"/>
      <c r="B340" s="107"/>
      <c r="C340" s="7"/>
      <c r="D340" s="7"/>
      <c r="E340" s="10"/>
      <c r="F340" s="107"/>
      <c r="G340" s="107"/>
      <c r="H340" s="108"/>
      <c r="I340" s="108"/>
      <c r="J340" s="107"/>
      <c r="K340" s="107"/>
      <c r="L340" s="107"/>
      <c r="M340" s="108"/>
      <c r="N340" s="108"/>
      <c r="O340" s="270"/>
      <c r="P340" s="270"/>
    </row>
    <row r="341" spans="1:19" s="268" customFormat="1" x14ac:dyDescent="0.25">
      <c r="A341" s="107"/>
      <c r="B341" s="107"/>
      <c r="C341" s="7"/>
      <c r="D341" s="7"/>
      <c r="E341" s="10"/>
      <c r="F341" s="107"/>
      <c r="G341" s="107"/>
      <c r="H341" s="108"/>
      <c r="I341" s="108"/>
      <c r="J341" s="107"/>
      <c r="K341" s="107"/>
      <c r="L341" s="107"/>
      <c r="M341" s="108"/>
      <c r="N341" s="108"/>
      <c r="O341" s="270"/>
      <c r="P341" s="270"/>
    </row>
    <row r="342" spans="1:19" s="268" customFormat="1" x14ac:dyDescent="0.25">
      <c r="A342" s="107"/>
      <c r="B342" s="107"/>
      <c r="C342" s="7"/>
      <c r="D342" s="7"/>
      <c r="E342" s="10"/>
      <c r="F342" s="107"/>
      <c r="G342" s="107"/>
      <c r="H342" s="108"/>
      <c r="I342" s="108"/>
      <c r="J342" s="107"/>
      <c r="K342" s="107"/>
      <c r="L342" s="107"/>
      <c r="M342" s="108"/>
      <c r="N342" s="108"/>
      <c r="O342" s="270"/>
      <c r="P342" s="270"/>
    </row>
    <row r="343" spans="1:19" s="268" customFormat="1" x14ac:dyDescent="0.25">
      <c r="A343" s="107"/>
      <c r="B343" s="107"/>
      <c r="C343" s="7"/>
      <c r="D343" s="7"/>
      <c r="E343" s="10"/>
      <c r="F343" s="107"/>
      <c r="G343" s="107"/>
      <c r="H343" s="108"/>
      <c r="I343" s="108"/>
      <c r="J343" s="107"/>
      <c r="K343" s="107"/>
      <c r="L343" s="107"/>
      <c r="M343" s="108"/>
      <c r="N343" s="108"/>
      <c r="O343" s="270"/>
      <c r="P343" s="270"/>
    </row>
    <row r="344" spans="1:19" s="268" customFormat="1" x14ac:dyDescent="0.25">
      <c r="A344" s="107"/>
      <c r="B344" s="107"/>
      <c r="C344" s="7"/>
      <c r="D344" s="7"/>
      <c r="E344" s="10"/>
      <c r="F344" s="107"/>
      <c r="G344" s="107"/>
      <c r="H344" s="107"/>
      <c r="I344" s="107"/>
      <c r="J344" s="107"/>
      <c r="K344" s="107"/>
      <c r="L344" s="107"/>
      <c r="M344" s="107"/>
      <c r="N344" s="107"/>
      <c r="S344" s="107"/>
    </row>
    <row r="345" spans="1:19" s="268" customFormat="1" x14ac:dyDescent="0.25">
      <c r="A345" s="107"/>
      <c r="B345" s="107"/>
      <c r="C345" s="7"/>
      <c r="D345" s="7"/>
      <c r="E345" s="10"/>
      <c r="F345" s="107"/>
      <c r="G345" s="107"/>
      <c r="H345" s="107"/>
      <c r="I345" s="107"/>
      <c r="J345" s="107"/>
      <c r="K345" s="107"/>
      <c r="L345" s="107"/>
      <c r="M345" s="107"/>
      <c r="N345" s="107"/>
      <c r="S345" s="107"/>
    </row>
    <row r="346" spans="1:19" s="268" customFormat="1" x14ac:dyDescent="0.25">
      <c r="A346" s="107"/>
      <c r="B346" s="107"/>
      <c r="C346" s="7"/>
      <c r="D346" s="7"/>
      <c r="E346" s="10"/>
      <c r="F346" s="107"/>
      <c r="G346" s="107"/>
      <c r="H346" s="107"/>
      <c r="I346" s="107"/>
      <c r="J346" s="107"/>
      <c r="K346" s="107"/>
      <c r="L346" s="107"/>
      <c r="M346" s="107"/>
      <c r="N346" s="107"/>
      <c r="S346" s="107"/>
    </row>
    <row r="347" spans="1:19" s="268" customFormat="1" x14ac:dyDescent="0.25">
      <c r="A347" s="107"/>
      <c r="B347" s="107"/>
      <c r="C347" s="7"/>
      <c r="D347" s="7"/>
      <c r="E347" s="10"/>
      <c r="F347" s="107"/>
      <c r="G347" s="107"/>
      <c r="H347" s="107"/>
      <c r="I347" s="107"/>
      <c r="J347" s="107"/>
      <c r="K347" s="107"/>
      <c r="L347" s="107"/>
      <c r="M347" s="107"/>
      <c r="N347" s="107"/>
      <c r="S347" s="107"/>
    </row>
    <row r="348" spans="1:19" s="268" customFormat="1" x14ac:dyDescent="0.25">
      <c r="A348" s="107"/>
      <c r="B348" s="107"/>
      <c r="C348" s="7"/>
      <c r="D348" s="7"/>
      <c r="E348" s="10"/>
      <c r="F348" s="107"/>
      <c r="G348" s="107"/>
      <c r="H348" s="107"/>
      <c r="I348" s="107"/>
      <c r="J348" s="107"/>
      <c r="K348" s="107"/>
      <c r="L348" s="107"/>
      <c r="M348" s="107"/>
      <c r="N348" s="107"/>
      <c r="S348" s="107"/>
    </row>
    <row r="349" spans="1:19" s="268" customFormat="1" x14ac:dyDescent="0.25">
      <c r="A349" s="107"/>
      <c r="B349" s="107"/>
      <c r="C349" s="7"/>
      <c r="D349" s="7"/>
      <c r="E349" s="10"/>
      <c r="F349" s="107"/>
      <c r="G349" s="107"/>
      <c r="H349" s="107"/>
      <c r="I349" s="107"/>
      <c r="J349" s="107"/>
      <c r="K349" s="107"/>
      <c r="L349" s="107"/>
      <c r="M349" s="107"/>
      <c r="N349" s="107"/>
      <c r="S349" s="107"/>
    </row>
    <row r="350" spans="1:19" s="268" customFormat="1" x14ac:dyDescent="0.25">
      <c r="A350" s="107"/>
      <c r="B350" s="107"/>
      <c r="C350" s="7"/>
      <c r="D350" s="7"/>
      <c r="E350" s="10"/>
      <c r="F350" s="107"/>
      <c r="G350" s="107"/>
      <c r="H350" s="107"/>
      <c r="I350" s="107"/>
      <c r="J350" s="107"/>
      <c r="K350" s="107"/>
      <c r="L350" s="107"/>
      <c r="M350" s="107"/>
      <c r="N350" s="107"/>
      <c r="S350" s="107"/>
    </row>
    <row r="351" spans="1:19" s="268" customFormat="1" x14ac:dyDescent="0.25">
      <c r="A351" s="107"/>
      <c r="B351" s="107"/>
      <c r="C351" s="7"/>
      <c r="D351" s="7"/>
      <c r="E351" s="10"/>
      <c r="F351" s="107"/>
      <c r="G351" s="107"/>
      <c r="H351" s="107"/>
      <c r="I351" s="107"/>
      <c r="J351" s="107"/>
      <c r="K351" s="107"/>
      <c r="L351" s="107"/>
      <c r="M351" s="107"/>
      <c r="N351" s="107"/>
      <c r="S351" s="107"/>
    </row>
    <row r="352" spans="1:19" s="268" customFormat="1" x14ac:dyDescent="0.25">
      <c r="A352" s="107"/>
      <c r="B352" s="107"/>
      <c r="C352" s="7"/>
      <c r="D352" s="7"/>
      <c r="E352" s="10"/>
      <c r="F352" s="107"/>
      <c r="G352" s="107"/>
      <c r="H352" s="107"/>
      <c r="I352" s="107"/>
      <c r="J352" s="107"/>
      <c r="K352" s="107"/>
      <c r="L352" s="107"/>
      <c r="M352" s="107"/>
      <c r="N352" s="107"/>
      <c r="S352" s="107"/>
    </row>
    <row r="353" spans="1:19" s="268" customFormat="1" x14ac:dyDescent="0.25">
      <c r="A353" s="107"/>
      <c r="B353" s="107"/>
      <c r="C353" s="7"/>
      <c r="D353" s="7"/>
      <c r="E353" s="10"/>
      <c r="F353" s="107"/>
      <c r="G353" s="107"/>
      <c r="H353" s="107"/>
      <c r="I353" s="107"/>
      <c r="J353" s="107"/>
      <c r="K353" s="107"/>
      <c r="L353" s="107"/>
      <c r="M353" s="107"/>
      <c r="N353" s="107"/>
      <c r="S353" s="107"/>
    </row>
    <row r="354" spans="1:19" s="268" customFormat="1" x14ac:dyDescent="0.25">
      <c r="A354" s="107"/>
      <c r="B354" s="107"/>
      <c r="C354" s="108"/>
      <c r="D354" s="108"/>
      <c r="E354" s="11"/>
      <c r="F354" s="107"/>
      <c r="G354" s="107"/>
      <c r="H354" s="107"/>
      <c r="I354" s="107"/>
      <c r="J354" s="107"/>
      <c r="K354" s="107"/>
      <c r="L354" s="107"/>
      <c r="M354" s="107"/>
      <c r="N354" s="107"/>
      <c r="S354" s="107"/>
    </row>
    <row r="355" spans="1:19" s="268" customFormat="1" x14ac:dyDescent="0.25">
      <c r="A355" s="107"/>
      <c r="B355" s="107"/>
      <c r="C355" s="108"/>
      <c r="D355" s="108"/>
      <c r="E355" s="11"/>
      <c r="F355" s="107"/>
      <c r="G355" s="107"/>
      <c r="H355" s="107"/>
      <c r="I355" s="107"/>
      <c r="J355" s="107"/>
      <c r="K355" s="107"/>
      <c r="L355" s="107"/>
      <c r="M355" s="107"/>
      <c r="N355" s="107"/>
      <c r="S355" s="107"/>
    </row>
    <row r="356" spans="1:19" x14ac:dyDescent="0.25">
      <c r="C356" s="108"/>
      <c r="D356" s="108"/>
      <c r="E356" s="11"/>
    </row>
    <row r="357" spans="1:19" x14ac:dyDescent="0.25">
      <c r="C357" s="108"/>
      <c r="D357" s="108"/>
      <c r="E357" s="11"/>
    </row>
    <row r="358" spans="1:19" x14ac:dyDescent="0.25">
      <c r="C358" s="108"/>
      <c r="D358" s="108"/>
      <c r="E358" s="11"/>
    </row>
    <row r="359" spans="1:19" x14ac:dyDescent="0.25">
      <c r="C359" s="108"/>
      <c r="D359" s="108"/>
      <c r="E359" s="11"/>
    </row>
    <row r="360" spans="1:19" x14ac:dyDescent="0.25">
      <c r="C360" s="108"/>
      <c r="D360" s="108"/>
      <c r="E360" s="11"/>
    </row>
    <row r="361" spans="1:19" x14ac:dyDescent="0.25">
      <c r="C361" s="108"/>
      <c r="D361" s="108"/>
      <c r="E361" s="11"/>
    </row>
    <row r="362" spans="1:19" x14ac:dyDescent="0.25">
      <c r="C362" s="108"/>
      <c r="D362" s="108"/>
      <c r="E362" s="11"/>
    </row>
    <row r="363" spans="1:19" x14ac:dyDescent="0.25">
      <c r="C363" s="108"/>
      <c r="D363" s="108"/>
      <c r="E363" s="11"/>
    </row>
    <row r="364" spans="1:19" x14ac:dyDescent="0.25">
      <c r="C364" s="108"/>
      <c r="D364" s="108"/>
      <c r="E364" s="11"/>
    </row>
    <row r="365" spans="1:19" x14ac:dyDescent="0.25">
      <c r="C365" s="108"/>
      <c r="D365" s="108"/>
      <c r="E365" s="11"/>
    </row>
    <row r="366" spans="1:19" x14ac:dyDescent="0.25">
      <c r="C366" s="108"/>
      <c r="D366" s="108"/>
      <c r="E366" s="11"/>
    </row>
    <row r="367" spans="1:19" x14ac:dyDescent="0.25">
      <c r="C367" s="108"/>
      <c r="D367" s="108"/>
      <c r="E367" s="11"/>
    </row>
    <row r="368" spans="1:19" x14ac:dyDescent="0.25">
      <c r="C368" s="108"/>
      <c r="D368" s="108"/>
      <c r="E368" s="11"/>
    </row>
  </sheetData>
  <mergeCells count="15">
    <mergeCell ref="F3:F4"/>
    <mergeCell ref="B1:N1"/>
    <mergeCell ref="B2:C2"/>
    <mergeCell ref="D2:D4"/>
    <mergeCell ref="E2:E4"/>
    <mergeCell ref="G2:G4"/>
    <mergeCell ref="H2:H4"/>
    <mergeCell ref="I2:N2"/>
    <mergeCell ref="B3:B4"/>
    <mergeCell ref="C3:C4"/>
    <mergeCell ref="M3:N3"/>
    <mergeCell ref="J3:J4"/>
    <mergeCell ref="K3:K4"/>
    <mergeCell ref="L3:L4"/>
    <mergeCell ref="I3:I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255-3DB0-4BBB-BFA7-DA8D9B33DA7F}">
  <dimension ref="A1:ET365"/>
  <sheetViews>
    <sheetView tabSelected="1" topLeftCell="Q1" zoomScale="80" zoomScaleNormal="80" workbookViewId="0">
      <pane ySplit="4" topLeftCell="A5" activePane="bottomLeft" state="frozen"/>
      <selection activeCell="T1" sqref="T1"/>
      <selection pane="bottomLeft" activeCell="Q14" sqref="Q14"/>
    </sheetView>
  </sheetViews>
  <sheetFormatPr baseColWidth="10" defaultRowHeight="15" x14ac:dyDescent="0.25"/>
  <cols>
    <col min="1" max="1" width="6.140625" style="107" customWidth="1"/>
    <col min="2" max="5" width="5.28515625" style="107" customWidth="1"/>
    <col min="6" max="6" width="21.42578125" style="107" bestFit="1" customWidth="1"/>
    <col min="7" max="7" width="7" style="107" customWidth="1"/>
    <col min="8" max="8" width="8.85546875" style="107" bestFit="1" customWidth="1"/>
    <col min="9" max="11" width="7.140625" style="107" customWidth="1"/>
    <col min="12" max="12" width="11.140625" style="107" customWidth="1"/>
    <col min="13" max="14" width="5.7109375" style="107" customWidth="1"/>
    <col min="15" max="15" width="55" style="268" bestFit="1" customWidth="1"/>
    <col min="16" max="16" width="212" style="268" bestFit="1" customWidth="1"/>
    <col min="17" max="17" width="117.28515625" style="268" bestFit="1" customWidth="1"/>
    <col min="18" max="18" width="103.7109375" style="268" bestFit="1" customWidth="1"/>
    <col min="19" max="16384" width="11.42578125" style="107"/>
  </cols>
  <sheetData>
    <row r="1" spans="1:150" s="12" customFormat="1" ht="23.25" customHeight="1" thickTop="1" x14ac:dyDescent="0.25">
      <c r="B1" s="634" t="s">
        <v>1032</v>
      </c>
      <c r="C1" s="634"/>
      <c r="D1" s="634"/>
      <c r="E1" s="634"/>
      <c r="F1" s="634"/>
      <c r="G1" s="634"/>
      <c r="H1" s="634"/>
      <c r="I1" s="634"/>
      <c r="J1" s="634"/>
      <c r="K1" s="634"/>
      <c r="L1" s="634"/>
      <c r="M1" s="634"/>
      <c r="N1" s="634"/>
      <c r="O1" s="459"/>
      <c r="P1" s="459"/>
      <c r="Q1" s="459"/>
      <c r="R1" s="459"/>
      <c r="S1" s="459"/>
      <c r="T1" s="459"/>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c r="BN1" s="459"/>
      <c r="BO1" s="459"/>
      <c r="BP1" s="459"/>
      <c r="BQ1" s="459"/>
      <c r="BR1" s="459"/>
      <c r="BS1" s="459"/>
      <c r="BT1" s="459"/>
      <c r="BU1" s="459"/>
      <c r="BV1" s="459"/>
      <c r="BW1" s="459"/>
      <c r="BX1" s="459"/>
      <c r="BY1" s="459"/>
      <c r="BZ1" s="459"/>
      <c r="CA1" s="459"/>
      <c r="CB1" s="459"/>
      <c r="CC1" s="459"/>
      <c r="CD1" s="459"/>
      <c r="CE1" s="459"/>
      <c r="CF1" s="459"/>
      <c r="CG1" s="459"/>
      <c r="CH1" s="459"/>
      <c r="CI1" s="459"/>
      <c r="CJ1" s="459"/>
      <c r="CK1" s="459"/>
      <c r="CL1" s="459"/>
      <c r="CM1" s="459"/>
      <c r="CN1" s="459"/>
      <c r="CO1" s="459"/>
      <c r="CP1" s="460"/>
      <c r="CQ1" s="359"/>
      <c r="CR1" s="362"/>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8"/>
      <c r="EQ1" s="263"/>
      <c r="ER1" s="264"/>
      <c r="ES1" s="264"/>
      <c r="ET1" s="264"/>
    </row>
    <row r="2" spans="1:150" s="12" customFormat="1" ht="30" customHeight="1" x14ac:dyDescent="0.25">
      <c r="B2" s="531" t="s">
        <v>554</v>
      </c>
      <c r="C2" s="524"/>
      <c r="D2" s="598" t="s">
        <v>456</v>
      </c>
      <c r="E2" s="598" t="s">
        <v>933</v>
      </c>
      <c r="F2" s="461" t="s">
        <v>658</v>
      </c>
      <c r="G2" s="637" t="s">
        <v>1018</v>
      </c>
      <c r="H2" s="515" t="s">
        <v>1034</v>
      </c>
      <c r="I2" s="524"/>
      <c r="J2" s="524"/>
      <c r="K2" s="524"/>
      <c r="L2" s="524"/>
      <c r="M2" s="524"/>
      <c r="N2" s="516"/>
      <c r="O2" s="263"/>
      <c r="P2" s="263"/>
      <c r="Q2" s="264"/>
      <c r="R2" s="264"/>
    </row>
    <row r="3" spans="1:150" s="12" customFormat="1" ht="26.25" customHeight="1" x14ac:dyDescent="0.25">
      <c r="B3" s="614" t="s">
        <v>986</v>
      </c>
      <c r="C3" s="631" t="s">
        <v>335</v>
      </c>
      <c r="D3" s="636"/>
      <c r="E3" s="636"/>
      <c r="F3" s="548" t="s">
        <v>180</v>
      </c>
      <c r="G3" s="638"/>
      <c r="H3" s="561" t="s">
        <v>180</v>
      </c>
      <c r="I3" s="513" t="s">
        <v>1020</v>
      </c>
      <c r="J3" s="520" t="s">
        <v>886</v>
      </c>
      <c r="K3" s="513" t="s">
        <v>1021</v>
      </c>
      <c r="L3" s="513" t="s">
        <v>1033</v>
      </c>
      <c r="M3" s="515" t="s">
        <v>554</v>
      </c>
      <c r="N3" s="516"/>
      <c r="O3" s="263"/>
      <c r="P3" s="263"/>
      <c r="Q3" s="264"/>
      <c r="R3" s="264"/>
    </row>
    <row r="4" spans="1:150" s="12" customFormat="1" ht="78.75" customHeight="1" x14ac:dyDescent="0.25">
      <c r="B4" s="615"/>
      <c r="C4" s="632"/>
      <c r="D4" s="599"/>
      <c r="E4" s="599"/>
      <c r="F4" s="548"/>
      <c r="G4" s="639"/>
      <c r="H4" s="562"/>
      <c r="I4" s="514"/>
      <c r="J4" s="521"/>
      <c r="K4" s="514"/>
      <c r="L4" s="514"/>
      <c r="M4" s="455" t="s">
        <v>668</v>
      </c>
      <c r="N4" s="455" t="s">
        <v>355</v>
      </c>
      <c r="O4" s="263" t="s">
        <v>549</v>
      </c>
      <c r="P4" s="264" t="s">
        <v>981</v>
      </c>
      <c r="Q4" s="264" t="s">
        <v>7</v>
      </c>
      <c r="R4" s="265" t="s">
        <v>8</v>
      </c>
    </row>
    <row r="5" spans="1:150" s="109" customFormat="1" ht="15" customHeight="1" x14ac:dyDescent="0.25">
      <c r="A5" s="23"/>
      <c r="B5" s="20"/>
      <c r="C5" s="13"/>
      <c r="D5" s="13"/>
      <c r="E5" s="13">
        <v>1</v>
      </c>
      <c r="F5" s="111"/>
      <c r="G5" s="13"/>
      <c r="H5" s="289"/>
      <c r="I5" s="111"/>
      <c r="J5" s="111"/>
      <c r="K5" s="111"/>
      <c r="L5" s="111"/>
      <c r="M5" s="289"/>
      <c r="N5" s="289"/>
      <c r="O5" s="266" t="s">
        <v>1044</v>
      </c>
      <c r="P5" s="266" t="str">
        <f xml:space="preserve"> CONCATENATE("Acceder al sistema Gemma con usuario y perfil activo para la funcionalidad modulo Maestro - Razon de Seguimiento Contacto, hacer clic en el boton,"," ",IF(B5=1,"Modificar un registro","")," ",IF(C5=1,"Eliminar un registro","")," ",IF(D5=1,"Agregar un nuevo registro",""), " ",IF(E5=1,"Exportar Documento Excel","")," sin valores en el Nombre del filtro",)</f>
        <v>Acceder al sistema Gemma con usuario y perfil activo para la funcionalidad modulo Maestro - Razon de Seguimiento Contacto, hacer clic en el boton,    Exportar Documento Excel sin valores en el Nombre del filtro</v>
      </c>
      <c r="Q5" s="267" t="str">
        <f>CONCATENATE(" Validar funcionalidad Maestro Razon Seguimiento Contacto seleccionando la opcion "," ",IF(B5=1,$B$3,IF(C5=1,$C$3,IF(D5=1,$D$2,IF(E5=1,$E$2,""))))," sin seleccionar valores",)</f>
        <v xml:space="preserve"> Validar funcionalidad Maestro Razon Seguimiento Contacto seleccionando la opcion  Exportar Excel sin seleccionar valores</v>
      </c>
      <c r="R5" s="267" t="s">
        <v>1008</v>
      </c>
    </row>
    <row r="6" spans="1:150" s="109" customFormat="1" ht="15" customHeight="1" x14ac:dyDescent="0.25">
      <c r="A6" s="23"/>
      <c r="B6" s="20"/>
      <c r="C6" s="13"/>
      <c r="D6" s="13">
        <v>1</v>
      </c>
      <c r="E6" s="103"/>
      <c r="F6" s="111"/>
      <c r="G6" s="13"/>
      <c r="H6" s="289">
        <v>1</v>
      </c>
      <c r="I6" s="111">
        <v>1</v>
      </c>
      <c r="J6" s="111">
        <v>1</v>
      </c>
      <c r="K6" s="111"/>
      <c r="L6" s="111">
        <v>1</v>
      </c>
      <c r="M6" s="289">
        <v>1</v>
      </c>
      <c r="N6" s="289"/>
      <c r="O6" s="266" t="s">
        <v>1045</v>
      </c>
      <c r="P6" s="266" t="str">
        <f xml:space="preserve"> CONCATENATE("Acceder al sistema Gemma con usuario y perfil activo para la funcionalidad modulo Maestro - Razon de Seguimiento Contacto, hacer clic en el boton,"," ",IF(B6=1,"Modificar un registro","")," ",IF(C6=1,"Eliminar un registro","")," ",IF(D6=1,"Agregar un nuevo registro",""), " con todos los campos obligatorios y opcionales, presionar Confirmar ",IF(E6=1,"Exportar Documento Excel","")," ",)</f>
        <v xml:space="preserve">Acceder al sistema Gemma con usuario y perfil activo para la funcionalidad modulo Maestro - Razon de Seguimiento Contacto, hacer clic en el boton,   Agregar un nuevo registro con todos los campos obligatorios y opcionales, presionar Confirmar  </v>
      </c>
      <c r="Q6" s="267" t="str">
        <f>CONCATENATE(" Validar funcionalidad Maestro Razon Seguimiento Contacto seleccionando la opcion "," ",IF(B6=1,$B$3,IF(C6=1,$C$3,IF(D6=1,$D$2,IF(E6=1,$E$2,""))))," ",)</f>
        <v xml:space="preserve"> Validar funcionalidad Maestro Razon Seguimiento Contacto seleccionando la opcion  Agregar </v>
      </c>
      <c r="R6" s="267" t="s">
        <v>982</v>
      </c>
    </row>
    <row r="7" spans="1:150" s="109" customFormat="1" ht="15" customHeight="1" x14ac:dyDescent="0.25">
      <c r="A7" s="23"/>
      <c r="B7" s="20">
        <v>1</v>
      </c>
      <c r="C7" s="13"/>
      <c r="D7" s="13"/>
      <c r="E7" s="103"/>
      <c r="F7" s="111">
        <v>1</v>
      </c>
      <c r="G7" s="13"/>
      <c r="H7" s="289">
        <v>1</v>
      </c>
      <c r="I7" s="111"/>
      <c r="J7" s="111"/>
      <c r="K7" s="111"/>
      <c r="L7" s="111">
        <v>1</v>
      </c>
      <c r="M7" s="289">
        <v>1</v>
      </c>
      <c r="N7" s="289"/>
      <c r="O7" s="266" t="s">
        <v>1046</v>
      </c>
      <c r="P7" s="266" t="str">
        <f xml:space="preserve"> CONCATENATE("Acceder al sistema Gemma con usuario y perfil activo para la funcionalidad modulo Maestro - Razon de Seguimiento Contacto, considerando los datos del Nombre en el filtro, hacer clic en el boton,"," ",IF(B7=1,"Modificar","")," ",IF(C7=1,"Eliminar un registro","")," ",IF(D7=1,"Agregar un nuevo registro",""), "presionar Confirmar    ",IF(E7=1,"Exportar Documento Excel",""),"",)</f>
        <v xml:space="preserve">Acceder al sistema Gemma con usuario y perfil activo para la funcionalidad modulo Maestro - Razon de Seguimiento Contacto, considerando los datos del Nombre en el filtro, hacer clic en el boton, Modificar  presionar Confirmar    </v>
      </c>
      <c r="Q7" s="267" t="str">
        <f>CONCATENATE(" Validar funcionalidad Maestro Razon Seguimiento Contacto seleccionando la opcion "," ",IF(B7=1,$B$3,IF(C7=1,$C$3,IF(D7=1,$D$2,IF(E7=1,$E$2,""))))," seleccionando valores",)</f>
        <v xml:space="preserve"> Validar funcionalidad Maestro Razon Seguimiento Contacto seleccionando la opcion   Modificar seleccionando valores</v>
      </c>
      <c r="R7" s="267" t="s">
        <v>1009</v>
      </c>
    </row>
    <row r="8" spans="1:150" s="109" customFormat="1" ht="15" customHeight="1" x14ac:dyDescent="0.25">
      <c r="A8" s="23"/>
      <c r="B8" s="20">
        <v>1</v>
      </c>
      <c r="C8" s="13"/>
      <c r="D8" s="13"/>
      <c r="E8" s="103"/>
      <c r="F8" s="111"/>
      <c r="G8" s="13"/>
      <c r="H8" s="289"/>
      <c r="I8" s="111">
        <v>1</v>
      </c>
      <c r="J8" s="111">
        <v>1</v>
      </c>
      <c r="K8" s="111"/>
      <c r="L8" s="111"/>
      <c r="M8" s="289">
        <v>1</v>
      </c>
      <c r="N8" s="289"/>
      <c r="O8" s="266" t="s">
        <v>1047</v>
      </c>
      <c r="P8" s="266" t="str">
        <f xml:space="preserve"> CONCATENATE("Acceder al sistema Gemma con usuario y perfil activo para la funcionalidad modulo Maestro - Razon de Seguimiento Contacto, seleccionando un registro de la tabla resumen, hacer clic en el boton,"," ",IF(B8=1,"Modificar un registro","")," ",IF(C8=1,"Eliminar un registro","")," ",IF(D8=1,"Agregar un nuevo registro",""), " ",IF(E8=1,"Exportar Documento Excel","")," presionar Confirmar ",)</f>
        <v xml:space="preserve">Acceder al sistema Gemma con usuario y perfil activo para la funcionalidad modulo Maestro - Razon de Seguimiento Contacto, seleccionando un registro de la tabla resumen, hacer clic en el boton, Modificar un registro    presionar Confirmar </v>
      </c>
      <c r="Q8" s="267" t="str">
        <f>CONCATENATE(" Validar funcionalidad Maestro Razon Seguimiento Contacto seleccionando la opcion "," ",IF(B8=1,$B$3,IF(C8=1,$C$3,IF(D8=1,$D$2,IF(E8=1,$E$2,""))))," sin seleccionar valores",)</f>
        <v xml:space="preserve"> Validar funcionalidad Maestro Razon Seguimiento Contacto seleccionando la opcion   Modificar sin seleccionar valores</v>
      </c>
      <c r="R8" s="267" t="s">
        <v>1010</v>
      </c>
    </row>
    <row r="9" spans="1:150" s="109" customFormat="1" ht="15" customHeight="1" x14ac:dyDescent="0.25">
      <c r="A9" s="23"/>
      <c r="B9" s="20"/>
      <c r="C9" s="13">
        <v>1</v>
      </c>
      <c r="D9" s="13"/>
      <c r="E9" s="103"/>
      <c r="F9" s="111">
        <v>1</v>
      </c>
      <c r="G9" s="13"/>
      <c r="H9" s="289"/>
      <c r="I9" s="111"/>
      <c r="J9" s="111"/>
      <c r="K9" s="111"/>
      <c r="L9" s="111"/>
      <c r="M9" s="289">
        <v>1</v>
      </c>
      <c r="N9" s="289"/>
      <c r="O9" s="266" t="s">
        <v>1048</v>
      </c>
      <c r="P9" s="266" t="str">
        <f xml:space="preserve"> CONCATENATE("Acceder al sistema Gemma con usuario y perfil activo para la funcionalidad modulo Maestro - Razon de Seguimiento Contacto, considerando los datos del Nombre en el filtro, hacer clic en el boton,"," ",IF(B9=1,"Modificar","")," ",IF(C9=1,"Eliminar un registro","")," ",IF(D9=1,"Agregar un nuevo registro",""), "presionar Confirmar    ",IF(E9=1,"Exportar Documento Excel",""),"",)</f>
        <v xml:space="preserve">Acceder al sistema Gemma con usuario y perfil activo para la funcionalidad modulo Maestro - Razon de Seguimiento Contacto, considerando los datos del Nombre en el filtro, hacer clic en el boton,  Eliminar un registro presionar Confirmar    </v>
      </c>
      <c r="Q9" s="267" t="str">
        <f>CONCATENATE(" Validar funcionalidad Maestro Razon Seguimiento Contacto seleccionando la opcion "," ",IF(B9=1,$B$3,IF(C9=1,$C$3,IF(D9=1,$D$2,IF(E9=1,$E$2,""))))," seleccionando valores",)</f>
        <v xml:space="preserve"> Validar funcionalidad Maestro Razon Seguimiento Contacto seleccionando la opcion  Eliminar seleccionando valores</v>
      </c>
      <c r="R9" s="267" t="s">
        <v>1011</v>
      </c>
    </row>
    <row r="10" spans="1:150" s="109" customFormat="1" ht="15" customHeight="1" thickBot="1" x14ac:dyDescent="0.3">
      <c r="A10" s="23"/>
      <c r="B10" s="20"/>
      <c r="C10" s="13">
        <v>1</v>
      </c>
      <c r="D10" s="13"/>
      <c r="E10" s="103"/>
      <c r="F10" s="111"/>
      <c r="G10" s="13"/>
      <c r="H10" s="289"/>
      <c r="I10" s="111"/>
      <c r="J10" s="111"/>
      <c r="K10" s="111"/>
      <c r="L10" s="111"/>
      <c r="M10" s="289">
        <v>1</v>
      </c>
      <c r="N10" s="289"/>
      <c r="O10" s="266" t="s">
        <v>1049</v>
      </c>
      <c r="P10" s="266" t="str">
        <f xml:space="preserve"> CONCATENATE("Acceder al sistema Gemma con usuario y perfil activo para la funcionalidad modulo Maestro - Razon de Seguimiento Contacto, seleccionando un registro de la tabla resumen, hacer clic en el boton,"," ",IF(B10=1,"Modificar un registro","")," ",IF(C10=1,"Eliminar un registro","")," ",IF(D10=1,"Agregar un nuevo registro",""), " ",IF(E10=1,"Exportar Documento Excel","")," presionar Confirmar ",)</f>
        <v xml:space="preserve">Acceder al sistema Gemma con usuario y perfil activo para la funcionalidad modulo Maestro - Razon de Seguimiento Contacto, seleccionando un registro de la tabla resumen, hacer clic en el boton,  Eliminar un registro   presionar Confirmar </v>
      </c>
      <c r="Q10" s="267" t="str">
        <f>CONCATENATE(" Validar funcionalidad Maestro Razon Seguimiento Contacto seleccionando la opcion "," ",IF(B10=1,$B$3,IF(C10=1,$C$3,IF(D10=1,$D$2,IF(E10=1,$E$2,""))))," sin seleccionar valores",)</f>
        <v xml:space="preserve"> Validar funcionalidad Maestro Razon Seguimiento Contacto seleccionando la opcion  Eliminar sin seleccionar valores</v>
      </c>
      <c r="R10" s="267" t="s">
        <v>1012</v>
      </c>
    </row>
    <row r="11" spans="1:150" s="109" customFormat="1" ht="15" customHeight="1" thickTop="1" x14ac:dyDescent="0.25">
      <c r="A11" s="23"/>
      <c r="B11" s="292"/>
      <c r="C11" s="293"/>
      <c r="D11" s="293">
        <v>1</v>
      </c>
      <c r="E11" s="293"/>
      <c r="F11" s="106"/>
      <c r="G11" s="293">
        <v>1</v>
      </c>
      <c r="H11" s="398"/>
      <c r="I11" s="106"/>
      <c r="J11" s="106"/>
      <c r="K11" s="106"/>
      <c r="L11" s="106"/>
      <c r="M11" s="398"/>
      <c r="N11" s="398">
        <v>1</v>
      </c>
      <c r="O11" s="266" t="s">
        <v>1573</v>
      </c>
      <c r="P11" s="266" t="s">
        <v>1575</v>
      </c>
      <c r="Q11" s="267" t="str">
        <f>CONCATENATE(" Validar funcionalidad Maestro Razon Seguimiento Contacto seleccionando la opcion "," ",IF(B11=1,$B$3,IF(C11=1,$C$3,IF(D11=1,$D$2,IF(E11=1,$E$2,""))))," un registro con los campos vacios ",)</f>
        <v xml:space="preserve"> Validar funcionalidad Maestro Razon Seguimiento Contacto seleccionando la opcion  Agregar un registro con los campos vacios </v>
      </c>
      <c r="R11" s="267" t="s">
        <v>1572</v>
      </c>
    </row>
    <row r="12" spans="1:150" s="109" customFormat="1" ht="15" customHeight="1" x14ac:dyDescent="0.25">
      <c r="A12" s="23"/>
      <c r="B12" s="20"/>
      <c r="C12" s="13">
        <v>1</v>
      </c>
      <c r="D12" s="13"/>
      <c r="E12" s="13"/>
      <c r="F12" s="21"/>
      <c r="G12" s="111"/>
      <c r="H12" s="451"/>
      <c r="I12" s="450"/>
      <c r="J12" s="450"/>
      <c r="K12" s="450"/>
      <c r="L12" s="450"/>
      <c r="M12" s="289"/>
      <c r="N12" s="289"/>
      <c r="O12" s="266" t="s">
        <v>1574</v>
      </c>
      <c r="P12" s="266" t="s">
        <v>1576</v>
      </c>
      <c r="Q12" s="267" t="str">
        <f>CONCATENATE(" Validar funcionalidad Maestro Razon Seguimiento Contactos eleccionando la opcion "," ",IF(B12=1,$B$3,IF(C12=1,$C$3,IF(D12=1,$D$2,IF(E12=1,$E$2,""))))," un registro que esta en uso ",)</f>
        <v xml:space="preserve"> Validar funcionalidad Maestro Razon Seguimiento Contactos eleccionando la opcion  Eliminar un registro que esta en uso </v>
      </c>
      <c r="R12" s="267" t="s">
        <v>1572</v>
      </c>
    </row>
    <row r="13" spans="1:150" s="109" customFormat="1" x14ac:dyDescent="0.25">
      <c r="B13" s="14"/>
      <c r="C13" s="110"/>
      <c r="D13" s="110"/>
      <c r="E13" s="110"/>
      <c r="F13" s="21" t="s">
        <v>1022</v>
      </c>
      <c r="G13" s="13"/>
      <c r="H13" s="13"/>
      <c r="I13" s="13"/>
      <c r="J13" s="13"/>
      <c r="K13" s="13"/>
      <c r="L13" s="13"/>
      <c r="M13" s="13"/>
      <c r="N13" s="13"/>
      <c r="O13" s="266" t="s">
        <v>1050</v>
      </c>
      <c r="P13" s="266" t="str">
        <f xml:space="preserve"> CONCATENATE("Acceder al sistema Gemma con usuario y perfil activo para la funcionalidad modulo Maestro - Razon de Seguimiento Contacto, "," ",IF(B13=1,"Modificar un registro","")," ",IF(C13=1,"Eliminar un registro","")," ",IF(D13=1,"Agregar un nuevo registro",""), " ",IF(E13=1,"Exportar Documento Excel",""),"colocando un Nombre Invalido en el filtro ",)</f>
        <v xml:space="preserve">Acceder al sistema Gemma con usuario y perfil activo para la funcionalidad modulo Maestro - Razon de Seguimiento Contacto,     colocando un Nombre Invalido en el filtro </v>
      </c>
      <c r="Q13" s="267" t="str">
        <f>CONCATENATE(" Validar funcionalidad Maestro Razon Seguimiento Contacto seleccionando la opcion "," ",IF(B13=1,$B$3,IF(C13=1,$C$3,IF(D13=1,$D$2,IF(E13=1,$E$2,""))))," colocar un Nombre invalido en el filtro",)</f>
        <v xml:space="preserve"> Validar funcionalidad Maestro Razon Seguimiento Contacto seleccionando la opcion   colocar un Nombre invalido en el filtro</v>
      </c>
      <c r="R13" s="267" t="s">
        <v>1016</v>
      </c>
    </row>
    <row r="14" spans="1:150" s="109" customFormat="1" x14ac:dyDescent="0.25">
      <c r="B14" s="14"/>
      <c r="C14" s="110"/>
      <c r="D14" s="110"/>
      <c r="E14" s="110"/>
      <c r="F14" s="13"/>
      <c r="G14" s="13"/>
      <c r="H14" s="13"/>
      <c r="I14" s="13"/>
      <c r="J14" s="13"/>
      <c r="K14" s="13"/>
      <c r="L14" s="13"/>
      <c r="M14" s="13"/>
      <c r="N14" s="13"/>
      <c r="O14" s="266"/>
      <c r="P14" s="266"/>
      <c r="Q14" s="267"/>
      <c r="R14" s="267"/>
    </row>
    <row r="15" spans="1:150" s="109" customFormat="1" x14ac:dyDescent="0.25">
      <c r="B15" s="14"/>
      <c r="C15" s="110"/>
      <c r="D15" s="110"/>
      <c r="E15" s="110"/>
      <c r="F15" s="13"/>
      <c r="G15" s="13"/>
      <c r="H15" s="13"/>
      <c r="I15" s="13"/>
      <c r="J15" s="13"/>
      <c r="K15" s="13"/>
      <c r="L15" s="13"/>
      <c r="M15" s="13"/>
      <c r="N15" s="13"/>
      <c r="O15" s="266"/>
      <c r="P15" s="266"/>
      <c r="Q15" s="267"/>
      <c r="R15" s="267"/>
    </row>
    <row r="16" spans="1:150" s="109" customFormat="1" x14ac:dyDescent="0.25">
      <c r="B16" s="14"/>
      <c r="C16" s="110"/>
      <c r="D16" s="110"/>
      <c r="E16" s="110"/>
      <c r="F16" s="13"/>
      <c r="G16" s="13"/>
      <c r="H16" s="13"/>
      <c r="I16" s="13"/>
      <c r="J16" s="13"/>
      <c r="K16" s="13"/>
      <c r="L16" s="13"/>
      <c r="M16" s="13"/>
      <c r="N16" s="13"/>
      <c r="O16" s="266"/>
      <c r="P16" s="266"/>
      <c r="Q16" s="267"/>
      <c r="R16" s="267"/>
    </row>
    <row r="17" spans="2:18" s="109" customFormat="1" x14ac:dyDescent="0.25">
      <c r="B17" s="14"/>
      <c r="C17" s="110"/>
      <c r="D17" s="110"/>
      <c r="E17" s="110"/>
      <c r="F17" s="13"/>
      <c r="G17" s="13"/>
      <c r="H17" s="13"/>
      <c r="I17" s="13"/>
      <c r="J17" s="13"/>
      <c r="K17" s="13"/>
      <c r="L17" s="13"/>
      <c r="M17" s="13"/>
      <c r="N17" s="13"/>
      <c r="O17" s="266"/>
      <c r="P17" s="266"/>
      <c r="Q17" s="267"/>
      <c r="R17" s="267"/>
    </row>
    <row r="18" spans="2:18" s="109" customFormat="1" x14ac:dyDescent="0.25">
      <c r="B18" s="14"/>
      <c r="C18" s="110"/>
      <c r="D18" s="110"/>
      <c r="E18" s="110"/>
      <c r="F18" s="13"/>
      <c r="G18" s="13"/>
      <c r="H18" s="13"/>
      <c r="I18" s="13"/>
      <c r="J18" s="13"/>
      <c r="K18" s="13"/>
      <c r="L18" s="13"/>
      <c r="M18" s="13"/>
      <c r="N18" s="13"/>
      <c r="O18" s="266"/>
      <c r="P18" s="266"/>
      <c r="Q18" s="267"/>
      <c r="R18" s="267"/>
    </row>
    <row r="19" spans="2:18" s="109" customFormat="1" x14ac:dyDescent="0.25">
      <c r="B19" s="14"/>
      <c r="C19" s="110"/>
      <c r="D19" s="110"/>
      <c r="E19" s="110"/>
      <c r="F19" s="13"/>
      <c r="G19" s="13"/>
      <c r="H19" s="13"/>
      <c r="I19" s="13"/>
      <c r="J19" s="13"/>
      <c r="K19" s="13"/>
      <c r="L19" s="13"/>
      <c r="M19" s="13"/>
      <c r="N19" s="13"/>
      <c r="O19" s="266"/>
      <c r="P19" s="266"/>
      <c r="Q19" s="267"/>
      <c r="R19" s="267"/>
    </row>
    <row r="20" spans="2:18" s="109" customFormat="1" x14ac:dyDescent="0.25">
      <c r="B20" s="14"/>
      <c r="C20" s="110"/>
      <c r="D20" s="110"/>
      <c r="E20" s="110"/>
      <c r="F20" s="13"/>
      <c r="G20" s="13"/>
      <c r="H20" s="13"/>
      <c r="I20" s="13"/>
      <c r="J20" s="13"/>
      <c r="K20" s="13"/>
      <c r="L20" s="13"/>
      <c r="M20" s="13"/>
      <c r="N20" s="13"/>
      <c r="O20" s="266"/>
      <c r="P20" s="266"/>
      <c r="Q20" s="267"/>
      <c r="R20" s="267"/>
    </row>
    <row r="21" spans="2:18" s="109" customFormat="1" x14ac:dyDescent="0.25">
      <c r="B21" s="14"/>
      <c r="C21" s="110"/>
      <c r="D21" s="110"/>
      <c r="E21" s="110"/>
      <c r="F21" s="13"/>
      <c r="G21" s="13"/>
      <c r="H21" s="13"/>
      <c r="I21" s="13"/>
      <c r="J21" s="13"/>
      <c r="K21" s="13"/>
      <c r="L21" s="13"/>
      <c r="M21" s="13"/>
      <c r="N21" s="13"/>
      <c r="O21" s="266"/>
      <c r="P21" s="266"/>
      <c r="Q21" s="267"/>
      <c r="R21" s="267"/>
    </row>
    <row r="22" spans="2:18" s="109" customFormat="1" x14ac:dyDescent="0.25">
      <c r="B22" s="14"/>
      <c r="C22" s="110"/>
      <c r="D22" s="110"/>
      <c r="E22" s="110"/>
      <c r="F22" s="13"/>
      <c r="G22" s="13"/>
      <c r="H22" s="13"/>
      <c r="I22" s="13"/>
      <c r="J22" s="13"/>
      <c r="K22" s="13"/>
      <c r="L22" s="13"/>
      <c r="M22" s="13"/>
      <c r="N22" s="13"/>
      <c r="O22" s="266"/>
      <c r="P22" s="266"/>
      <c r="Q22" s="267"/>
      <c r="R22" s="267"/>
    </row>
    <row r="23" spans="2:18" s="109" customFormat="1" x14ac:dyDescent="0.25">
      <c r="B23" s="14"/>
      <c r="C23" s="110"/>
      <c r="D23" s="110"/>
      <c r="E23" s="110"/>
      <c r="F23" s="13"/>
      <c r="G23" s="13"/>
      <c r="H23" s="13"/>
      <c r="I23" s="13"/>
      <c r="J23" s="13"/>
      <c r="K23" s="13"/>
      <c r="L23" s="13"/>
      <c r="M23" s="13"/>
      <c r="N23" s="13"/>
      <c r="O23" s="266"/>
      <c r="P23" s="266"/>
      <c r="Q23" s="267"/>
      <c r="R23" s="267"/>
    </row>
    <row r="24" spans="2:18" s="109" customFormat="1" x14ac:dyDescent="0.25">
      <c r="B24" s="18"/>
      <c r="C24" s="13"/>
      <c r="D24" s="13"/>
      <c r="E24" s="13"/>
      <c r="F24" s="13"/>
      <c r="G24" s="13"/>
      <c r="H24" s="13"/>
      <c r="I24" s="13"/>
      <c r="J24" s="13"/>
      <c r="K24" s="13"/>
      <c r="L24" s="13"/>
      <c r="M24" s="13"/>
      <c r="N24" s="13"/>
      <c r="O24" s="266"/>
      <c r="P24" s="266"/>
      <c r="Q24" s="267"/>
      <c r="R24" s="267"/>
    </row>
    <row r="25" spans="2:18" s="109" customFormat="1" x14ac:dyDescent="0.25">
      <c r="B25" s="18"/>
      <c r="C25" s="13"/>
      <c r="D25" s="13"/>
      <c r="E25" s="13"/>
      <c r="F25" s="110"/>
      <c r="G25" s="110"/>
      <c r="H25" s="110"/>
      <c r="I25" s="110"/>
      <c r="J25" s="110"/>
      <c r="K25" s="110"/>
      <c r="L25" s="110"/>
      <c r="M25" s="110"/>
      <c r="N25" s="110"/>
      <c r="O25" s="270"/>
      <c r="P25" s="270"/>
      <c r="Q25" s="267"/>
      <c r="R25" s="267"/>
    </row>
    <row r="26" spans="2:18" s="109" customFormat="1" x14ac:dyDescent="0.25">
      <c r="B26" s="18"/>
      <c r="C26" s="13"/>
      <c r="D26" s="13"/>
      <c r="E26" s="13"/>
      <c r="F26" s="110"/>
      <c r="G26" s="110"/>
      <c r="H26" s="110"/>
      <c r="I26" s="110"/>
      <c r="J26" s="110"/>
      <c r="K26" s="110"/>
      <c r="L26" s="110"/>
      <c r="M26" s="110"/>
      <c r="N26" s="110"/>
      <c r="O26" s="270"/>
      <c r="P26" s="270"/>
      <c r="Q26" s="267"/>
      <c r="R26" s="267"/>
    </row>
    <row r="27" spans="2:18" s="109" customFormat="1" x14ac:dyDescent="0.25">
      <c r="B27" s="18"/>
      <c r="C27" s="13"/>
      <c r="D27" s="13"/>
      <c r="E27" s="13"/>
      <c r="F27" s="110"/>
      <c r="G27" s="110"/>
      <c r="H27" s="110"/>
      <c r="I27" s="110"/>
      <c r="J27" s="110"/>
      <c r="K27" s="110"/>
      <c r="L27" s="110"/>
      <c r="M27" s="110"/>
      <c r="N27" s="110"/>
      <c r="O27" s="270"/>
      <c r="P27" s="270"/>
      <c r="Q27" s="267"/>
      <c r="R27" s="267"/>
    </row>
    <row r="28" spans="2:18" s="109" customFormat="1" x14ac:dyDescent="0.25">
      <c r="B28" s="18"/>
      <c r="C28" s="13"/>
      <c r="D28" s="13"/>
      <c r="E28" s="13"/>
      <c r="F28" s="110"/>
      <c r="G28" s="110"/>
      <c r="H28" s="110"/>
      <c r="I28" s="110"/>
      <c r="J28" s="110"/>
      <c r="K28" s="110"/>
      <c r="L28" s="110"/>
      <c r="M28" s="110"/>
      <c r="N28" s="110"/>
      <c r="O28" s="270"/>
      <c r="P28" s="270"/>
      <c r="Q28" s="267"/>
      <c r="R28" s="267"/>
    </row>
    <row r="29" spans="2:18" s="109" customFormat="1" x14ac:dyDescent="0.25">
      <c r="B29" s="18"/>
      <c r="C29" s="13"/>
      <c r="D29" s="13"/>
      <c r="E29" s="13"/>
      <c r="F29" s="110"/>
      <c r="G29" s="110"/>
      <c r="H29" s="110"/>
      <c r="I29" s="110"/>
      <c r="J29" s="110"/>
      <c r="K29" s="110"/>
      <c r="L29" s="110"/>
      <c r="M29" s="110"/>
      <c r="N29" s="110"/>
      <c r="O29" s="270"/>
      <c r="P29" s="270"/>
      <c r="Q29" s="267"/>
      <c r="R29" s="267"/>
    </row>
    <row r="30" spans="2:18" s="109" customFormat="1" x14ac:dyDescent="0.25">
      <c r="B30" s="18"/>
      <c r="C30" s="13"/>
      <c r="D30" s="13"/>
      <c r="E30" s="13"/>
      <c r="F30" s="110"/>
      <c r="G30" s="110"/>
      <c r="H30" s="110"/>
      <c r="I30" s="110"/>
      <c r="J30" s="110"/>
      <c r="K30" s="110"/>
      <c r="L30" s="110"/>
      <c r="M30" s="110"/>
      <c r="N30" s="110"/>
      <c r="O30" s="270"/>
      <c r="P30" s="270"/>
      <c r="Q30" s="267"/>
      <c r="R30" s="267"/>
    </row>
    <row r="31" spans="2:18" s="109" customFormat="1" x14ac:dyDescent="0.25">
      <c r="B31" s="18"/>
      <c r="C31" s="13"/>
      <c r="D31" s="13"/>
      <c r="E31" s="13"/>
      <c r="F31" s="110"/>
      <c r="G31" s="110"/>
      <c r="H31" s="110"/>
      <c r="I31" s="110"/>
      <c r="J31" s="110"/>
      <c r="K31" s="110"/>
      <c r="L31" s="110"/>
      <c r="M31" s="110"/>
      <c r="N31" s="110"/>
      <c r="O31" s="270"/>
      <c r="P31" s="270"/>
      <c r="Q31" s="267"/>
      <c r="R31" s="267"/>
    </row>
    <row r="32" spans="2:18" s="109" customFormat="1" x14ac:dyDescent="0.25">
      <c r="B32" s="18"/>
      <c r="C32" s="13"/>
      <c r="D32" s="13"/>
      <c r="E32" s="13"/>
      <c r="F32" s="110"/>
      <c r="G32" s="110"/>
      <c r="H32" s="110"/>
      <c r="I32" s="110"/>
      <c r="J32" s="110"/>
      <c r="K32" s="110"/>
      <c r="L32" s="110"/>
      <c r="M32" s="110"/>
      <c r="N32" s="110"/>
      <c r="O32" s="270"/>
      <c r="P32" s="270"/>
      <c r="Q32" s="267"/>
      <c r="R32" s="267"/>
    </row>
    <row r="33" spans="2:18" s="109" customFormat="1" x14ac:dyDescent="0.25">
      <c r="B33" s="18"/>
      <c r="C33" s="13"/>
      <c r="D33" s="13"/>
      <c r="E33" s="13"/>
      <c r="F33" s="110"/>
      <c r="G33" s="110"/>
      <c r="H33" s="110"/>
      <c r="I33" s="110"/>
      <c r="J33" s="110"/>
      <c r="K33" s="110"/>
      <c r="L33" s="110"/>
      <c r="M33" s="110"/>
      <c r="N33" s="110"/>
      <c r="O33" s="270"/>
      <c r="P33" s="270"/>
      <c r="Q33" s="267"/>
      <c r="R33" s="267"/>
    </row>
    <row r="34" spans="2:18" s="109" customFormat="1" x14ac:dyDescent="0.25">
      <c r="B34" s="18"/>
      <c r="C34" s="13"/>
      <c r="D34" s="13"/>
      <c r="E34" s="13"/>
      <c r="F34" s="110"/>
      <c r="G34" s="110"/>
      <c r="H34" s="110"/>
      <c r="I34" s="110"/>
      <c r="J34" s="110"/>
      <c r="K34" s="110"/>
      <c r="L34" s="110"/>
      <c r="M34" s="110"/>
      <c r="N34" s="110"/>
      <c r="O34" s="270"/>
      <c r="P34" s="270"/>
      <c r="Q34" s="267"/>
      <c r="R34" s="267"/>
    </row>
    <row r="35" spans="2:18" s="109" customFormat="1" x14ac:dyDescent="0.25">
      <c r="B35" s="18"/>
      <c r="C35" s="13"/>
      <c r="D35" s="13"/>
      <c r="E35" s="13"/>
      <c r="F35" s="110"/>
      <c r="G35" s="110"/>
      <c r="H35" s="110"/>
      <c r="I35" s="110"/>
      <c r="J35" s="110"/>
      <c r="K35" s="110"/>
      <c r="L35" s="110"/>
      <c r="M35" s="110"/>
      <c r="N35" s="110"/>
      <c r="O35" s="270"/>
      <c r="P35" s="270"/>
      <c r="Q35" s="267"/>
      <c r="R35" s="267"/>
    </row>
    <row r="36" spans="2:18" s="109" customFormat="1" x14ac:dyDescent="0.25">
      <c r="B36" s="18"/>
      <c r="C36" s="13"/>
      <c r="D36" s="13"/>
      <c r="E36" s="13"/>
      <c r="F36" s="110"/>
      <c r="G36" s="110"/>
      <c r="H36" s="110"/>
      <c r="I36" s="110"/>
      <c r="J36" s="110"/>
      <c r="K36" s="110"/>
      <c r="L36" s="110"/>
      <c r="M36" s="110"/>
      <c r="N36" s="110"/>
      <c r="O36" s="270"/>
      <c r="P36" s="270"/>
      <c r="Q36" s="267"/>
      <c r="R36" s="267"/>
    </row>
    <row r="37" spans="2:18" s="109" customFormat="1" x14ac:dyDescent="0.25">
      <c r="B37" s="18"/>
      <c r="C37" s="13"/>
      <c r="D37" s="13"/>
      <c r="E37" s="13"/>
      <c r="F37" s="110"/>
      <c r="G37" s="110"/>
      <c r="H37" s="110"/>
      <c r="I37" s="110"/>
      <c r="J37" s="110"/>
      <c r="K37" s="110"/>
      <c r="L37" s="110"/>
      <c r="M37" s="110"/>
      <c r="N37" s="110"/>
      <c r="O37" s="270"/>
      <c r="P37" s="270"/>
      <c r="Q37" s="267"/>
      <c r="R37" s="267"/>
    </row>
    <row r="38" spans="2:18" s="109" customFormat="1" x14ac:dyDescent="0.25">
      <c r="B38" s="18"/>
      <c r="C38" s="13"/>
      <c r="D38" s="13"/>
      <c r="E38" s="13"/>
      <c r="F38" s="110"/>
      <c r="G38" s="110"/>
      <c r="H38" s="110"/>
      <c r="I38" s="110"/>
      <c r="J38" s="110"/>
      <c r="K38" s="110"/>
      <c r="L38" s="110"/>
      <c r="M38" s="110"/>
      <c r="N38" s="110"/>
      <c r="O38" s="270"/>
      <c r="P38" s="270"/>
      <c r="Q38" s="267"/>
      <c r="R38" s="267"/>
    </row>
    <row r="39" spans="2:18" s="109" customFormat="1" x14ac:dyDescent="0.25">
      <c r="B39" s="18"/>
      <c r="C39" s="13"/>
      <c r="D39" s="13"/>
      <c r="E39" s="13"/>
      <c r="F39" s="110"/>
      <c r="G39" s="110"/>
      <c r="H39" s="110"/>
      <c r="I39" s="110"/>
      <c r="J39" s="110"/>
      <c r="K39" s="110"/>
      <c r="L39" s="110"/>
      <c r="M39" s="110"/>
      <c r="N39" s="110"/>
      <c r="O39" s="270"/>
      <c r="P39" s="270"/>
      <c r="Q39" s="267"/>
      <c r="R39" s="267"/>
    </row>
    <row r="40" spans="2:18" s="109" customFormat="1" x14ac:dyDescent="0.25">
      <c r="B40" s="18"/>
      <c r="C40" s="13"/>
      <c r="D40" s="13"/>
      <c r="E40" s="13"/>
      <c r="F40" s="110"/>
      <c r="G40" s="110"/>
      <c r="H40" s="110"/>
      <c r="I40" s="110"/>
      <c r="J40" s="110"/>
      <c r="K40" s="110"/>
      <c r="L40" s="110"/>
      <c r="M40" s="110"/>
      <c r="N40" s="110"/>
      <c r="O40" s="270"/>
      <c r="P40" s="270"/>
      <c r="Q40" s="267"/>
      <c r="R40" s="267"/>
    </row>
    <row r="41" spans="2:18" s="109" customFormat="1" x14ac:dyDescent="0.25">
      <c r="B41" s="18"/>
      <c r="C41" s="13"/>
      <c r="D41" s="13"/>
      <c r="E41" s="13"/>
      <c r="F41" s="110"/>
      <c r="G41" s="110"/>
      <c r="H41" s="110"/>
      <c r="I41" s="110"/>
      <c r="J41" s="110"/>
      <c r="K41" s="110"/>
      <c r="L41" s="110"/>
      <c r="M41" s="110"/>
      <c r="N41" s="110"/>
      <c r="O41" s="270"/>
      <c r="P41" s="270"/>
      <c r="Q41" s="267"/>
      <c r="R41" s="267"/>
    </row>
    <row r="42" spans="2:18" s="109" customFormat="1" x14ac:dyDescent="0.25">
      <c r="B42" s="18"/>
      <c r="C42" s="13"/>
      <c r="D42" s="13"/>
      <c r="E42" s="13"/>
      <c r="F42" s="110"/>
      <c r="G42" s="110"/>
      <c r="H42" s="110"/>
      <c r="I42" s="110"/>
      <c r="J42" s="110"/>
      <c r="K42" s="110"/>
      <c r="L42" s="110"/>
      <c r="M42" s="110"/>
      <c r="N42" s="110"/>
      <c r="O42" s="270"/>
      <c r="P42" s="270"/>
      <c r="Q42" s="267"/>
      <c r="R42" s="267"/>
    </row>
    <row r="43" spans="2:18" s="109" customFormat="1" x14ac:dyDescent="0.25">
      <c r="B43" s="18"/>
      <c r="C43" s="13"/>
      <c r="D43" s="13"/>
      <c r="E43" s="13"/>
      <c r="F43" s="110"/>
      <c r="G43" s="110"/>
      <c r="H43" s="110"/>
      <c r="I43" s="110"/>
      <c r="J43" s="110"/>
      <c r="K43" s="110"/>
      <c r="L43" s="110"/>
      <c r="M43" s="110"/>
      <c r="N43" s="110"/>
      <c r="O43" s="270"/>
      <c r="P43" s="270"/>
      <c r="Q43" s="267"/>
      <c r="R43" s="267"/>
    </row>
    <row r="44" spans="2:18" s="109" customFormat="1" x14ac:dyDescent="0.25">
      <c r="B44" s="18"/>
      <c r="C44" s="13"/>
      <c r="D44" s="13"/>
      <c r="E44" s="13"/>
      <c r="F44" s="110"/>
      <c r="G44" s="110"/>
      <c r="H44" s="110"/>
      <c r="I44" s="110"/>
      <c r="J44" s="110"/>
      <c r="K44" s="110"/>
      <c r="L44" s="110"/>
      <c r="M44" s="110"/>
      <c r="N44" s="110"/>
      <c r="O44" s="270"/>
      <c r="P44" s="270"/>
      <c r="Q44" s="267"/>
      <c r="R44" s="267"/>
    </row>
    <row r="45" spans="2:18" s="109" customFormat="1" x14ac:dyDescent="0.25">
      <c r="B45" s="18"/>
      <c r="C45" s="13"/>
      <c r="D45" s="13"/>
      <c r="E45" s="13"/>
      <c r="F45" s="110"/>
      <c r="G45" s="110"/>
      <c r="H45" s="110"/>
      <c r="I45" s="110"/>
      <c r="J45" s="110"/>
      <c r="K45" s="110"/>
      <c r="L45" s="110"/>
      <c r="M45" s="110"/>
      <c r="N45" s="110"/>
      <c r="O45" s="270"/>
      <c r="P45" s="270"/>
      <c r="Q45" s="267"/>
      <c r="R45" s="267"/>
    </row>
    <row r="46" spans="2:18" s="109" customFormat="1" x14ac:dyDescent="0.25">
      <c r="B46" s="18"/>
      <c r="C46" s="13"/>
      <c r="D46" s="13"/>
      <c r="E46" s="13"/>
      <c r="F46" s="110"/>
      <c r="G46" s="110"/>
      <c r="H46" s="110"/>
      <c r="I46" s="110"/>
      <c r="J46" s="110"/>
      <c r="K46" s="110"/>
      <c r="L46" s="110"/>
      <c r="M46" s="110"/>
      <c r="N46" s="110"/>
      <c r="O46" s="270"/>
      <c r="P46" s="270"/>
      <c r="Q46" s="267"/>
      <c r="R46" s="267"/>
    </row>
    <row r="47" spans="2:18" s="109" customFormat="1" x14ac:dyDescent="0.25">
      <c r="B47" s="18"/>
      <c r="C47" s="13"/>
      <c r="D47" s="13"/>
      <c r="E47" s="13"/>
      <c r="F47" s="110"/>
      <c r="G47" s="110"/>
      <c r="H47" s="110"/>
      <c r="I47" s="110"/>
      <c r="J47" s="110"/>
      <c r="K47" s="110"/>
      <c r="L47" s="110"/>
      <c r="M47" s="110"/>
      <c r="N47" s="110"/>
      <c r="O47" s="270"/>
      <c r="P47" s="270"/>
      <c r="Q47" s="267"/>
      <c r="R47" s="267"/>
    </row>
    <row r="48" spans="2:18" s="109" customFormat="1" x14ac:dyDescent="0.25">
      <c r="B48" s="18"/>
      <c r="C48" s="13"/>
      <c r="D48" s="13"/>
      <c r="E48" s="13"/>
      <c r="F48" s="110"/>
      <c r="G48" s="110"/>
      <c r="H48" s="110"/>
      <c r="I48" s="110"/>
      <c r="J48" s="110"/>
      <c r="K48" s="110"/>
      <c r="L48" s="110"/>
      <c r="M48" s="110"/>
      <c r="N48" s="110"/>
      <c r="O48" s="270"/>
      <c r="P48" s="270"/>
      <c r="Q48" s="267"/>
      <c r="R48" s="267"/>
    </row>
    <row r="49" spans="2:18" s="109" customFormat="1" ht="15.75" thickBot="1" x14ac:dyDescent="0.3">
      <c r="B49" s="323"/>
      <c r="C49" s="281"/>
      <c r="D49" s="281"/>
      <c r="E49" s="281"/>
      <c r="F49" s="304"/>
      <c r="G49" s="304"/>
      <c r="H49" s="304"/>
      <c r="I49" s="304"/>
      <c r="J49" s="304"/>
      <c r="K49" s="304"/>
      <c r="L49" s="304"/>
      <c r="M49" s="304"/>
      <c r="N49" s="304"/>
      <c r="O49" s="270"/>
      <c r="P49" s="270"/>
      <c r="Q49" s="267"/>
      <c r="R49" s="267"/>
    </row>
    <row r="50" spans="2:18" s="109" customFormat="1" ht="15.75" thickTop="1" x14ac:dyDescent="0.25">
      <c r="B50" s="108"/>
      <c r="C50" s="108"/>
      <c r="D50" s="108"/>
      <c r="E50" s="108"/>
      <c r="F50" s="108"/>
      <c r="G50" s="108"/>
      <c r="H50" s="108"/>
      <c r="I50" s="108"/>
      <c r="J50" s="108"/>
      <c r="K50" s="108"/>
      <c r="L50" s="108"/>
      <c r="M50" s="108"/>
      <c r="N50" s="108"/>
      <c r="O50" s="270"/>
      <c r="P50" s="270"/>
      <c r="Q50" s="267"/>
      <c r="R50" s="267"/>
    </row>
    <row r="51" spans="2:18" s="109" customFormat="1" x14ac:dyDescent="0.25">
      <c r="B51" s="108"/>
      <c r="C51" s="108"/>
      <c r="D51" s="108"/>
      <c r="E51" s="108"/>
      <c r="F51" s="108"/>
      <c r="G51" s="108"/>
      <c r="H51" s="108"/>
      <c r="I51" s="108"/>
      <c r="J51" s="108"/>
      <c r="K51" s="108"/>
      <c r="L51" s="108"/>
      <c r="M51" s="108"/>
      <c r="N51" s="108"/>
      <c r="O51" s="270"/>
      <c r="P51" s="270"/>
      <c r="Q51" s="267"/>
      <c r="R51" s="267"/>
    </row>
    <row r="52" spans="2:18" s="109" customFormat="1" x14ac:dyDescent="0.25">
      <c r="B52" s="108"/>
      <c r="C52" s="108"/>
      <c r="D52" s="108"/>
      <c r="E52" s="108"/>
      <c r="F52" s="108"/>
      <c r="G52" s="108"/>
      <c r="H52" s="108"/>
      <c r="I52" s="108"/>
      <c r="J52" s="108"/>
      <c r="K52" s="108"/>
      <c r="L52" s="108"/>
      <c r="M52" s="108"/>
      <c r="N52" s="108"/>
      <c r="O52" s="270"/>
      <c r="P52" s="270"/>
      <c r="Q52" s="267"/>
      <c r="R52" s="267"/>
    </row>
    <row r="53" spans="2:18" s="109" customFormat="1" x14ac:dyDescent="0.25">
      <c r="B53" s="108"/>
      <c r="C53" s="108"/>
      <c r="D53" s="108"/>
      <c r="E53" s="108"/>
      <c r="F53" s="108"/>
      <c r="G53" s="108"/>
      <c r="H53" s="108"/>
      <c r="I53" s="108"/>
      <c r="J53" s="108"/>
      <c r="K53" s="108"/>
      <c r="L53" s="108"/>
      <c r="M53" s="108"/>
      <c r="N53" s="108"/>
      <c r="O53" s="270"/>
      <c r="P53" s="270"/>
      <c r="Q53" s="267"/>
      <c r="R53" s="267"/>
    </row>
    <row r="54" spans="2:18" s="109" customFormat="1" x14ac:dyDescent="0.25">
      <c r="B54" s="108"/>
      <c r="C54" s="108"/>
      <c r="D54" s="108"/>
      <c r="E54" s="108"/>
      <c r="F54" s="108"/>
      <c r="G54" s="108"/>
      <c r="H54" s="108"/>
      <c r="I54" s="108"/>
      <c r="J54" s="108"/>
      <c r="K54" s="108"/>
      <c r="L54" s="108"/>
      <c r="M54" s="108"/>
      <c r="N54" s="108"/>
      <c r="O54" s="270"/>
      <c r="P54" s="270"/>
      <c r="Q54" s="267"/>
      <c r="R54" s="267"/>
    </row>
    <row r="55" spans="2:18" s="109" customFormat="1" x14ac:dyDescent="0.25">
      <c r="B55" s="108"/>
      <c r="C55" s="108"/>
      <c r="D55" s="108"/>
      <c r="E55" s="108"/>
      <c r="F55" s="108"/>
      <c r="G55" s="108"/>
      <c r="H55" s="108"/>
      <c r="I55" s="108"/>
      <c r="J55" s="108"/>
      <c r="K55" s="108"/>
      <c r="L55" s="108"/>
      <c r="M55" s="108"/>
      <c r="N55" s="108"/>
      <c r="O55" s="270"/>
      <c r="P55" s="270"/>
      <c r="Q55" s="267"/>
      <c r="R55" s="267"/>
    </row>
    <row r="56" spans="2:18" s="109" customFormat="1" x14ac:dyDescent="0.25">
      <c r="B56" s="108"/>
      <c r="C56" s="108"/>
      <c r="D56" s="108"/>
      <c r="E56" s="108"/>
      <c r="F56" s="108"/>
      <c r="G56" s="108"/>
      <c r="H56" s="108"/>
      <c r="I56" s="108"/>
      <c r="J56" s="108"/>
      <c r="K56" s="108"/>
      <c r="L56" s="108"/>
      <c r="M56" s="108"/>
      <c r="N56" s="108"/>
      <c r="O56" s="270"/>
      <c r="P56" s="270"/>
      <c r="Q56" s="267"/>
      <c r="R56" s="267"/>
    </row>
    <row r="57" spans="2:18" s="109" customFormat="1" x14ac:dyDescent="0.25">
      <c r="B57" s="108"/>
      <c r="C57" s="108"/>
      <c r="D57" s="108"/>
      <c r="E57" s="108"/>
      <c r="F57" s="108"/>
      <c r="G57" s="108"/>
      <c r="H57" s="108"/>
      <c r="I57" s="108"/>
      <c r="J57" s="108"/>
      <c r="K57" s="108"/>
      <c r="L57" s="108"/>
      <c r="M57" s="108"/>
      <c r="N57" s="108"/>
      <c r="O57" s="270"/>
      <c r="P57" s="270"/>
      <c r="Q57" s="267"/>
      <c r="R57" s="267"/>
    </row>
    <row r="58" spans="2:18" s="109" customFormat="1" x14ac:dyDescent="0.25">
      <c r="B58" s="108"/>
      <c r="C58" s="108"/>
      <c r="D58" s="108"/>
      <c r="E58" s="108"/>
      <c r="F58" s="108"/>
      <c r="G58" s="108"/>
      <c r="H58" s="108"/>
      <c r="I58" s="108"/>
      <c r="J58" s="108"/>
      <c r="K58" s="108"/>
      <c r="L58" s="108"/>
      <c r="M58" s="108"/>
      <c r="N58" s="108"/>
      <c r="O58" s="270"/>
      <c r="P58" s="270"/>
      <c r="Q58" s="267"/>
      <c r="R58" s="267"/>
    </row>
    <row r="59" spans="2:18" s="109" customFormat="1" x14ac:dyDescent="0.25">
      <c r="B59" s="108"/>
      <c r="C59" s="108"/>
      <c r="D59" s="108"/>
      <c r="E59" s="108"/>
      <c r="F59" s="108"/>
      <c r="G59" s="108"/>
      <c r="H59" s="108"/>
      <c r="I59" s="108"/>
      <c r="J59" s="108"/>
      <c r="K59" s="108"/>
      <c r="L59" s="108"/>
      <c r="M59" s="108"/>
      <c r="N59" s="108"/>
      <c r="O59" s="270"/>
      <c r="P59" s="270"/>
      <c r="Q59" s="267"/>
      <c r="R59" s="267"/>
    </row>
    <row r="60" spans="2:18" s="109" customFormat="1" x14ac:dyDescent="0.25">
      <c r="B60" s="108"/>
      <c r="C60" s="108"/>
      <c r="D60" s="108"/>
      <c r="E60" s="108"/>
      <c r="F60" s="108"/>
      <c r="G60" s="108"/>
      <c r="H60" s="108"/>
      <c r="I60" s="108"/>
      <c r="J60" s="108"/>
      <c r="K60" s="108"/>
      <c r="L60" s="108"/>
      <c r="M60" s="108"/>
      <c r="N60" s="108"/>
      <c r="O60" s="270"/>
      <c r="P60" s="270"/>
      <c r="Q60" s="267"/>
      <c r="R60" s="267"/>
    </row>
    <row r="61" spans="2:18" s="109" customFormat="1" x14ac:dyDescent="0.25">
      <c r="B61" s="108"/>
      <c r="C61" s="108"/>
      <c r="D61" s="108"/>
      <c r="E61" s="108"/>
      <c r="F61" s="108"/>
      <c r="G61" s="108"/>
      <c r="H61" s="108"/>
      <c r="I61" s="108"/>
      <c r="J61" s="108"/>
      <c r="K61" s="108"/>
      <c r="L61" s="108"/>
      <c r="M61" s="108"/>
      <c r="N61" s="108"/>
      <c r="O61" s="270"/>
      <c r="P61" s="270"/>
      <c r="Q61" s="267"/>
      <c r="R61" s="267"/>
    </row>
    <row r="62" spans="2:18" s="109" customFormat="1" x14ac:dyDescent="0.25">
      <c r="B62" s="108"/>
      <c r="C62" s="108"/>
      <c r="D62" s="108"/>
      <c r="E62" s="108"/>
      <c r="F62" s="108"/>
      <c r="G62" s="108"/>
      <c r="H62" s="108"/>
      <c r="I62" s="108"/>
      <c r="J62" s="108"/>
      <c r="K62" s="108"/>
      <c r="L62" s="108"/>
      <c r="M62" s="108"/>
      <c r="N62" s="108"/>
      <c r="O62" s="270"/>
      <c r="P62" s="270"/>
      <c r="Q62" s="267"/>
      <c r="R62" s="267"/>
    </row>
    <row r="63" spans="2:18" s="109" customFormat="1" x14ac:dyDescent="0.25">
      <c r="B63" s="108"/>
      <c r="C63" s="108"/>
      <c r="D63" s="108"/>
      <c r="E63" s="108"/>
      <c r="F63" s="108"/>
      <c r="G63" s="108"/>
      <c r="H63" s="108"/>
      <c r="I63" s="108"/>
      <c r="J63" s="108"/>
      <c r="K63" s="108"/>
      <c r="L63" s="108"/>
      <c r="M63" s="108"/>
      <c r="N63" s="108"/>
      <c r="O63" s="270"/>
      <c r="P63" s="270"/>
      <c r="Q63" s="267"/>
      <c r="R63" s="267"/>
    </row>
    <row r="64" spans="2:18" s="109" customFormat="1" x14ac:dyDescent="0.25">
      <c r="B64" s="108"/>
      <c r="C64" s="108"/>
      <c r="D64" s="108"/>
      <c r="E64" s="108"/>
      <c r="F64" s="108"/>
      <c r="G64" s="108"/>
      <c r="H64" s="108"/>
      <c r="I64" s="108"/>
      <c r="J64" s="108"/>
      <c r="K64" s="108"/>
      <c r="L64" s="108"/>
      <c r="M64" s="108"/>
      <c r="N64" s="108"/>
      <c r="O64" s="270"/>
      <c r="P64" s="270"/>
      <c r="Q64" s="267"/>
      <c r="R64" s="267"/>
    </row>
    <row r="65" spans="2:18" s="109" customFormat="1" x14ac:dyDescent="0.25">
      <c r="B65" s="108"/>
      <c r="C65" s="108"/>
      <c r="D65" s="108"/>
      <c r="E65" s="108"/>
      <c r="F65" s="108"/>
      <c r="G65" s="108"/>
      <c r="H65" s="108"/>
      <c r="I65" s="108"/>
      <c r="J65" s="108"/>
      <c r="K65" s="108"/>
      <c r="L65" s="108"/>
      <c r="M65" s="108"/>
      <c r="N65" s="108"/>
      <c r="O65" s="270"/>
      <c r="P65" s="270"/>
      <c r="Q65" s="267"/>
      <c r="R65" s="267"/>
    </row>
    <row r="66" spans="2:18" s="109" customFormat="1" x14ac:dyDescent="0.25">
      <c r="B66" s="108"/>
      <c r="C66" s="108"/>
      <c r="D66" s="108"/>
      <c r="E66" s="108"/>
      <c r="F66" s="108"/>
      <c r="G66" s="108"/>
      <c r="H66" s="108"/>
      <c r="I66" s="108"/>
      <c r="J66" s="108"/>
      <c r="K66" s="108"/>
      <c r="L66" s="108"/>
      <c r="M66" s="108"/>
      <c r="N66" s="108"/>
      <c r="O66" s="270"/>
      <c r="P66" s="270"/>
      <c r="Q66" s="267"/>
      <c r="R66" s="267"/>
    </row>
    <row r="67" spans="2:18" s="109" customFormat="1" x14ac:dyDescent="0.25">
      <c r="B67" s="108"/>
      <c r="C67" s="108"/>
      <c r="D67" s="108"/>
      <c r="E67" s="108"/>
      <c r="F67" s="108"/>
      <c r="G67" s="108"/>
      <c r="H67" s="108"/>
      <c r="I67" s="108"/>
      <c r="J67" s="108"/>
      <c r="K67" s="108"/>
      <c r="L67" s="108"/>
      <c r="M67" s="108"/>
      <c r="N67" s="108"/>
      <c r="O67" s="270"/>
      <c r="P67" s="270"/>
      <c r="Q67" s="267"/>
      <c r="R67" s="267"/>
    </row>
    <row r="68" spans="2:18" s="109" customFormat="1" x14ac:dyDescent="0.25">
      <c r="B68" s="108"/>
      <c r="C68" s="108"/>
      <c r="D68" s="108"/>
      <c r="E68" s="108"/>
      <c r="F68" s="108"/>
      <c r="G68" s="108"/>
      <c r="H68" s="108"/>
      <c r="I68" s="108"/>
      <c r="J68" s="108"/>
      <c r="K68" s="108"/>
      <c r="L68" s="108"/>
      <c r="M68" s="108"/>
      <c r="N68" s="108"/>
      <c r="O68" s="270"/>
      <c r="P68" s="270"/>
      <c r="Q68" s="267"/>
      <c r="R68" s="267"/>
    </row>
    <row r="69" spans="2:18" s="109" customFormat="1" x14ac:dyDescent="0.25">
      <c r="B69" s="108"/>
      <c r="C69" s="108"/>
      <c r="D69" s="108"/>
      <c r="E69" s="108"/>
      <c r="F69" s="108"/>
      <c r="G69" s="108"/>
      <c r="H69" s="108"/>
      <c r="I69" s="108"/>
      <c r="J69" s="108"/>
      <c r="K69" s="108"/>
      <c r="L69" s="108"/>
      <c r="M69" s="108"/>
      <c r="N69" s="108"/>
      <c r="O69" s="270"/>
      <c r="P69" s="270"/>
      <c r="Q69" s="267"/>
      <c r="R69" s="267"/>
    </row>
    <row r="70" spans="2:18" s="109" customFormat="1" x14ac:dyDescent="0.25">
      <c r="B70" s="108"/>
      <c r="C70" s="108"/>
      <c r="D70" s="108"/>
      <c r="E70" s="108"/>
      <c r="F70" s="108"/>
      <c r="G70" s="108"/>
      <c r="H70" s="108"/>
      <c r="I70" s="108"/>
      <c r="J70" s="108"/>
      <c r="K70" s="108"/>
      <c r="L70" s="108"/>
      <c r="M70" s="108"/>
      <c r="N70" s="108"/>
      <c r="O70" s="270"/>
      <c r="P70" s="270"/>
      <c r="Q70" s="267"/>
      <c r="R70" s="267"/>
    </row>
    <row r="71" spans="2:18" s="109" customFormat="1" x14ac:dyDescent="0.25">
      <c r="B71" s="108"/>
      <c r="C71" s="108"/>
      <c r="D71" s="108"/>
      <c r="E71" s="108"/>
      <c r="F71" s="108"/>
      <c r="G71" s="108"/>
      <c r="H71" s="108"/>
      <c r="I71" s="108"/>
      <c r="J71" s="108"/>
      <c r="K71" s="108"/>
      <c r="L71" s="108"/>
      <c r="M71" s="108"/>
      <c r="N71" s="108"/>
      <c r="O71" s="270"/>
      <c r="P71" s="270"/>
      <c r="Q71" s="267"/>
      <c r="R71" s="267"/>
    </row>
    <row r="72" spans="2:18" s="109" customFormat="1" x14ac:dyDescent="0.25">
      <c r="B72" s="108"/>
      <c r="C72" s="108"/>
      <c r="D72" s="108"/>
      <c r="E72" s="108"/>
      <c r="F72" s="108"/>
      <c r="G72" s="108"/>
      <c r="H72" s="108"/>
      <c r="I72" s="108"/>
      <c r="J72" s="108"/>
      <c r="K72" s="108"/>
      <c r="L72" s="108"/>
      <c r="M72" s="108"/>
      <c r="N72" s="108"/>
      <c r="O72" s="270"/>
      <c r="P72" s="270"/>
      <c r="Q72" s="267"/>
      <c r="R72" s="267"/>
    </row>
    <row r="73" spans="2:18" s="109" customFormat="1" x14ac:dyDescent="0.25">
      <c r="B73" s="108"/>
      <c r="C73" s="108"/>
      <c r="D73" s="108"/>
      <c r="E73" s="108"/>
      <c r="F73" s="108"/>
      <c r="G73" s="108"/>
      <c r="H73" s="108"/>
      <c r="I73" s="108"/>
      <c r="J73" s="108"/>
      <c r="K73" s="108"/>
      <c r="L73" s="108"/>
      <c r="M73" s="108"/>
      <c r="N73" s="108"/>
      <c r="O73" s="270"/>
      <c r="P73" s="270"/>
      <c r="Q73" s="267"/>
      <c r="R73" s="267"/>
    </row>
    <row r="74" spans="2:18" s="109" customFormat="1" x14ac:dyDescent="0.25">
      <c r="B74" s="108"/>
      <c r="C74" s="108"/>
      <c r="D74" s="108"/>
      <c r="E74" s="108"/>
      <c r="F74" s="108"/>
      <c r="G74" s="108"/>
      <c r="H74" s="108"/>
      <c r="I74" s="108"/>
      <c r="J74" s="108"/>
      <c r="K74" s="108"/>
      <c r="L74" s="108"/>
      <c r="M74" s="108"/>
      <c r="N74" s="108"/>
      <c r="O74" s="270"/>
      <c r="P74" s="270"/>
      <c r="Q74" s="267"/>
      <c r="R74" s="267"/>
    </row>
    <row r="75" spans="2:18" s="109" customFormat="1" x14ac:dyDescent="0.25">
      <c r="B75" s="108"/>
      <c r="C75" s="108"/>
      <c r="D75" s="108"/>
      <c r="E75" s="108"/>
      <c r="F75" s="108"/>
      <c r="G75" s="108"/>
      <c r="H75" s="108"/>
      <c r="I75" s="108"/>
      <c r="J75" s="108"/>
      <c r="K75" s="108"/>
      <c r="L75" s="108"/>
      <c r="M75" s="108"/>
      <c r="N75" s="108"/>
      <c r="O75" s="270"/>
      <c r="P75" s="270"/>
      <c r="Q75" s="267"/>
      <c r="R75" s="267"/>
    </row>
    <row r="76" spans="2:18" s="109" customFormat="1" x14ac:dyDescent="0.25">
      <c r="B76" s="108"/>
      <c r="C76" s="108"/>
      <c r="D76" s="108"/>
      <c r="E76" s="108"/>
      <c r="F76" s="108"/>
      <c r="G76" s="108"/>
      <c r="H76" s="108"/>
      <c r="I76" s="108"/>
      <c r="J76" s="108"/>
      <c r="K76" s="108"/>
      <c r="L76" s="108"/>
      <c r="M76" s="108"/>
      <c r="N76" s="108"/>
      <c r="O76" s="270"/>
      <c r="P76" s="270"/>
      <c r="Q76" s="267"/>
      <c r="R76" s="267"/>
    </row>
    <row r="77" spans="2:18" s="109" customFormat="1" x14ac:dyDescent="0.25">
      <c r="B77" s="108"/>
      <c r="C77" s="108"/>
      <c r="D77" s="108"/>
      <c r="E77" s="108"/>
      <c r="F77" s="108"/>
      <c r="G77" s="108"/>
      <c r="H77" s="108"/>
      <c r="I77" s="108"/>
      <c r="J77" s="108"/>
      <c r="K77" s="108"/>
      <c r="L77" s="108"/>
      <c r="M77" s="108"/>
      <c r="N77" s="108"/>
      <c r="O77" s="270"/>
      <c r="P77" s="270"/>
      <c r="Q77" s="267"/>
      <c r="R77" s="267"/>
    </row>
    <row r="78" spans="2:18" s="109" customFormat="1" x14ac:dyDescent="0.25">
      <c r="B78" s="108"/>
      <c r="C78" s="108"/>
      <c r="D78" s="108"/>
      <c r="E78" s="108"/>
      <c r="F78" s="108"/>
      <c r="G78" s="108"/>
      <c r="H78" s="108"/>
      <c r="I78" s="108"/>
      <c r="J78" s="108"/>
      <c r="K78" s="108"/>
      <c r="L78" s="108"/>
      <c r="M78" s="108"/>
      <c r="N78" s="108"/>
      <c r="O78" s="270"/>
      <c r="P78" s="270"/>
      <c r="Q78" s="267"/>
      <c r="R78" s="267"/>
    </row>
    <row r="79" spans="2:18" s="109" customFormat="1" x14ac:dyDescent="0.25">
      <c r="B79" s="108"/>
      <c r="C79" s="108"/>
      <c r="D79" s="108"/>
      <c r="E79" s="108"/>
      <c r="F79" s="108"/>
      <c r="G79" s="108"/>
      <c r="H79" s="108"/>
      <c r="I79" s="108"/>
      <c r="J79" s="108"/>
      <c r="K79" s="108"/>
      <c r="L79" s="108"/>
      <c r="M79" s="108"/>
      <c r="N79" s="108"/>
      <c r="O79" s="270"/>
      <c r="P79" s="270"/>
      <c r="Q79" s="267"/>
      <c r="R79" s="267"/>
    </row>
    <row r="80" spans="2:18" s="109" customFormat="1" x14ac:dyDescent="0.25">
      <c r="B80" s="108"/>
      <c r="C80" s="108"/>
      <c r="D80" s="108"/>
      <c r="E80" s="108"/>
      <c r="F80" s="108"/>
      <c r="G80" s="108"/>
      <c r="H80" s="108"/>
      <c r="I80" s="108"/>
      <c r="J80" s="108"/>
      <c r="K80" s="108"/>
      <c r="L80" s="108"/>
      <c r="M80" s="108"/>
      <c r="N80" s="108"/>
      <c r="O80" s="270"/>
      <c r="P80" s="270"/>
      <c r="Q80" s="267"/>
      <c r="R80" s="267"/>
    </row>
    <row r="81" spans="1:19" s="109" customFormat="1" x14ac:dyDescent="0.25">
      <c r="B81" s="108"/>
      <c r="C81" s="108"/>
      <c r="D81" s="108"/>
      <c r="E81" s="108"/>
      <c r="F81" s="108"/>
      <c r="G81" s="108"/>
      <c r="H81" s="108"/>
      <c r="I81" s="108"/>
      <c r="J81" s="108"/>
      <c r="K81" s="108"/>
      <c r="L81" s="108"/>
      <c r="M81" s="108"/>
      <c r="N81" s="108"/>
      <c r="O81" s="270"/>
      <c r="P81" s="270"/>
      <c r="Q81" s="267"/>
      <c r="R81" s="267"/>
    </row>
    <row r="82" spans="1:19" s="109" customFormat="1" x14ac:dyDescent="0.25">
      <c r="B82" s="108"/>
      <c r="C82" s="108"/>
      <c r="D82" s="108"/>
      <c r="E82" s="108"/>
      <c r="F82" s="108"/>
      <c r="G82" s="108"/>
      <c r="H82" s="108"/>
      <c r="I82" s="108"/>
      <c r="J82" s="108"/>
      <c r="K82" s="108"/>
      <c r="L82" s="108"/>
      <c r="M82" s="108"/>
      <c r="N82" s="108"/>
      <c r="O82" s="270"/>
      <c r="P82" s="270"/>
      <c r="Q82" s="267"/>
      <c r="R82" s="267"/>
    </row>
    <row r="83" spans="1:19" s="109" customFormat="1" x14ac:dyDescent="0.25">
      <c r="B83" s="108"/>
      <c r="C83" s="108"/>
      <c r="D83" s="108"/>
      <c r="E83" s="108"/>
      <c r="F83" s="108"/>
      <c r="G83" s="108"/>
      <c r="H83" s="108"/>
      <c r="I83" s="108"/>
      <c r="J83" s="108"/>
      <c r="K83" s="108"/>
      <c r="L83" s="108"/>
      <c r="M83" s="108"/>
      <c r="N83" s="108"/>
      <c r="O83" s="270"/>
      <c r="P83" s="270"/>
      <c r="Q83" s="267"/>
      <c r="R83" s="267"/>
    </row>
    <row r="84" spans="1:19" s="109" customFormat="1" x14ac:dyDescent="0.25">
      <c r="B84" s="108"/>
      <c r="C84" s="108"/>
      <c r="D84" s="108"/>
      <c r="E84" s="108"/>
      <c r="F84" s="108"/>
      <c r="G84" s="108"/>
      <c r="H84" s="108"/>
      <c r="I84" s="108"/>
      <c r="J84" s="108"/>
      <c r="K84" s="108"/>
      <c r="L84" s="108"/>
      <c r="M84" s="108"/>
      <c r="N84" s="108"/>
      <c r="O84" s="270"/>
      <c r="P84" s="270"/>
      <c r="Q84" s="267"/>
      <c r="R84" s="267"/>
    </row>
    <row r="85" spans="1:19" s="109" customFormat="1" x14ac:dyDescent="0.25">
      <c r="B85" s="108"/>
      <c r="C85" s="108"/>
      <c r="D85" s="108"/>
      <c r="E85" s="108"/>
      <c r="F85" s="108"/>
      <c r="G85" s="108"/>
      <c r="H85" s="108"/>
      <c r="I85" s="108"/>
      <c r="J85" s="108"/>
      <c r="K85" s="108"/>
      <c r="L85" s="108"/>
      <c r="M85" s="108"/>
      <c r="N85" s="108"/>
      <c r="O85" s="270"/>
      <c r="P85" s="270"/>
      <c r="Q85" s="267"/>
      <c r="R85" s="267"/>
    </row>
    <row r="86" spans="1:19" s="109" customFormat="1" x14ac:dyDescent="0.25">
      <c r="B86" s="108"/>
      <c r="C86" s="108"/>
      <c r="D86" s="108"/>
      <c r="E86" s="108"/>
      <c r="F86" s="108"/>
      <c r="G86" s="108"/>
      <c r="H86" s="108"/>
      <c r="I86" s="108"/>
      <c r="J86" s="108"/>
      <c r="K86" s="108"/>
      <c r="L86" s="108"/>
      <c r="M86" s="108"/>
      <c r="N86" s="108"/>
      <c r="O86" s="270"/>
      <c r="P86" s="270"/>
      <c r="Q86" s="267"/>
      <c r="R86" s="267"/>
    </row>
    <row r="87" spans="1:19" s="109" customFormat="1" x14ac:dyDescent="0.25">
      <c r="B87" s="108"/>
      <c r="C87" s="108"/>
      <c r="D87" s="108"/>
      <c r="E87" s="108"/>
      <c r="F87" s="108"/>
      <c r="G87" s="108"/>
      <c r="H87" s="108"/>
      <c r="I87" s="108"/>
      <c r="J87" s="108"/>
      <c r="K87" s="108"/>
      <c r="L87" s="108"/>
      <c r="M87" s="108"/>
      <c r="N87" s="108"/>
      <c r="O87" s="270"/>
      <c r="P87" s="270"/>
      <c r="Q87" s="267"/>
      <c r="R87" s="267"/>
    </row>
    <row r="88" spans="1:19" s="109" customFormat="1" x14ac:dyDescent="0.25">
      <c r="B88" s="108"/>
      <c r="C88" s="108"/>
      <c r="D88" s="108"/>
      <c r="E88" s="108"/>
      <c r="F88" s="108"/>
      <c r="G88" s="108"/>
      <c r="H88" s="108"/>
      <c r="I88" s="108"/>
      <c r="J88" s="108"/>
      <c r="K88" s="108"/>
      <c r="L88" s="108"/>
      <c r="M88" s="108"/>
      <c r="N88" s="108"/>
      <c r="O88" s="270"/>
      <c r="P88" s="270"/>
      <c r="Q88" s="267"/>
      <c r="R88" s="267"/>
    </row>
    <row r="89" spans="1:19" s="109" customFormat="1" x14ac:dyDescent="0.25">
      <c r="B89" s="108"/>
      <c r="C89" s="108"/>
      <c r="D89" s="108"/>
      <c r="E89" s="108"/>
      <c r="F89" s="108"/>
      <c r="G89" s="108"/>
      <c r="H89" s="108"/>
      <c r="I89" s="108"/>
      <c r="J89" s="108"/>
      <c r="K89" s="108"/>
      <c r="L89" s="108"/>
      <c r="M89" s="108"/>
      <c r="N89" s="108"/>
      <c r="O89" s="270"/>
      <c r="P89" s="270"/>
      <c r="Q89" s="267"/>
      <c r="R89" s="267"/>
    </row>
    <row r="90" spans="1:19" s="109" customFormat="1" x14ac:dyDescent="0.25">
      <c r="B90" s="108"/>
      <c r="C90" s="108"/>
      <c r="D90" s="108"/>
      <c r="E90" s="108"/>
      <c r="F90" s="108"/>
      <c r="G90" s="108"/>
      <c r="H90" s="108"/>
      <c r="I90" s="108"/>
      <c r="J90" s="108"/>
      <c r="K90" s="108"/>
      <c r="L90" s="108"/>
      <c r="M90" s="108"/>
      <c r="N90" s="108"/>
      <c r="O90" s="270"/>
      <c r="P90" s="270"/>
      <c r="Q90" s="267"/>
      <c r="R90" s="267"/>
    </row>
    <row r="91" spans="1:19" s="109" customFormat="1" x14ac:dyDescent="0.25">
      <c r="B91" s="108"/>
      <c r="C91" s="108"/>
      <c r="D91" s="108"/>
      <c r="E91" s="108"/>
      <c r="F91" s="108"/>
      <c r="G91" s="108"/>
      <c r="H91" s="108"/>
      <c r="I91" s="108"/>
      <c r="J91" s="108"/>
      <c r="K91" s="108"/>
      <c r="L91" s="108"/>
      <c r="M91" s="108"/>
      <c r="N91" s="108"/>
      <c r="O91" s="270"/>
      <c r="P91" s="270"/>
      <c r="Q91" s="268"/>
      <c r="R91" s="267"/>
    </row>
    <row r="92" spans="1:19" x14ac:dyDescent="0.25">
      <c r="B92" s="108"/>
      <c r="C92" s="108"/>
      <c r="D92" s="108"/>
      <c r="E92" s="108"/>
      <c r="F92" s="108"/>
      <c r="G92" s="108"/>
      <c r="H92" s="108"/>
      <c r="I92" s="108"/>
      <c r="J92" s="108"/>
      <c r="K92" s="108"/>
      <c r="L92" s="108"/>
      <c r="M92" s="108"/>
      <c r="N92" s="108"/>
      <c r="O92" s="270"/>
      <c r="P92" s="270"/>
    </row>
    <row r="93" spans="1:19" x14ac:dyDescent="0.25">
      <c r="B93" s="108"/>
      <c r="C93" s="108"/>
      <c r="D93" s="108"/>
      <c r="E93" s="108"/>
      <c r="F93" s="108"/>
      <c r="G93" s="108"/>
      <c r="H93" s="108"/>
      <c r="I93" s="108"/>
      <c r="J93" s="108"/>
      <c r="K93" s="108"/>
      <c r="L93" s="108"/>
      <c r="M93" s="108"/>
      <c r="N93" s="108"/>
      <c r="O93" s="270"/>
      <c r="P93" s="270"/>
    </row>
    <row r="94" spans="1:19" x14ac:dyDescent="0.25">
      <c r="B94" s="108"/>
      <c r="C94" s="108"/>
      <c r="D94" s="108"/>
      <c r="E94" s="108"/>
      <c r="F94" s="108"/>
      <c r="G94" s="108"/>
      <c r="H94" s="108"/>
      <c r="I94" s="108"/>
      <c r="J94" s="108"/>
      <c r="K94" s="108"/>
      <c r="L94" s="108"/>
      <c r="M94" s="108"/>
      <c r="N94" s="108"/>
      <c r="O94" s="270"/>
      <c r="P94" s="270"/>
    </row>
    <row r="95" spans="1:19" s="268" customFormat="1" x14ac:dyDescent="0.25">
      <c r="A95" s="107"/>
      <c r="B95" s="108"/>
      <c r="C95" s="108"/>
      <c r="D95" s="108"/>
      <c r="E95" s="108"/>
      <c r="F95" s="108"/>
      <c r="G95" s="108"/>
      <c r="H95" s="108"/>
      <c r="I95" s="108"/>
      <c r="J95" s="108"/>
      <c r="K95" s="108"/>
      <c r="L95" s="108"/>
      <c r="M95" s="108"/>
      <c r="N95" s="108"/>
      <c r="O95" s="270"/>
      <c r="P95" s="270"/>
      <c r="S95" s="107"/>
    </row>
    <row r="96" spans="1:19" s="268" customFormat="1" x14ac:dyDescent="0.25">
      <c r="A96" s="107"/>
      <c r="B96" s="108"/>
      <c r="C96" s="108"/>
      <c r="D96" s="108"/>
      <c r="E96" s="108"/>
      <c r="F96" s="108"/>
      <c r="G96" s="108"/>
      <c r="H96" s="108"/>
      <c r="I96" s="108"/>
      <c r="J96" s="108"/>
      <c r="K96" s="108"/>
      <c r="L96" s="108"/>
      <c r="M96" s="108"/>
      <c r="N96" s="108"/>
      <c r="O96" s="270"/>
      <c r="P96" s="270"/>
      <c r="S96" s="107"/>
    </row>
    <row r="97" spans="1:19" s="268" customFormat="1" x14ac:dyDescent="0.25">
      <c r="A97" s="107"/>
      <c r="B97" s="108"/>
      <c r="C97" s="108"/>
      <c r="D97" s="108"/>
      <c r="E97" s="108"/>
      <c r="F97" s="108"/>
      <c r="G97" s="108"/>
      <c r="H97" s="108"/>
      <c r="I97" s="108"/>
      <c r="J97" s="108"/>
      <c r="K97" s="108"/>
      <c r="L97" s="108"/>
      <c r="M97" s="108"/>
      <c r="N97" s="108"/>
      <c r="O97" s="270"/>
      <c r="P97" s="270"/>
      <c r="S97" s="107"/>
    </row>
    <row r="98" spans="1:19" s="268" customFormat="1" x14ac:dyDescent="0.25">
      <c r="A98" s="107"/>
      <c r="B98" s="108"/>
      <c r="C98" s="108"/>
      <c r="D98" s="108"/>
      <c r="E98" s="108"/>
      <c r="F98" s="108"/>
      <c r="G98" s="108"/>
      <c r="H98" s="108"/>
      <c r="I98" s="108"/>
      <c r="J98" s="108"/>
      <c r="K98" s="108"/>
      <c r="L98" s="108"/>
      <c r="M98" s="108"/>
      <c r="N98" s="108"/>
      <c r="O98" s="270"/>
      <c r="P98" s="270"/>
      <c r="S98" s="107"/>
    </row>
    <row r="99" spans="1:19" s="268" customFormat="1" x14ac:dyDescent="0.25">
      <c r="A99" s="107"/>
      <c r="B99" s="108"/>
      <c r="C99" s="108"/>
      <c r="D99" s="108"/>
      <c r="E99" s="108"/>
      <c r="F99" s="108"/>
      <c r="G99" s="108"/>
      <c r="H99" s="108"/>
      <c r="I99" s="108"/>
      <c r="J99" s="108"/>
      <c r="K99" s="108"/>
      <c r="L99" s="108"/>
      <c r="M99" s="108"/>
      <c r="N99" s="108"/>
      <c r="O99" s="270"/>
      <c r="P99" s="270"/>
      <c r="S99" s="107"/>
    </row>
    <row r="100" spans="1:19" s="268" customFormat="1" x14ac:dyDescent="0.25">
      <c r="A100" s="107"/>
      <c r="B100" s="108"/>
      <c r="C100" s="108"/>
      <c r="D100" s="108"/>
      <c r="E100" s="108"/>
      <c r="F100" s="108"/>
      <c r="G100" s="108"/>
      <c r="H100" s="108"/>
      <c r="I100" s="108"/>
      <c r="J100" s="108"/>
      <c r="K100" s="108"/>
      <c r="L100" s="108"/>
      <c r="M100" s="108"/>
      <c r="N100" s="108"/>
      <c r="O100" s="270"/>
      <c r="P100" s="270"/>
      <c r="S100" s="107"/>
    </row>
    <row r="101" spans="1:19" s="268" customFormat="1" x14ac:dyDescent="0.25">
      <c r="A101" s="107"/>
      <c r="B101" s="108"/>
      <c r="C101" s="108"/>
      <c r="D101" s="108"/>
      <c r="E101" s="108"/>
      <c r="F101" s="108"/>
      <c r="G101" s="108"/>
      <c r="H101" s="108"/>
      <c r="I101" s="108"/>
      <c r="J101" s="108"/>
      <c r="K101" s="108"/>
      <c r="L101" s="108"/>
      <c r="M101" s="108"/>
      <c r="N101" s="108"/>
      <c r="O101" s="270"/>
      <c r="P101" s="270"/>
      <c r="S101" s="107"/>
    </row>
    <row r="102" spans="1:19" s="268" customFormat="1" x14ac:dyDescent="0.25">
      <c r="A102" s="107"/>
      <c r="B102" s="108"/>
      <c r="C102" s="108"/>
      <c r="D102" s="108"/>
      <c r="E102" s="108"/>
      <c r="F102" s="108"/>
      <c r="G102" s="108"/>
      <c r="H102" s="108"/>
      <c r="I102" s="108"/>
      <c r="J102" s="108"/>
      <c r="K102" s="108"/>
      <c r="L102" s="108"/>
      <c r="M102" s="108"/>
      <c r="N102" s="108"/>
      <c r="O102" s="270"/>
      <c r="P102" s="270"/>
      <c r="S102" s="107"/>
    </row>
    <row r="103" spans="1:19" s="268" customFormat="1" x14ac:dyDescent="0.25">
      <c r="A103" s="107"/>
      <c r="B103" s="108"/>
      <c r="C103" s="108"/>
      <c r="D103" s="108"/>
      <c r="E103" s="108"/>
      <c r="F103" s="108"/>
      <c r="G103" s="108"/>
      <c r="H103" s="108"/>
      <c r="I103" s="108"/>
      <c r="J103" s="108"/>
      <c r="K103" s="108"/>
      <c r="L103" s="108"/>
      <c r="M103" s="108"/>
      <c r="N103" s="108"/>
      <c r="O103" s="270"/>
      <c r="P103" s="270"/>
    </row>
    <row r="104" spans="1:19" s="268" customFormat="1" x14ac:dyDescent="0.25">
      <c r="A104" s="107"/>
      <c r="B104" s="108"/>
      <c r="C104" s="108"/>
      <c r="D104" s="108"/>
      <c r="E104" s="108"/>
      <c r="F104" s="108"/>
      <c r="G104" s="108"/>
      <c r="H104" s="108"/>
      <c r="I104" s="108"/>
      <c r="J104" s="108"/>
      <c r="K104" s="108"/>
      <c r="L104" s="108"/>
      <c r="M104" s="108"/>
      <c r="N104" s="108"/>
      <c r="O104" s="270"/>
      <c r="P104" s="270"/>
    </row>
    <row r="105" spans="1:19" s="268" customFormat="1" x14ac:dyDescent="0.25">
      <c r="A105" s="107"/>
      <c r="B105" s="108"/>
      <c r="C105" s="108"/>
      <c r="D105" s="108"/>
      <c r="E105" s="108"/>
      <c r="F105" s="108"/>
      <c r="G105" s="108"/>
      <c r="H105" s="108"/>
      <c r="I105" s="108"/>
      <c r="J105" s="108"/>
      <c r="K105" s="108"/>
      <c r="L105" s="108"/>
      <c r="M105" s="108"/>
      <c r="N105" s="108"/>
      <c r="O105" s="270"/>
      <c r="P105" s="270"/>
    </row>
    <row r="106" spans="1:19" s="268" customFormat="1" x14ac:dyDescent="0.25">
      <c r="A106" s="107"/>
      <c r="B106" s="108"/>
      <c r="C106" s="108"/>
      <c r="D106" s="108"/>
      <c r="E106" s="108"/>
      <c r="F106" s="108"/>
      <c r="G106" s="108"/>
      <c r="H106" s="108"/>
      <c r="I106" s="108"/>
      <c r="J106" s="108"/>
      <c r="K106" s="108"/>
      <c r="L106" s="108"/>
      <c r="M106" s="108"/>
      <c r="N106" s="108"/>
      <c r="O106" s="270"/>
      <c r="P106" s="270"/>
    </row>
    <row r="107" spans="1:19" s="268" customFormat="1" x14ac:dyDescent="0.25">
      <c r="A107" s="107"/>
      <c r="B107" s="108"/>
      <c r="C107" s="108"/>
      <c r="D107" s="108"/>
      <c r="E107" s="108"/>
      <c r="F107" s="108"/>
      <c r="G107" s="108"/>
      <c r="H107" s="108"/>
      <c r="I107" s="108"/>
      <c r="J107" s="108"/>
      <c r="K107" s="108"/>
      <c r="L107" s="108"/>
      <c r="M107" s="108"/>
      <c r="N107" s="108"/>
      <c r="O107" s="270"/>
      <c r="P107" s="270"/>
    </row>
    <row r="108" spans="1:19" s="268" customFormat="1" x14ac:dyDescent="0.25">
      <c r="A108" s="107"/>
      <c r="B108" s="108"/>
      <c r="C108" s="108"/>
      <c r="D108" s="108"/>
      <c r="E108" s="108"/>
      <c r="F108" s="107"/>
      <c r="G108" s="9"/>
      <c r="H108" s="9"/>
      <c r="I108" s="107"/>
      <c r="J108" s="107"/>
      <c r="K108" s="107"/>
      <c r="L108" s="107"/>
      <c r="M108" s="9"/>
      <c r="N108" s="9"/>
    </row>
    <row r="109" spans="1:19" s="268" customFormat="1" x14ac:dyDescent="0.25">
      <c r="A109" s="107"/>
      <c r="B109" s="108"/>
      <c r="C109" s="108"/>
      <c r="D109" s="108"/>
      <c r="E109" s="108"/>
      <c r="F109" s="107"/>
      <c r="G109" s="9"/>
      <c r="H109" s="9"/>
      <c r="I109" s="107"/>
      <c r="J109" s="107"/>
      <c r="K109" s="107"/>
      <c r="L109" s="107"/>
      <c r="M109" s="9"/>
      <c r="N109" s="9"/>
    </row>
    <row r="110" spans="1:19" s="268" customFormat="1" x14ac:dyDescent="0.25">
      <c r="A110" s="107"/>
      <c r="B110" s="108"/>
      <c r="C110" s="108"/>
      <c r="D110" s="108"/>
      <c r="E110" s="108"/>
      <c r="F110" s="107"/>
      <c r="G110" s="9"/>
      <c r="H110" s="9"/>
      <c r="I110" s="107"/>
      <c r="J110" s="107"/>
      <c r="K110" s="107"/>
      <c r="L110" s="107"/>
      <c r="M110" s="9"/>
      <c r="N110" s="9"/>
    </row>
    <row r="111" spans="1:19" s="268" customFormat="1" x14ac:dyDescent="0.25">
      <c r="A111" s="107"/>
      <c r="B111" s="108"/>
      <c r="C111" s="108"/>
      <c r="D111" s="108"/>
      <c r="E111" s="108"/>
      <c r="F111" s="107"/>
      <c r="G111" s="9"/>
      <c r="H111" s="9"/>
      <c r="I111" s="107"/>
      <c r="J111" s="107"/>
      <c r="K111" s="107"/>
      <c r="L111" s="107"/>
      <c r="M111" s="9"/>
      <c r="N111" s="9"/>
    </row>
    <row r="112" spans="1:19" s="268" customFormat="1" x14ac:dyDescent="0.25">
      <c r="A112" s="107"/>
      <c r="B112" s="108"/>
      <c r="C112" s="108"/>
      <c r="D112" s="108"/>
      <c r="E112" s="108"/>
      <c r="F112" s="107"/>
      <c r="G112" s="9"/>
      <c r="H112" s="9"/>
      <c r="I112" s="107"/>
      <c r="J112" s="107"/>
      <c r="K112" s="107"/>
      <c r="L112" s="107"/>
      <c r="M112" s="9"/>
      <c r="N112" s="9"/>
    </row>
    <row r="113" spans="1:14" s="268" customFormat="1" x14ac:dyDescent="0.25">
      <c r="A113" s="107"/>
      <c r="B113" s="108"/>
      <c r="C113" s="108"/>
      <c r="D113" s="108"/>
      <c r="E113" s="108"/>
      <c r="F113" s="107"/>
      <c r="G113" s="9"/>
      <c r="H113" s="9"/>
      <c r="I113" s="107"/>
      <c r="J113" s="107"/>
      <c r="K113" s="107"/>
      <c r="L113" s="107"/>
      <c r="M113" s="9"/>
      <c r="N113" s="9"/>
    </row>
    <row r="114" spans="1:14" s="268" customFormat="1" x14ac:dyDescent="0.25">
      <c r="A114" s="107"/>
      <c r="B114" s="108"/>
      <c r="C114" s="108"/>
      <c r="D114" s="108"/>
      <c r="E114" s="108"/>
      <c r="F114" s="107"/>
      <c r="G114" s="9"/>
      <c r="H114" s="9"/>
      <c r="I114" s="107"/>
      <c r="J114" s="107"/>
      <c r="K114" s="107"/>
      <c r="L114" s="107"/>
      <c r="M114" s="9"/>
      <c r="N114" s="9"/>
    </row>
    <row r="115" spans="1:14" s="268" customFormat="1" x14ac:dyDescent="0.25">
      <c r="A115" s="107"/>
      <c r="B115" s="108"/>
      <c r="C115" s="108"/>
      <c r="D115" s="108"/>
      <c r="E115" s="108"/>
      <c r="F115" s="107"/>
      <c r="G115" s="9"/>
      <c r="H115" s="9"/>
      <c r="I115" s="107"/>
      <c r="J115" s="107"/>
      <c r="K115" s="107"/>
      <c r="L115" s="107"/>
      <c r="M115" s="9"/>
      <c r="N115" s="9"/>
    </row>
    <row r="116" spans="1:14" s="268" customFormat="1" x14ac:dyDescent="0.25">
      <c r="A116" s="107"/>
      <c r="B116" s="108"/>
      <c r="C116" s="108"/>
      <c r="D116" s="108"/>
      <c r="E116" s="108"/>
      <c r="F116" s="107"/>
      <c r="G116" s="9"/>
      <c r="H116" s="9"/>
      <c r="I116" s="107"/>
      <c r="J116" s="107"/>
      <c r="K116" s="107"/>
      <c r="L116" s="107"/>
      <c r="M116" s="9"/>
      <c r="N116" s="9"/>
    </row>
    <row r="117" spans="1:14" s="268" customFormat="1" x14ac:dyDescent="0.25">
      <c r="A117" s="107"/>
      <c r="B117" s="108"/>
      <c r="C117" s="108"/>
      <c r="D117" s="108"/>
      <c r="E117" s="108"/>
      <c r="F117" s="107"/>
      <c r="G117" s="9"/>
      <c r="H117" s="9"/>
      <c r="I117" s="107"/>
      <c r="J117" s="107"/>
      <c r="K117" s="107"/>
      <c r="L117" s="107"/>
      <c r="M117" s="9"/>
      <c r="N117" s="9"/>
    </row>
    <row r="118" spans="1:14" s="268" customFormat="1" x14ac:dyDescent="0.25">
      <c r="A118" s="107"/>
      <c r="B118" s="108"/>
      <c r="C118" s="108"/>
      <c r="D118" s="108"/>
      <c r="E118" s="108"/>
      <c r="F118" s="107"/>
      <c r="G118" s="9"/>
      <c r="H118" s="9"/>
      <c r="I118" s="107"/>
      <c r="J118" s="107"/>
      <c r="K118" s="107"/>
      <c r="L118" s="107"/>
      <c r="M118" s="9"/>
      <c r="N118" s="9"/>
    </row>
    <row r="119" spans="1:14" s="268" customFormat="1" x14ac:dyDescent="0.25">
      <c r="A119" s="107"/>
      <c r="B119" s="108"/>
      <c r="C119" s="108"/>
      <c r="D119" s="108"/>
      <c r="E119" s="108"/>
      <c r="F119" s="107"/>
      <c r="G119" s="9"/>
      <c r="H119" s="9"/>
      <c r="I119" s="107"/>
      <c r="J119" s="107"/>
      <c r="K119" s="107"/>
      <c r="L119" s="107"/>
      <c r="M119" s="9"/>
      <c r="N119" s="9"/>
    </row>
    <row r="120" spans="1:14" s="268" customFormat="1" x14ac:dyDescent="0.25">
      <c r="A120" s="107"/>
      <c r="B120" s="108"/>
      <c r="C120" s="108"/>
      <c r="D120" s="108"/>
      <c r="E120" s="108"/>
      <c r="F120" s="107"/>
      <c r="G120" s="9"/>
      <c r="H120" s="9"/>
      <c r="I120" s="107"/>
      <c r="J120" s="107"/>
      <c r="K120" s="107"/>
      <c r="L120" s="107"/>
      <c r="M120" s="9"/>
      <c r="N120" s="9"/>
    </row>
    <row r="121" spans="1:14" s="268" customFormat="1" x14ac:dyDescent="0.25">
      <c r="A121" s="107"/>
      <c r="B121" s="108"/>
      <c r="C121" s="108"/>
      <c r="D121" s="108"/>
      <c r="E121" s="108"/>
      <c r="F121" s="107"/>
      <c r="G121" s="9"/>
      <c r="H121" s="9"/>
      <c r="I121" s="107"/>
      <c r="J121" s="107"/>
      <c r="K121" s="107"/>
      <c r="L121" s="107"/>
      <c r="M121" s="9"/>
      <c r="N121" s="9"/>
    </row>
    <row r="122" spans="1:14" s="268" customFormat="1" x14ac:dyDescent="0.25">
      <c r="A122" s="107"/>
      <c r="B122" s="108"/>
      <c r="C122" s="108"/>
      <c r="D122" s="108"/>
      <c r="E122" s="108"/>
      <c r="F122" s="107"/>
      <c r="G122" s="9"/>
      <c r="H122" s="9"/>
      <c r="I122" s="107"/>
      <c r="J122" s="107"/>
      <c r="K122" s="107"/>
      <c r="L122" s="107"/>
      <c r="M122" s="9"/>
      <c r="N122" s="9"/>
    </row>
    <row r="123" spans="1:14" s="268" customFormat="1" x14ac:dyDescent="0.25">
      <c r="A123" s="107"/>
      <c r="B123" s="108"/>
      <c r="C123" s="108"/>
      <c r="D123" s="108"/>
      <c r="E123" s="108"/>
      <c r="F123" s="107"/>
      <c r="G123" s="9"/>
      <c r="H123" s="9"/>
      <c r="I123" s="107"/>
      <c r="J123" s="107"/>
      <c r="K123" s="107"/>
      <c r="L123" s="107"/>
      <c r="M123" s="9"/>
      <c r="N123" s="9"/>
    </row>
    <row r="124" spans="1:14" s="268" customFormat="1" x14ac:dyDescent="0.25">
      <c r="A124" s="107"/>
      <c r="B124" s="108"/>
      <c r="C124" s="108"/>
      <c r="D124" s="108"/>
      <c r="E124" s="108"/>
      <c r="F124" s="107"/>
      <c r="G124" s="9"/>
      <c r="H124" s="9"/>
      <c r="I124" s="107"/>
      <c r="J124" s="107"/>
      <c r="K124" s="107"/>
      <c r="L124" s="107"/>
      <c r="M124" s="9"/>
      <c r="N124" s="9"/>
    </row>
    <row r="125" spans="1:14" s="268" customFormat="1" x14ac:dyDescent="0.25">
      <c r="A125" s="107"/>
      <c r="B125" s="108"/>
      <c r="C125" s="108"/>
      <c r="D125" s="108"/>
      <c r="E125" s="108"/>
      <c r="F125" s="107"/>
      <c r="G125" s="9"/>
      <c r="H125" s="9"/>
      <c r="I125" s="107"/>
      <c r="J125" s="107"/>
      <c r="K125" s="107"/>
      <c r="L125" s="107"/>
      <c r="M125" s="9"/>
      <c r="N125" s="9"/>
    </row>
    <row r="126" spans="1:14" s="268" customFormat="1" x14ac:dyDescent="0.25">
      <c r="A126" s="107"/>
      <c r="B126" s="108"/>
      <c r="C126" s="108"/>
      <c r="D126" s="108"/>
      <c r="E126" s="108"/>
      <c r="F126" s="107"/>
      <c r="G126" s="9"/>
      <c r="H126" s="9"/>
      <c r="I126" s="107"/>
      <c r="J126" s="107"/>
      <c r="K126" s="107"/>
      <c r="L126" s="107"/>
      <c r="M126" s="9"/>
      <c r="N126" s="9"/>
    </row>
    <row r="127" spans="1:14" s="268" customFormat="1" x14ac:dyDescent="0.25">
      <c r="A127" s="107"/>
      <c r="B127" s="108"/>
      <c r="C127" s="108"/>
      <c r="D127" s="108"/>
      <c r="E127" s="108"/>
      <c r="F127" s="107"/>
      <c r="G127" s="9"/>
      <c r="H127" s="9"/>
      <c r="I127" s="107"/>
      <c r="J127" s="107"/>
      <c r="K127" s="107"/>
      <c r="L127" s="107"/>
      <c r="M127" s="9"/>
      <c r="N127" s="9"/>
    </row>
    <row r="128" spans="1:14" s="268" customFormat="1" x14ac:dyDescent="0.25">
      <c r="A128" s="107"/>
      <c r="B128" s="108"/>
      <c r="C128" s="108"/>
      <c r="D128" s="108"/>
      <c r="E128" s="108"/>
      <c r="F128" s="107"/>
      <c r="G128" s="9"/>
      <c r="H128" s="9"/>
      <c r="I128" s="107"/>
      <c r="J128" s="107"/>
      <c r="K128" s="107"/>
      <c r="L128" s="107"/>
      <c r="M128" s="9"/>
      <c r="N128" s="9"/>
    </row>
    <row r="129" spans="1:18" s="268" customFormat="1" x14ac:dyDescent="0.25">
      <c r="A129" s="107"/>
      <c r="B129" s="108"/>
      <c r="C129" s="108"/>
      <c r="D129" s="108"/>
      <c r="E129" s="108"/>
      <c r="F129" s="107"/>
      <c r="G129" s="9"/>
      <c r="H129" s="9"/>
      <c r="I129" s="107"/>
      <c r="J129" s="107"/>
      <c r="K129" s="107"/>
      <c r="L129" s="107"/>
      <c r="M129" s="9"/>
      <c r="N129" s="9"/>
    </row>
    <row r="130" spans="1:18" s="268" customFormat="1" x14ac:dyDescent="0.25">
      <c r="A130" s="107"/>
      <c r="B130" s="108"/>
      <c r="C130" s="108"/>
      <c r="D130" s="108"/>
      <c r="E130" s="108"/>
      <c r="F130" s="107"/>
      <c r="G130" s="9"/>
      <c r="H130" s="9"/>
      <c r="I130" s="107"/>
      <c r="J130" s="107"/>
      <c r="K130" s="107"/>
      <c r="L130" s="107"/>
      <c r="M130" s="9"/>
      <c r="N130" s="9"/>
    </row>
    <row r="131" spans="1:18" s="268" customFormat="1" x14ac:dyDescent="0.25">
      <c r="A131" s="107"/>
      <c r="B131" s="108"/>
      <c r="C131" s="108"/>
      <c r="D131" s="108"/>
      <c r="E131" s="108"/>
      <c r="F131" s="107"/>
      <c r="G131" s="9"/>
      <c r="H131" s="9"/>
      <c r="I131" s="107"/>
      <c r="J131" s="107"/>
      <c r="K131" s="107"/>
      <c r="L131" s="107"/>
      <c r="M131" s="9"/>
      <c r="N131" s="9"/>
    </row>
    <row r="132" spans="1:18" s="268" customFormat="1" x14ac:dyDescent="0.25">
      <c r="A132" s="107"/>
      <c r="B132" s="108"/>
      <c r="C132" s="108"/>
      <c r="D132" s="108"/>
      <c r="E132" s="108"/>
      <c r="F132" s="107"/>
      <c r="G132" s="9"/>
      <c r="H132" s="9"/>
      <c r="I132" s="107"/>
      <c r="J132" s="107"/>
      <c r="K132" s="107"/>
      <c r="L132" s="107"/>
      <c r="M132" s="9"/>
      <c r="N132" s="9"/>
    </row>
    <row r="133" spans="1:18" s="268" customFormat="1" x14ac:dyDescent="0.25">
      <c r="A133" s="107"/>
      <c r="B133" s="107"/>
      <c r="C133" s="9"/>
      <c r="D133" s="9"/>
      <c r="E133" s="107"/>
      <c r="F133" s="107"/>
      <c r="G133" s="9"/>
      <c r="H133" s="9"/>
      <c r="I133" s="107"/>
      <c r="J133" s="107"/>
      <c r="K133" s="107"/>
      <c r="L133" s="107"/>
      <c r="M133" s="9"/>
      <c r="N133" s="9"/>
    </row>
    <row r="134" spans="1:18" s="268" customFormat="1" x14ac:dyDescent="0.25">
      <c r="A134" s="107"/>
      <c r="B134" s="107"/>
      <c r="C134" s="9"/>
      <c r="D134" s="9"/>
      <c r="E134" s="107"/>
      <c r="F134" s="107"/>
      <c r="G134" s="9"/>
      <c r="H134" s="9"/>
      <c r="I134" s="107"/>
      <c r="J134" s="107"/>
      <c r="K134" s="107"/>
      <c r="L134" s="107"/>
      <c r="M134" s="9"/>
      <c r="N134" s="9"/>
    </row>
    <row r="135" spans="1:18" x14ac:dyDescent="0.25">
      <c r="C135" s="9"/>
      <c r="D135" s="9"/>
      <c r="G135" s="9"/>
      <c r="H135" s="9"/>
      <c r="M135" s="9"/>
      <c r="N135" s="9"/>
      <c r="O135" s="107"/>
      <c r="P135" s="107"/>
      <c r="Q135" s="107"/>
      <c r="R135" s="107"/>
    </row>
    <row r="136" spans="1:18" x14ac:dyDescent="0.25">
      <c r="C136" s="9"/>
      <c r="D136" s="9"/>
      <c r="G136" s="9"/>
      <c r="H136" s="9"/>
      <c r="M136" s="9"/>
      <c r="N136" s="9"/>
      <c r="O136" s="107"/>
      <c r="P136" s="107"/>
      <c r="Q136" s="107"/>
      <c r="R136" s="107"/>
    </row>
    <row r="137" spans="1:18" x14ac:dyDescent="0.25">
      <c r="C137" s="9"/>
      <c r="D137" s="9"/>
      <c r="G137" s="9"/>
      <c r="H137" s="9"/>
      <c r="M137" s="9"/>
      <c r="N137" s="9"/>
      <c r="O137" s="107"/>
      <c r="P137" s="107"/>
      <c r="Q137" s="107"/>
      <c r="R137" s="107"/>
    </row>
    <row r="138" spans="1:18" x14ac:dyDescent="0.25">
      <c r="C138" s="9"/>
      <c r="D138" s="9"/>
      <c r="G138" s="9"/>
      <c r="H138" s="9"/>
      <c r="M138" s="9"/>
      <c r="N138" s="9"/>
      <c r="O138" s="107"/>
      <c r="P138" s="107"/>
      <c r="Q138" s="107"/>
      <c r="R138" s="107"/>
    </row>
    <row r="139" spans="1:18" x14ac:dyDescent="0.25">
      <c r="C139" s="9"/>
      <c r="D139" s="9"/>
      <c r="G139" s="9"/>
      <c r="H139" s="9"/>
      <c r="M139" s="9"/>
      <c r="N139" s="9"/>
      <c r="O139" s="107"/>
      <c r="P139" s="107"/>
      <c r="Q139" s="107"/>
      <c r="R139" s="107"/>
    </row>
    <row r="140" spans="1:18" x14ac:dyDescent="0.25">
      <c r="C140" s="9"/>
      <c r="D140" s="9"/>
      <c r="G140" s="9"/>
      <c r="H140" s="9"/>
      <c r="M140" s="9"/>
      <c r="N140" s="9"/>
      <c r="O140" s="107"/>
      <c r="P140" s="107"/>
      <c r="Q140" s="107"/>
      <c r="R140" s="107"/>
    </row>
    <row r="141" spans="1:18" x14ac:dyDescent="0.25">
      <c r="C141" s="9"/>
      <c r="D141" s="9"/>
      <c r="G141" s="9"/>
      <c r="H141" s="9"/>
      <c r="M141" s="9"/>
      <c r="N141" s="9"/>
      <c r="O141" s="107"/>
      <c r="P141" s="107"/>
      <c r="Q141" s="107"/>
      <c r="R141" s="107"/>
    </row>
    <row r="142" spans="1:18" x14ac:dyDescent="0.25">
      <c r="C142" s="9"/>
      <c r="D142" s="9"/>
      <c r="G142" s="9"/>
      <c r="H142" s="9"/>
      <c r="M142" s="9"/>
      <c r="N142" s="9"/>
      <c r="O142" s="107"/>
      <c r="P142" s="107"/>
      <c r="Q142" s="107"/>
      <c r="R142" s="107"/>
    </row>
    <row r="143" spans="1:18" x14ac:dyDescent="0.25">
      <c r="C143" s="9"/>
      <c r="D143" s="9"/>
      <c r="G143" s="9"/>
      <c r="H143" s="9"/>
      <c r="M143" s="9"/>
      <c r="N143" s="9"/>
      <c r="O143" s="107"/>
      <c r="P143" s="107"/>
      <c r="Q143" s="107"/>
      <c r="R143" s="107"/>
    </row>
    <row r="144" spans="1:18" x14ac:dyDescent="0.25">
      <c r="C144" s="9"/>
      <c r="D144" s="9"/>
      <c r="G144" s="9"/>
      <c r="H144" s="9"/>
      <c r="M144" s="9"/>
      <c r="N144" s="9"/>
      <c r="O144" s="107"/>
      <c r="P144" s="107"/>
      <c r="Q144" s="107"/>
      <c r="R144" s="107"/>
    </row>
    <row r="145" spans="3:18" x14ac:dyDescent="0.25">
      <c r="C145" s="9"/>
      <c r="D145" s="9"/>
      <c r="G145" s="9"/>
      <c r="H145" s="9"/>
      <c r="M145" s="9"/>
      <c r="N145" s="9"/>
      <c r="O145" s="107"/>
      <c r="P145" s="107"/>
      <c r="Q145" s="107"/>
      <c r="R145" s="107"/>
    </row>
    <row r="146" spans="3:18" x14ac:dyDescent="0.25">
      <c r="C146" s="9"/>
      <c r="D146" s="9"/>
      <c r="G146" s="9"/>
      <c r="H146" s="9"/>
      <c r="M146" s="9"/>
      <c r="N146" s="9"/>
      <c r="O146" s="107"/>
      <c r="P146" s="107"/>
      <c r="Q146" s="107"/>
      <c r="R146" s="107"/>
    </row>
    <row r="147" spans="3:18" x14ac:dyDescent="0.25">
      <c r="C147" s="9"/>
      <c r="D147" s="9"/>
      <c r="G147" s="9"/>
      <c r="H147" s="9"/>
      <c r="M147" s="9"/>
      <c r="N147" s="9"/>
      <c r="O147" s="107"/>
      <c r="P147" s="107"/>
      <c r="Q147" s="107"/>
      <c r="R147" s="107"/>
    </row>
    <row r="148" spans="3:18" x14ac:dyDescent="0.25">
      <c r="C148" s="9"/>
      <c r="D148" s="9"/>
      <c r="G148" s="9"/>
      <c r="H148" s="9"/>
      <c r="M148" s="9"/>
      <c r="N148" s="9"/>
      <c r="O148" s="107"/>
      <c r="P148" s="107"/>
      <c r="Q148" s="107"/>
      <c r="R148" s="107"/>
    </row>
    <row r="149" spans="3:18" x14ac:dyDescent="0.25">
      <c r="C149" s="9"/>
      <c r="D149" s="9"/>
      <c r="G149" s="9"/>
      <c r="H149" s="9"/>
      <c r="M149" s="9"/>
      <c r="N149" s="9"/>
      <c r="O149" s="107"/>
      <c r="P149" s="107"/>
      <c r="Q149" s="107"/>
      <c r="R149" s="107"/>
    </row>
    <row r="150" spans="3:18" x14ac:dyDescent="0.25">
      <c r="C150" s="9"/>
      <c r="D150" s="9"/>
      <c r="G150" s="9"/>
      <c r="H150" s="9"/>
      <c r="M150" s="9"/>
      <c r="N150" s="9"/>
      <c r="O150" s="107"/>
      <c r="P150" s="107"/>
      <c r="Q150" s="107"/>
      <c r="R150" s="107"/>
    </row>
    <row r="151" spans="3:18" x14ac:dyDescent="0.25">
      <c r="C151" s="9"/>
      <c r="D151" s="9"/>
      <c r="G151" s="9"/>
      <c r="H151" s="9"/>
      <c r="M151" s="9"/>
      <c r="N151" s="9"/>
      <c r="O151" s="107"/>
      <c r="P151" s="107"/>
      <c r="Q151" s="107"/>
      <c r="R151" s="107"/>
    </row>
    <row r="152" spans="3:18" x14ac:dyDescent="0.25">
      <c r="C152" s="9"/>
      <c r="D152" s="9"/>
      <c r="G152" s="9"/>
      <c r="H152" s="9"/>
      <c r="M152" s="9"/>
      <c r="N152" s="9"/>
      <c r="O152" s="107"/>
      <c r="P152" s="107"/>
      <c r="Q152" s="107"/>
      <c r="R152" s="107"/>
    </row>
    <row r="153" spans="3:18" x14ac:dyDescent="0.25">
      <c r="C153" s="9"/>
      <c r="D153" s="9"/>
      <c r="G153" s="9"/>
      <c r="H153" s="9"/>
      <c r="M153" s="9"/>
      <c r="N153" s="9"/>
      <c r="O153" s="107"/>
      <c r="P153" s="107"/>
      <c r="Q153" s="107"/>
      <c r="R153" s="107"/>
    </row>
    <row r="154" spans="3:18" x14ac:dyDescent="0.25">
      <c r="C154" s="9"/>
      <c r="D154" s="9"/>
      <c r="G154" s="9"/>
      <c r="H154" s="9"/>
      <c r="M154" s="9"/>
      <c r="N154" s="9"/>
      <c r="O154" s="107"/>
      <c r="P154" s="107"/>
      <c r="Q154" s="107"/>
      <c r="R154" s="107"/>
    </row>
    <row r="155" spans="3:18" x14ac:dyDescent="0.25">
      <c r="C155" s="9"/>
      <c r="D155" s="9"/>
      <c r="G155" s="9"/>
      <c r="H155" s="9"/>
      <c r="M155" s="9"/>
      <c r="N155" s="9"/>
      <c r="O155" s="107"/>
      <c r="P155" s="107"/>
      <c r="Q155" s="107"/>
      <c r="R155" s="107"/>
    </row>
    <row r="156" spans="3:18" x14ac:dyDescent="0.25">
      <c r="C156" s="9"/>
      <c r="D156" s="9"/>
      <c r="G156" s="9"/>
      <c r="H156" s="9"/>
      <c r="M156" s="9"/>
      <c r="N156" s="9"/>
      <c r="O156" s="107"/>
      <c r="P156" s="107"/>
      <c r="Q156" s="107"/>
      <c r="R156" s="107"/>
    </row>
    <row r="157" spans="3:18" x14ac:dyDescent="0.25">
      <c r="C157" s="9"/>
      <c r="D157" s="9"/>
      <c r="G157" s="9"/>
      <c r="H157" s="9"/>
      <c r="M157" s="9"/>
      <c r="N157" s="9"/>
      <c r="O157" s="107"/>
      <c r="P157" s="107"/>
      <c r="Q157" s="107"/>
      <c r="R157" s="107"/>
    </row>
    <row r="158" spans="3:18" x14ac:dyDescent="0.25">
      <c r="C158" s="9"/>
      <c r="D158" s="9"/>
      <c r="G158" s="9"/>
      <c r="H158" s="9"/>
      <c r="M158" s="9"/>
      <c r="N158" s="9"/>
      <c r="O158" s="107"/>
      <c r="P158" s="107"/>
      <c r="Q158" s="107"/>
      <c r="R158" s="107"/>
    </row>
    <row r="159" spans="3:18" x14ac:dyDescent="0.25">
      <c r="C159" s="9"/>
      <c r="D159" s="9"/>
      <c r="G159" s="9"/>
      <c r="H159" s="9"/>
      <c r="M159" s="9"/>
      <c r="N159" s="9"/>
      <c r="O159" s="107"/>
      <c r="P159" s="107"/>
      <c r="Q159" s="107"/>
      <c r="R159" s="107"/>
    </row>
    <row r="160" spans="3:18" x14ac:dyDescent="0.25">
      <c r="C160" s="9"/>
      <c r="D160" s="9"/>
      <c r="G160" s="9"/>
      <c r="H160" s="9"/>
      <c r="M160" s="9"/>
      <c r="N160" s="9"/>
      <c r="O160" s="107"/>
      <c r="P160" s="107"/>
      <c r="Q160" s="107"/>
      <c r="R160" s="107"/>
    </row>
    <row r="161" spans="1:18" x14ac:dyDescent="0.25">
      <c r="C161" s="9"/>
      <c r="D161" s="9"/>
      <c r="G161" s="9"/>
      <c r="H161" s="9"/>
      <c r="M161" s="9"/>
      <c r="N161" s="9"/>
      <c r="O161" s="107"/>
      <c r="P161" s="107"/>
      <c r="Q161" s="107"/>
      <c r="R161" s="107"/>
    </row>
    <row r="162" spans="1:18" x14ac:dyDescent="0.25">
      <c r="C162" s="9"/>
      <c r="D162" s="9"/>
      <c r="G162" s="9"/>
      <c r="H162" s="9"/>
      <c r="M162" s="9"/>
      <c r="N162" s="9"/>
      <c r="O162" s="107"/>
      <c r="P162" s="107"/>
      <c r="Q162" s="107"/>
      <c r="R162" s="107"/>
    </row>
    <row r="163" spans="1:18" x14ac:dyDescent="0.25">
      <c r="C163" s="9"/>
      <c r="D163" s="9"/>
      <c r="G163" s="9"/>
      <c r="H163" s="9"/>
      <c r="M163" s="9"/>
      <c r="N163" s="9"/>
      <c r="O163" s="107"/>
      <c r="P163" s="107"/>
      <c r="Q163" s="107"/>
      <c r="R163" s="107"/>
    </row>
    <row r="164" spans="1:18" x14ac:dyDescent="0.25">
      <c r="C164" s="9"/>
      <c r="D164" s="9"/>
      <c r="G164" s="9"/>
      <c r="H164" s="9"/>
      <c r="M164" s="9"/>
      <c r="N164" s="9"/>
      <c r="O164" s="107"/>
      <c r="P164" s="107"/>
      <c r="Q164" s="107"/>
      <c r="R164" s="107"/>
    </row>
    <row r="165" spans="1:18" x14ac:dyDescent="0.25">
      <c r="C165" s="9"/>
      <c r="D165" s="9"/>
      <c r="G165" s="9"/>
      <c r="H165" s="9"/>
      <c r="M165" s="9"/>
      <c r="N165" s="9"/>
      <c r="O165" s="107"/>
      <c r="P165" s="107"/>
      <c r="Q165" s="107"/>
      <c r="R165" s="107"/>
    </row>
    <row r="166" spans="1:18" x14ac:dyDescent="0.25">
      <c r="C166" s="9"/>
      <c r="D166" s="9"/>
      <c r="G166" s="9"/>
      <c r="H166" s="9"/>
      <c r="M166" s="9"/>
      <c r="N166" s="9"/>
      <c r="O166" s="107"/>
      <c r="P166" s="107"/>
      <c r="Q166" s="107"/>
      <c r="R166" s="107"/>
    </row>
    <row r="167" spans="1:18" s="268" customFormat="1" x14ac:dyDescent="0.25">
      <c r="A167" s="107"/>
      <c r="B167" s="107"/>
      <c r="C167" s="9"/>
      <c r="D167" s="9"/>
      <c r="E167" s="107"/>
      <c r="F167" s="107"/>
      <c r="G167" s="9"/>
      <c r="H167" s="9"/>
      <c r="I167" s="107"/>
      <c r="J167" s="107"/>
      <c r="K167" s="107"/>
      <c r="L167" s="107"/>
      <c r="M167" s="9"/>
      <c r="N167" s="9"/>
    </row>
    <row r="168" spans="1:18" s="268" customFormat="1" x14ac:dyDescent="0.25">
      <c r="A168" s="107"/>
      <c r="B168" s="107"/>
      <c r="C168" s="9"/>
      <c r="D168" s="9"/>
      <c r="E168" s="107"/>
      <c r="F168" s="107"/>
      <c r="G168" s="9"/>
      <c r="H168" s="9"/>
      <c r="I168" s="107"/>
      <c r="J168" s="107"/>
      <c r="K168" s="107"/>
      <c r="L168" s="107"/>
      <c r="M168" s="9"/>
      <c r="N168" s="9"/>
    </row>
    <row r="169" spans="1:18" s="268" customFormat="1" x14ac:dyDescent="0.25">
      <c r="A169" s="107"/>
      <c r="B169" s="107"/>
      <c r="C169" s="9"/>
      <c r="D169" s="9"/>
      <c r="E169" s="107"/>
      <c r="F169" s="107"/>
      <c r="G169" s="9"/>
      <c r="H169" s="9"/>
      <c r="I169" s="107"/>
      <c r="J169" s="107"/>
      <c r="K169" s="107"/>
      <c r="L169" s="107"/>
      <c r="M169" s="9"/>
      <c r="N169" s="9"/>
    </row>
    <row r="170" spans="1:18" s="268" customFormat="1" x14ac:dyDescent="0.25">
      <c r="A170" s="107"/>
      <c r="B170" s="107"/>
      <c r="C170" s="9"/>
      <c r="D170" s="9"/>
      <c r="E170" s="107"/>
      <c r="F170" s="107"/>
      <c r="G170" s="9"/>
      <c r="H170" s="9"/>
      <c r="I170" s="107"/>
      <c r="J170" s="107"/>
      <c r="K170" s="107"/>
      <c r="L170" s="107"/>
      <c r="M170" s="9"/>
      <c r="N170" s="9"/>
    </row>
    <row r="171" spans="1:18" s="268" customFormat="1" x14ac:dyDescent="0.25">
      <c r="A171" s="107"/>
      <c r="B171" s="107"/>
      <c r="C171" s="9"/>
      <c r="D171" s="9"/>
      <c r="E171" s="107"/>
      <c r="F171" s="107"/>
      <c r="G171" s="9"/>
      <c r="H171" s="9"/>
      <c r="I171" s="107"/>
      <c r="J171" s="107"/>
      <c r="K171" s="107"/>
      <c r="L171" s="107"/>
      <c r="M171" s="9"/>
      <c r="N171" s="9"/>
    </row>
    <row r="172" spans="1:18" s="268" customFormat="1" x14ac:dyDescent="0.25">
      <c r="A172" s="107"/>
      <c r="B172" s="107"/>
      <c r="C172" s="9"/>
      <c r="D172" s="9"/>
      <c r="E172" s="107"/>
      <c r="F172" s="107"/>
      <c r="G172" s="9"/>
      <c r="H172" s="9"/>
      <c r="I172" s="107"/>
      <c r="J172" s="107"/>
      <c r="K172" s="107"/>
      <c r="L172" s="107"/>
      <c r="M172" s="9"/>
      <c r="N172" s="9"/>
    </row>
    <row r="173" spans="1:18" s="268" customFormat="1" x14ac:dyDescent="0.25">
      <c r="A173" s="107"/>
      <c r="B173" s="107"/>
      <c r="C173" s="9"/>
      <c r="D173" s="9"/>
      <c r="E173" s="107"/>
      <c r="F173" s="107"/>
      <c r="G173" s="9"/>
      <c r="H173" s="9"/>
      <c r="I173" s="107"/>
      <c r="J173" s="107"/>
      <c r="K173" s="107"/>
      <c r="L173" s="107"/>
      <c r="M173" s="9"/>
      <c r="N173" s="9"/>
    </row>
    <row r="174" spans="1:18" s="268" customFormat="1" x14ac:dyDescent="0.25">
      <c r="A174" s="107"/>
      <c r="B174" s="107"/>
      <c r="C174" s="9"/>
      <c r="D174" s="9"/>
      <c r="E174" s="107"/>
      <c r="F174" s="107"/>
      <c r="G174" s="9"/>
      <c r="H174" s="9"/>
      <c r="I174" s="107"/>
      <c r="J174" s="107"/>
      <c r="K174" s="107"/>
      <c r="L174" s="107"/>
      <c r="M174" s="9"/>
      <c r="N174" s="9"/>
    </row>
    <row r="175" spans="1:18" s="268" customFormat="1" x14ac:dyDescent="0.25">
      <c r="A175" s="107"/>
      <c r="B175" s="107"/>
      <c r="C175" s="9"/>
      <c r="D175" s="9"/>
      <c r="E175" s="107"/>
      <c r="F175" s="107"/>
      <c r="G175" s="9"/>
      <c r="H175" s="9"/>
      <c r="I175" s="107"/>
      <c r="J175" s="107"/>
      <c r="K175" s="107"/>
      <c r="L175" s="107"/>
      <c r="M175" s="9"/>
      <c r="N175" s="9"/>
    </row>
    <row r="176" spans="1:18" s="268" customFormat="1" x14ac:dyDescent="0.25">
      <c r="A176" s="107"/>
      <c r="B176" s="107"/>
      <c r="C176" s="9"/>
      <c r="D176" s="9"/>
      <c r="E176" s="107"/>
      <c r="F176" s="107"/>
      <c r="G176" s="9"/>
      <c r="H176" s="9"/>
      <c r="I176" s="107"/>
      <c r="J176" s="107"/>
      <c r="K176" s="107"/>
      <c r="L176" s="107"/>
      <c r="M176" s="9"/>
      <c r="N176" s="9"/>
    </row>
    <row r="177" spans="1:16" s="268" customFormat="1" x14ac:dyDescent="0.25">
      <c r="A177" s="107"/>
      <c r="B177" s="107"/>
      <c r="C177" s="9"/>
      <c r="D177" s="9"/>
      <c r="E177" s="107"/>
      <c r="F177" s="107"/>
      <c r="G177" s="9"/>
      <c r="H177" s="9"/>
      <c r="I177" s="107"/>
      <c r="J177" s="107"/>
      <c r="K177" s="107"/>
      <c r="L177" s="107"/>
      <c r="M177" s="9"/>
      <c r="N177" s="9"/>
    </row>
    <row r="178" spans="1:16" s="268" customFormat="1" x14ac:dyDescent="0.25">
      <c r="A178" s="107"/>
      <c r="B178" s="107"/>
      <c r="C178" s="9"/>
      <c r="D178" s="9"/>
      <c r="E178" s="107"/>
      <c r="F178" s="107"/>
      <c r="G178" s="9"/>
      <c r="H178" s="9"/>
      <c r="I178" s="107"/>
      <c r="J178" s="107"/>
      <c r="K178" s="107"/>
      <c r="L178" s="107"/>
      <c r="M178" s="9"/>
      <c r="N178" s="9"/>
    </row>
    <row r="179" spans="1:16" s="268" customFormat="1" x14ac:dyDescent="0.25">
      <c r="A179" s="107"/>
      <c r="B179" s="107"/>
      <c r="C179" s="9"/>
      <c r="D179" s="9"/>
      <c r="E179" s="107"/>
      <c r="F179" s="107"/>
      <c r="G179" s="9"/>
      <c r="H179" s="9"/>
      <c r="I179" s="107"/>
      <c r="J179" s="107"/>
      <c r="K179" s="107"/>
      <c r="L179" s="107"/>
      <c r="M179" s="9"/>
      <c r="N179" s="9"/>
    </row>
    <row r="180" spans="1:16" s="268" customFormat="1" x14ac:dyDescent="0.25">
      <c r="A180" s="107"/>
      <c r="B180" s="107"/>
      <c r="C180" s="9"/>
      <c r="D180" s="9"/>
      <c r="E180" s="107"/>
      <c r="F180" s="107"/>
      <c r="G180" s="9"/>
      <c r="H180" s="9"/>
      <c r="I180" s="107"/>
      <c r="J180" s="107"/>
      <c r="K180" s="107"/>
      <c r="L180" s="107"/>
      <c r="M180" s="9"/>
      <c r="N180" s="9"/>
    </row>
    <row r="181" spans="1:16" s="268" customFormat="1" x14ac:dyDescent="0.25">
      <c r="A181" s="107"/>
      <c r="B181" s="107"/>
      <c r="C181" s="9"/>
      <c r="D181" s="9"/>
      <c r="E181" s="107"/>
      <c r="F181" s="107"/>
      <c r="G181" s="7"/>
      <c r="H181" s="7"/>
      <c r="I181" s="107"/>
      <c r="J181" s="107"/>
      <c r="K181" s="107"/>
      <c r="L181" s="107"/>
      <c r="M181" s="7"/>
      <c r="N181" s="7"/>
      <c r="O181" s="266"/>
      <c r="P181" s="266"/>
    </row>
    <row r="182" spans="1:16" s="268" customFormat="1" x14ac:dyDescent="0.25">
      <c r="A182" s="107"/>
      <c r="B182" s="107"/>
      <c r="C182" s="9"/>
      <c r="D182" s="9"/>
      <c r="E182" s="107"/>
      <c r="F182" s="107"/>
      <c r="G182" s="7"/>
      <c r="H182" s="7"/>
      <c r="I182" s="107"/>
      <c r="J182" s="107"/>
      <c r="K182" s="107"/>
      <c r="L182" s="107"/>
      <c r="M182" s="7"/>
      <c r="N182" s="7"/>
      <c r="O182" s="266"/>
      <c r="P182" s="266"/>
    </row>
    <row r="183" spans="1:16" s="268" customFormat="1" x14ac:dyDescent="0.25">
      <c r="A183" s="107"/>
      <c r="B183" s="107"/>
      <c r="C183" s="9"/>
      <c r="D183" s="9"/>
      <c r="E183" s="107"/>
      <c r="F183" s="107"/>
      <c r="G183" s="7"/>
      <c r="H183" s="7"/>
      <c r="I183" s="107"/>
      <c r="J183" s="107"/>
      <c r="K183" s="107"/>
      <c r="L183" s="107"/>
      <c r="M183" s="7"/>
      <c r="N183" s="7"/>
      <c r="O183" s="266"/>
      <c r="P183" s="266"/>
    </row>
    <row r="184" spans="1:16" s="268" customFormat="1" x14ac:dyDescent="0.25">
      <c r="A184" s="107"/>
      <c r="B184" s="107"/>
      <c r="C184" s="9"/>
      <c r="D184" s="9"/>
      <c r="E184" s="107"/>
      <c r="F184" s="107"/>
      <c r="G184" s="7"/>
      <c r="H184" s="7"/>
      <c r="I184" s="107"/>
      <c r="J184" s="107"/>
      <c r="K184" s="107"/>
      <c r="L184" s="107"/>
      <c r="M184" s="7"/>
      <c r="N184" s="7"/>
      <c r="O184" s="266"/>
      <c r="P184" s="266"/>
    </row>
    <row r="185" spans="1:16" s="268" customFormat="1" x14ac:dyDescent="0.25">
      <c r="A185" s="107"/>
      <c r="B185" s="107"/>
      <c r="C185" s="9"/>
      <c r="D185" s="9"/>
      <c r="E185" s="107"/>
      <c r="F185" s="107"/>
      <c r="G185" s="7"/>
      <c r="H185" s="7"/>
      <c r="I185" s="107"/>
      <c r="J185" s="107"/>
      <c r="K185" s="107"/>
      <c r="L185" s="107"/>
      <c r="M185" s="7"/>
      <c r="N185" s="7"/>
      <c r="O185" s="266"/>
      <c r="P185" s="266"/>
    </row>
    <row r="186" spans="1:16" s="268" customFormat="1" x14ac:dyDescent="0.25">
      <c r="A186" s="107"/>
      <c r="B186" s="107"/>
      <c r="C186" s="9"/>
      <c r="D186" s="9"/>
      <c r="E186" s="107"/>
      <c r="F186" s="107"/>
      <c r="G186" s="7"/>
      <c r="H186" s="7"/>
      <c r="I186" s="107"/>
      <c r="J186" s="107"/>
      <c r="K186" s="107"/>
      <c r="L186" s="107"/>
      <c r="M186" s="7"/>
      <c r="N186" s="7"/>
      <c r="O186" s="266"/>
      <c r="P186" s="266"/>
    </row>
    <row r="187" spans="1:16" s="268" customFormat="1" x14ac:dyDescent="0.25">
      <c r="A187" s="107"/>
      <c r="B187" s="107"/>
      <c r="C187" s="9"/>
      <c r="D187" s="9"/>
      <c r="E187" s="107"/>
      <c r="F187" s="107"/>
      <c r="G187" s="7"/>
      <c r="H187" s="7"/>
      <c r="I187" s="107"/>
      <c r="J187" s="107"/>
      <c r="K187" s="107"/>
      <c r="L187" s="107"/>
      <c r="M187" s="7"/>
      <c r="N187" s="7"/>
      <c r="O187" s="266"/>
      <c r="P187" s="266"/>
    </row>
    <row r="188" spans="1:16" s="268" customFormat="1" x14ac:dyDescent="0.25">
      <c r="A188" s="107"/>
      <c r="B188" s="107"/>
      <c r="C188" s="9"/>
      <c r="D188" s="9"/>
      <c r="E188" s="107"/>
      <c r="F188" s="107"/>
      <c r="G188" s="7"/>
      <c r="H188" s="7"/>
      <c r="I188" s="107"/>
      <c r="J188" s="107"/>
      <c r="K188" s="107"/>
      <c r="L188" s="107"/>
      <c r="M188" s="7"/>
      <c r="N188" s="7"/>
      <c r="O188" s="266"/>
      <c r="P188" s="266"/>
    </row>
    <row r="189" spans="1:16" s="268" customFormat="1" x14ac:dyDescent="0.25">
      <c r="A189" s="107"/>
      <c r="B189" s="107"/>
      <c r="C189" s="9"/>
      <c r="D189" s="9"/>
      <c r="E189" s="107"/>
      <c r="F189" s="107"/>
      <c r="G189" s="7"/>
      <c r="H189" s="7"/>
      <c r="I189" s="107"/>
      <c r="J189" s="107"/>
      <c r="K189" s="107"/>
      <c r="L189" s="107"/>
      <c r="M189" s="7"/>
      <c r="N189" s="7"/>
      <c r="O189" s="266"/>
      <c r="P189" s="266"/>
    </row>
    <row r="190" spans="1:16" s="268" customFormat="1" x14ac:dyDescent="0.25">
      <c r="A190" s="107"/>
      <c r="B190" s="107"/>
      <c r="C190" s="9"/>
      <c r="D190" s="9"/>
      <c r="E190" s="107"/>
      <c r="F190" s="107"/>
      <c r="G190" s="7"/>
      <c r="H190" s="7"/>
      <c r="I190" s="107"/>
      <c r="J190" s="107"/>
      <c r="K190" s="107"/>
      <c r="L190" s="107"/>
      <c r="M190" s="7"/>
      <c r="N190" s="7"/>
      <c r="O190" s="266"/>
      <c r="P190" s="266"/>
    </row>
    <row r="191" spans="1:16" s="268" customFormat="1" x14ac:dyDescent="0.25">
      <c r="A191" s="107"/>
      <c r="B191" s="107"/>
      <c r="C191" s="9"/>
      <c r="D191" s="9"/>
      <c r="E191" s="107"/>
      <c r="F191" s="107"/>
      <c r="G191" s="7"/>
      <c r="H191" s="7"/>
      <c r="I191" s="107"/>
      <c r="J191" s="107"/>
      <c r="K191" s="107"/>
      <c r="L191" s="107"/>
      <c r="M191" s="7"/>
      <c r="N191" s="7"/>
      <c r="O191" s="266"/>
      <c r="P191" s="266"/>
    </row>
    <row r="192" spans="1:16" s="268" customFormat="1" x14ac:dyDescent="0.25">
      <c r="A192" s="107"/>
      <c r="B192" s="107"/>
      <c r="C192" s="9"/>
      <c r="D192" s="9"/>
      <c r="E192" s="107"/>
      <c r="F192" s="107"/>
      <c r="G192" s="7"/>
      <c r="H192" s="7"/>
      <c r="I192" s="107"/>
      <c r="J192" s="107"/>
      <c r="K192" s="107"/>
      <c r="L192" s="107"/>
      <c r="M192" s="7"/>
      <c r="N192" s="7"/>
      <c r="O192" s="266"/>
      <c r="P192" s="266"/>
    </row>
    <row r="193" spans="1:16" s="268" customFormat="1" x14ac:dyDescent="0.25">
      <c r="A193" s="107"/>
      <c r="B193" s="107"/>
      <c r="C193" s="9"/>
      <c r="D193" s="9"/>
      <c r="E193" s="107"/>
      <c r="F193" s="107"/>
      <c r="G193" s="7"/>
      <c r="H193" s="7"/>
      <c r="I193" s="107"/>
      <c r="J193" s="107"/>
      <c r="K193" s="107"/>
      <c r="L193" s="107"/>
      <c r="M193" s="7"/>
      <c r="N193" s="7"/>
      <c r="O193" s="266"/>
      <c r="P193" s="266"/>
    </row>
    <row r="194" spans="1:16" s="268" customFormat="1" x14ac:dyDescent="0.25">
      <c r="A194" s="107"/>
      <c r="B194" s="107"/>
      <c r="C194" s="9"/>
      <c r="D194" s="9"/>
      <c r="E194" s="107"/>
      <c r="F194" s="107"/>
      <c r="G194" s="7"/>
      <c r="H194" s="7"/>
      <c r="I194" s="107"/>
      <c r="J194" s="107"/>
      <c r="K194" s="107"/>
      <c r="L194" s="107"/>
      <c r="M194" s="7"/>
      <c r="N194" s="7"/>
      <c r="O194" s="266"/>
      <c r="P194" s="266"/>
    </row>
    <row r="195" spans="1:16" s="268" customFormat="1" x14ac:dyDescent="0.25">
      <c r="A195" s="107"/>
      <c r="B195" s="107"/>
      <c r="C195" s="9"/>
      <c r="D195" s="9"/>
      <c r="E195" s="107"/>
      <c r="F195" s="107"/>
      <c r="G195" s="7"/>
      <c r="H195" s="7"/>
      <c r="I195" s="107"/>
      <c r="J195" s="107"/>
      <c r="K195" s="107"/>
      <c r="L195" s="107"/>
      <c r="M195" s="7"/>
      <c r="N195" s="7"/>
      <c r="O195" s="266"/>
      <c r="P195" s="266"/>
    </row>
    <row r="196" spans="1:16" s="268" customFormat="1" x14ac:dyDescent="0.25">
      <c r="A196" s="107"/>
      <c r="B196" s="107"/>
      <c r="C196" s="9"/>
      <c r="D196" s="9"/>
      <c r="E196" s="107"/>
      <c r="F196" s="107"/>
      <c r="G196" s="7"/>
      <c r="H196" s="7"/>
      <c r="I196" s="107"/>
      <c r="J196" s="107"/>
      <c r="K196" s="107"/>
      <c r="L196" s="107"/>
      <c r="M196" s="7"/>
      <c r="N196" s="7"/>
      <c r="O196" s="266"/>
      <c r="P196" s="266"/>
    </row>
    <row r="197" spans="1:16" s="268" customFormat="1" x14ac:dyDescent="0.25">
      <c r="A197" s="107"/>
      <c r="B197" s="107"/>
      <c r="C197" s="9"/>
      <c r="D197" s="9"/>
      <c r="E197" s="107"/>
      <c r="F197" s="107"/>
      <c r="G197" s="7"/>
      <c r="H197" s="7"/>
      <c r="I197" s="107"/>
      <c r="J197" s="107"/>
      <c r="K197" s="107"/>
      <c r="L197" s="107"/>
      <c r="M197" s="7"/>
      <c r="N197" s="7"/>
      <c r="O197" s="266"/>
      <c r="P197" s="266"/>
    </row>
    <row r="198" spans="1:16" s="268" customFormat="1" x14ac:dyDescent="0.25">
      <c r="A198" s="107"/>
      <c r="B198" s="107"/>
      <c r="C198" s="9"/>
      <c r="D198" s="9"/>
      <c r="E198" s="107"/>
      <c r="F198" s="107"/>
      <c r="G198" s="7"/>
      <c r="H198" s="7"/>
      <c r="I198" s="107"/>
      <c r="J198" s="107"/>
      <c r="K198" s="107"/>
      <c r="L198" s="107"/>
      <c r="M198" s="7"/>
      <c r="N198" s="7"/>
      <c r="O198" s="266"/>
      <c r="P198" s="266"/>
    </row>
    <row r="199" spans="1:16" s="268" customFormat="1" x14ac:dyDescent="0.25">
      <c r="A199" s="107"/>
      <c r="B199" s="107"/>
      <c r="C199" s="9"/>
      <c r="D199" s="9"/>
      <c r="E199" s="107"/>
      <c r="F199" s="107"/>
      <c r="G199" s="7"/>
      <c r="H199" s="7"/>
      <c r="I199" s="107"/>
      <c r="J199" s="107"/>
      <c r="K199" s="107"/>
      <c r="L199" s="107"/>
      <c r="M199" s="7"/>
      <c r="N199" s="7"/>
      <c r="O199" s="266"/>
      <c r="P199" s="266"/>
    </row>
    <row r="200" spans="1:16" s="268" customFormat="1" x14ac:dyDescent="0.25">
      <c r="A200" s="107"/>
      <c r="B200" s="107"/>
      <c r="C200" s="9"/>
      <c r="D200" s="9"/>
      <c r="E200" s="107"/>
      <c r="F200" s="107"/>
      <c r="G200" s="7"/>
      <c r="H200" s="7"/>
      <c r="I200" s="107"/>
      <c r="J200" s="107"/>
      <c r="K200" s="107"/>
      <c r="L200" s="107"/>
      <c r="M200" s="7"/>
      <c r="N200" s="7"/>
      <c r="O200" s="266"/>
      <c r="P200" s="266"/>
    </row>
    <row r="201" spans="1:16" s="268" customFormat="1" x14ac:dyDescent="0.25">
      <c r="A201" s="107"/>
      <c r="B201" s="107"/>
      <c r="C201" s="9"/>
      <c r="D201" s="9"/>
      <c r="E201" s="107"/>
      <c r="F201" s="107"/>
      <c r="G201" s="7"/>
      <c r="H201" s="7"/>
      <c r="I201" s="107"/>
      <c r="J201" s="107"/>
      <c r="K201" s="107"/>
      <c r="L201" s="107"/>
      <c r="M201" s="7"/>
      <c r="N201" s="7"/>
      <c r="O201" s="266"/>
      <c r="P201" s="266"/>
    </row>
    <row r="202" spans="1:16" s="268" customFormat="1" x14ac:dyDescent="0.25">
      <c r="A202" s="107"/>
      <c r="B202" s="107"/>
      <c r="C202" s="9"/>
      <c r="D202" s="9"/>
      <c r="E202" s="107"/>
      <c r="F202" s="107"/>
      <c r="G202" s="7"/>
      <c r="H202" s="7"/>
      <c r="I202" s="107"/>
      <c r="J202" s="107"/>
      <c r="K202" s="107"/>
      <c r="L202" s="107"/>
      <c r="M202" s="7"/>
      <c r="N202" s="7"/>
      <c r="O202" s="266"/>
      <c r="P202" s="266"/>
    </row>
    <row r="203" spans="1:16" s="268" customFormat="1" x14ac:dyDescent="0.25">
      <c r="A203" s="107"/>
      <c r="B203" s="107"/>
      <c r="C203" s="9"/>
      <c r="D203" s="9"/>
      <c r="E203" s="107"/>
      <c r="F203" s="107"/>
      <c r="G203" s="7"/>
      <c r="H203" s="7"/>
      <c r="I203" s="107"/>
      <c r="J203" s="107"/>
      <c r="K203" s="107"/>
      <c r="L203" s="107"/>
      <c r="M203" s="7"/>
      <c r="N203" s="7"/>
      <c r="O203" s="266"/>
      <c r="P203" s="266"/>
    </row>
    <row r="204" spans="1:16" s="268" customFormat="1" x14ac:dyDescent="0.25">
      <c r="A204" s="107"/>
      <c r="B204" s="107"/>
      <c r="C204" s="9"/>
      <c r="D204" s="9"/>
      <c r="E204" s="107"/>
      <c r="F204" s="107"/>
      <c r="G204" s="7"/>
      <c r="H204" s="7"/>
      <c r="I204" s="107"/>
      <c r="J204" s="107"/>
      <c r="K204" s="107"/>
      <c r="L204" s="107"/>
      <c r="M204" s="7"/>
      <c r="N204" s="7"/>
      <c r="O204" s="266"/>
      <c r="P204" s="266"/>
    </row>
    <row r="205" spans="1:16" s="268" customFormat="1" x14ac:dyDescent="0.25">
      <c r="A205" s="107"/>
      <c r="B205" s="107"/>
      <c r="C205" s="9"/>
      <c r="D205" s="9"/>
      <c r="E205" s="107"/>
      <c r="F205" s="107"/>
      <c r="G205" s="7"/>
      <c r="H205" s="7"/>
      <c r="I205" s="107"/>
      <c r="J205" s="107"/>
      <c r="K205" s="107"/>
      <c r="L205" s="107"/>
      <c r="M205" s="7"/>
      <c r="N205" s="7"/>
      <c r="O205" s="266"/>
      <c r="P205" s="266"/>
    </row>
    <row r="206" spans="1:16" s="268" customFormat="1" x14ac:dyDescent="0.25">
      <c r="A206" s="107"/>
      <c r="B206" s="107"/>
      <c r="C206" s="7"/>
      <c r="D206" s="7"/>
      <c r="E206" s="10"/>
      <c r="F206" s="107"/>
      <c r="G206" s="7"/>
      <c r="H206" s="7"/>
      <c r="I206" s="107"/>
      <c r="J206" s="107"/>
      <c r="K206" s="107"/>
      <c r="L206" s="107"/>
      <c r="M206" s="7"/>
      <c r="N206" s="7"/>
      <c r="O206" s="266"/>
      <c r="P206" s="266"/>
    </row>
    <row r="207" spans="1:16" s="268" customFormat="1" x14ac:dyDescent="0.25">
      <c r="A207" s="107"/>
      <c r="B207" s="107"/>
      <c r="C207" s="7"/>
      <c r="D207" s="7"/>
      <c r="E207" s="10"/>
      <c r="F207" s="107"/>
      <c r="G207" s="7"/>
      <c r="H207" s="7"/>
      <c r="I207" s="107"/>
      <c r="J207" s="107"/>
      <c r="K207" s="107"/>
      <c r="L207" s="107"/>
      <c r="M207" s="7"/>
      <c r="N207" s="7"/>
      <c r="O207" s="266"/>
      <c r="P207" s="266"/>
    </row>
    <row r="208" spans="1:16" s="268" customFormat="1" x14ac:dyDescent="0.25">
      <c r="A208" s="107"/>
      <c r="B208" s="107"/>
      <c r="C208" s="7"/>
      <c r="D208" s="7"/>
      <c r="E208" s="10"/>
      <c r="F208" s="107"/>
      <c r="G208" s="7"/>
      <c r="H208" s="7"/>
      <c r="I208" s="107"/>
      <c r="J208" s="107"/>
      <c r="K208" s="107"/>
      <c r="L208" s="107"/>
      <c r="M208" s="7"/>
      <c r="N208" s="7"/>
      <c r="O208" s="266"/>
      <c r="P208" s="266"/>
    </row>
    <row r="209" spans="1:16" s="268" customFormat="1" x14ac:dyDescent="0.25">
      <c r="A209" s="107"/>
      <c r="B209" s="107"/>
      <c r="C209" s="7"/>
      <c r="D209" s="7"/>
      <c r="E209" s="10"/>
      <c r="F209" s="107"/>
      <c r="G209" s="7"/>
      <c r="H209" s="7"/>
      <c r="I209" s="107"/>
      <c r="J209" s="107"/>
      <c r="K209" s="107"/>
      <c r="L209" s="107"/>
      <c r="M209" s="7"/>
      <c r="N209" s="7"/>
      <c r="O209" s="266"/>
      <c r="P209" s="266"/>
    </row>
    <row r="210" spans="1:16" s="268" customFormat="1" x14ac:dyDescent="0.25">
      <c r="A210" s="107"/>
      <c r="B210" s="107"/>
      <c r="C210" s="7"/>
      <c r="D210" s="7"/>
      <c r="E210" s="10"/>
      <c r="F210" s="107"/>
      <c r="G210" s="7"/>
      <c r="H210" s="7"/>
      <c r="I210" s="107"/>
      <c r="J210" s="107"/>
      <c r="K210" s="107"/>
      <c r="L210" s="107"/>
      <c r="M210" s="7"/>
      <c r="N210" s="7"/>
      <c r="O210" s="266"/>
      <c r="P210" s="266"/>
    </row>
    <row r="211" spans="1:16" s="268" customFormat="1" x14ac:dyDescent="0.25">
      <c r="A211" s="107"/>
      <c r="B211" s="107"/>
      <c r="C211" s="7"/>
      <c r="D211" s="7"/>
      <c r="E211" s="10"/>
      <c r="F211" s="107"/>
      <c r="G211" s="7"/>
      <c r="H211" s="7"/>
      <c r="I211" s="107"/>
      <c r="J211" s="107"/>
      <c r="K211" s="107"/>
      <c r="L211" s="107"/>
      <c r="M211" s="7"/>
      <c r="N211" s="7"/>
      <c r="O211" s="266"/>
      <c r="P211" s="266"/>
    </row>
    <row r="212" spans="1:16" s="268" customFormat="1" x14ac:dyDescent="0.25">
      <c r="A212" s="107"/>
      <c r="B212" s="107"/>
      <c r="C212" s="7"/>
      <c r="D212" s="7"/>
      <c r="E212" s="10"/>
      <c r="F212" s="107"/>
      <c r="G212" s="7"/>
      <c r="H212" s="7"/>
      <c r="I212" s="107"/>
      <c r="J212" s="107"/>
      <c r="K212" s="107"/>
      <c r="L212" s="107"/>
      <c r="M212" s="7"/>
      <c r="N212" s="7"/>
      <c r="O212" s="266"/>
      <c r="P212" s="266"/>
    </row>
    <row r="213" spans="1:16" s="268" customFormat="1" x14ac:dyDescent="0.25">
      <c r="A213" s="107"/>
      <c r="B213" s="107"/>
      <c r="C213" s="7"/>
      <c r="D213" s="7"/>
      <c r="E213" s="10"/>
      <c r="F213" s="107"/>
      <c r="G213" s="7"/>
      <c r="H213" s="7"/>
      <c r="I213" s="107"/>
      <c r="J213" s="107"/>
      <c r="K213" s="107"/>
      <c r="L213" s="107"/>
      <c r="M213" s="7"/>
      <c r="N213" s="7"/>
      <c r="O213" s="266"/>
      <c r="P213" s="266"/>
    </row>
    <row r="214" spans="1:16" s="268" customFormat="1" x14ac:dyDescent="0.25">
      <c r="A214" s="107"/>
      <c r="B214" s="107"/>
      <c r="C214" s="7"/>
      <c r="D214" s="7"/>
      <c r="E214" s="10"/>
      <c r="F214" s="107"/>
      <c r="G214" s="7"/>
      <c r="H214" s="7"/>
      <c r="I214" s="107"/>
      <c r="J214" s="107"/>
      <c r="K214" s="107"/>
      <c r="L214" s="107"/>
      <c r="M214" s="7"/>
      <c r="N214" s="7"/>
      <c r="O214" s="266"/>
      <c r="P214" s="266"/>
    </row>
    <row r="215" spans="1:16" s="268" customFormat="1" x14ac:dyDescent="0.25">
      <c r="A215" s="107"/>
      <c r="B215" s="107"/>
      <c r="C215" s="7"/>
      <c r="D215" s="7"/>
      <c r="E215" s="10"/>
      <c r="F215" s="107"/>
      <c r="G215" s="7"/>
      <c r="H215" s="7"/>
      <c r="I215" s="107"/>
      <c r="J215" s="107"/>
      <c r="K215" s="107"/>
      <c r="L215" s="107"/>
      <c r="M215" s="7"/>
      <c r="N215" s="7"/>
      <c r="O215" s="266"/>
      <c r="P215" s="266"/>
    </row>
    <row r="216" spans="1:16" s="268" customFormat="1" x14ac:dyDescent="0.25">
      <c r="A216" s="107"/>
      <c r="B216" s="107"/>
      <c r="C216" s="7"/>
      <c r="D216" s="7"/>
      <c r="E216" s="10"/>
      <c r="F216" s="107"/>
      <c r="G216" s="7"/>
      <c r="H216" s="7"/>
      <c r="I216" s="107"/>
      <c r="J216" s="107"/>
      <c r="K216" s="107"/>
      <c r="L216" s="107"/>
      <c r="M216" s="7"/>
      <c r="N216" s="7"/>
      <c r="O216" s="266"/>
      <c r="P216" s="266"/>
    </row>
    <row r="217" spans="1:16" s="268" customFormat="1" x14ac:dyDescent="0.25">
      <c r="A217" s="107"/>
      <c r="B217" s="107"/>
      <c r="C217" s="7"/>
      <c r="D217" s="7"/>
      <c r="E217" s="10"/>
      <c r="F217" s="107"/>
      <c r="G217" s="7"/>
      <c r="H217" s="7"/>
      <c r="I217" s="107"/>
      <c r="J217" s="107"/>
      <c r="K217" s="107"/>
      <c r="L217" s="107"/>
      <c r="M217" s="7"/>
      <c r="N217" s="7"/>
      <c r="O217" s="266"/>
      <c r="P217" s="266"/>
    </row>
    <row r="218" spans="1:16" s="268" customFormat="1" x14ac:dyDescent="0.25">
      <c r="A218" s="107"/>
      <c r="B218" s="107"/>
      <c r="C218" s="7"/>
      <c r="D218" s="7"/>
      <c r="E218" s="10"/>
      <c r="F218" s="107"/>
      <c r="G218" s="7"/>
      <c r="H218" s="7"/>
      <c r="I218" s="107"/>
      <c r="J218" s="107"/>
      <c r="K218" s="107"/>
      <c r="L218" s="107"/>
      <c r="M218" s="7"/>
      <c r="N218" s="7"/>
      <c r="O218" s="266"/>
      <c r="P218" s="266"/>
    </row>
    <row r="219" spans="1:16" s="268" customFormat="1" x14ac:dyDescent="0.25">
      <c r="A219" s="107"/>
      <c r="B219" s="107"/>
      <c r="C219" s="7"/>
      <c r="D219" s="7"/>
      <c r="E219" s="10"/>
      <c r="F219" s="107"/>
      <c r="G219" s="7"/>
      <c r="H219" s="7"/>
      <c r="I219" s="107"/>
      <c r="J219" s="107"/>
      <c r="K219" s="107"/>
      <c r="L219" s="107"/>
      <c r="M219" s="7"/>
      <c r="N219" s="7"/>
      <c r="O219" s="266"/>
      <c r="P219" s="266"/>
    </row>
    <row r="220" spans="1:16" s="268" customFormat="1" x14ac:dyDescent="0.25">
      <c r="A220" s="107"/>
      <c r="B220" s="107"/>
      <c r="C220" s="7"/>
      <c r="D220" s="7"/>
      <c r="E220" s="10"/>
      <c r="F220" s="107"/>
      <c r="G220" s="7"/>
      <c r="H220" s="7"/>
      <c r="I220" s="107"/>
      <c r="J220" s="107"/>
      <c r="K220" s="107"/>
      <c r="L220" s="107"/>
      <c r="M220" s="7"/>
      <c r="N220" s="7"/>
      <c r="O220" s="266"/>
      <c r="P220" s="266"/>
    </row>
    <row r="221" spans="1:16" s="268" customFormat="1" x14ac:dyDescent="0.25">
      <c r="A221" s="107"/>
      <c r="B221" s="107"/>
      <c r="C221" s="7"/>
      <c r="D221" s="7"/>
      <c r="E221" s="10"/>
      <c r="F221" s="107"/>
      <c r="G221" s="7"/>
      <c r="H221" s="7"/>
      <c r="I221" s="107"/>
      <c r="J221" s="107"/>
      <c r="K221" s="107"/>
      <c r="L221" s="107"/>
      <c r="M221" s="7"/>
      <c r="N221" s="7"/>
      <c r="O221" s="266"/>
      <c r="P221" s="266"/>
    </row>
    <row r="222" spans="1:16" s="268" customFormat="1" x14ac:dyDescent="0.25">
      <c r="A222" s="107"/>
      <c r="B222" s="107"/>
      <c r="C222" s="7"/>
      <c r="D222" s="7"/>
      <c r="E222" s="10"/>
      <c r="F222" s="107"/>
      <c r="G222" s="7"/>
      <c r="H222" s="7"/>
      <c r="I222" s="107"/>
      <c r="J222" s="107"/>
      <c r="K222" s="107"/>
      <c r="L222" s="107"/>
      <c r="M222" s="7"/>
      <c r="N222" s="7"/>
      <c r="O222" s="266"/>
      <c r="P222" s="266"/>
    </row>
    <row r="223" spans="1:16" s="268" customFormat="1" x14ac:dyDescent="0.25">
      <c r="A223" s="107"/>
      <c r="B223" s="107"/>
      <c r="C223" s="7"/>
      <c r="D223" s="7"/>
      <c r="E223" s="10"/>
      <c r="F223" s="107"/>
      <c r="G223" s="7"/>
      <c r="H223" s="7"/>
      <c r="I223" s="107"/>
      <c r="J223" s="107"/>
      <c r="K223" s="107"/>
      <c r="L223" s="107"/>
      <c r="M223" s="7"/>
      <c r="N223" s="7"/>
      <c r="O223" s="266"/>
      <c r="P223" s="266"/>
    </row>
    <row r="224" spans="1:16" s="268" customFormat="1" x14ac:dyDescent="0.25">
      <c r="A224" s="107"/>
      <c r="B224" s="107"/>
      <c r="C224" s="7"/>
      <c r="D224" s="7"/>
      <c r="E224" s="10"/>
      <c r="F224" s="107"/>
      <c r="G224" s="7"/>
      <c r="H224" s="7"/>
      <c r="I224" s="107"/>
      <c r="J224" s="107"/>
      <c r="K224" s="107"/>
      <c r="L224" s="107"/>
      <c r="M224" s="7"/>
      <c r="N224" s="7"/>
      <c r="O224" s="266"/>
      <c r="P224" s="266"/>
    </row>
    <row r="225" spans="1:16" s="268" customFormat="1" x14ac:dyDescent="0.25">
      <c r="A225" s="107"/>
      <c r="B225" s="107"/>
      <c r="C225" s="7"/>
      <c r="D225" s="7"/>
      <c r="E225" s="10"/>
      <c r="F225" s="107"/>
      <c r="G225" s="7"/>
      <c r="H225" s="7"/>
      <c r="I225" s="107"/>
      <c r="J225" s="107"/>
      <c r="K225" s="107"/>
      <c r="L225" s="107"/>
      <c r="M225" s="7"/>
      <c r="N225" s="7"/>
      <c r="O225" s="266"/>
      <c r="P225" s="266"/>
    </row>
    <row r="226" spans="1:16" s="268" customFormat="1" x14ac:dyDescent="0.25">
      <c r="A226" s="107"/>
      <c r="B226" s="107"/>
      <c r="C226" s="7"/>
      <c r="D226" s="7"/>
      <c r="E226" s="10"/>
      <c r="F226" s="107"/>
      <c r="G226" s="7"/>
      <c r="H226" s="7"/>
      <c r="I226" s="107"/>
      <c r="J226" s="107"/>
      <c r="K226" s="107"/>
      <c r="L226" s="107"/>
      <c r="M226" s="7"/>
      <c r="N226" s="7"/>
      <c r="O226" s="266"/>
      <c r="P226" s="266"/>
    </row>
    <row r="227" spans="1:16" s="268" customFormat="1" x14ac:dyDescent="0.25">
      <c r="A227" s="107"/>
      <c r="B227" s="107"/>
      <c r="C227" s="7"/>
      <c r="D227" s="7"/>
      <c r="E227" s="10"/>
      <c r="F227" s="107"/>
      <c r="G227" s="7"/>
      <c r="H227" s="7"/>
      <c r="I227" s="107"/>
      <c r="J227" s="107"/>
      <c r="K227" s="107"/>
      <c r="L227" s="107"/>
      <c r="M227" s="7"/>
      <c r="N227" s="7"/>
      <c r="O227" s="266"/>
      <c r="P227" s="266"/>
    </row>
    <row r="228" spans="1:16" s="268" customFormat="1" x14ac:dyDescent="0.25">
      <c r="A228" s="107"/>
      <c r="B228" s="107"/>
      <c r="C228" s="7"/>
      <c r="D228" s="7"/>
      <c r="E228" s="10"/>
      <c r="F228" s="107"/>
      <c r="G228" s="7"/>
      <c r="H228" s="7"/>
      <c r="I228" s="107"/>
      <c r="J228" s="107"/>
      <c r="K228" s="107"/>
      <c r="L228" s="107"/>
      <c r="M228" s="7"/>
      <c r="N228" s="7"/>
      <c r="O228" s="266"/>
      <c r="P228" s="266"/>
    </row>
    <row r="229" spans="1:16" s="268" customFormat="1" x14ac:dyDescent="0.25">
      <c r="A229" s="107"/>
      <c r="B229" s="107"/>
      <c r="C229" s="7"/>
      <c r="D229" s="7"/>
      <c r="E229" s="10"/>
      <c r="F229" s="107"/>
      <c r="G229" s="7"/>
      <c r="H229" s="7"/>
      <c r="I229" s="107"/>
      <c r="J229" s="107"/>
      <c r="K229" s="107"/>
      <c r="L229" s="107"/>
      <c r="M229" s="7"/>
      <c r="N229" s="7"/>
      <c r="O229" s="266"/>
      <c r="P229" s="266"/>
    </row>
    <row r="230" spans="1:16" s="268" customFormat="1" x14ac:dyDescent="0.25">
      <c r="A230" s="107"/>
      <c r="B230" s="107"/>
      <c r="C230" s="7"/>
      <c r="D230" s="7"/>
      <c r="E230" s="10"/>
      <c r="F230" s="107"/>
      <c r="G230" s="7"/>
      <c r="H230" s="7"/>
      <c r="I230" s="107"/>
      <c r="J230" s="107"/>
      <c r="K230" s="107"/>
      <c r="L230" s="107"/>
      <c r="M230" s="7"/>
      <c r="N230" s="7"/>
      <c r="O230" s="266"/>
      <c r="P230" s="266"/>
    </row>
    <row r="231" spans="1:16" s="268" customFormat="1" x14ac:dyDescent="0.25">
      <c r="A231" s="107"/>
      <c r="B231" s="107"/>
      <c r="C231" s="7"/>
      <c r="D231" s="7"/>
      <c r="E231" s="10"/>
      <c r="F231" s="107"/>
      <c r="G231" s="7"/>
      <c r="H231" s="7"/>
      <c r="I231" s="107"/>
      <c r="J231" s="107"/>
      <c r="K231" s="107"/>
      <c r="L231" s="107"/>
      <c r="M231" s="7"/>
      <c r="N231" s="7"/>
      <c r="O231" s="266"/>
      <c r="P231" s="266"/>
    </row>
    <row r="232" spans="1:16" s="268" customFormat="1" x14ac:dyDescent="0.25">
      <c r="A232" s="107"/>
      <c r="B232" s="107"/>
      <c r="C232" s="7"/>
      <c r="D232" s="7"/>
      <c r="E232" s="10"/>
      <c r="F232" s="107"/>
      <c r="G232" s="7"/>
      <c r="H232" s="7"/>
      <c r="I232" s="107"/>
      <c r="J232" s="107"/>
      <c r="K232" s="107"/>
      <c r="L232" s="107"/>
      <c r="M232" s="7"/>
      <c r="N232" s="7"/>
      <c r="O232" s="266"/>
      <c r="P232" s="266"/>
    </row>
    <row r="233" spans="1:16" s="268" customFormat="1" x14ac:dyDescent="0.25">
      <c r="A233" s="107"/>
      <c r="B233" s="107"/>
      <c r="C233" s="7"/>
      <c r="D233" s="7"/>
      <c r="E233" s="10"/>
      <c r="F233" s="107"/>
      <c r="G233" s="7"/>
      <c r="H233" s="7"/>
      <c r="I233" s="107"/>
      <c r="J233" s="107"/>
      <c r="K233" s="107"/>
      <c r="L233" s="107"/>
      <c r="M233" s="7"/>
      <c r="N233" s="7"/>
      <c r="O233" s="266"/>
      <c r="P233" s="266"/>
    </row>
    <row r="234" spans="1:16" s="268" customFormat="1" x14ac:dyDescent="0.25">
      <c r="A234" s="107"/>
      <c r="B234" s="107"/>
      <c r="C234" s="7"/>
      <c r="D234" s="7"/>
      <c r="E234" s="10"/>
      <c r="F234" s="107"/>
      <c r="G234" s="7"/>
      <c r="H234" s="7"/>
      <c r="I234" s="107"/>
      <c r="J234" s="107"/>
      <c r="K234" s="107"/>
      <c r="L234" s="107"/>
      <c r="M234" s="7"/>
      <c r="N234" s="7"/>
      <c r="O234" s="266"/>
      <c r="P234" s="266"/>
    </row>
    <row r="235" spans="1:16" s="268" customFormat="1" x14ac:dyDescent="0.25">
      <c r="A235" s="107"/>
      <c r="B235" s="107"/>
      <c r="C235" s="7"/>
      <c r="D235" s="7"/>
      <c r="E235" s="10"/>
      <c r="F235" s="107"/>
      <c r="G235" s="7"/>
      <c r="H235" s="7"/>
      <c r="I235" s="107"/>
      <c r="J235" s="107"/>
      <c r="K235" s="107"/>
      <c r="L235" s="107"/>
      <c r="M235" s="7"/>
      <c r="N235" s="7"/>
      <c r="O235" s="266"/>
      <c r="P235" s="266"/>
    </row>
    <row r="236" spans="1:16" s="268" customFormat="1" x14ac:dyDescent="0.25">
      <c r="A236" s="107"/>
      <c r="B236" s="107"/>
      <c r="C236" s="7"/>
      <c r="D236" s="7"/>
      <c r="E236" s="10"/>
      <c r="F236" s="107"/>
      <c r="G236" s="7"/>
      <c r="H236" s="7"/>
      <c r="I236" s="107"/>
      <c r="J236" s="107"/>
      <c r="K236" s="107"/>
      <c r="L236" s="107"/>
      <c r="M236" s="7"/>
      <c r="N236" s="7"/>
      <c r="O236" s="266"/>
      <c r="P236" s="266"/>
    </row>
    <row r="237" spans="1:16" s="268" customFormat="1" x14ac:dyDescent="0.25">
      <c r="A237" s="107"/>
      <c r="B237" s="107"/>
      <c r="C237" s="7"/>
      <c r="D237" s="7"/>
      <c r="E237" s="10"/>
      <c r="F237" s="107"/>
      <c r="G237" s="7"/>
      <c r="H237" s="7"/>
      <c r="I237" s="107"/>
      <c r="J237" s="107"/>
      <c r="K237" s="107"/>
      <c r="L237" s="107"/>
      <c r="M237" s="7"/>
      <c r="N237" s="7"/>
      <c r="O237" s="266"/>
      <c r="P237" s="266"/>
    </row>
    <row r="238" spans="1:16" s="268" customFormat="1" x14ac:dyDescent="0.25">
      <c r="A238" s="107"/>
      <c r="B238" s="107"/>
      <c r="C238" s="7"/>
      <c r="D238" s="7"/>
      <c r="E238" s="10"/>
      <c r="F238" s="107"/>
      <c r="G238" s="7"/>
      <c r="H238" s="7"/>
      <c r="I238" s="107"/>
      <c r="J238" s="107"/>
      <c r="K238" s="107"/>
      <c r="L238" s="107"/>
      <c r="M238" s="7"/>
      <c r="N238" s="7"/>
      <c r="O238" s="266"/>
      <c r="P238" s="266"/>
    </row>
    <row r="239" spans="1:16" s="268" customFormat="1" x14ac:dyDescent="0.25">
      <c r="A239" s="107"/>
      <c r="B239" s="107"/>
      <c r="C239" s="7"/>
      <c r="D239" s="7"/>
      <c r="E239" s="10"/>
      <c r="F239" s="107"/>
      <c r="G239" s="7"/>
      <c r="H239" s="7"/>
      <c r="I239" s="107"/>
      <c r="J239" s="107"/>
      <c r="K239" s="107"/>
      <c r="L239" s="107"/>
      <c r="M239" s="7"/>
      <c r="N239" s="7"/>
      <c r="O239" s="266"/>
      <c r="P239" s="266"/>
    </row>
    <row r="240" spans="1:16" s="268" customFormat="1" x14ac:dyDescent="0.25">
      <c r="A240" s="107"/>
      <c r="B240" s="107"/>
      <c r="C240" s="7"/>
      <c r="D240" s="7"/>
      <c r="E240" s="10"/>
      <c r="F240" s="107"/>
      <c r="G240" s="7"/>
      <c r="H240" s="7"/>
      <c r="I240" s="107"/>
      <c r="J240" s="107"/>
      <c r="K240" s="107"/>
      <c r="L240" s="107"/>
      <c r="M240" s="7"/>
      <c r="N240" s="7"/>
      <c r="O240" s="266"/>
      <c r="P240" s="266"/>
    </row>
    <row r="241" spans="1:16" s="268" customFormat="1" x14ac:dyDescent="0.25">
      <c r="A241" s="107"/>
      <c r="B241" s="107"/>
      <c r="C241" s="7"/>
      <c r="D241" s="7"/>
      <c r="E241" s="10"/>
      <c r="F241" s="107"/>
      <c r="G241" s="7"/>
      <c r="H241" s="7"/>
      <c r="I241" s="107"/>
      <c r="J241" s="107"/>
      <c r="K241" s="107"/>
      <c r="L241" s="107"/>
      <c r="M241" s="7"/>
      <c r="N241" s="7"/>
      <c r="O241" s="266"/>
      <c r="P241" s="266"/>
    </row>
    <row r="242" spans="1:16" s="268" customFormat="1" x14ac:dyDescent="0.25">
      <c r="A242" s="107"/>
      <c r="B242" s="107"/>
      <c r="C242" s="7"/>
      <c r="D242" s="7"/>
      <c r="E242" s="10"/>
      <c r="F242" s="107"/>
      <c r="G242" s="7"/>
      <c r="H242" s="7"/>
      <c r="I242" s="107"/>
      <c r="J242" s="107"/>
      <c r="K242" s="107"/>
      <c r="L242" s="107"/>
      <c r="M242" s="7"/>
      <c r="N242" s="7"/>
      <c r="O242" s="266"/>
      <c r="P242" s="266"/>
    </row>
    <row r="243" spans="1:16" s="268" customFormat="1" x14ac:dyDescent="0.25">
      <c r="A243" s="107"/>
      <c r="B243" s="107"/>
      <c r="C243" s="7"/>
      <c r="D243" s="7"/>
      <c r="E243" s="10"/>
      <c r="F243" s="107"/>
      <c r="G243" s="7"/>
      <c r="H243" s="7"/>
      <c r="I243" s="107"/>
      <c r="J243" s="107"/>
      <c r="K243" s="107"/>
      <c r="L243" s="107"/>
      <c r="M243" s="7"/>
      <c r="N243" s="7"/>
      <c r="O243" s="266"/>
      <c r="P243" s="266"/>
    </row>
    <row r="244" spans="1:16" s="268" customFormat="1" x14ac:dyDescent="0.25">
      <c r="A244" s="107"/>
      <c r="B244" s="107"/>
      <c r="C244" s="7"/>
      <c r="D244" s="7"/>
      <c r="E244" s="10"/>
      <c r="F244" s="107"/>
      <c r="G244" s="7"/>
      <c r="H244" s="7"/>
      <c r="I244" s="107"/>
      <c r="J244" s="107"/>
      <c r="K244" s="107"/>
      <c r="L244" s="107"/>
      <c r="M244" s="7"/>
      <c r="N244" s="7"/>
      <c r="O244" s="266"/>
      <c r="P244" s="266"/>
    </row>
    <row r="245" spans="1:16" s="268" customFormat="1" x14ac:dyDescent="0.25">
      <c r="A245" s="107"/>
      <c r="B245" s="107"/>
      <c r="C245" s="7"/>
      <c r="D245" s="7"/>
      <c r="E245" s="10"/>
      <c r="F245" s="107"/>
      <c r="G245" s="7"/>
      <c r="H245" s="7"/>
      <c r="I245" s="107"/>
      <c r="J245" s="107"/>
      <c r="K245" s="107"/>
      <c r="L245" s="107"/>
      <c r="M245" s="7"/>
      <c r="N245" s="7"/>
      <c r="O245" s="266"/>
      <c r="P245" s="266"/>
    </row>
    <row r="246" spans="1:16" s="268" customFormat="1" x14ac:dyDescent="0.25">
      <c r="A246" s="107"/>
      <c r="B246" s="107"/>
      <c r="C246" s="7"/>
      <c r="D246" s="7"/>
      <c r="E246" s="10"/>
      <c r="F246" s="107"/>
      <c r="G246" s="7"/>
      <c r="H246" s="7"/>
      <c r="I246" s="107"/>
      <c r="J246" s="107"/>
      <c r="K246" s="107"/>
      <c r="L246" s="107"/>
      <c r="M246" s="7"/>
      <c r="N246" s="7"/>
      <c r="O246" s="266"/>
      <c r="P246" s="266"/>
    </row>
    <row r="247" spans="1:16" s="268" customFormat="1" x14ac:dyDescent="0.25">
      <c r="A247" s="107"/>
      <c r="B247" s="107"/>
      <c r="C247" s="7"/>
      <c r="D247" s="7"/>
      <c r="E247" s="10"/>
      <c r="F247" s="107"/>
      <c r="G247" s="108"/>
      <c r="H247" s="108"/>
      <c r="I247" s="107"/>
      <c r="J247" s="107"/>
      <c r="K247" s="107"/>
      <c r="L247" s="107"/>
      <c r="M247" s="108"/>
      <c r="N247" s="108"/>
      <c r="O247" s="270"/>
      <c r="P247" s="270"/>
    </row>
    <row r="248" spans="1:16" s="268" customFormat="1" x14ac:dyDescent="0.25">
      <c r="A248" s="107"/>
      <c r="B248" s="107"/>
      <c r="C248" s="7"/>
      <c r="D248" s="7"/>
      <c r="E248" s="10"/>
      <c r="F248" s="107"/>
      <c r="G248" s="108"/>
      <c r="H248" s="108"/>
      <c r="I248" s="107"/>
      <c r="J248" s="107"/>
      <c r="K248" s="107"/>
      <c r="L248" s="107"/>
      <c r="M248" s="108"/>
      <c r="N248" s="108"/>
      <c r="O248" s="270"/>
      <c r="P248" s="270"/>
    </row>
    <row r="249" spans="1:16" s="268" customFormat="1" x14ac:dyDescent="0.25">
      <c r="A249" s="107"/>
      <c r="B249" s="107"/>
      <c r="C249" s="7"/>
      <c r="D249" s="7"/>
      <c r="E249" s="10"/>
      <c r="F249" s="107"/>
      <c r="G249" s="108"/>
      <c r="H249" s="108"/>
      <c r="I249" s="107"/>
      <c r="J249" s="107"/>
      <c r="K249" s="107"/>
      <c r="L249" s="107"/>
      <c r="M249" s="108"/>
      <c r="N249" s="108"/>
      <c r="O249" s="270"/>
      <c r="P249" s="270"/>
    </row>
    <row r="250" spans="1:16" s="268" customFormat="1" x14ac:dyDescent="0.25">
      <c r="A250" s="107"/>
      <c r="B250" s="107"/>
      <c r="C250" s="7"/>
      <c r="D250" s="7"/>
      <c r="E250" s="10"/>
      <c r="F250" s="107"/>
      <c r="G250" s="108"/>
      <c r="H250" s="108"/>
      <c r="I250" s="107"/>
      <c r="J250" s="107"/>
      <c r="K250" s="107"/>
      <c r="L250" s="107"/>
      <c r="M250" s="108"/>
      <c r="N250" s="108"/>
      <c r="O250" s="270"/>
      <c r="P250" s="270"/>
    </row>
    <row r="251" spans="1:16" s="268" customFormat="1" x14ac:dyDescent="0.25">
      <c r="A251" s="107"/>
      <c r="B251" s="107"/>
      <c r="C251" s="7"/>
      <c r="D251" s="7"/>
      <c r="E251" s="10"/>
      <c r="F251" s="107"/>
      <c r="G251" s="108"/>
      <c r="H251" s="108"/>
      <c r="I251" s="107"/>
      <c r="J251" s="107"/>
      <c r="K251" s="107"/>
      <c r="L251" s="107"/>
      <c r="M251" s="108"/>
      <c r="N251" s="108"/>
      <c r="O251" s="270"/>
      <c r="P251" s="270"/>
    </row>
    <row r="252" spans="1:16" s="268" customFormat="1" x14ac:dyDescent="0.25">
      <c r="A252" s="107"/>
      <c r="B252" s="107"/>
      <c r="C252" s="7"/>
      <c r="D252" s="7"/>
      <c r="E252" s="10"/>
      <c r="F252" s="107"/>
      <c r="G252" s="108"/>
      <c r="H252" s="108"/>
      <c r="I252" s="107"/>
      <c r="J252" s="107"/>
      <c r="K252" s="107"/>
      <c r="L252" s="107"/>
      <c r="M252" s="108"/>
      <c r="N252" s="108"/>
      <c r="O252" s="270"/>
      <c r="P252" s="270"/>
    </row>
    <row r="253" spans="1:16" s="268" customFormat="1" x14ac:dyDescent="0.25">
      <c r="A253" s="107"/>
      <c r="B253" s="107"/>
      <c r="C253" s="7"/>
      <c r="D253" s="7"/>
      <c r="E253" s="10"/>
      <c r="F253" s="107"/>
      <c r="G253" s="108"/>
      <c r="H253" s="108"/>
      <c r="I253" s="107"/>
      <c r="J253" s="107"/>
      <c r="K253" s="107"/>
      <c r="L253" s="107"/>
      <c r="M253" s="108"/>
      <c r="N253" s="108"/>
      <c r="O253" s="270"/>
      <c r="P253" s="270"/>
    </row>
    <row r="254" spans="1:16" s="268" customFormat="1" x14ac:dyDescent="0.25">
      <c r="A254" s="107"/>
      <c r="B254" s="107"/>
      <c r="C254" s="7"/>
      <c r="D254" s="7"/>
      <c r="E254" s="10"/>
      <c r="F254" s="107"/>
      <c r="G254" s="108"/>
      <c r="H254" s="108"/>
      <c r="I254" s="107"/>
      <c r="J254" s="107"/>
      <c r="K254" s="107"/>
      <c r="L254" s="107"/>
      <c r="M254" s="108"/>
      <c r="N254" s="108"/>
      <c r="O254" s="270"/>
      <c r="P254" s="270"/>
    </row>
    <row r="255" spans="1:16" s="268" customFormat="1" x14ac:dyDescent="0.25">
      <c r="A255" s="107"/>
      <c r="B255" s="107"/>
      <c r="C255" s="7"/>
      <c r="D255" s="7"/>
      <c r="E255" s="10"/>
      <c r="F255" s="107"/>
      <c r="G255" s="108"/>
      <c r="H255" s="108"/>
      <c r="I255" s="107"/>
      <c r="J255" s="107"/>
      <c r="K255" s="107"/>
      <c r="L255" s="107"/>
      <c r="M255" s="108"/>
      <c r="N255" s="108"/>
      <c r="O255" s="270"/>
      <c r="P255" s="270"/>
    </row>
    <row r="256" spans="1:16" s="268" customFormat="1" x14ac:dyDescent="0.25">
      <c r="A256" s="107"/>
      <c r="B256" s="107"/>
      <c r="C256" s="7"/>
      <c r="D256" s="7"/>
      <c r="E256" s="10"/>
      <c r="F256" s="107"/>
      <c r="G256" s="108"/>
      <c r="H256" s="108"/>
      <c r="I256" s="107"/>
      <c r="J256" s="107"/>
      <c r="K256" s="107"/>
      <c r="L256" s="107"/>
      <c r="M256" s="108"/>
      <c r="N256" s="108"/>
      <c r="O256" s="270"/>
      <c r="P256" s="270"/>
    </row>
    <row r="257" spans="1:16" s="268" customFormat="1" x14ac:dyDescent="0.25">
      <c r="A257" s="107"/>
      <c r="B257" s="107"/>
      <c r="C257" s="7"/>
      <c r="D257" s="7"/>
      <c r="E257" s="10"/>
      <c r="F257" s="107"/>
      <c r="G257" s="108"/>
      <c r="H257" s="108"/>
      <c r="I257" s="107"/>
      <c r="J257" s="107"/>
      <c r="K257" s="107"/>
      <c r="L257" s="107"/>
      <c r="M257" s="108"/>
      <c r="N257" s="108"/>
      <c r="O257" s="270"/>
      <c r="P257" s="270"/>
    </row>
    <row r="258" spans="1:16" s="268" customFormat="1" x14ac:dyDescent="0.25">
      <c r="A258" s="107"/>
      <c r="B258" s="107"/>
      <c r="C258" s="7"/>
      <c r="D258" s="7"/>
      <c r="E258" s="10"/>
      <c r="F258" s="107"/>
      <c r="G258" s="108"/>
      <c r="H258" s="108"/>
      <c r="I258" s="107"/>
      <c r="J258" s="107"/>
      <c r="K258" s="107"/>
      <c r="L258" s="107"/>
      <c r="M258" s="108"/>
      <c r="N258" s="108"/>
      <c r="O258" s="270"/>
      <c r="P258" s="270"/>
    </row>
    <row r="259" spans="1:16" s="268" customFormat="1" x14ac:dyDescent="0.25">
      <c r="A259" s="107"/>
      <c r="B259" s="107"/>
      <c r="C259" s="7"/>
      <c r="D259" s="7"/>
      <c r="E259" s="10"/>
      <c r="F259" s="107"/>
      <c r="G259" s="108"/>
      <c r="H259" s="108"/>
      <c r="I259" s="107"/>
      <c r="J259" s="107"/>
      <c r="K259" s="107"/>
      <c r="L259" s="107"/>
      <c r="M259" s="108"/>
      <c r="N259" s="108"/>
      <c r="O259" s="270"/>
      <c r="P259" s="270"/>
    </row>
    <row r="260" spans="1:16" s="268" customFormat="1" x14ac:dyDescent="0.25">
      <c r="A260" s="107"/>
      <c r="B260" s="107"/>
      <c r="C260" s="7"/>
      <c r="D260" s="7"/>
      <c r="E260" s="10"/>
      <c r="F260" s="107"/>
      <c r="G260" s="7"/>
      <c r="H260" s="7"/>
      <c r="I260" s="107"/>
      <c r="J260" s="107"/>
      <c r="K260" s="107"/>
      <c r="L260" s="107"/>
      <c r="M260" s="7"/>
      <c r="N260" s="7"/>
      <c r="O260" s="266"/>
      <c r="P260" s="266"/>
    </row>
    <row r="261" spans="1:16" s="268" customFormat="1" x14ac:dyDescent="0.25">
      <c r="A261" s="107"/>
      <c r="B261" s="107"/>
      <c r="C261" s="7"/>
      <c r="D261" s="7"/>
      <c r="E261" s="10"/>
      <c r="F261" s="107"/>
      <c r="G261" s="7"/>
      <c r="H261" s="7"/>
      <c r="I261" s="107"/>
      <c r="J261" s="107"/>
      <c r="K261" s="107"/>
      <c r="L261" s="107"/>
      <c r="M261" s="7"/>
      <c r="N261" s="7"/>
      <c r="O261" s="266"/>
      <c r="P261" s="266"/>
    </row>
    <row r="262" spans="1:16" s="268" customFormat="1" x14ac:dyDescent="0.25">
      <c r="A262" s="107"/>
      <c r="B262" s="107"/>
      <c r="C262" s="7"/>
      <c r="D262" s="7"/>
      <c r="E262" s="10"/>
      <c r="F262" s="107"/>
      <c r="G262" s="7"/>
      <c r="H262" s="7"/>
      <c r="I262" s="107"/>
      <c r="J262" s="107"/>
      <c r="K262" s="107"/>
      <c r="L262" s="107"/>
      <c r="M262" s="7"/>
      <c r="N262" s="7"/>
      <c r="O262" s="266"/>
      <c r="P262" s="266"/>
    </row>
    <row r="263" spans="1:16" s="268" customFormat="1" x14ac:dyDescent="0.25">
      <c r="A263" s="107"/>
      <c r="B263" s="107"/>
      <c r="C263" s="7"/>
      <c r="D263" s="7"/>
      <c r="E263" s="10"/>
      <c r="F263" s="107"/>
      <c r="G263" s="7"/>
      <c r="H263" s="7"/>
      <c r="I263" s="107"/>
      <c r="J263" s="107"/>
      <c r="K263" s="107"/>
      <c r="L263" s="107"/>
      <c r="M263" s="7"/>
      <c r="N263" s="7"/>
      <c r="O263" s="266"/>
      <c r="P263" s="266"/>
    </row>
    <row r="264" spans="1:16" s="268" customFormat="1" x14ac:dyDescent="0.25">
      <c r="A264" s="107"/>
      <c r="B264" s="107"/>
      <c r="C264" s="7"/>
      <c r="D264" s="7"/>
      <c r="E264" s="10"/>
      <c r="F264" s="107"/>
      <c r="G264" s="7"/>
      <c r="H264" s="7"/>
      <c r="I264" s="107"/>
      <c r="J264" s="107"/>
      <c r="K264" s="107"/>
      <c r="L264" s="107"/>
      <c r="M264" s="7"/>
      <c r="N264" s="7"/>
      <c r="O264" s="266"/>
      <c r="P264" s="266"/>
    </row>
    <row r="265" spans="1:16" s="268" customFormat="1" x14ac:dyDescent="0.25">
      <c r="A265" s="107"/>
      <c r="B265" s="107"/>
      <c r="C265" s="7"/>
      <c r="D265" s="7"/>
      <c r="E265" s="10"/>
      <c r="F265" s="107"/>
      <c r="G265" s="7"/>
      <c r="H265" s="7"/>
      <c r="I265" s="107"/>
      <c r="J265" s="107"/>
      <c r="K265" s="107"/>
      <c r="L265" s="107"/>
      <c r="M265" s="7"/>
      <c r="N265" s="7"/>
      <c r="O265" s="266"/>
      <c r="P265" s="266"/>
    </row>
    <row r="266" spans="1:16" s="268" customFormat="1" x14ac:dyDescent="0.25">
      <c r="A266" s="107"/>
      <c r="B266" s="107"/>
      <c r="C266" s="7"/>
      <c r="D266" s="7"/>
      <c r="E266" s="10"/>
      <c r="F266" s="107"/>
      <c r="G266" s="7"/>
      <c r="H266" s="7"/>
      <c r="I266" s="107"/>
      <c r="J266" s="107"/>
      <c r="K266" s="107"/>
      <c r="L266" s="107"/>
      <c r="M266" s="7"/>
      <c r="N266" s="7"/>
      <c r="O266" s="266"/>
      <c r="P266" s="266"/>
    </row>
    <row r="267" spans="1:16" s="268" customFormat="1" x14ac:dyDescent="0.25">
      <c r="A267" s="107"/>
      <c r="B267" s="107"/>
      <c r="C267" s="7"/>
      <c r="D267" s="7"/>
      <c r="E267" s="10"/>
      <c r="F267" s="107"/>
      <c r="G267" s="7"/>
      <c r="H267" s="7"/>
      <c r="I267" s="107"/>
      <c r="J267" s="107"/>
      <c r="K267" s="107"/>
      <c r="L267" s="107"/>
      <c r="M267" s="7"/>
      <c r="N267" s="7"/>
      <c r="O267" s="266"/>
      <c r="P267" s="266"/>
    </row>
    <row r="268" spans="1:16" s="268" customFormat="1" x14ac:dyDescent="0.25">
      <c r="A268" s="107"/>
      <c r="B268" s="107"/>
      <c r="C268" s="7"/>
      <c r="D268" s="7"/>
      <c r="E268" s="10"/>
      <c r="F268" s="107"/>
      <c r="G268" s="7"/>
      <c r="H268" s="7"/>
      <c r="I268" s="107"/>
      <c r="J268" s="107"/>
      <c r="K268" s="107"/>
      <c r="L268" s="107"/>
      <c r="M268" s="7"/>
      <c r="N268" s="7"/>
      <c r="O268" s="266"/>
      <c r="P268" s="266"/>
    </row>
    <row r="269" spans="1:16" s="268" customFormat="1" x14ac:dyDescent="0.25">
      <c r="A269" s="107"/>
      <c r="B269" s="107"/>
      <c r="C269" s="7"/>
      <c r="D269" s="7"/>
      <c r="E269" s="10"/>
      <c r="F269" s="107"/>
      <c r="G269" s="7"/>
      <c r="H269" s="7"/>
      <c r="I269" s="107"/>
      <c r="J269" s="107"/>
      <c r="K269" s="107"/>
      <c r="L269" s="107"/>
      <c r="M269" s="7"/>
      <c r="N269" s="7"/>
      <c r="O269" s="266"/>
      <c r="P269" s="266"/>
    </row>
    <row r="270" spans="1:16" s="268" customFormat="1" x14ac:dyDescent="0.25">
      <c r="A270" s="107"/>
      <c r="B270" s="107"/>
      <c r="C270" s="7"/>
      <c r="D270" s="7"/>
      <c r="E270" s="10"/>
      <c r="F270" s="107"/>
      <c r="G270" s="7"/>
      <c r="H270" s="7"/>
      <c r="I270" s="107"/>
      <c r="J270" s="107"/>
      <c r="K270" s="107"/>
      <c r="L270" s="107"/>
      <c r="M270" s="7"/>
      <c r="N270" s="7"/>
      <c r="O270" s="266"/>
      <c r="P270" s="266"/>
    </row>
    <row r="271" spans="1:16" s="268" customFormat="1" x14ac:dyDescent="0.25">
      <c r="A271" s="107"/>
      <c r="B271" s="107"/>
      <c r="C271" s="7"/>
      <c r="D271" s="7"/>
      <c r="E271" s="10"/>
      <c r="F271" s="107"/>
      <c r="G271" s="7"/>
      <c r="H271" s="7"/>
      <c r="I271" s="107"/>
      <c r="J271" s="107"/>
      <c r="K271" s="107"/>
      <c r="L271" s="107"/>
      <c r="M271" s="7"/>
      <c r="N271" s="7"/>
      <c r="O271" s="266"/>
      <c r="P271" s="266"/>
    </row>
    <row r="272" spans="1:16" s="268" customFormat="1" x14ac:dyDescent="0.25">
      <c r="A272" s="107"/>
      <c r="B272" s="107"/>
      <c r="C272" s="108"/>
      <c r="D272" s="108"/>
      <c r="E272" s="11"/>
      <c r="F272" s="107"/>
      <c r="G272" s="7"/>
      <c r="H272" s="7"/>
      <c r="I272" s="107"/>
      <c r="J272" s="107"/>
      <c r="K272" s="107"/>
      <c r="L272" s="107"/>
      <c r="M272" s="7"/>
      <c r="N272" s="7"/>
      <c r="O272" s="266"/>
      <c r="P272" s="266"/>
    </row>
    <row r="273" spans="1:16" s="268" customFormat="1" x14ac:dyDescent="0.25">
      <c r="A273" s="107"/>
      <c r="B273" s="107"/>
      <c r="C273" s="108"/>
      <c r="D273" s="108"/>
      <c r="E273" s="11"/>
      <c r="F273" s="107"/>
      <c r="G273" s="7"/>
      <c r="H273" s="7"/>
      <c r="I273" s="107"/>
      <c r="J273" s="107"/>
      <c r="K273" s="107"/>
      <c r="L273" s="107"/>
      <c r="M273" s="7"/>
      <c r="N273" s="7"/>
      <c r="O273" s="266"/>
      <c r="P273" s="266"/>
    </row>
    <row r="274" spans="1:16" s="268" customFormat="1" x14ac:dyDescent="0.25">
      <c r="A274" s="107"/>
      <c r="B274" s="107"/>
      <c r="C274" s="108"/>
      <c r="D274" s="108"/>
      <c r="E274" s="11"/>
      <c r="F274" s="107"/>
      <c r="G274" s="7"/>
      <c r="H274" s="7"/>
      <c r="I274" s="107"/>
      <c r="J274" s="107"/>
      <c r="K274" s="107"/>
      <c r="L274" s="107"/>
      <c r="M274" s="7"/>
      <c r="N274" s="7"/>
      <c r="O274" s="266"/>
      <c r="P274" s="266"/>
    </row>
    <row r="275" spans="1:16" s="268" customFormat="1" x14ac:dyDescent="0.25">
      <c r="A275" s="107"/>
      <c r="B275" s="107"/>
      <c r="C275" s="108"/>
      <c r="D275" s="108"/>
      <c r="E275" s="11"/>
      <c r="F275" s="107"/>
      <c r="G275" s="7"/>
      <c r="H275" s="7"/>
      <c r="I275" s="107"/>
      <c r="J275" s="107"/>
      <c r="K275" s="107"/>
      <c r="L275" s="107"/>
      <c r="M275" s="7"/>
      <c r="N275" s="7"/>
      <c r="O275" s="266"/>
      <c r="P275" s="266"/>
    </row>
    <row r="276" spans="1:16" s="268" customFormat="1" x14ac:dyDescent="0.25">
      <c r="A276" s="107"/>
      <c r="B276" s="107"/>
      <c r="C276" s="108"/>
      <c r="D276" s="108"/>
      <c r="E276" s="11"/>
      <c r="F276" s="107"/>
      <c r="G276" s="7"/>
      <c r="H276" s="7"/>
      <c r="I276" s="107"/>
      <c r="J276" s="107"/>
      <c r="K276" s="107"/>
      <c r="L276" s="107"/>
      <c r="M276" s="7"/>
      <c r="N276" s="7"/>
      <c r="O276" s="266"/>
      <c r="P276" s="266"/>
    </row>
    <row r="277" spans="1:16" s="268" customFormat="1" x14ac:dyDescent="0.25">
      <c r="A277" s="107"/>
      <c r="B277" s="107"/>
      <c r="C277" s="108"/>
      <c r="D277" s="108"/>
      <c r="E277" s="11"/>
      <c r="F277" s="107"/>
      <c r="G277" s="7"/>
      <c r="H277" s="7"/>
      <c r="I277" s="107"/>
      <c r="J277" s="107"/>
      <c r="K277" s="107"/>
      <c r="L277" s="107"/>
      <c r="M277" s="7"/>
      <c r="N277" s="7"/>
      <c r="O277" s="266"/>
      <c r="P277" s="266"/>
    </row>
    <row r="278" spans="1:16" s="268" customFormat="1" x14ac:dyDescent="0.25">
      <c r="A278" s="107"/>
      <c r="B278" s="107"/>
      <c r="C278" s="108"/>
      <c r="D278" s="108"/>
      <c r="E278" s="11"/>
      <c r="F278" s="107"/>
      <c r="G278" s="7"/>
      <c r="H278" s="7"/>
      <c r="I278" s="107"/>
      <c r="J278" s="107"/>
      <c r="K278" s="107"/>
      <c r="L278" s="107"/>
      <c r="M278" s="7"/>
      <c r="N278" s="7"/>
      <c r="O278" s="266"/>
      <c r="P278" s="266"/>
    </row>
    <row r="279" spans="1:16" s="268" customFormat="1" x14ac:dyDescent="0.25">
      <c r="A279" s="107"/>
      <c r="B279" s="107"/>
      <c r="C279" s="108"/>
      <c r="D279" s="108"/>
      <c r="E279" s="11"/>
      <c r="F279" s="107"/>
      <c r="G279" s="7"/>
      <c r="H279" s="7"/>
      <c r="I279" s="107"/>
      <c r="J279" s="107"/>
      <c r="K279" s="107"/>
      <c r="L279" s="107"/>
      <c r="M279" s="7"/>
      <c r="N279" s="7"/>
      <c r="O279" s="266"/>
      <c r="P279" s="266"/>
    </row>
    <row r="280" spans="1:16" s="268" customFormat="1" x14ac:dyDescent="0.25">
      <c r="A280" s="107"/>
      <c r="B280" s="107"/>
      <c r="C280" s="108"/>
      <c r="D280" s="108"/>
      <c r="E280" s="11"/>
      <c r="F280" s="107"/>
      <c r="G280" s="7"/>
      <c r="H280" s="7"/>
      <c r="I280" s="107"/>
      <c r="J280" s="107"/>
      <c r="K280" s="107"/>
      <c r="L280" s="107"/>
      <c r="M280" s="7"/>
      <c r="N280" s="7"/>
      <c r="O280" s="266"/>
      <c r="P280" s="266"/>
    </row>
    <row r="281" spans="1:16" s="268" customFormat="1" x14ac:dyDescent="0.25">
      <c r="A281" s="107"/>
      <c r="B281" s="107"/>
      <c r="C281" s="108"/>
      <c r="D281" s="108"/>
      <c r="E281" s="11"/>
      <c r="F281" s="107"/>
      <c r="G281" s="7"/>
      <c r="H281" s="7"/>
      <c r="I281" s="107"/>
      <c r="J281" s="107"/>
      <c r="K281" s="107"/>
      <c r="L281" s="107"/>
      <c r="M281" s="7"/>
      <c r="N281" s="7"/>
      <c r="O281" s="266"/>
      <c r="P281" s="266"/>
    </row>
    <row r="282" spans="1:16" s="268" customFormat="1" x14ac:dyDescent="0.25">
      <c r="A282" s="107"/>
      <c r="B282" s="107"/>
      <c r="C282" s="108"/>
      <c r="D282" s="108"/>
      <c r="E282" s="11"/>
      <c r="F282" s="107"/>
      <c r="G282" s="7"/>
      <c r="H282" s="7"/>
      <c r="I282" s="107"/>
      <c r="J282" s="107"/>
      <c r="K282" s="107"/>
      <c r="L282" s="107"/>
      <c r="M282" s="7"/>
      <c r="N282" s="7"/>
      <c r="O282" s="266"/>
      <c r="P282" s="266"/>
    </row>
    <row r="283" spans="1:16" s="268" customFormat="1" x14ac:dyDescent="0.25">
      <c r="A283" s="107"/>
      <c r="B283" s="107"/>
      <c r="C283" s="108"/>
      <c r="D283" s="108"/>
      <c r="E283" s="11"/>
      <c r="F283" s="107"/>
      <c r="G283" s="7"/>
      <c r="H283" s="7"/>
      <c r="I283" s="107"/>
      <c r="J283" s="107"/>
      <c r="K283" s="107"/>
      <c r="L283" s="107"/>
      <c r="M283" s="7"/>
      <c r="N283" s="7"/>
      <c r="O283" s="266"/>
      <c r="P283" s="266"/>
    </row>
    <row r="284" spans="1:16" s="268" customFormat="1" x14ac:dyDescent="0.25">
      <c r="A284" s="107"/>
      <c r="B284" s="107"/>
      <c r="C284" s="108"/>
      <c r="D284" s="108"/>
      <c r="E284" s="11"/>
      <c r="F284" s="107"/>
      <c r="G284" s="7"/>
      <c r="H284" s="7"/>
      <c r="I284" s="107"/>
      <c r="J284" s="107"/>
      <c r="K284" s="107"/>
      <c r="L284" s="107"/>
      <c r="M284" s="7"/>
      <c r="N284" s="7"/>
      <c r="O284" s="266"/>
      <c r="P284" s="266"/>
    </row>
    <row r="285" spans="1:16" s="268" customFormat="1" x14ac:dyDescent="0.25">
      <c r="A285" s="107"/>
      <c r="B285" s="107"/>
      <c r="C285" s="7"/>
      <c r="D285" s="7"/>
      <c r="E285" s="10"/>
      <c r="F285" s="107"/>
      <c r="G285" s="7"/>
      <c r="H285" s="7"/>
      <c r="I285" s="107"/>
      <c r="J285" s="107"/>
      <c r="K285" s="107"/>
      <c r="L285" s="107"/>
      <c r="M285" s="7"/>
      <c r="N285" s="7"/>
      <c r="O285" s="266"/>
      <c r="P285" s="266"/>
    </row>
    <row r="286" spans="1:16" s="268" customFormat="1" x14ac:dyDescent="0.25">
      <c r="A286" s="107"/>
      <c r="B286" s="107"/>
      <c r="C286" s="7"/>
      <c r="D286" s="7"/>
      <c r="E286" s="10"/>
      <c r="F286" s="107"/>
      <c r="G286" s="7"/>
      <c r="H286" s="7"/>
      <c r="I286" s="107"/>
      <c r="J286" s="107"/>
      <c r="K286" s="107"/>
      <c r="L286" s="107"/>
      <c r="M286" s="7"/>
      <c r="N286" s="7"/>
      <c r="O286" s="266"/>
      <c r="P286" s="266"/>
    </row>
    <row r="287" spans="1:16" s="268" customFormat="1" x14ac:dyDescent="0.25">
      <c r="A287" s="107"/>
      <c r="B287" s="107"/>
      <c r="C287" s="7"/>
      <c r="D287" s="7"/>
      <c r="E287" s="10"/>
      <c r="F287" s="107"/>
      <c r="G287" s="7"/>
      <c r="H287" s="7"/>
      <c r="I287" s="107"/>
      <c r="J287" s="107"/>
      <c r="K287" s="107"/>
      <c r="L287" s="107"/>
      <c r="M287" s="7"/>
      <c r="N287" s="7"/>
      <c r="O287" s="266"/>
      <c r="P287" s="266"/>
    </row>
    <row r="288" spans="1:16" s="268" customFormat="1" x14ac:dyDescent="0.25">
      <c r="A288" s="107"/>
      <c r="B288" s="107"/>
      <c r="C288" s="7"/>
      <c r="D288" s="7"/>
      <c r="E288" s="10"/>
      <c r="F288" s="107"/>
      <c r="G288" s="7"/>
      <c r="H288" s="7"/>
      <c r="I288" s="107"/>
      <c r="J288" s="107"/>
      <c r="K288" s="107"/>
      <c r="L288" s="107"/>
      <c r="M288" s="7"/>
      <c r="N288" s="7"/>
      <c r="O288" s="266"/>
      <c r="P288" s="266"/>
    </row>
    <row r="289" spans="1:16" s="268" customFormat="1" x14ac:dyDescent="0.25">
      <c r="A289" s="107"/>
      <c r="B289" s="107"/>
      <c r="C289" s="7"/>
      <c r="D289" s="7"/>
      <c r="E289" s="10"/>
      <c r="F289" s="107"/>
      <c r="G289" s="7"/>
      <c r="H289" s="7"/>
      <c r="I289" s="107"/>
      <c r="J289" s="107"/>
      <c r="K289" s="107"/>
      <c r="L289" s="107"/>
      <c r="M289" s="7"/>
      <c r="N289" s="7"/>
      <c r="O289" s="266"/>
      <c r="P289" s="266"/>
    </row>
    <row r="290" spans="1:16" s="268" customFormat="1" x14ac:dyDescent="0.25">
      <c r="A290" s="107"/>
      <c r="B290" s="107"/>
      <c r="C290" s="7"/>
      <c r="D290" s="7"/>
      <c r="E290" s="10"/>
      <c r="F290" s="107"/>
      <c r="G290" s="7"/>
      <c r="H290" s="7"/>
      <c r="I290" s="107"/>
      <c r="J290" s="107"/>
      <c r="K290" s="107"/>
      <c r="L290" s="107"/>
      <c r="M290" s="7"/>
      <c r="N290" s="7"/>
      <c r="O290" s="266"/>
      <c r="P290" s="266"/>
    </row>
    <row r="291" spans="1:16" s="268" customFormat="1" x14ac:dyDescent="0.25">
      <c r="A291" s="107"/>
      <c r="B291" s="107"/>
      <c r="C291" s="7"/>
      <c r="D291" s="7"/>
      <c r="E291" s="10"/>
      <c r="F291" s="107"/>
      <c r="G291" s="7"/>
      <c r="H291" s="7"/>
      <c r="I291" s="107"/>
      <c r="J291" s="107"/>
      <c r="K291" s="107"/>
      <c r="L291" s="107"/>
      <c r="M291" s="7"/>
      <c r="N291" s="7"/>
      <c r="O291" s="266"/>
      <c r="P291" s="266"/>
    </row>
    <row r="292" spans="1:16" s="268" customFormat="1" x14ac:dyDescent="0.25">
      <c r="A292" s="107"/>
      <c r="B292" s="107"/>
      <c r="C292" s="7"/>
      <c r="D292" s="7"/>
      <c r="E292" s="10"/>
      <c r="F292" s="107"/>
      <c r="G292" s="7"/>
      <c r="H292" s="7"/>
      <c r="I292" s="107"/>
      <c r="J292" s="107"/>
      <c r="K292" s="107"/>
      <c r="L292" s="107"/>
      <c r="M292" s="7"/>
      <c r="N292" s="7"/>
      <c r="O292" s="266"/>
      <c r="P292" s="266"/>
    </row>
    <row r="293" spans="1:16" s="268" customFormat="1" x14ac:dyDescent="0.25">
      <c r="A293" s="107"/>
      <c r="B293" s="107"/>
      <c r="C293" s="7"/>
      <c r="D293" s="7"/>
      <c r="E293" s="10"/>
      <c r="F293" s="107"/>
      <c r="G293" s="7"/>
      <c r="H293" s="7"/>
      <c r="I293" s="107"/>
      <c r="J293" s="107"/>
      <c r="K293" s="107"/>
      <c r="L293" s="107"/>
      <c r="M293" s="7"/>
      <c r="N293" s="7"/>
      <c r="O293" s="266"/>
      <c r="P293" s="266"/>
    </row>
    <row r="294" spans="1:16" s="268" customFormat="1" x14ac:dyDescent="0.25">
      <c r="A294" s="107"/>
      <c r="B294" s="107"/>
      <c r="C294" s="7"/>
      <c r="D294" s="7"/>
      <c r="E294" s="10"/>
      <c r="F294" s="107"/>
      <c r="G294" s="7"/>
      <c r="H294" s="7"/>
      <c r="I294" s="107"/>
      <c r="J294" s="107"/>
      <c r="K294" s="107"/>
      <c r="L294" s="107"/>
      <c r="M294" s="7"/>
      <c r="N294" s="7"/>
      <c r="O294" s="266"/>
      <c r="P294" s="266"/>
    </row>
    <row r="295" spans="1:16" s="268" customFormat="1" x14ac:dyDescent="0.25">
      <c r="A295" s="107"/>
      <c r="B295" s="107"/>
      <c r="C295" s="7"/>
      <c r="D295" s="7"/>
      <c r="E295" s="10"/>
      <c r="F295" s="107"/>
      <c r="G295" s="7"/>
      <c r="H295" s="7"/>
      <c r="I295" s="107"/>
      <c r="J295" s="107"/>
      <c r="K295" s="107"/>
      <c r="L295" s="107"/>
      <c r="M295" s="7"/>
      <c r="N295" s="7"/>
      <c r="O295" s="266"/>
      <c r="P295" s="266"/>
    </row>
    <row r="296" spans="1:16" s="268" customFormat="1" x14ac:dyDescent="0.25">
      <c r="A296" s="107"/>
      <c r="B296" s="107"/>
      <c r="C296" s="7"/>
      <c r="D296" s="7"/>
      <c r="E296" s="10"/>
      <c r="F296" s="107"/>
      <c r="G296" s="7"/>
      <c r="H296" s="7"/>
      <c r="I296" s="107"/>
      <c r="J296" s="107"/>
      <c r="K296" s="107"/>
      <c r="L296" s="107"/>
      <c r="M296" s="7"/>
      <c r="N296" s="7"/>
      <c r="O296" s="266"/>
      <c r="P296" s="266"/>
    </row>
    <row r="297" spans="1:16" s="268" customFormat="1" x14ac:dyDescent="0.25">
      <c r="A297" s="107"/>
      <c r="B297" s="107"/>
      <c r="C297" s="7"/>
      <c r="D297" s="7"/>
      <c r="E297" s="10"/>
      <c r="F297" s="107"/>
      <c r="G297" s="7"/>
      <c r="H297" s="7"/>
      <c r="I297" s="107"/>
      <c r="J297" s="107"/>
      <c r="K297" s="107"/>
      <c r="L297" s="107"/>
      <c r="M297" s="7"/>
      <c r="N297" s="7"/>
      <c r="O297" s="266"/>
      <c r="P297" s="266"/>
    </row>
    <row r="298" spans="1:16" s="268" customFormat="1" x14ac:dyDescent="0.25">
      <c r="A298" s="107"/>
      <c r="B298" s="107"/>
      <c r="C298" s="7"/>
      <c r="D298" s="7"/>
      <c r="E298" s="10"/>
      <c r="F298" s="107"/>
      <c r="G298" s="7"/>
      <c r="H298" s="7"/>
      <c r="I298" s="107"/>
      <c r="J298" s="107"/>
      <c r="K298" s="107"/>
      <c r="L298" s="107"/>
      <c r="M298" s="7"/>
      <c r="N298" s="7"/>
      <c r="O298" s="266"/>
      <c r="P298" s="266"/>
    </row>
    <row r="299" spans="1:16" s="268" customFormat="1" x14ac:dyDescent="0.25">
      <c r="A299" s="107"/>
      <c r="B299" s="107"/>
      <c r="C299" s="7"/>
      <c r="D299" s="7"/>
      <c r="E299" s="10"/>
      <c r="F299" s="107"/>
      <c r="G299" s="7"/>
      <c r="H299" s="7"/>
      <c r="I299" s="107"/>
      <c r="J299" s="107"/>
      <c r="K299" s="107"/>
      <c r="L299" s="107"/>
      <c r="M299" s="7"/>
      <c r="N299" s="7"/>
      <c r="O299" s="266"/>
      <c r="P299" s="266"/>
    </row>
    <row r="300" spans="1:16" s="268" customFormat="1" x14ac:dyDescent="0.25">
      <c r="A300" s="107"/>
      <c r="B300" s="107"/>
      <c r="C300" s="7"/>
      <c r="D300" s="7"/>
      <c r="E300" s="10"/>
      <c r="F300" s="107"/>
      <c r="G300" s="7"/>
      <c r="H300" s="7"/>
      <c r="I300" s="107"/>
      <c r="J300" s="107"/>
      <c r="K300" s="107"/>
      <c r="L300" s="107"/>
      <c r="M300" s="7"/>
      <c r="N300" s="7"/>
      <c r="O300" s="266"/>
      <c r="P300" s="266"/>
    </row>
    <row r="301" spans="1:16" s="268" customFormat="1" x14ac:dyDescent="0.25">
      <c r="A301" s="107"/>
      <c r="B301" s="107"/>
      <c r="C301" s="7"/>
      <c r="D301" s="7"/>
      <c r="E301" s="10"/>
      <c r="F301" s="107"/>
      <c r="G301" s="7"/>
      <c r="H301" s="7"/>
      <c r="I301" s="107"/>
      <c r="J301" s="107"/>
      <c r="K301" s="107"/>
      <c r="L301" s="107"/>
      <c r="M301" s="7"/>
      <c r="N301" s="7"/>
      <c r="O301" s="266"/>
      <c r="P301" s="266"/>
    </row>
    <row r="302" spans="1:16" s="268" customFormat="1" x14ac:dyDescent="0.25">
      <c r="A302" s="107"/>
      <c r="B302" s="107"/>
      <c r="C302" s="7"/>
      <c r="D302" s="7"/>
      <c r="E302" s="10"/>
      <c r="F302" s="107"/>
      <c r="G302" s="7"/>
      <c r="H302" s="7"/>
      <c r="I302" s="107"/>
      <c r="J302" s="107"/>
      <c r="K302" s="107"/>
      <c r="L302" s="107"/>
      <c r="M302" s="7"/>
      <c r="N302" s="7"/>
      <c r="O302" s="266"/>
      <c r="P302" s="266"/>
    </row>
    <row r="303" spans="1:16" s="268" customFormat="1" x14ac:dyDescent="0.25">
      <c r="A303" s="107"/>
      <c r="B303" s="107"/>
      <c r="C303" s="7"/>
      <c r="D303" s="7"/>
      <c r="E303" s="10"/>
      <c r="F303" s="107"/>
      <c r="G303" s="7"/>
      <c r="H303" s="7"/>
      <c r="I303" s="107"/>
      <c r="J303" s="107"/>
      <c r="K303" s="107"/>
      <c r="L303" s="107"/>
      <c r="M303" s="7"/>
      <c r="N303" s="7"/>
      <c r="O303" s="266"/>
      <c r="P303" s="266"/>
    </row>
    <row r="304" spans="1:16" s="268" customFormat="1" x14ac:dyDescent="0.25">
      <c r="A304" s="107"/>
      <c r="B304" s="107"/>
      <c r="C304" s="7"/>
      <c r="D304" s="7"/>
      <c r="E304" s="10"/>
      <c r="F304" s="107"/>
      <c r="G304" s="7"/>
      <c r="H304" s="7"/>
      <c r="I304" s="107"/>
      <c r="J304" s="107"/>
      <c r="K304" s="107"/>
      <c r="L304" s="107"/>
      <c r="M304" s="7"/>
      <c r="N304" s="7"/>
      <c r="O304" s="266"/>
      <c r="P304" s="266"/>
    </row>
    <row r="305" spans="1:16" s="268" customFormat="1" x14ac:dyDescent="0.25">
      <c r="A305" s="107"/>
      <c r="B305" s="107"/>
      <c r="C305" s="7"/>
      <c r="D305" s="7"/>
      <c r="E305" s="10"/>
      <c r="F305" s="107"/>
      <c r="G305" s="7"/>
      <c r="H305" s="7"/>
      <c r="I305" s="107"/>
      <c r="J305" s="107"/>
      <c r="K305" s="107"/>
      <c r="L305" s="107"/>
      <c r="M305" s="7"/>
      <c r="N305" s="7"/>
      <c r="O305" s="266"/>
      <c r="P305" s="266"/>
    </row>
    <row r="306" spans="1:16" s="268" customFormat="1" x14ac:dyDescent="0.25">
      <c r="A306" s="107"/>
      <c r="B306" s="107"/>
      <c r="C306" s="7"/>
      <c r="D306" s="7"/>
      <c r="E306" s="10"/>
      <c r="F306" s="107"/>
      <c r="G306" s="7"/>
      <c r="H306" s="7"/>
      <c r="I306" s="107"/>
      <c r="J306" s="107"/>
      <c r="K306" s="107"/>
      <c r="L306" s="107"/>
      <c r="M306" s="7"/>
      <c r="N306" s="7"/>
      <c r="O306" s="266"/>
      <c r="P306" s="266"/>
    </row>
    <row r="307" spans="1:16" s="268" customFormat="1" x14ac:dyDescent="0.25">
      <c r="A307" s="107"/>
      <c r="B307" s="107"/>
      <c r="C307" s="7"/>
      <c r="D307" s="7"/>
      <c r="E307" s="10"/>
      <c r="F307" s="107"/>
      <c r="G307" s="7"/>
      <c r="H307" s="7"/>
      <c r="I307" s="107"/>
      <c r="J307" s="107"/>
      <c r="K307" s="107"/>
      <c r="L307" s="107"/>
      <c r="M307" s="7"/>
      <c r="N307" s="7"/>
      <c r="O307" s="266"/>
      <c r="P307" s="266"/>
    </row>
    <row r="308" spans="1:16" s="268" customFormat="1" x14ac:dyDescent="0.25">
      <c r="A308" s="107"/>
      <c r="B308" s="107"/>
      <c r="C308" s="7"/>
      <c r="D308" s="7"/>
      <c r="E308" s="10"/>
      <c r="F308" s="107"/>
      <c r="G308" s="7"/>
      <c r="H308" s="7"/>
      <c r="I308" s="107"/>
      <c r="J308" s="107"/>
      <c r="K308" s="107"/>
      <c r="L308" s="107"/>
      <c r="M308" s="7"/>
      <c r="N308" s="7"/>
      <c r="O308" s="266"/>
      <c r="P308" s="266"/>
    </row>
    <row r="309" spans="1:16" s="268" customFormat="1" x14ac:dyDescent="0.25">
      <c r="A309" s="107"/>
      <c r="B309" s="107"/>
      <c r="C309" s="7"/>
      <c r="D309" s="7"/>
      <c r="E309" s="10"/>
      <c r="F309" s="107"/>
      <c r="G309" s="7"/>
      <c r="H309" s="7"/>
      <c r="I309" s="107"/>
      <c r="J309" s="107"/>
      <c r="K309" s="107"/>
      <c r="L309" s="107"/>
      <c r="M309" s="7"/>
      <c r="N309" s="7"/>
      <c r="O309" s="266"/>
      <c r="P309" s="266"/>
    </row>
    <row r="310" spans="1:16" s="268" customFormat="1" x14ac:dyDescent="0.25">
      <c r="A310" s="107"/>
      <c r="B310" s="107"/>
      <c r="C310" s="7"/>
      <c r="D310" s="7"/>
      <c r="E310" s="10"/>
      <c r="F310" s="107"/>
      <c r="G310" s="7"/>
      <c r="H310" s="7"/>
      <c r="I310" s="107"/>
      <c r="J310" s="107"/>
      <c r="K310" s="107"/>
      <c r="L310" s="107"/>
      <c r="M310" s="7"/>
      <c r="N310" s="7"/>
      <c r="O310" s="266"/>
      <c r="P310" s="266"/>
    </row>
    <row r="311" spans="1:16" s="268" customFormat="1" x14ac:dyDescent="0.25">
      <c r="A311" s="107"/>
      <c r="B311" s="107"/>
      <c r="C311" s="7"/>
      <c r="D311" s="7"/>
      <c r="E311" s="10"/>
      <c r="F311" s="107"/>
      <c r="G311" s="7"/>
      <c r="H311" s="7"/>
      <c r="I311" s="107"/>
      <c r="J311" s="107"/>
      <c r="K311" s="107"/>
      <c r="L311" s="107"/>
      <c r="M311" s="7"/>
      <c r="N311" s="7"/>
      <c r="O311" s="266"/>
      <c r="P311" s="266"/>
    </row>
    <row r="312" spans="1:16" s="268" customFormat="1" x14ac:dyDescent="0.25">
      <c r="A312" s="107"/>
      <c r="B312" s="107"/>
      <c r="C312" s="7"/>
      <c r="D312" s="7"/>
      <c r="E312" s="10"/>
      <c r="F312" s="107"/>
      <c r="G312" s="7"/>
      <c r="H312" s="7"/>
      <c r="I312" s="107"/>
      <c r="J312" s="107"/>
      <c r="K312" s="107"/>
      <c r="L312" s="107"/>
      <c r="M312" s="7"/>
      <c r="N312" s="7"/>
      <c r="O312" s="266"/>
      <c r="P312" s="266"/>
    </row>
    <row r="313" spans="1:16" s="268" customFormat="1" x14ac:dyDescent="0.25">
      <c r="A313" s="107"/>
      <c r="B313" s="107"/>
      <c r="C313" s="7"/>
      <c r="D313" s="7"/>
      <c r="E313" s="10"/>
      <c r="F313" s="107"/>
      <c r="G313" s="7"/>
      <c r="H313" s="7"/>
      <c r="I313" s="107"/>
      <c r="J313" s="107"/>
      <c r="K313" s="107"/>
      <c r="L313" s="107"/>
      <c r="M313" s="7"/>
      <c r="N313" s="7"/>
      <c r="O313" s="266"/>
      <c r="P313" s="266"/>
    </row>
    <row r="314" spans="1:16" s="268" customFormat="1" x14ac:dyDescent="0.25">
      <c r="A314" s="107"/>
      <c r="B314" s="107"/>
      <c r="C314" s="7"/>
      <c r="D314" s="7"/>
      <c r="E314" s="10"/>
      <c r="F314" s="107"/>
      <c r="G314" s="7"/>
      <c r="H314" s="7"/>
      <c r="I314" s="107"/>
      <c r="J314" s="107"/>
      <c r="K314" s="107"/>
      <c r="L314" s="107"/>
      <c r="M314" s="7"/>
      <c r="N314" s="7"/>
      <c r="O314" s="266"/>
      <c r="P314" s="266"/>
    </row>
    <row r="315" spans="1:16" s="268" customFormat="1" x14ac:dyDescent="0.25">
      <c r="A315" s="107"/>
      <c r="B315" s="107"/>
      <c r="C315" s="7"/>
      <c r="D315" s="7"/>
      <c r="E315" s="10"/>
      <c r="F315" s="107"/>
      <c r="G315" s="7"/>
      <c r="H315" s="7"/>
      <c r="I315" s="107"/>
      <c r="J315" s="107"/>
      <c r="K315" s="107"/>
      <c r="L315" s="107"/>
      <c r="M315" s="7"/>
      <c r="N315" s="7"/>
      <c r="O315" s="266"/>
      <c r="P315" s="266"/>
    </row>
    <row r="316" spans="1:16" s="268" customFormat="1" x14ac:dyDescent="0.25">
      <c r="A316" s="107"/>
      <c r="B316" s="107"/>
      <c r="C316" s="7"/>
      <c r="D316" s="7"/>
      <c r="E316" s="10"/>
      <c r="F316" s="107"/>
      <c r="G316" s="7"/>
      <c r="H316" s="7"/>
      <c r="I316" s="107"/>
      <c r="J316" s="107"/>
      <c r="K316" s="107"/>
      <c r="L316" s="107"/>
      <c r="M316" s="7"/>
      <c r="N316" s="7"/>
      <c r="O316" s="266"/>
      <c r="P316" s="266"/>
    </row>
    <row r="317" spans="1:16" s="268" customFormat="1" x14ac:dyDescent="0.25">
      <c r="A317" s="107"/>
      <c r="B317" s="107"/>
      <c r="C317" s="7"/>
      <c r="D317" s="7"/>
      <c r="E317" s="10"/>
      <c r="F317" s="107"/>
      <c r="G317" s="7"/>
      <c r="H317" s="7"/>
      <c r="I317" s="107"/>
      <c r="J317" s="107"/>
      <c r="K317" s="107"/>
      <c r="L317" s="107"/>
      <c r="M317" s="7"/>
      <c r="N317" s="7"/>
      <c r="O317" s="266"/>
      <c r="P317" s="266"/>
    </row>
    <row r="318" spans="1:16" s="268" customFormat="1" x14ac:dyDescent="0.25">
      <c r="A318" s="107"/>
      <c r="B318" s="107"/>
      <c r="C318" s="7"/>
      <c r="D318" s="7"/>
      <c r="E318" s="10"/>
      <c r="F318" s="107"/>
      <c r="G318" s="7"/>
      <c r="H318" s="7"/>
      <c r="I318" s="107"/>
      <c r="J318" s="107"/>
      <c r="K318" s="107"/>
      <c r="L318" s="107"/>
      <c r="M318" s="7"/>
      <c r="N318" s="7"/>
      <c r="O318" s="266"/>
      <c r="P318" s="266"/>
    </row>
    <row r="319" spans="1:16" s="268" customFormat="1" x14ac:dyDescent="0.25">
      <c r="A319" s="107"/>
      <c r="B319" s="107"/>
      <c r="C319" s="7"/>
      <c r="D319" s="7"/>
      <c r="E319" s="10"/>
      <c r="F319" s="107"/>
      <c r="G319" s="7"/>
      <c r="H319" s="7"/>
      <c r="I319" s="107"/>
      <c r="J319" s="107"/>
      <c r="K319" s="107"/>
      <c r="L319" s="107"/>
      <c r="M319" s="7"/>
      <c r="N319" s="7"/>
      <c r="O319" s="266"/>
      <c r="P319" s="266"/>
    </row>
    <row r="320" spans="1:16" s="268" customFormat="1" x14ac:dyDescent="0.25">
      <c r="A320" s="107"/>
      <c r="B320" s="107"/>
      <c r="C320" s="7"/>
      <c r="D320" s="7"/>
      <c r="E320" s="10"/>
      <c r="F320" s="107"/>
      <c r="G320" s="7"/>
      <c r="H320" s="7"/>
      <c r="I320" s="107"/>
      <c r="J320" s="107"/>
      <c r="K320" s="107"/>
      <c r="L320" s="107"/>
      <c r="M320" s="7"/>
      <c r="N320" s="7"/>
      <c r="O320" s="266"/>
      <c r="P320" s="266"/>
    </row>
    <row r="321" spans="1:16" s="268" customFormat="1" x14ac:dyDescent="0.25">
      <c r="A321" s="107"/>
      <c r="B321" s="107"/>
      <c r="C321" s="7"/>
      <c r="D321" s="7"/>
      <c r="E321" s="10"/>
      <c r="F321" s="107"/>
      <c r="G321" s="7"/>
      <c r="H321" s="7"/>
      <c r="I321" s="107"/>
      <c r="J321" s="107"/>
      <c r="K321" s="107"/>
      <c r="L321" s="107"/>
      <c r="M321" s="7"/>
      <c r="N321" s="7"/>
      <c r="O321" s="266"/>
      <c r="P321" s="266"/>
    </row>
    <row r="322" spans="1:16" s="268" customFormat="1" x14ac:dyDescent="0.25">
      <c r="A322" s="107"/>
      <c r="B322" s="107"/>
      <c r="C322" s="7"/>
      <c r="D322" s="7"/>
      <c r="E322" s="10"/>
      <c r="F322" s="107"/>
      <c r="G322" s="7"/>
      <c r="H322" s="7"/>
      <c r="I322" s="107"/>
      <c r="J322" s="107"/>
      <c r="K322" s="107"/>
      <c r="L322" s="107"/>
      <c r="M322" s="7"/>
      <c r="N322" s="7"/>
      <c r="O322" s="266"/>
      <c r="P322" s="266"/>
    </row>
    <row r="323" spans="1:16" s="268" customFormat="1" x14ac:dyDescent="0.25">
      <c r="A323" s="107"/>
      <c r="B323" s="107"/>
      <c r="C323" s="7"/>
      <c r="D323" s="7"/>
      <c r="E323" s="10"/>
      <c r="F323" s="107"/>
      <c r="G323" s="7"/>
      <c r="H323" s="7"/>
      <c r="I323" s="107"/>
      <c r="J323" s="107"/>
      <c r="K323" s="107"/>
      <c r="L323" s="107"/>
      <c r="M323" s="7"/>
      <c r="N323" s="7"/>
      <c r="O323" s="266"/>
      <c r="P323" s="266"/>
    </row>
    <row r="324" spans="1:16" s="268" customFormat="1" x14ac:dyDescent="0.25">
      <c r="A324" s="107"/>
      <c r="B324" s="107"/>
      <c r="C324" s="7"/>
      <c r="D324" s="7"/>
      <c r="E324" s="10"/>
      <c r="F324" s="107"/>
      <c r="G324" s="7"/>
      <c r="H324" s="7"/>
      <c r="I324" s="107"/>
      <c r="J324" s="107"/>
      <c r="K324" s="107"/>
      <c r="L324" s="107"/>
      <c r="M324" s="7"/>
      <c r="N324" s="7"/>
      <c r="O324" s="266"/>
      <c r="P324" s="266"/>
    </row>
    <row r="325" spans="1:16" s="268" customFormat="1" x14ac:dyDescent="0.25">
      <c r="A325" s="107"/>
      <c r="B325" s="107"/>
      <c r="C325" s="7"/>
      <c r="D325" s="7"/>
      <c r="E325" s="10"/>
      <c r="F325" s="107"/>
      <c r="G325" s="7"/>
      <c r="H325" s="7"/>
      <c r="I325" s="107"/>
      <c r="J325" s="107"/>
      <c r="K325" s="107"/>
      <c r="L325" s="107"/>
      <c r="M325" s="7"/>
      <c r="N325" s="7"/>
      <c r="O325" s="266"/>
      <c r="P325" s="266"/>
    </row>
    <row r="326" spans="1:16" s="268" customFormat="1" x14ac:dyDescent="0.25">
      <c r="A326" s="107"/>
      <c r="B326" s="107"/>
      <c r="C326" s="7"/>
      <c r="D326" s="7"/>
      <c r="E326" s="10"/>
      <c r="F326" s="107"/>
      <c r="G326" s="108"/>
      <c r="H326" s="108"/>
      <c r="I326" s="107"/>
      <c r="J326" s="107"/>
      <c r="K326" s="107"/>
      <c r="L326" s="107"/>
      <c r="M326" s="108"/>
      <c r="N326" s="108"/>
      <c r="O326" s="270"/>
      <c r="P326" s="270"/>
    </row>
    <row r="327" spans="1:16" s="268" customFormat="1" x14ac:dyDescent="0.25">
      <c r="A327" s="107"/>
      <c r="B327" s="107"/>
      <c r="C327" s="7"/>
      <c r="D327" s="7"/>
      <c r="E327" s="10"/>
      <c r="F327" s="107"/>
      <c r="G327" s="108"/>
      <c r="H327" s="108"/>
      <c r="I327" s="107"/>
      <c r="J327" s="107"/>
      <c r="K327" s="107"/>
      <c r="L327" s="107"/>
      <c r="M327" s="108"/>
      <c r="N327" s="108"/>
      <c r="O327" s="270"/>
      <c r="P327" s="270"/>
    </row>
    <row r="328" spans="1:16" s="268" customFormat="1" x14ac:dyDescent="0.25">
      <c r="A328" s="107"/>
      <c r="B328" s="107"/>
      <c r="C328" s="7"/>
      <c r="D328" s="7"/>
      <c r="E328" s="10"/>
      <c r="F328" s="107"/>
      <c r="G328" s="108"/>
      <c r="H328" s="108"/>
      <c r="I328" s="107"/>
      <c r="J328" s="107"/>
      <c r="K328" s="107"/>
      <c r="L328" s="107"/>
      <c r="M328" s="108"/>
      <c r="N328" s="108"/>
      <c r="O328" s="270"/>
      <c r="P328" s="270"/>
    </row>
    <row r="329" spans="1:16" s="268" customFormat="1" x14ac:dyDescent="0.25">
      <c r="A329" s="107"/>
      <c r="B329" s="107"/>
      <c r="C329" s="7"/>
      <c r="D329" s="7"/>
      <c r="E329" s="10"/>
      <c r="F329" s="107"/>
      <c r="G329" s="108"/>
      <c r="H329" s="108"/>
      <c r="I329" s="107"/>
      <c r="J329" s="107"/>
      <c r="K329" s="107"/>
      <c r="L329" s="107"/>
      <c r="M329" s="108"/>
      <c r="N329" s="108"/>
      <c r="O329" s="270"/>
      <c r="P329" s="270"/>
    </row>
    <row r="330" spans="1:16" s="268" customFormat="1" x14ac:dyDescent="0.25">
      <c r="A330" s="107"/>
      <c r="B330" s="107"/>
      <c r="C330" s="7"/>
      <c r="D330" s="7"/>
      <c r="E330" s="10"/>
      <c r="F330" s="107"/>
      <c r="G330" s="108"/>
      <c r="H330" s="108"/>
      <c r="I330" s="107"/>
      <c r="J330" s="107"/>
      <c r="K330" s="107"/>
      <c r="L330" s="107"/>
      <c r="M330" s="108"/>
      <c r="N330" s="108"/>
      <c r="O330" s="270"/>
      <c r="P330" s="270"/>
    </row>
    <row r="331" spans="1:16" s="268" customFormat="1" x14ac:dyDescent="0.25">
      <c r="A331" s="107"/>
      <c r="B331" s="107"/>
      <c r="C331" s="7"/>
      <c r="D331" s="7"/>
      <c r="E331" s="10"/>
      <c r="F331" s="107"/>
      <c r="G331" s="108"/>
      <c r="H331" s="108"/>
      <c r="I331" s="107"/>
      <c r="J331" s="107"/>
      <c r="K331" s="107"/>
      <c r="L331" s="107"/>
      <c r="M331" s="108"/>
      <c r="N331" s="108"/>
      <c r="O331" s="270"/>
      <c r="P331" s="270"/>
    </row>
    <row r="332" spans="1:16" s="268" customFormat="1" x14ac:dyDescent="0.25">
      <c r="A332" s="107"/>
      <c r="B332" s="107"/>
      <c r="C332" s="7"/>
      <c r="D332" s="7"/>
      <c r="E332" s="10"/>
      <c r="F332" s="107"/>
      <c r="G332" s="108"/>
      <c r="H332" s="108"/>
      <c r="I332" s="107"/>
      <c r="J332" s="107"/>
      <c r="K332" s="107"/>
      <c r="L332" s="107"/>
      <c r="M332" s="108"/>
      <c r="N332" s="108"/>
      <c r="O332" s="270"/>
      <c r="P332" s="270"/>
    </row>
    <row r="333" spans="1:16" s="268" customFormat="1" x14ac:dyDescent="0.25">
      <c r="A333" s="107"/>
      <c r="B333" s="107"/>
      <c r="C333" s="7"/>
      <c r="D333" s="7"/>
      <c r="E333" s="10"/>
      <c r="F333" s="107"/>
      <c r="G333" s="108"/>
      <c r="H333" s="108"/>
      <c r="I333" s="107"/>
      <c r="J333" s="107"/>
      <c r="K333" s="107"/>
      <c r="L333" s="107"/>
      <c r="M333" s="108"/>
      <c r="N333" s="108"/>
      <c r="O333" s="270"/>
      <c r="P333" s="270"/>
    </row>
    <row r="334" spans="1:16" s="268" customFormat="1" x14ac:dyDescent="0.25">
      <c r="A334" s="107"/>
      <c r="B334" s="107"/>
      <c r="C334" s="7"/>
      <c r="D334" s="7"/>
      <c r="E334" s="10"/>
      <c r="F334" s="107"/>
      <c r="G334" s="108"/>
      <c r="H334" s="108"/>
      <c r="I334" s="107"/>
      <c r="J334" s="107"/>
      <c r="K334" s="107"/>
      <c r="L334" s="107"/>
      <c r="M334" s="108"/>
      <c r="N334" s="108"/>
      <c r="O334" s="270"/>
      <c r="P334" s="270"/>
    </row>
    <row r="335" spans="1:16" s="268" customFormat="1" x14ac:dyDescent="0.25">
      <c r="A335" s="107"/>
      <c r="B335" s="107"/>
      <c r="C335" s="7"/>
      <c r="D335" s="7"/>
      <c r="E335" s="10"/>
      <c r="F335" s="107"/>
      <c r="G335" s="108"/>
      <c r="H335" s="108"/>
      <c r="I335" s="107"/>
      <c r="J335" s="107"/>
      <c r="K335" s="107"/>
      <c r="L335" s="107"/>
      <c r="M335" s="108"/>
      <c r="N335" s="108"/>
      <c r="O335" s="270"/>
      <c r="P335" s="270"/>
    </row>
    <row r="336" spans="1:16" s="268" customFormat="1" x14ac:dyDescent="0.25">
      <c r="A336" s="107"/>
      <c r="B336" s="107"/>
      <c r="C336" s="7"/>
      <c r="D336" s="7"/>
      <c r="E336" s="10"/>
      <c r="F336" s="107"/>
      <c r="G336" s="108"/>
      <c r="H336" s="108"/>
      <c r="I336" s="107"/>
      <c r="J336" s="107"/>
      <c r="K336" s="107"/>
      <c r="L336" s="107"/>
      <c r="M336" s="108"/>
      <c r="N336" s="108"/>
      <c r="O336" s="270"/>
      <c r="P336" s="270"/>
    </row>
    <row r="337" spans="1:19" s="268" customFormat="1" x14ac:dyDescent="0.25">
      <c r="A337" s="107"/>
      <c r="B337" s="107"/>
      <c r="C337" s="7"/>
      <c r="D337" s="7"/>
      <c r="E337" s="10"/>
      <c r="F337" s="107"/>
      <c r="G337" s="108"/>
      <c r="H337" s="108"/>
      <c r="I337" s="107"/>
      <c r="J337" s="107"/>
      <c r="K337" s="107"/>
      <c r="L337" s="107"/>
      <c r="M337" s="108"/>
      <c r="N337" s="108"/>
      <c r="O337" s="270"/>
      <c r="P337" s="270"/>
    </row>
    <row r="338" spans="1:19" s="268" customFormat="1" x14ac:dyDescent="0.25">
      <c r="A338" s="107"/>
      <c r="B338" s="107"/>
      <c r="C338" s="7"/>
      <c r="D338" s="7"/>
      <c r="E338" s="10"/>
      <c r="F338" s="107"/>
      <c r="G338" s="108"/>
      <c r="H338" s="108"/>
      <c r="I338" s="107"/>
      <c r="J338" s="107"/>
      <c r="K338" s="107"/>
      <c r="L338" s="107"/>
      <c r="M338" s="108"/>
      <c r="N338" s="108"/>
      <c r="O338" s="270"/>
      <c r="P338" s="270"/>
    </row>
    <row r="339" spans="1:19" s="268" customFormat="1" x14ac:dyDescent="0.25">
      <c r="A339" s="107"/>
      <c r="B339" s="107"/>
      <c r="C339" s="7"/>
      <c r="D339" s="7"/>
      <c r="E339" s="10"/>
      <c r="F339" s="107"/>
      <c r="G339" s="108"/>
      <c r="H339" s="108"/>
      <c r="I339" s="107"/>
      <c r="J339" s="107"/>
      <c r="K339" s="107"/>
      <c r="L339" s="107"/>
      <c r="M339" s="108"/>
      <c r="N339" s="108"/>
      <c r="O339" s="270"/>
      <c r="P339" s="270"/>
    </row>
    <row r="340" spans="1:19" s="268" customFormat="1" x14ac:dyDescent="0.25">
      <c r="A340" s="107"/>
      <c r="B340" s="107"/>
      <c r="C340" s="7"/>
      <c r="D340" s="7"/>
      <c r="E340" s="10"/>
      <c r="F340" s="107"/>
      <c r="G340" s="108"/>
      <c r="H340" s="108"/>
      <c r="I340" s="107"/>
      <c r="J340" s="107"/>
      <c r="K340" s="107"/>
      <c r="L340" s="107"/>
      <c r="M340" s="108"/>
      <c r="N340" s="108"/>
      <c r="O340" s="270"/>
      <c r="P340" s="270"/>
    </row>
    <row r="341" spans="1:19" s="268" customFormat="1" x14ac:dyDescent="0.25">
      <c r="A341" s="107"/>
      <c r="B341" s="107"/>
      <c r="C341" s="7"/>
      <c r="D341" s="7"/>
      <c r="E341" s="10"/>
      <c r="F341" s="107"/>
      <c r="G341" s="107"/>
      <c r="H341" s="107"/>
      <c r="I341" s="107"/>
      <c r="J341" s="107"/>
      <c r="K341" s="107"/>
      <c r="L341" s="107"/>
      <c r="M341" s="107"/>
      <c r="N341" s="107"/>
      <c r="S341" s="107"/>
    </row>
    <row r="342" spans="1:19" s="268" customFormat="1" x14ac:dyDescent="0.25">
      <c r="A342" s="107"/>
      <c r="B342" s="107"/>
      <c r="C342" s="7"/>
      <c r="D342" s="7"/>
      <c r="E342" s="10"/>
      <c r="F342" s="107"/>
      <c r="G342" s="107"/>
      <c r="H342" s="107"/>
      <c r="I342" s="107"/>
      <c r="J342" s="107"/>
      <c r="K342" s="107"/>
      <c r="L342" s="107"/>
      <c r="M342" s="107"/>
      <c r="N342" s="107"/>
      <c r="S342" s="107"/>
    </row>
    <row r="343" spans="1:19" s="268" customFormat="1" x14ac:dyDescent="0.25">
      <c r="A343" s="107"/>
      <c r="B343" s="107"/>
      <c r="C343" s="7"/>
      <c r="D343" s="7"/>
      <c r="E343" s="10"/>
      <c r="F343" s="107"/>
      <c r="G343" s="107"/>
      <c r="H343" s="107"/>
      <c r="I343" s="107"/>
      <c r="J343" s="107"/>
      <c r="K343" s="107"/>
      <c r="L343" s="107"/>
      <c r="M343" s="107"/>
      <c r="N343" s="107"/>
      <c r="S343" s="107"/>
    </row>
    <row r="344" spans="1:19" s="268" customFormat="1" x14ac:dyDescent="0.25">
      <c r="A344" s="107"/>
      <c r="B344" s="107"/>
      <c r="C344" s="7"/>
      <c r="D344" s="7"/>
      <c r="E344" s="10"/>
      <c r="F344" s="107"/>
      <c r="G344" s="107"/>
      <c r="H344" s="107"/>
      <c r="I344" s="107"/>
      <c r="J344" s="107"/>
      <c r="K344" s="107"/>
      <c r="L344" s="107"/>
      <c r="M344" s="107"/>
      <c r="N344" s="107"/>
      <c r="S344" s="107"/>
    </row>
    <row r="345" spans="1:19" s="268" customFormat="1" x14ac:dyDescent="0.25">
      <c r="A345" s="107"/>
      <c r="B345" s="107"/>
      <c r="C345" s="7"/>
      <c r="D345" s="7"/>
      <c r="E345" s="10"/>
      <c r="F345" s="107"/>
      <c r="G345" s="107"/>
      <c r="H345" s="107"/>
      <c r="I345" s="107"/>
      <c r="J345" s="107"/>
      <c r="K345" s="107"/>
      <c r="L345" s="107"/>
      <c r="M345" s="107"/>
      <c r="N345" s="107"/>
      <c r="S345" s="107"/>
    </row>
    <row r="346" spans="1:19" s="268" customFormat="1" x14ac:dyDescent="0.25">
      <c r="A346" s="107"/>
      <c r="B346" s="107"/>
      <c r="C346" s="7"/>
      <c r="D346" s="7"/>
      <c r="E346" s="10"/>
      <c r="F346" s="107"/>
      <c r="G346" s="107"/>
      <c r="H346" s="107"/>
      <c r="I346" s="107"/>
      <c r="J346" s="107"/>
      <c r="K346" s="107"/>
      <c r="L346" s="107"/>
      <c r="M346" s="107"/>
      <c r="N346" s="107"/>
      <c r="S346" s="107"/>
    </row>
    <row r="347" spans="1:19" s="268" customFormat="1" x14ac:dyDescent="0.25">
      <c r="A347" s="107"/>
      <c r="B347" s="107"/>
      <c r="C347" s="7"/>
      <c r="D347" s="7"/>
      <c r="E347" s="10"/>
      <c r="F347" s="107"/>
      <c r="G347" s="107"/>
      <c r="H347" s="107"/>
      <c r="I347" s="107"/>
      <c r="J347" s="107"/>
      <c r="K347" s="107"/>
      <c r="L347" s="107"/>
      <c r="M347" s="107"/>
      <c r="N347" s="107"/>
      <c r="S347" s="107"/>
    </row>
    <row r="348" spans="1:19" s="268" customFormat="1" x14ac:dyDescent="0.25">
      <c r="A348" s="107"/>
      <c r="B348" s="107"/>
      <c r="C348" s="7"/>
      <c r="D348" s="7"/>
      <c r="E348" s="10"/>
      <c r="F348" s="107"/>
      <c r="G348" s="107"/>
      <c r="H348" s="107"/>
      <c r="I348" s="107"/>
      <c r="J348" s="107"/>
      <c r="K348" s="107"/>
      <c r="L348" s="107"/>
      <c r="M348" s="107"/>
      <c r="N348" s="107"/>
      <c r="S348" s="107"/>
    </row>
    <row r="349" spans="1:19" s="268" customFormat="1" x14ac:dyDescent="0.25">
      <c r="A349" s="107"/>
      <c r="B349" s="107"/>
      <c r="C349" s="7"/>
      <c r="D349" s="7"/>
      <c r="E349" s="10"/>
      <c r="F349" s="107"/>
      <c r="G349" s="107"/>
      <c r="H349" s="107"/>
      <c r="I349" s="107"/>
      <c r="J349" s="107"/>
      <c r="K349" s="107"/>
      <c r="L349" s="107"/>
      <c r="M349" s="107"/>
      <c r="N349" s="107"/>
      <c r="S349" s="107"/>
    </row>
    <row r="350" spans="1:19" s="268" customFormat="1" x14ac:dyDescent="0.25">
      <c r="A350" s="107"/>
      <c r="B350" s="107"/>
      <c r="C350" s="7"/>
      <c r="D350" s="7"/>
      <c r="E350" s="10"/>
      <c r="F350" s="107"/>
      <c r="G350" s="107"/>
      <c r="H350" s="107"/>
      <c r="I350" s="107"/>
      <c r="J350" s="107"/>
      <c r="K350" s="107"/>
      <c r="L350" s="107"/>
      <c r="M350" s="107"/>
      <c r="N350" s="107"/>
      <c r="S350" s="107"/>
    </row>
    <row r="351" spans="1:19" s="268" customFormat="1" x14ac:dyDescent="0.25">
      <c r="A351" s="107"/>
      <c r="B351" s="107"/>
      <c r="C351" s="108"/>
      <c r="D351" s="108"/>
      <c r="E351" s="11"/>
      <c r="F351" s="107"/>
      <c r="G351" s="107"/>
      <c r="H351" s="107"/>
      <c r="I351" s="107"/>
      <c r="J351" s="107"/>
      <c r="K351" s="107"/>
      <c r="L351" s="107"/>
      <c r="M351" s="107"/>
      <c r="N351" s="107"/>
      <c r="S351" s="107"/>
    </row>
    <row r="352" spans="1:19" s="268" customFormat="1" x14ac:dyDescent="0.25">
      <c r="A352" s="107"/>
      <c r="B352" s="107"/>
      <c r="C352" s="108"/>
      <c r="D352" s="108"/>
      <c r="E352" s="11"/>
      <c r="F352" s="107"/>
      <c r="G352" s="107"/>
      <c r="H352" s="107"/>
      <c r="I352" s="107"/>
      <c r="J352" s="107"/>
      <c r="K352" s="107"/>
      <c r="L352" s="107"/>
      <c r="M352" s="107"/>
      <c r="N352" s="107"/>
      <c r="S352" s="107"/>
    </row>
    <row r="353" spans="3:5" x14ac:dyDescent="0.25">
      <c r="C353" s="108"/>
      <c r="D353" s="108"/>
      <c r="E353" s="11"/>
    </row>
    <row r="354" spans="3:5" x14ac:dyDescent="0.25">
      <c r="C354" s="108"/>
      <c r="D354" s="108"/>
      <c r="E354" s="11"/>
    </row>
    <row r="355" spans="3:5" x14ac:dyDescent="0.25">
      <c r="C355" s="108"/>
      <c r="D355" s="108"/>
      <c r="E355" s="11"/>
    </row>
    <row r="356" spans="3:5" x14ac:dyDescent="0.25">
      <c r="C356" s="108"/>
      <c r="D356" s="108"/>
      <c r="E356" s="11"/>
    </row>
    <row r="357" spans="3:5" x14ac:dyDescent="0.25">
      <c r="C357" s="108"/>
      <c r="D357" s="108"/>
      <c r="E357" s="11"/>
    </row>
    <row r="358" spans="3:5" x14ac:dyDescent="0.25">
      <c r="C358" s="108"/>
      <c r="D358" s="108"/>
      <c r="E358" s="11"/>
    </row>
    <row r="359" spans="3:5" x14ac:dyDescent="0.25">
      <c r="C359" s="108"/>
      <c r="D359" s="108"/>
      <c r="E359" s="11"/>
    </row>
    <row r="360" spans="3:5" x14ac:dyDescent="0.25">
      <c r="C360" s="108"/>
      <c r="D360" s="108"/>
      <c r="E360" s="11"/>
    </row>
    <row r="361" spans="3:5" x14ac:dyDescent="0.25">
      <c r="C361" s="108"/>
      <c r="D361" s="108"/>
      <c r="E361" s="11"/>
    </row>
    <row r="362" spans="3:5" x14ac:dyDescent="0.25">
      <c r="C362" s="108"/>
      <c r="D362" s="108"/>
      <c r="E362" s="11"/>
    </row>
    <row r="363" spans="3:5" x14ac:dyDescent="0.25">
      <c r="C363" s="108"/>
      <c r="D363" s="108"/>
      <c r="E363" s="11"/>
    </row>
    <row r="364" spans="3:5" x14ac:dyDescent="0.25">
      <c r="C364" s="108"/>
      <c r="D364" s="108"/>
      <c r="E364" s="11"/>
    </row>
    <row r="365" spans="3:5" x14ac:dyDescent="0.25">
      <c r="C365" s="108"/>
      <c r="D365" s="108"/>
      <c r="E365" s="11"/>
    </row>
  </sheetData>
  <mergeCells count="15">
    <mergeCell ref="B1:N1"/>
    <mergeCell ref="B2:C2"/>
    <mergeCell ref="D2:D4"/>
    <mergeCell ref="E2:E4"/>
    <mergeCell ref="G2:G4"/>
    <mergeCell ref="H2:N2"/>
    <mergeCell ref="B3:B4"/>
    <mergeCell ref="C3:C4"/>
    <mergeCell ref="F3:F4"/>
    <mergeCell ref="H3:H4"/>
    <mergeCell ref="I3:I4"/>
    <mergeCell ref="J3:J4"/>
    <mergeCell ref="L3:L4"/>
    <mergeCell ref="M3:N3"/>
    <mergeCell ref="K3:K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Mapa Gemma</vt:lpstr>
      <vt:lpstr>Maestros - Cliente</vt:lpstr>
      <vt:lpstr>Maestros - Distribuidor</vt:lpstr>
      <vt:lpstr>Maestros - Parte 1</vt:lpstr>
      <vt:lpstr>Maestros - Vehículo</vt:lpstr>
      <vt:lpstr>Maestros - Parte 2</vt:lpstr>
      <vt:lpstr>Maestros - Politica de Prepagos</vt:lpstr>
      <vt:lpstr>Maestros - Tramo Puntaje</vt:lpstr>
      <vt:lpstr>Maestros - Incentivo</vt:lpstr>
      <vt:lpstr>Maestros - Campaña</vt:lpstr>
      <vt:lpstr>Maestros - Producto Credito</vt:lpstr>
      <vt:lpstr>Maestros - Peajes</vt:lpstr>
      <vt:lpstr>Maestros - DocumentosRequeridos</vt:lpstr>
      <vt:lpstr>Maestros - RUT Bloqueados</vt:lpstr>
      <vt:lpstr>Maestros - RazonSeguimiento</vt:lpstr>
      <vt:lpstr>Maestro-RazonSeguimientContacto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 Vilches Acevedo</dc:creator>
  <cp:lastModifiedBy>inovabiz</cp:lastModifiedBy>
  <cp:lastPrinted>2018-06-27T21:19:44Z</cp:lastPrinted>
  <dcterms:created xsi:type="dcterms:W3CDTF">2017-08-21T13:22:46Z</dcterms:created>
  <dcterms:modified xsi:type="dcterms:W3CDTF">2018-11-08T20:48:53Z</dcterms:modified>
</cp:coreProperties>
</file>