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cas\Desktop\SUA OBRA\Clube SUAOBRA\calculadora da obra\"/>
    </mc:Choice>
  </mc:AlternateContent>
  <xr:revisionPtr revIDLastSave="0" documentId="13_ncr:1_{637023B8-D90A-4F22-9626-CEDBF6BBAFAB}" xr6:coauthVersionLast="46" xr6:coauthVersionMax="46" xr10:uidLastSave="{00000000-0000-0000-0000-000000000000}"/>
  <bookViews>
    <workbookView xWindow="-120" yWindow="-120" windowWidth="20730" windowHeight="11160" tabRatio="824" activeTab="4" xr2:uid="{00000000-000D-0000-FFFF-FFFF00000000}"/>
  </bookViews>
  <sheets>
    <sheet name="LEIA-ME" sheetId="65" r:id="rId1"/>
    <sheet name="1. Gabarito da obra" sheetId="1" r:id="rId2"/>
    <sheet name="2. Viga Baldrame" sheetId="30" r:id="rId3"/>
    <sheet name="3. Sapata isolada" sheetId="20" r:id="rId4"/>
    <sheet name="4. Estaca" sheetId="21" r:id="rId5"/>
    <sheet name="5. Paredes com Tijolos" sheetId="26" r:id="rId6"/>
    <sheet name="6. Paredes com Blocos" sheetId="28" r:id="rId7"/>
    <sheet name="7. Colunas ou Pilares" sheetId="29" r:id="rId8"/>
    <sheet name="8. Viga" sheetId="31" r:id="rId9"/>
    <sheet name="9. Contrapiso" sheetId="32" r:id="rId10"/>
    <sheet name="10. Laje" sheetId="33" r:id="rId11"/>
    <sheet name="11. Chapisco-Emboço-Reboco" sheetId="36" r:id="rId12"/>
    <sheet name="12. Gesso" sheetId="37" r:id="rId13"/>
    <sheet name="13. Portas" sheetId="38" r:id="rId14"/>
    <sheet name="14. Janelas" sheetId="44" r:id="rId15"/>
    <sheet name="15. Telhado exposto" sheetId="45" r:id="rId16"/>
    <sheet name="16. Pintura" sheetId="46" r:id="rId17"/>
    <sheet name="17. Pisos" sheetId="58" r:id="rId18"/>
    <sheet name="18. Revestimentos" sheetId="59" r:id="rId19"/>
    <sheet name="19. Muro com Tijolos" sheetId="51" r:id="rId20"/>
    <sheet name="20. Muro com Blocos" sheetId="63" r:id="rId21"/>
    <sheet name="21. Calçada" sheetId="49" r:id="rId22"/>
    <sheet name="Lista por etapa" sheetId="64" r:id="rId23"/>
    <sheet name="Lista por categoria" sheetId="66" r:id="rId24"/>
    <sheet name="Mão de Obra por etapa" sheetId="67" r:id="rId25"/>
    <sheet name="Custo por etapa" sheetId="69" r:id="rId26"/>
  </sheets>
  <definedNames>
    <definedName name="_2x50" localSheetId="5">'5. Paredes com Tijolos'!#REF!</definedName>
    <definedName name="_2x50" localSheetId="6">'6. Paredes com Blocos'!#REF!</definedName>
    <definedName name="_xlnm._FilterDatabase" localSheetId="25" hidden="1">'Custo por etapa'!$B$4:$F$844</definedName>
    <definedName name="_xlnm._FilterDatabase" localSheetId="22" hidden="1">'Lista por etapa'!$B$4:$D$676</definedName>
    <definedName name="_xlnm._FilterDatabase" localSheetId="24" hidden="1">'Mão de Obra por etapa'!$B$4:$F$203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26" l="1"/>
  <c r="E115" i="26"/>
  <c r="C171" i="63" l="1"/>
  <c r="C171" i="51"/>
  <c r="C57" i="30" l="1"/>
  <c r="C58" i="30" s="1"/>
  <c r="C59" i="30" s="1"/>
  <c r="C67" i="30" s="1"/>
  <c r="E107" i="26" l="1"/>
  <c r="D107" i="26"/>
  <c r="C52" i="26"/>
  <c r="C26" i="26"/>
  <c r="C330" i="51"/>
  <c r="E851" i="69" l="1"/>
  <c r="D851" i="69"/>
  <c r="E850" i="69"/>
  <c r="D850" i="69"/>
  <c r="E849" i="69"/>
  <c r="D849" i="69"/>
  <c r="E848" i="69"/>
  <c r="D848" i="69"/>
  <c r="E847" i="69"/>
  <c r="D847" i="69"/>
  <c r="E846" i="69"/>
  <c r="D846" i="69"/>
  <c r="E825" i="69"/>
  <c r="D825" i="69"/>
  <c r="E824" i="69"/>
  <c r="D824" i="69"/>
  <c r="E823" i="69"/>
  <c r="D823" i="69"/>
  <c r="E822" i="69"/>
  <c r="D822" i="69"/>
  <c r="E821" i="69"/>
  <c r="D821" i="69"/>
  <c r="E820" i="69"/>
  <c r="D820" i="69"/>
  <c r="E716" i="69"/>
  <c r="D716" i="69"/>
  <c r="E715" i="69"/>
  <c r="D715" i="69"/>
  <c r="E714" i="69"/>
  <c r="D714" i="69"/>
  <c r="E713" i="69"/>
  <c r="D713" i="69"/>
  <c r="E712" i="69"/>
  <c r="D712" i="69"/>
  <c r="E711" i="69"/>
  <c r="D711" i="69"/>
  <c r="E607" i="69"/>
  <c r="D607" i="69"/>
  <c r="E606" i="69"/>
  <c r="D606" i="69"/>
  <c r="E605" i="69"/>
  <c r="D605" i="69"/>
  <c r="E604" i="69"/>
  <c r="D604" i="69"/>
  <c r="E603" i="69"/>
  <c r="D603" i="69"/>
  <c r="E602" i="69"/>
  <c r="D602" i="69"/>
  <c r="E563" i="69"/>
  <c r="D563" i="69"/>
  <c r="E562" i="69"/>
  <c r="D562" i="69"/>
  <c r="E561" i="69"/>
  <c r="D561" i="69"/>
  <c r="E560" i="69"/>
  <c r="D560" i="69"/>
  <c r="E559" i="69"/>
  <c r="D559" i="69"/>
  <c r="E558" i="69"/>
  <c r="D558" i="69"/>
  <c r="E519" i="69"/>
  <c r="D519" i="69"/>
  <c r="E518" i="69"/>
  <c r="D518" i="69"/>
  <c r="E517" i="69"/>
  <c r="D517" i="69"/>
  <c r="E516" i="69"/>
  <c r="D516" i="69"/>
  <c r="E515" i="69"/>
  <c r="D515" i="69"/>
  <c r="E514" i="69"/>
  <c r="D514" i="69"/>
  <c r="E485" i="69"/>
  <c r="D485" i="69"/>
  <c r="E484" i="69"/>
  <c r="D484" i="69"/>
  <c r="E483" i="69"/>
  <c r="D483" i="69"/>
  <c r="E482" i="69"/>
  <c r="D482" i="69"/>
  <c r="E481" i="69"/>
  <c r="D481" i="69"/>
  <c r="E480" i="69"/>
  <c r="D480" i="69"/>
  <c r="E466" i="69"/>
  <c r="D466" i="69"/>
  <c r="E465" i="69"/>
  <c r="D465" i="69"/>
  <c r="E464" i="69"/>
  <c r="D464" i="69"/>
  <c r="E463" i="69"/>
  <c r="D463" i="69"/>
  <c r="E462" i="69"/>
  <c r="D462" i="69"/>
  <c r="E461" i="69"/>
  <c r="D461" i="69"/>
  <c r="E441" i="69"/>
  <c r="D441" i="69"/>
  <c r="E440" i="69"/>
  <c r="D440" i="69"/>
  <c r="E439" i="69"/>
  <c r="D439" i="69"/>
  <c r="E438" i="69"/>
  <c r="D438" i="69"/>
  <c r="E437" i="69"/>
  <c r="D437" i="69"/>
  <c r="E436" i="69"/>
  <c r="D436" i="69"/>
  <c r="E416" i="69"/>
  <c r="D416" i="69"/>
  <c r="E415" i="69"/>
  <c r="D415" i="69"/>
  <c r="E414" i="69"/>
  <c r="D414" i="69"/>
  <c r="E413" i="69"/>
  <c r="D413" i="69"/>
  <c r="E412" i="69"/>
  <c r="D412" i="69"/>
  <c r="E411" i="69"/>
  <c r="D411" i="69"/>
  <c r="E398" i="69"/>
  <c r="D398" i="69"/>
  <c r="E397" i="69"/>
  <c r="D397" i="69"/>
  <c r="E396" i="69"/>
  <c r="D396" i="69"/>
  <c r="E395" i="69"/>
  <c r="D395" i="69"/>
  <c r="E394" i="69"/>
  <c r="D394" i="69"/>
  <c r="E393" i="69"/>
  <c r="D393" i="69"/>
  <c r="E328" i="69"/>
  <c r="D328" i="69"/>
  <c r="E327" i="69"/>
  <c r="D327" i="69"/>
  <c r="E326" i="69"/>
  <c r="D326" i="69"/>
  <c r="E325" i="69"/>
  <c r="D325" i="69"/>
  <c r="E324" i="69"/>
  <c r="D324" i="69"/>
  <c r="E323" i="69"/>
  <c r="D323" i="69"/>
  <c r="E295" i="69"/>
  <c r="D295" i="69"/>
  <c r="E294" i="69"/>
  <c r="D294" i="69"/>
  <c r="E293" i="69"/>
  <c r="D293" i="69"/>
  <c r="E292" i="69"/>
  <c r="D292" i="69"/>
  <c r="E291" i="69"/>
  <c r="D291" i="69"/>
  <c r="E290" i="69"/>
  <c r="D290" i="69"/>
  <c r="E265" i="69"/>
  <c r="D265" i="69"/>
  <c r="E264" i="69"/>
  <c r="D264" i="69"/>
  <c r="E263" i="69"/>
  <c r="D263" i="69"/>
  <c r="E262" i="69"/>
  <c r="D262" i="69"/>
  <c r="E261" i="69"/>
  <c r="D261" i="69"/>
  <c r="E260" i="69"/>
  <c r="D260" i="69"/>
  <c r="E238" i="69"/>
  <c r="D238" i="69"/>
  <c r="E237" i="69"/>
  <c r="D237" i="69"/>
  <c r="E236" i="69"/>
  <c r="D236" i="69"/>
  <c r="E235" i="69"/>
  <c r="D235" i="69"/>
  <c r="E234" i="69"/>
  <c r="D234" i="69"/>
  <c r="E233" i="69"/>
  <c r="D233" i="69"/>
  <c r="E211" i="69"/>
  <c r="D211" i="69"/>
  <c r="E210" i="69"/>
  <c r="D210" i="69"/>
  <c r="E209" i="69"/>
  <c r="D209" i="69"/>
  <c r="E208" i="69"/>
  <c r="D208" i="69"/>
  <c r="E207" i="69"/>
  <c r="D207" i="69"/>
  <c r="E206" i="69"/>
  <c r="D206" i="69"/>
  <c r="E185" i="69"/>
  <c r="D185" i="69"/>
  <c r="E184" i="69"/>
  <c r="D184" i="69"/>
  <c r="E183" i="69"/>
  <c r="D183" i="69"/>
  <c r="E182" i="69"/>
  <c r="D182" i="69"/>
  <c r="E181" i="69"/>
  <c r="D181" i="69"/>
  <c r="E180" i="69"/>
  <c r="D180" i="69"/>
  <c r="E159" i="69"/>
  <c r="D159" i="69"/>
  <c r="E158" i="69"/>
  <c r="D158" i="69"/>
  <c r="E157" i="69"/>
  <c r="D157" i="69"/>
  <c r="E156" i="69"/>
  <c r="D156" i="69"/>
  <c r="E155" i="69"/>
  <c r="D155" i="69"/>
  <c r="E154" i="69"/>
  <c r="D154" i="69"/>
  <c r="E126" i="69"/>
  <c r="D126" i="69"/>
  <c r="E125" i="69"/>
  <c r="D125" i="69"/>
  <c r="E124" i="69"/>
  <c r="D124" i="69"/>
  <c r="E123" i="69"/>
  <c r="D123" i="69"/>
  <c r="E122" i="69"/>
  <c r="D122" i="69"/>
  <c r="E121" i="69"/>
  <c r="D121" i="69"/>
  <c r="E104" i="69"/>
  <c r="D104" i="69"/>
  <c r="E103" i="69"/>
  <c r="D103" i="69"/>
  <c r="E102" i="69"/>
  <c r="D102" i="69"/>
  <c r="E101" i="69"/>
  <c r="D101" i="69"/>
  <c r="E100" i="69"/>
  <c r="D100" i="69"/>
  <c r="E99" i="69"/>
  <c r="D99" i="69"/>
  <c r="E69" i="69"/>
  <c r="D69" i="69"/>
  <c r="E68" i="69"/>
  <c r="D68" i="69"/>
  <c r="E67" i="69"/>
  <c r="D67" i="69"/>
  <c r="E66" i="69"/>
  <c r="D66" i="69"/>
  <c r="E65" i="69"/>
  <c r="D65" i="69"/>
  <c r="E64" i="69"/>
  <c r="D64" i="69"/>
  <c r="E21" i="69"/>
  <c r="D21" i="69"/>
  <c r="E20" i="69"/>
  <c r="D20" i="69"/>
  <c r="E19" i="69"/>
  <c r="D19" i="69"/>
  <c r="E18" i="69"/>
  <c r="D18" i="69"/>
  <c r="E17" i="69"/>
  <c r="D17" i="69"/>
  <c r="E16" i="69"/>
  <c r="D16" i="69"/>
  <c r="B836" i="69"/>
  <c r="B829" i="69"/>
  <c r="B828" i="69"/>
  <c r="B811" i="69"/>
  <c r="B804" i="69"/>
  <c r="B797" i="69"/>
  <c r="B791" i="69"/>
  <c r="B784" i="69"/>
  <c r="B771" i="69"/>
  <c r="B762" i="69"/>
  <c r="B756" i="69"/>
  <c r="B751" i="69"/>
  <c r="B747" i="69"/>
  <c r="B741" i="69"/>
  <c r="B736" i="69"/>
  <c r="B730" i="69"/>
  <c r="B720" i="69"/>
  <c r="B719" i="69"/>
  <c r="B702" i="69"/>
  <c r="B695" i="69"/>
  <c r="B688" i="69"/>
  <c r="B682" i="69"/>
  <c r="B675" i="69"/>
  <c r="B662" i="69"/>
  <c r="B653" i="69"/>
  <c r="B647" i="69"/>
  <c r="B642" i="69"/>
  <c r="B638" i="69"/>
  <c r="B632" i="69"/>
  <c r="B627" i="69"/>
  <c r="B621" i="69"/>
  <c r="B611" i="69"/>
  <c r="B610" i="69"/>
  <c r="B592" i="69"/>
  <c r="B584" i="69"/>
  <c r="B575" i="69"/>
  <c r="B567" i="69"/>
  <c r="B566" i="69"/>
  <c r="B548" i="69"/>
  <c r="B540" i="69"/>
  <c r="B531" i="69"/>
  <c r="B523" i="69"/>
  <c r="B522" i="69"/>
  <c r="B505" i="69"/>
  <c r="B497" i="69"/>
  <c r="B489" i="69"/>
  <c r="B488" i="69"/>
  <c r="B470" i="69"/>
  <c r="B469" i="69"/>
  <c r="B445" i="69"/>
  <c r="B444" i="69"/>
  <c r="B420" i="69"/>
  <c r="B419" i="69"/>
  <c r="B406" i="69"/>
  <c r="B402" i="69"/>
  <c r="B401" i="69"/>
  <c r="B385" i="69"/>
  <c r="B378" i="69"/>
  <c r="B372" i="69"/>
  <c r="B365" i="69"/>
  <c r="B358" i="69"/>
  <c r="B352" i="69"/>
  <c r="B345" i="69"/>
  <c r="B338" i="69"/>
  <c r="B332" i="69"/>
  <c r="B331" i="69"/>
  <c r="B318" i="69"/>
  <c r="B313" i="69"/>
  <c r="B308" i="69"/>
  <c r="B305" i="69"/>
  <c r="B299" i="69"/>
  <c r="B298" i="69"/>
  <c r="B278" i="69"/>
  <c r="B269" i="69"/>
  <c r="B268" i="69"/>
  <c r="B254" i="69"/>
  <c r="B248" i="69"/>
  <c r="B242" i="69"/>
  <c r="B241" i="69"/>
  <c r="B227" i="69"/>
  <c r="B221" i="69"/>
  <c r="B215" i="69"/>
  <c r="B214" i="69"/>
  <c r="B198" i="69"/>
  <c r="B192" i="69"/>
  <c r="B189" i="69"/>
  <c r="B188" i="69"/>
  <c r="B172" i="69"/>
  <c r="B166" i="69"/>
  <c r="B163" i="69"/>
  <c r="B162" i="69"/>
  <c r="B148" i="69"/>
  <c r="B144" i="69"/>
  <c r="B139" i="69"/>
  <c r="B136" i="69"/>
  <c r="B130" i="69"/>
  <c r="B129" i="69"/>
  <c r="B115" i="69"/>
  <c r="B108" i="69"/>
  <c r="B107" i="69"/>
  <c r="B93" i="69"/>
  <c r="B89" i="69"/>
  <c r="B84" i="69"/>
  <c r="B79" i="69"/>
  <c r="B73" i="69"/>
  <c r="B72" i="69"/>
  <c r="B57" i="69"/>
  <c r="B51" i="69"/>
  <c r="B46" i="69"/>
  <c r="B42" i="69"/>
  <c r="B36" i="69"/>
  <c r="B31" i="69"/>
  <c r="B25" i="69"/>
  <c r="B24" i="69"/>
  <c r="B8" i="69"/>
  <c r="B7" i="69"/>
  <c r="F203" i="67"/>
  <c r="F851" i="69" s="1"/>
  <c r="F202" i="67"/>
  <c r="F850" i="69" s="1"/>
  <c r="F201" i="67"/>
  <c r="F849" i="69" s="1"/>
  <c r="F200" i="67"/>
  <c r="F848" i="69" s="1"/>
  <c r="F199" i="67"/>
  <c r="F847" i="69" s="1"/>
  <c r="F198" i="67"/>
  <c r="F846" i="69" s="1"/>
  <c r="F194" i="67"/>
  <c r="F825" i="69" s="1"/>
  <c r="F193" i="67"/>
  <c r="F824" i="69" s="1"/>
  <c r="F192" i="67"/>
  <c r="F823" i="69" s="1"/>
  <c r="F191" i="67"/>
  <c r="F822" i="69" s="1"/>
  <c r="F190" i="67"/>
  <c r="F821" i="69" s="1"/>
  <c r="F189" i="67"/>
  <c r="F820" i="69" s="1"/>
  <c r="F185" i="67"/>
  <c r="F716" i="69" s="1"/>
  <c r="F184" i="67"/>
  <c r="F715" i="69" s="1"/>
  <c r="F183" i="67"/>
  <c r="F714" i="69" s="1"/>
  <c r="F182" i="67"/>
  <c r="F713" i="69" s="1"/>
  <c r="F181" i="67"/>
  <c r="F712" i="69" s="1"/>
  <c r="F180" i="67"/>
  <c r="F711" i="69" s="1"/>
  <c r="F176" i="67"/>
  <c r="F607" i="69" s="1"/>
  <c r="F175" i="67"/>
  <c r="F606" i="69" s="1"/>
  <c r="F174" i="67"/>
  <c r="F605" i="69" s="1"/>
  <c r="F173" i="67"/>
  <c r="F604" i="69" s="1"/>
  <c r="F172" i="67"/>
  <c r="F603" i="69" s="1"/>
  <c r="F171" i="67"/>
  <c r="F602" i="69" s="1"/>
  <c r="F167" i="67"/>
  <c r="F563" i="69" s="1"/>
  <c r="F166" i="67"/>
  <c r="F562" i="69" s="1"/>
  <c r="F165" i="67"/>
  <c r="F561" i="69" s="1"/>
  <c r="F164" i="67"/>
  <c r="F560" i="69" s="1"/>
  <c r="F163" i="67"/>
  <c r="F559" i="69" s="1"/>
  <c r="F162" i="67"/>
  <c r="F558" i="69" s="1"/>
  <c r="F158" i="67"/>
  <c r="F519" i="69" s="1"/>
  <c r="F157" i="67"/>
  <c r="F518" i="69" s="1"/>
  <c r="F156" i="67"/>
  <c r="F517" i="69" s="1"/>
  <c r="F155" i="67"/>
  <c r="F516" i="69" s="1"/>
  <c r="F154" i="67"/>
  <c r="F515" i="69" s="1"/>
  <c r="F153" i="67"/>
  <c r="F514" i="69" s="1"/>
  <c r="F149" i="67"/>
  <c r="F485" i="69" s="1"/>
  <c r="F148" i="67"/>
  <c r="F484" i="69" s="1"/>
  <c r="F147" i="67"/>
  <c r="F483" i="69" s="1"/>
  <c r="F146" i="67"/>
  <c r="F482" i="69" s="1"/>
  <c r="F145" i="67"/>
  <c r="F481" i="69" s="1"/>
  <c r="F144" i="67"/>
  <c r="F480" i="69" s="1"/>
  <c r="F140" i="67"/>
  <c r="F466" i="69" s="1"/>
  <c r="F139" i="67"/>
  <c r="F465" i="69" s="1"/>
  <c r="F138" i="67"/>
  <c r="F464" i="69" s="1"/>
  <c r="F137" i="67"/>
  <c r="F463" i="69" s="1"/>
  <c r="F136" i="67"/>
  <c r="F462" i="69" s="1"/>
  <c r="F135" i="67"/>
  <c r="F461" i="69" s="1"/>
  <c r="F131" i="67"/>
  <c r="F441" i="69" s="1"/>
  <c r="F130" i="67"/>
  <c r="F440" i="69" s="1"/>
  <c r="F129" i="67"/>
  <c r="F439" i="69" s="1"/>
  <c r="F128" i="67"/>
  <c r="F438" i="69" s="1"/>
  <c r="F127" i="67"/>
  <c r="F437" i="69" s="1"/>
  <c r="F126" i="67"/>
  <c r="F436" i="69" s="1"/>
  <c r="F122" i="67"/>
  <c r="F416" i="69" s="1"/>
  <c r="F121" i="67"/>
  <c r="F415" i="69" s="1"/>
  <c r="F120" i="67"/>
  <c r="F414" i="69" s="1"/>
  <c r="F119" i="67"/>
  <c r="F413" i="69" s="1"/>
  <c r="F118" i="67"/>
  <c r="F412" i="69" s="1"/>
  <c r="F117" i="67"/>
  <c r="F411" i="69" s="1"/>
  <c r="F113" i="67"/>
  <c r="F398" i="69" s="1"/>
  <c r="F112" i="67"/>
  <c r="F397" i="69" s="1"/>
  <c r="F111" i="67"/>
  <c r="F396" i="69" s="1"/>
  <c r="F110" i="67"/>
  <c r="F395" i="69" s="1"/>
  <c r="F109" i="67"/>
  <c r="F394" i="69" s="1"/>
  <c r="F108" i="67"/>
  <c r="F393" i="69" s="1"/>
  <c r="F104" i="67"/>
  <c r="F328" i="69" s="1"/>
  <c r="F103" i="67"/>
  <c r="F327" i="69" s="1"/>
  <c r="F102" i="67"/>
  <c r="F326" i="69" s="1"/>
  <c r="F101" i="67"/>
  <c r="F325" i="69" s="1"/>
  <c r="F100" i="67"/>
  <c r="F324" i="69" s="1"/>
  <c r="F99" i="67"/>
  <c r="F323" i="69" s="1"/>
  <c r="F95" i="67"/>
  <c r="F295" i="69" s="1"/>
  <c r="F94" i="67"/>
  <c r="F294" i="69" s="1"/>
  <c r="F93" i="67"/>
  <c r="F293" i="69" s="1"/>
  <c r="F92" i="67"/>
  <c r="F292" i="69" s="1"/>
  <c r="F91" i="67"/>
  <c r="F291" i="69" s="1"/>
  <c r="F90" i="67"/>
  <c r="F290" i="69" s="1"/>
  <c r="F86" i="67"/>
  <c r="F265" i="69" s="1"/>
  <c r="F85" i="67"/>
  <c r="F264" i="69" s="1"/>
  <c r="F84" i="67"/>
  <c r="F263" i="69" s="1"/>
  <c r="F83" i="67"/>
  <c r="F262" i="69" s="1"/>
  <c r="F82" i="67"/>
  <c r="F261" i="69" s="1"/>
  <c r="F81" i="67"/>
  <c r="F260" i="69" s="1"/>
  <c r="F77" i="67"/>
  <c r="F238" i="69" s="1"/>
  <c r="F76" i="67"/>
  <c r="F237" i="69" s="1"/>
  <c r="F75" i="67"/>
  <c r="F236" i="69" s="1"/>
  <c r="F74" i="67"/>
  <c r="F235" i="69" s="1"/>
  <c r="F73" i="67"/>
  <c r="F234" i="69" s="1"/>
  <c r="F72" i="67"/>
  <c r="F233" i="69" s="1"/>
  <c r="F68" i="67"/>
  <c r="F211" i="69" s="1"/>
  <c r="F67" i="67"/>
  <c r="F210" i="69" s="1"/>
  <c r="F66" i="67"/>
  <c r="F209" i="69" s="1"/>
  <c r="F65" i="67"/>
  <c r="F208" i="69" s="1"/>
  <c r="F64" i="67"/>
  <c r="F207" i="69" s="1"/>
  <c r="F63" i="67"/>
  <c r="F206" i="69" s="1"/>
  <c r="F59" i="67"/>
  <c r="F185" i="69" s="1"/>
  <c r="F58" i="67"/>
  <c r="F184" i="69" s="1"/>
  <c r="F57" i="67"/>
  <c r="F183" i="69" s="1"/>
  <c r="F56" i="67"/>
  <c r="F182" i="69" s="1"/>
  <c r="F55" i="67"/>
  <c r="F181" i="69" s="1"/>
  <c r="F54" i="67"/>
  <c r="F180" i="69" s="1"/>
  <c r="F50" i="67"/>
  <c r="F159" i="69" s="1"/>
  <c r="F49" i="67"/>
  <c r="F158" i="69" s="1"/>
  <c r="F48" i="67"/>
  <c r="F157" i="69" s="1"/>
  <c r="F47" i="67"/>
  <c r="F156" i="69" s="1"/>
  <c r="F46" i="67"/>
  <c r="F155" i="69" s="1"/>
  <c r="F45" i="67"/>
  <c r="F154" i="69" s="1"/>
  <c r="F41" i="67"/>
  <c r="F126" i="69" s="1"/>
  <c r="F40" i="67"/>
  <c r="F125" i="69" s="1"/>
  <c r="F39" i="67"/>
  <c r="F124" i="69" s="1"/>
  <c r="F38" i="67"/>
  <c r="F123" i="69" s="1"/>
  <c r="F37" i="67"/>
  <c r="F122" i="69" s="1"/>
  <c r="F36" i="67"/>
  <c r="F121" i="69" s="1"/>
  <c r="F32" i="67"/>
  <c r="F104" i="69" s="1"/>
  <c r="F31" i="67"/>
  <c r="F103" i="69" s="1"/>
  <c r="F30" i="67"/>
  <c r="F102" i="69" s="1"/>
  <c r="F29" i="67"/>
  <c r="F101" i="69" s="1"/>
  <c r="F28" i="67"/>
  <c r="F100" i="69" s="1"/>
  <c r="F27" i="67"/>
  <c r="F99" i="69" s="1"/>
  <c r="F23" i="67"/>
  <c r="F69" i="69" s="1"/>
  <c r="F22" i="67"/>
  <c r="F68" i="69" s="1"/>
  <c r="F21" i="67"/>
  <c r="F67" i="69" s="1"/>
  <c r="F20" i="67"/>
  <c r="F66" i="69" s="1"/>
  <c r="F19" i="67"/>
  <c r="F65" i="69" s="1"/>
  <c r="F18" i="67"/>
  <c r="F64" i="69" s="1"/>
  <c r="F10" i="67"/>
  <c r="F17" i="69" s="1"/>
  <c r="F9" i="67"/>
  <c r="F16" i="69" s="1"/>
  <c r="F14" i="67"/>
  <c r="F21" i="69" s="1"/>
  <c r="F13" i="67"/>
  <c r="F20" i="69" s="1"/>
  <c r="F12" i="67"/>
  <c r="F19" i="69" s="1"/>
  <c r="F11" i="67"/>
  <c r="F18" i="69" s="1"/>
  <c r="B196" i="67"/>
  <c r="B187" i="67"/>
  <c r="B178" i="67"/>
  <c r="B169" i="67"/>
  <c r="B160" i="67"/>
  <c r="B151" i="67"/>
  <c r="B142" i="67"/>
  <c r="B133" i="67"/>
  <c r="B124" i="67"/>
  <c r="B115" i="67"/>
  <c r="B106" i="67"/>
  <c r="B97" i="67"/>
  <c r="B88" i="67"/>
  <c r="B79" i="67"/>
  <c r="B70" i="67"/>
  <c r="B61" i="67"/>
  <c r="B52" i="67"/>
  <c r="B43" i="67"/>
  <c r="B34" i="67"/>
  <c r="B25" i="67"/>
  <c r="B16" i="67"/>
  <c r="B7" i="67"/>
  <c r="C331" i="51" l="1"/>
  <c r="E108" i="26"/>
  <c r="D108" i="26"/>
  <c r="C27" i="26"/>
  <c r="C53" i="26" s="1"/>
  <c r="B537" i="63" l="1"/>
  <c r="B364" i="63"/>
  <c r="B598" i="63" l="1"/>
  <c r="B597" i="63"/>
  <c r="B584" i="63"/>
  <c r="B583" i="63"/>
  <c r="B622" i="51"/>
  <c r="B621" i="51"/>
  <c r="B608" i="51"/>
  <c r="B607" i="51"/>
  <c r="B443" i="36"/>
  <c r="B442" i="36"/>
  <c r="B429" i="36"/>
  <c r="B428" i="36"/>
  <c r="B254" i="36"/>
  <c r="B253" i="36"/>
  <c r="B240" i="36"/>
  <c r="B239" i="36"/>
  <c r="B61" i="36"/>
  <c r="B60" i="36"/>
  <c r="B47" i="36"/>
  <c r="B46" i="36"/>
  <c r="B701" i="63" l="1"/>
  <c r="B700" i="63"/>
  <c r="B699" i="63"/>
  <c r="B725" i="51"/>
  <c r="B724" i="51"/>
  <c r="B723" i="51"/>
  <c r="B668" i="51"/>
  <c r="B667" i="51"/>
  <c r="B666" i="51"/>
  <c r="B644" i="63"/>
  <c r="B643" i="63"/>
  <c r="B642" i="63"/>
  <c r="B551" i="36"/>
  <c r="B550" i="36"/>
  <c r="B492" i="36"/>
  <c r="B491" i="36"/>
  <c r="B490" i="36"/>
  <c r="B370" i="36"/>
  <c r="B369" i="36"/>
  <c r="B307" i="36"/>
  <c r="B306" i="36"/>
  <c r="B305" i="36"/>
  <c r="B178" i="36"/>
  <c r="B177" i="36"/>
  <c r="B176" i="36"/>
  <c r="B114" i="36"/>
  <c r="B113" i="36"/>
  <c r="B112" i="36"/>
  <c r="B126" i="32"/>
  <c r="B125" i="32"/>
  <c r="B124" i="32"/>
  <c r="B59" i="32"/>
  <c r="B58" i="32"/>
  <c r="B57" i="32"/>
  <c r="B36" i="33"/>
  <c r="B35" i="33"/>
  <c r="C333" i="51"/>
  <c r="C329" i="51"/>
  <c r="B427" i="51"/>
  <c r="B426" i="51"/>
  <c r="B425" i="51"/>
  <c r="B111" i="51"/>
  <c r="B110" i="51"/>
  <c r="B109" i="51"/>
  <c r="B42" i="51"/>
  <c r="B41" i="51"/>
  <c r="B40" i="51"/>
  <c r="B411" i="63"/>
  <c r="B410" i="63"/>
  <c r="B409" i="63"/>
  <c r="B111" i="63"/>
  <c r="B110" i="63"/>
  <c r="B109" i="63"/>
  <c r="B108" i="63"/>
  <c r="B42" i="63"/>
  <c r="B41" i="63"/>
  <c r="B40" i="63"/>
  <c r="C18" i="31"/>
  <c r="C19" i="31" s="1"/>
  <c r="B40" i="31" l="1"/>
  <c r="B39" i="31"/>
  <c r="B38" i="31"/>
  <c r="B41" i="29"/>
  <c r="B40" i="29"/>
  <c r="B39" i="29"/>
  <c r="B40" i="21"/>
  <c r="B39" i="21"/>
  <c r="B38" i="21"/>
  <c r="B37" i="21"/>
  <c r="B45" i="20"/>
  <c r="B44" i="20"/>
  <c r="B43" i="20"/>
  <c r="B42" i="20"/>
  <c r="B41" i="20"/>
  <c r="B40" i="30"/>
  <c r="B39" i="30"/>
  <c r="B38" i="30"/>
  <c r="E110" i="26" l="1"/>
  <c r="D110" i="26"/>
  <c r="C29" i="26"/>
  <c r="C55" i="26" s="1"/>
  <c r="E109" i="26"/>
  <c r="D109" i="26"/>
  <c r="C25" i="26"/>
  <c r="C51" i="26" s="1"/>
  <c r="C28" i="26"/>
  <c r="C54" i="26" s="1"/>
  <c r="E114" i="26"/>
  <c r="E113" i="26"/>
  <c r="E112" i="26"/>
  <c r="E111" i="26"/>
  <c r="E106" i="26"/>
  <c r="D116" i="26"/>
  <c r="D115" i="26"/>
  <c r="D114" i="26"/>
  <c r="D113" i="26"/>
  <c r="D112" i="26"/>
  <c r="D111" i="26"/>
  <c r="D106" i="26"/>
  <c r="C60" i="26" l="1"/>
  <c r="C35" i="26"/>
  <c r="C61" i="26" s="1"/>
  <c r="C34" i="26"/>
  <c r="C33" i="26"/>
  <c r="C59" i="26" s="1"/>
  <c r="C32" i="26"/>
  <c r="C58" i="26" s="1"/>
  <c r="C31" i="26"/>
  <c r="C57" i="26" s="1"/>
  <c r="C30" i="26"/>
  <c r="C56" i="26" s="1"/>
  <c r="C178" i="30" l="1"/>
  <c r="B123" i="32" l="1"/>
  <c r="B56" i="32"/>
  <c r="B76" i="49"/>
  <c r="B75" i="49"/>
  <c r="B711" i="63"/>
  <c r="B698" i="63"/>
  <c r="B654" i="63"/>
  <c r="B641" i="63"/>
  <c r="B596" i="63"/>
  <c r="B582" i="63"/>
  <c r="B722" i="51"/>
  <c r="B665" i="51"/>
  <c r="B620" i="51"/>
  <c r="B606" i="51"/>
  <c r="B441" i="36"/>
  <c r="B427" i="36"/>
  <c r="B252" i="36"/>
  <c r="B238" i="36"/>
  <c r="B562" i="36"/>
  <c r="B552" i="36"/>
  <c r="B549" i="36"/>
  <c r="B502" i="36"/>
  <c r="B489" i="36"/>
  <c r="B381" i="36"/>
  <c r="B371" i="36"/>
  <c r="B368" i="36"/>
  <c r="B317" i="36"/>
  <c r="B304" i="36"/>
  <c r="B188" i="36"/>
  <c r="B175" i="36"/>
  <c r="B124" i="36"/>
  <c r="B111" i="36"/>
  <c r="B59" i="36"/>
  <c r="B45" i="36"/>
  <c r="B34" i="33"/>
  <c r="B102" i="32"/>
  <c r="B101" i="32"/>
  <c r="B35" i="32"/>
  <c r="B34" i="32"/>
  <c r="B73" i="20"/>
  <c r="B134" i="51"/>
  <c r="B134" i="63"/>
  <c r="B31" i="49"/>
  <c r="B30" i="49"/>
  <c r="B408" i="63"/>
  <c r="B407" i="63"/>
  <c r="B406" i="63"/>
  <c r="B107" i="63"/>
  <c r="B106" i="63"/>
  <c r="B39" i="63"/>
  <c r="B38" i="63"/>
  <c r="B37" i="63"/>
  <c r="B424" i="51"/>
  <c r="B423" i="51"/>
  <c r="B422" i="51"/>
  <c r="B108" i="51"/>
  <c r="B107" i="51"/>
  <c r="B106" i="51"/>
  <c r="B39" i="51"/>
  <c r="B38" i="51"/>
  <c r="B37" i="51"/>
  <c r="B37" i="31"/>
  <c r="B36" i="31"/>
  <c r="B35" i="31"/>
  <c r="B38" i="29"/>
  <c r="B37" i="29"/>
  <c r="B36" i="29"/>
  <c r="B36" i="21"/>
  <c r="B35" i="21"/>
  <c r="B40" i="20"/>
  <c r="B37" i="30"/>
  <c r="B36" i="30"/>
  <c r="B35" i="30"/>
  <c r="B67" i="30"/>
  <c r="C216" i="64" l="1"/>
  <c r="C288" i="69" s="1"/>
  <c r="B216" i="64"/>
  <c r="B288" i="69" s="1"/>
  <c r="E288" i="69" s="1"/>
  <c r="C214" i="64"/>
  <c r="C286" i="69" s="1"/>
  <c r="B214" i="64"/>
  <c r="B286" i="69" s="1"/>
  <c r="E286" i="69" s="1"/>
  <c r="C213" i="64"/>
  <c r="C285" i="69" s="1"/>
  <c r="B213" i="64"/>
  <c r="B285" i="69" s="1"/>
  <c r="C212" i="64"/>
  <c r="C284" i="69" s="1"/>
  <c r="B212" i="64"/>
  <c r="B284" i="69" s="1"/>
  <c r="C211" i="64"/>
  <c r="C283" i="69" s="1"/>
  <c r="B211" i="64"/>
  <c r="B283" i="69" s="1"/>
  <c r="E283" i="69" s="1"/>
  <c r="C205" i="64"/>
  <c r="C277" i="69" s="1"/>
  <c r="B205" i="64"/>
  <c r="B277" i="69" s="1"/>
  <c r="E277" i="69" s="1"/>
  <c r="C204" i="64"/>
  <c r="C276" i="69" s="1"/>
  <c r="B204" i="64"/>
  <c r="B276" i="69" s="1"/>
  <c r="C203" i="64"/>
  <c r="C275" i="69" s="1"/>
  <c r="B203" i="64"/>
  <c r="B275" i="69" s="1"/>
  <c r="C107" i="32"/>
  <c r="D146" i="32"/>
  <c r="D212" i="64" s="1"/>
  <c r="D284" i="69" s="1"/>
  <c r="C40" i="32"/>
  <c r="D66" i="32"/>
  <c r="D203" i="64" s="1"/>
  <c r="D275" i="69" s="1"/>
  <c r="D89" i="26" l="1"/>
  <c r="D75" i="28"/>
  <c r="D45" i="49" l="1"/>
  <c r="D44" i="49"/>
  <c r="D43" i="49"/>
  <c r="C504" i="63"/>
  <c r="D117" i="63"/>
  <c r="D116" i="63"/>
  <c r="D115" i="63"/>
  <c r="C149" i="32"/>
  <c r="C215" i="64" s="1"/>
  <c r="C287" i="69" s="1"/>
  <c r="C675" i="64" l="1"/>
  <c r="C843" i="69" s="1"/>
  <c r="B675" i="64"/>
  <c r="B843" i="69" s="1"/>
  <c r="E843" i="69" s="1"/>
  <c r="D106" i="49"/>
  <c r="D676" i="64" s="1"/>
  <c r="D844" i="69" s="1"/>
  <c r="C106" i="49"/>
  <c r="C676" i="64" s="1"/>
  <c r="C844" i="69" s="1"/>
  <c r="D103" i="49"/>
  <c r="D102" i="49"/>
  <c r="D101" i="49"/>
  <c r="B149" i="32"/>
  <c r="B215" i="64" s="1"/>
  <c r="B287" i="69" s="1"/>
  <c r="C191" i="20"/>
  <c r="D199" i="30"/>
  <c r="D198" i="30"/>
  <c r="D197" i="30"/>
  <c r="D42" i="33" l="1"/>
  <c r="D41" i="33"/>
  <c r="D40" i="33"/>
  <c r="D46" i="31"/>
  <c r="D45" i="31"/>
  <c r="D44" i="31"/>
  <c r="D51" i="20"/>
  <c r="D50" i="20"/>
  <c r="D49" i="20"/>
  <c r="D52" i="21"/>
  <c r="D51" i="21"/>
  <c r="D50" i="21"/>
  <c r="B82" i="45"/>
  <c r="B106" i="49"/>
  <c r="B676" i="64" s="1"/>
  <c r="B844" i="69" s="1"/>
  <c r="C520" i="51"/>
  <c r="B561" i="51"/>
  <c r="B88" i="33" l="1"/>
  <c r="B63" i="33"/>
  <c r="D284" i="51" l="1"/>
  <c r="D284" i="63"/>
  <c r="D249" i="30"/>
  <c r="B83" i="45"/>
  <c r="C105" i="29"/>
  <c r="C145" i="29"/>
  <c r="B109" i="28"/>
  <c r="B132" i="26"/>
  <c r="C171" i="20" l="1"/>
  <c r="C20" i="1"/>
  <c r="C130" i="32"/>
  <c r="C131" i="32" s="1"/>
  <c r="C210" i="64"/>
  <c r="C282" i="69" s="1"/>
  <c r="B210" i="64"/>
  <c r="B282" i="69" s="1"/>
  <c r="E282" i="69" s="1"/>
  <c r="C209" i="64"/>
  <c r="C281" i="69" s="1"/>
  <c r="B209" i="64"/>
  <c r="B281" i="69" s="1"/>
  <c r="C208" i="64"/>
  <c r="C280" i="69" s="1"/>
  <c r="B208" i="64"/>
  <c r="B280" i="69" s="1"/>
  <c r="E280" i="69" s="1"/>
  <c r="B206" i="64"/>
  <c r="C87" i="32"/>
  <c r="C89" i="32" l="1"/>
  <c r="C90" i="32" s="1"/>
  <c r="C102" i="32" s="1"/>
  <c r="C88" i="32"/>
  <c r="C108" i="32" s="1"/>
  <c r="C110" i="32" s="1"/>
  <c r="C138" i="32"/>
  <c r="C139" i="32" s="1"/>
  <c r="D150" i="32" s="1"/>
  <c r="D216" i="64" s="1"/>
  <c r="D288" i="69" s="1"/>
  <c r="F288" i="69" s="1"/>
  <c r="C133" i="32"/>
  <c r="D149" i="32" s="1"/>
  <c r="D215" i="64" s="1"/>
  <c r="D287" i="69" s="1"/>
  <c r="D142" i="32"/>
  <c r="D208" i="64" s="1"/>
  <c r="D280" i="69" s="1"/>
  <c r="F280" i="69" s="1"/>
  <c r="C126" i="32" l="1"/>
  <c r="D124" i="32"/>
  <c r="C125" i="32"/>
  <c r="D125" i="32"/>
  <c r="C124" i="32"/>
  <c r="D126" i="32"/>
  <c r="E101" i="32"/>
  <c r="D148" i="32"/>
  <c r="D214" i="64" s="1"/>
  <c r="D286" i="69" s="1"/>
  <c r="F286" i="69" s="1"/>
  <c r="D147" i="32"/>
  <c r="D213" i="64" s="1"/>
  <c r="D285" i="69" s="1"/>
  <c r="D123" i="32"/>
  <c r="C123" i="32"/>
  <c r="D101" i="32"/>
  <c r="C101" i="32"/>
  <c r="D143" i="32" s="1"/>
  <c r="D209" i="64" s="1"/>
  <c r="D281" i="69" s="1"/>
  <c r="E102" i="32"/>
  <c r="F101" i="32"/>
  <c r="D102" i="32"/>
  <c r="F102" i="32"/>
  <c r="D145" i="32"/>
  <c r="D211" i="64" s="1"/>
  <c r="D283" i="69" s="1"/>
  <c r="F283" i="69" s="1"/>
  <c r="C682" i="63"/>
  <c r="C706" i="51"/>
  <c r="C625" i="63"/>
  <c r="C649" i="51"/>
  <c r="C567" i="63"/>
  <c r="C591" i="51"/>
  <c r="C482" i="63"/>
  <c r="C498" i="51"/>
  <c r="C436" i="63"/>
  <c r="C438" i="51"/>
  <c r="C437" i="51"/>
  <c r="C422" i="63"/>
  <c r="C421" i="63"/>
  <c r="C276" i="63"/>
  <c r="C277" i="63" s="1"/>
  <c r="C273" i="63"/>
  <c r="C274" i="63" s="1"/>
  <c r="C270" i="63"/>
  <c r="C271" i="63" s="1"/>
  <c r="C276" i="51"/>
  <c r="C277" i="51" s="1"/>
  <c r="C273" i="51"/>
  <c r="C274" i="51" s="1"/>
  <c r="C270" i="51"/>
  <c r="C271" i="51" s="1"/>
  <c r="C240" i="51"/>
  <c r="C240" i="63"/>
  <c r="C223" i="63"/>
  <c r="C213" i="63"/>
  <c r="C214" i="63" s="1"/>
  <c r="C215" i="63" s="1"/>
  <c r="C217" i="63" s="1"/>
  <c r="C213" i="51"/>
  <c r="C158" i="63"/>
  <c r="C157" i="63"/>
  <c r="C158" i="51"/>
  <c r="C157" i="51"/>
  <c r="C53" i="63"/>
  <c r="C53" i="51"/>
  <c r="D144" i="32" l="1"/>
  <c r="D210" i="64" s="1"/>
  <c r="D282" i="69" s="1"/>
  <c r="F282" i="69" s="1"/>
  <c r="C435" i="63"/>
  <c r="C437" i="63" s="1"/>
  <c r="C438" i="63" s="1"/>
  <c r="C439" i="63" s="1"/>
  <c r="C441" i="63" s="1"/>
  <c r="D501" i="63" s="1"/>
  <c r="C170" i="51"/>
  <c r="C451" i="51"/>
  <c r="C170" i="63"/>
  <c r="C36" i="49" l="1"/>
  <c r="C25" i="45"/>
  <c r="C533" i="36"/>
  <c r="C473" i="36"/>
  <c r="C412" i="36"/>
  <c r="C352" i="36"/>
  <c r="C288" i="36"/>
  <c r="C223" i="36"/>
  <c r="C213" i="36"/>
  <c r="C159" i="36"/>
  <c r="C149" i="36"/>
  <c r="C95" i="36"/>
  <c r="C30" i="36"/>
  <c r="C107" i="33"/>
  <c r="C103" i="31"/>
  <c r="C65" i="31"/>
  <c r="C64" i="31"/>
  <c r="C131" i="29"/>
  <c r="C66" i="29"/>
  <c r="C65" i="29"/>
  <c r="C66" i="21"/>
  <c r="C209" i="20"/>
  <c r="C161" i="20"/>
  <c r="C146" i="30"/>
  <c r="C114" i="20"/>
  <c r="C113" i="20"/>
  <c r="C112" i="20"/>
  <c r="C96" i="20"/>
  <c r="C95" i="20"/>
  <c r="C241" i="30"/>
  <c r="C242" i="30" s="1"/>
  <c r="D248" i="30" s="1"/>
  <c r="C238" i="30"/>
  <c r="C239" i="30" s="1"/>
  <c r="D247" i="30" s="1"/>
  <c r="C235" i="30"/>
  <c r="C236" i="30" s="1"/>
  <c r="D246" i="30" s="1"/>
  <c r="C79" i="29" l="1"/>
  <c r="C77" i="31"/>
  <c r="C214" i="30"/>
  <c r="C215" i="30" s="1"/>
  <c r="D225" i="30" s="1"/>
  <c r="C220" i="30"/>
  <c r="C221" i="30" s="1"/>
  <c r="D227" i="30" s="1"/>
  <c r="C211" i="30"/>
  <c r="C212" i="30" s="1"/>
  <c r="D224" i="30" s="1"/>
  <c r="C177" i="30"/>
  <c r="C179" i="30" s="1"/>
  <c r="C91" i="30"/>
  <c r="C90" i="30"/>
  <c r="C103" i="30" l="1"/>
  <c r="C217" i="30"/>
  <c r="C218" i="30" s="1"/>
  <c r="D226" i="30" s="1"/>
  <c r="C468" i="64"/>
  <c r="C620" i="69" s="1"/>
  <c r="B468" i="64"/>
  <c r="B620" i="69" s="1"/>
  <c r="C467" i="64"/>
  <c r="C619" i="69" s="1"/>
  <c r="B467" i="64"/>
  <c r="B619" i="69" s="1"/>
  <c r="C569" i="64"/>
  <c r="C729" i="69" s="1"/>
  <c r="B569" i="64"/>
  <c r="B729" i="69" s="1"/>
  <c r="C568" i="64"/>
  <c r="C728" i="69" s="1"/>
  <c r="B568" i="64"/>
  <c r="B728" i="69" s="1"/>
  <c r="C232" i="64"/>
  <c r="C312" i="69" s="1"/>
  <c r="B232" i="64"/>
  <c r="B312" i="69" s="1"/>
  <c r="C231" i="64"/>
  <c r="C311" i="69" s="1"/>
  <c r="B231" i="64"/>
  <c r="B311" i="69" s="1"/>
  <c r="C78" i="31"/>
  <c r="C104" i="31"/>
  <c r="C111" i="64"/>
  <c r="C143" i="69" s="1"/>
  <c r="B111" i="64"/>
  <c r="B143" i="69" s="1"/>
  <c r="C110" i="64"/>
  <c r="C142" i="69" s="1"/>
  <c r="B110" i="64"/>
  <c r="B142" i="69" s="1"/>
  <c r="C95" i="64"/>
  <c r="C119" i="69" s="1"/>
  <c r="B95" i="64"/>
  <c r="B119" i="69" s="1"/>
  <c r="C94" i="64"/>
  <c r="C118" i="69" s="1"/>
  <c r="B94" i="64"/>
  <c r="B118" i="69" s="1"/>
  <c r="C111" i="31" l="1"/>
  <c r="C105" i="31"/>
  <c r="C17" i="1"/>
  <c r="C21" i="1" s="1"/>
  <c r="C22" i="1" s="1"/>
  <c r="D47" i="1" s="1"/>
  <c r="C16" i="1"/>
  <c r="C674" i="64"/>
  <c r="C842" i="69" s="1"/>
  <c r="B674" i="64"/>
  <c r="B842" i="69" s="1"/>
  <c r="C673" i="64"/>
  <c r="C841" i="69" s="1"/>
  <c r="B673" i="64"/>
  <c r="B841" i="69" s="1"/>
  <c r="E841" i="69" s="1"/>
  <c r="C672" i="64"/>
  <c r="C840" i="69" s="1"/>
  <c r="B672" i="64"/>
  <c r="B840" i="69" s="1"/>
  <c r="E840" i="69" s="1"/>
  <c r="C671" i="64"/>
  <c r="C839" i="69" s="1"/>
  <c r="B671" i="64"/>
  <c r="B839" i="69" s="1"/>
  <c r="C670" i="64"/>
  <c r="C838" i="69" s="1"/>
  <c r="B670" i="64"/>
  <c r="B838" i="69" s="1"/>
  <c r="E838" i="69" s="1"/>
  <c r="C635" i="64"/>
  <c r="C795" i="69" s="1"/>
  <c r="C667" i="64"/>
  <c r="C835" i="69" s="1"/>
  <c r="B667" i="64"/>
  <c r="B835" i="69" s="1"/>
  <c r="C666" i="64"/>
  <c r="C834" i="69" s="1"/>
  <c r="B666" i="64"/>
  <c r="B834" i="69" s="1"/>
  <c r="E834" i="69" s="1"/>
  <c r="C665" i="64"/>
  <c r="C833" i="69" s="1"/>
  <c r="B665" i="64"/>
  <c r="B833" i="69" s="1"/>
  <c r="E833" i="69" s="1"/>
  <c r="C664" i="64"/>
  <c r="C832" i="69" s="1"/>
  <c r="B664" i="64"/>
  <c r="B832" i="69" s="1"/>
  <c r="C663" i="64"/>
  <c r="C831" i="69" s="1"/>
  <c r="B663" i="64"/>
  <c r="B831" i="69" s="1"/>
  <c r="E831" i="69" s="1"/>
  <c r="B668" i="64"/>
  <c r="B661" i="64"/>
  <c r="B660" i="64"/>
  <c r="C658" i="64"/>
  <c r="C818" i="69" s="1"/>
  <c r="B658" i="64"/>
  <c r="B818" i="69" s="1"/>
  <c r="C657" i="64"/>
  <c r="C817" i="69" s="1"/>
  <c r="B657" i="64"/>
  <c r="B817" i="69" s="1"/>
  <c r="C656" i="64"/>
  <c r="C816" i="69" s="1"/>
  <c r="B656" i="64"/>
  <c r="B816" i="69" s="1"/>
  <c r="C655" i="64"/>
  <c r="C815" i="69" s="1"/>
  <c r="B655" i="64"/>
  <c r="B815" i="69" s="1"/>
  <c r="C654" i="64"/>
  <c r="C814" i="69" s="1"/>
  <c r="B654" i="64"/>
  <c r="B814" i="69" s="1"/>
  <c r="C653" i="64"/>
  <c r="C813" i="69" s="1"/>
  <c r="B651" i="64"/>
  <c r="C650" i="64"/>
  <c r="C810" i="69" s="1"/>
  <c r="B650" i="64"/>
  <c r="B810" i="69" s="1"/>
  <c r="C649" i="64"/>
  <c r="C809" i="69" s="1"/>
  <c r="B649" i="64"/>
  <c r="B809" i="69" s="1"/>
  <c r="C648" i="64"/>
  <c r="C808" i="69" s="1"/>
  <c r="B648" i="64"/>
  <c r="B808" i="69" s="1"/>
  <c r="E808" i="69" s="1"/>
  <c r="C647" i="64"/>
  <c r="C807" i="69" s="1"/>
  <c r="B647" i="64"/>
  <c r="B807" i="69" s="1"/>
  <c r="C646" i="64"/>
  <c r="C806" i="69" s="1"/>
  <c r="B646" i="64"/>
  <c r="B806" i="69" s="1"/>
  <c r="B644" i="64"/>
  <c r="C643" i="64"/>
  <c r="C803" i="69" s="1"/>
  <c r="B643" i="64"/>
  <c r="B803" i="69" s="1"/>
  <c r="C642" i="64"/>
  <c r="C802" i="69" s="1"/>
  <c r="B642" i="64"/>
  <c r="B802" i="69" s="1"/>
  <c r="C641" i="64"/>
  <c r="C801" i="69" s="1"/>
  <c r="B641" i="64"/>
  <c r="B801" i="69" s="1"/>
  <c r="E801" i="69" s="1"/>
  <c r="C640" i="64"/>
  <c r="C800" i="69" s="1"/>
  <c r="B640" i="64"/>
  <c r="B800" i="69" s="1"/>
  <c r="C639" i="64"/>
  <c r="C799" i="69" s="1"/>
  <c r="B639" i="64"/>
  <c r="B799" i="69" s="1"/>
  <c r="B637" i="64"/>
  <c r="C636" i="64"/>
  <c r="C796" i="69" s="1"/>
  <c r="B636" i="64"/>
  <c r="B796" i="69" s="1"/>
  <c r="B635" i="64"/>
  <c r="B795" i="69" s="1"/>
  <c r="E795" i="69" s="1"/>
  <c r="C634" i="64"/>
  <c r="C794" i="69" s="1"/>
  <c r="B634" i="64"/>
  <c r="B794" i="69" s="1"/>
  <c r="C633" i="64"/>
  <c r="C793" i="69" s="1"/>
  <c r="B633" i="64"/>
  <c r="B793" i="69" s="1"/>
  <c r="B631" i="64"/>
  <c r="C630" i="64"/>
  <c r="C790" i="69" s="1"/>
  <c r="B630" i="64"/>
  <c r="B790" i="69" s="1"/>
  <c r="E790" i="69" s="1"/>
  <c r="C629" i="64"/>
  <c r="C789" i="69" s="1"/>
  <c r="B629" i="64"/>
  <c r="B789" i="69" s="1"/>
  <c r="E789" i="69" s="1"/>
  <c r="C628" i="64"/>
  <c r="C788" i="69" s="1"/>
  <c r="B628" i="64"/>
  <c r="B788" i="69" s="1"/>
  <c r="C627" i="64"/>
  <c r="C787" i="69" s="1"/>
  <c r="B627" i="64"/>
  <c r="B787" i="69" s="1"/>
  <c r="E787" i="69" s="1"/>
  <c r="C626" i="64"/>
  <c r="C786" i="69" s="1"/>
  <c r="B624" i="64"/>
  <c r="C623" i="64"/>
  <c r="C783" i="69" s="1"/>
  <c r="B623" i="64"/>
  <c r="B783" i="69" s="1"/>
  <c r="C622" i="64"/>
  <c r="C782" i="69" s="1"/>
  <c r="B622" i="64"/>
  <c r="B782" i="69" s="1"/>
  <c r="B621" i="64"/>
  <c r="B781" i="69" s="1"/>
  <c r="C620" i="64"/>
  <c r="C780" i="69" s="1"/>
  <c r="B620" i="64"/>
  <c r="B780" i="69" s="1"/>
  <c r="C619" i="64"/>
  <c r="C779" i="69" s="1"/>
  <c r="B619" i="64"/>
  <c r="B779" i="69" s="1"/>
  <c r="C618" i="64"/>
  <c r="C778" i="69" s="1"/>
  <c r="B618" i="64"/>
  <c r="B778" i="69" s="1"/>
  <c r="E778" i="69" s="1"/>
  <c r="C617" i="64"/>
  <c r="C777" i="69" s="1"/>
  <c r="B617" i="64"/>
  <c r="B777" i="69" s="1"/>
  <c r="E777" i="69" s="1"/>
  <c r="C616" i="64"/>
  <c r="C776" i="69" s="1"/>
  <c r="B616" i="64"/>
  <c r="B776" i="69" s="1"/>
  <c r="E776" i="69" s="1"/>
  <c r="C615" i="64"/>
  <c r="C775" i="69" s="1"/>
  <c r="B615" i="64"/>
  <c r="B775" i="69" s="1"/>
  <c r="E775" i="69" s="1"/>
  <c r="C614" i="64"/>
  <c r="C774" i="69" s="1"/>
  <c r="B614" i="64"/>
  <c r="B774" i="69" s="1"/>
  <c r="C613" i="64"/>
  <c r="C773" i="69" s="1"/>
  <c r="B613" i="64"/>
  <c r="B773" i="69" s="1"/>
  <c r="E773" i="69" s="1"/>
  <c r="B611" i="64"/>
  <c r="C610" i="64"/>
  <c r="C770" i="69" s="1"/>
  <c r="C609" i="64"/>
  <c r="C769" i="69" s="1"/>
  <c r="C608" i="64"/>
  <c r="C768" i="69" s="1"/>
  <c r="B608" i="64"/>
  <c r="B768" i="69" s="1"/>
  <c r="C607" i="64"/>
  <c r="C767" i="69" s="1"/>
  <c r="B607" i="64"/>
  <c r="B767" i="69" s="1"/>
  <c r="C606" i="64"/>
  <c r="C766" i="69" s="1"/>
  <c r="B606" i="64"/>
  <c r="B766" i="69" s="1"/>
  <c r="E766" i="69" s="1"/>
  <c r="C605" i="64"/>
  <c r="C765" i="69" s="1"/>
  <c r="B605" i="64"/>
  <c r="B765" i="69" s="1"/>
  <c r="C604" i="64"/>
  <c r="C764" i="69" s="1"/>
  <c r="B602" i="64"/>
  <c r="C601" i="64"/>
  <c r="C761" i="69" s="1"/>
  <c r="B601" i="64"/>
  <c r="B761" i="69" s="1"/>
  <c r="C600" i="64"/>
  <c r="C760" i="69" s="1"/>
  <c r="B600" i="64"/>
  <c r="B760" i="69" s="1"/>
  <c r="C599" i="64"/>
  <c r="C759" i="69" s="1"/>
  <c r="B599" i="64"/>
  <c r="B759" i="69" s="1"/>
  <c r="E759" i="69" s="1"/>
  <c r="C598" i="64"/>
  <c r="C758" i="69" s="1"/>
  <c r="B598" i="64"/>
  <c r="B758" i="69" s="1"/>
  <c r="B596" i="64"/>
  <c r="C595" i="64"/>
  <c r="C755" i="69" s="1"/>
  <c r="B595" i="64"/>
  <c r="B755" i="69" s="1"/>
  <c r="C594" i="64"/>
  <c r="C754" i="69" s="1"/>
  <c r="B594" i="64"/>
  <c r="B754" i="69" s="1"/>
  <c r="C593" i="64"/>
  <c r="C753" i="69" s="1"/>
  <c r="B593" i="64"/>
  <c r="B753" i="69" s="1"/>
  <c r="B591" i="64"/>
  <c r="C590" i="64"/>
  <c r="C750" i="69" s="1"/>
  <c r="B590" i="64"/>
  <c r="B750" i="69" s="1"/>
  <c r="E750" i="69" s="1"/>
  <c r="C589" i="64"/>
  <c r="C749" i="69" s="1"/>
  <c r="B589" i="64"/>
  <c r="B749" i="69" s="1"/>
  <c r="E749" i="69" s="1"/>
  <c r="B587" i="64"/>
  <c r="C586" i="64"/>
  <c r="C746" i="69" s="1"/>
  <c r="B586" i="64"/>
  <c r="B746" i="69" s="1"/>
  <c r="C585" i="64"/>
  <c r="C745" i="69" s="1"/>
  <c r="B585" i="64"/>
  <c r="B745" i="69" s="1"/>
  <c r="C584" i="64"/>
  <c r="C744" i="69" s="1"/>
  <c r="B584" i="64"/>
  <c r="B744" i="69" s="1"/>
  <c r="E744" i="69" s="1"/>
  <c r="C583" i="64"/>
  <c r="C743" i="69" s="1"/>
  <c r="B583" i="64"/>
  <c r="B743" i="69" s="1"/>
  <c r="E743" i="69" s="1"/>
  <c r="B581" i="64"/>
  <c r="C580" i="64"/>
  <c r="C740" i="69" s="1"/>
  <c r="B580" i="64"/>
  <c r="B740" i="69" s="1"/>
  <c r="E740" i="69" s="1"/>
  <c r="C579" i="64"/>
  <c r="C739" i="69" s="1"/>
  <c r="B579" i="64"/>
  <c r="B739" i="69" s="1"/>
  <c r="E739" i="69" s="1"/>
  <c r="C578" i="64"/>
  <c r="C738" i="69" s="1"/>
  <c r="B578" i="64"/>
  <c r="B738" i="69" s="1"/>
  <c r="B576" i="64"/>
  <c r="C575" i="64"/>
  <c r="C735" i="69" s="1"/>
  <c r="B575" i="64"/>
  <c r="B735" i="69" s="1"/>
  <c r="E735" i="69" s="1"/>
  <c r="C574" i="64"/>
  <c r="C734" i="69" s="1"/>
  <c r="B574" i="64"/>
  <c r="B734" i="69" s="1"/>
  <c r="E734" i="69" s="1"/>
  <c r="C573" i="64"/>
  <c r="C733" i="69" s="1"/>
  <c r="B573" i="64"/>
  <c r="B733" i="69" s="1"/>
  <c r="C572" i="64"/>
  <c r="C732" i="69" s="1"/>
  <c r="B572" i="64"/>
  <c r="B732" i="69" s="1"/>
  <c r="E732" i="69" s="1"/>
  <c r="B570" i="64"/>
  <c r="C567" i="64"/>
  <c r="C727" i="69" s="1"/>
  <c r="C566" i="64"/>
  <c r="C726" i="69" s="1"/>
  <c r="B566" i="64"/>
  <c r="B726" i="69" s="1"/>
  <c r="E726" i="69" s="1"/>
  <c r="C565" i="64"/>
  <c r="C725" i="69" s="1"/>
  <c r="B565" i="64"/>
  <c r="B725" i="69" s="1"/>
  <c r="E725" i="69" s="1"/>
  <c r="C564" i="64"/>
  <c r="C724" i="69" s="1"/>
  <c r="B564" i="64"/>
  <c r="B724" i="69" s="1"/>
  <c r="E724" i="69" s="1"/>
  <c r="C563" i="64"/>
  <c r="C723" i="69" s="1"/>
  <c r="B563" i="64"/>
  <c r="B723" i="69" s="1"/>
  <c r="C562" i="64"/>
  <c r="C722" i="69" s="1"/>
  <c r="B562" i="64"/>
  <c r="B722" i="69" s="1"/>
  <c r="E722" i="69" s="1"/>
  <c r="B560" i="64"/>
  <c r="B559" i="64"/>
  <c r="C557" i="64"/>
  <c r="C709" i="69" s="1"/>
  <c r="B557" i="64"/>
  <c r="B709" i="69" s="1"/>
  <c r="C556" i="64"/>
  <c r="C708" i="69" s="1"/>
  <c r="B556" i="64"/>
  <c r="B708" i="69" s="1"/>
  <c r="C555" i="64"/>
  <c r="C707" i="69" s="1"/>
  <c r="B555" i="64"/>
  <c r="B707" i="69" s="1"/>
  <c r="C554" i="64"/>
  <c r="C706" i="69" s="1"/>
  <c r="B554" i="64"/>
  <c r="B706" i="69" s="1"/>
  <c r="C553" i="64"/>
  <c r="C705" i="69" s="1"/>
  <c r="B553" i="64"/>
  <c r="B705" i="69" s="1"/>
  <c r="C552" i="64"/>
  <c r="C704" i="69" s="1"/>
  <c r="B550" i="64"/>
  <c r="C549" i="64"/>
  <c r="C701" i="69" s="1"/>
  <c r="B549" i="64"/>
  <c r="B701" i="69" s="1"/>
  <c r="C548" i="64"/>
  <c r="C700" i="69" s="1"/>
  <c r="B548" i="64"/>
  <c r="B700" i="69" s="1"/>
  <c r="C547" i="64"/>
  <c r="C699" i="69" s="1"/>
  <c r="B547" i="64"/>
  <c r="B699" i="69" s="1"/>
  <c r="E699" i="69" s="1"/>
  <c r="C546" i="64"/>
  <c r="C698" i="69" s="1"/>
  <c r="B546" i="64"/>
  <c r="B698" i="69" s="1"/>
  <c r="C545" i="64"/>
  <c r="C697" i="69" s="1"/>
  <c r="B545" i="64"/>
  <c r="B697" i="69" s="1"/>
  <c r="B543" i="64"/>
  <c r="C542" i="64"/>
  <c r="C694" i="69" s="1"/>
  <c r="B542" i="64"/>
  <c r="B694" i="69" s="1"/>
  <c r="C541" i="64"/>
  <c r="C693" i="69" s="1"/>
  <c r="B541" i="64"/>
  <c r="B693" i="69" s="1"/>
  <c r="C540" i="64"/>
  <c r="C692" i="69" s="1"/>
  <c r="B540" i="64"/>
  <c r="B692" i="69" s="1"/>
  <c r="E692" i="69" s="1"/>
  <c r="C539" i="64"/>
  <c r="C691" i="69" s="1"/>
  <c r="B539" i="64"/>
  <c r="B691" i="69" s="1"/>
  <c r="C538" i="64"/>
  <c r="C690" i="69" s="1"/>
  <c r="B538" i="64"/>
  <c r="B690" i="69" s="1"/>
  <c r="B536" i="64"/>
  <c r="C535" i="64"/>
  <c r="C687" i="69" s="1"/>
  <c r="B535" i="64"/>
  <c r="B687" i="69" s="1"/>
  <c r="C534" i="64"/>
  <c r="C686" i="69" s="1"/>
  <c r="B534" i="64"/>
  <c r="B686" i="69" s="1"/>
  <c r="E686" i="69" s="1"/>
  <c r="C533" i="64"/>
  <c r="C685" i="69" s="1"/>
  <c r="B533" i="64"/>
  <c r="B685" i="69" s="1"/>
  <c r="C532" i="64"/>
  <c r="C684" i="69" s="1"/>
  <c r="B532" i="64"/>
  <c r="B684" i="69" s="1"/>
  <c r="B530" i="64"/>
  <c r="C529" i="64"/>
  <c r="C681" i="69" s="1"/>
  <c r="B529" i="64"/>
  <c r="B681" i="69" s="1"/>
  <c r="E681" i="69" s="1"/>
  <c r="C528" i="64"/>
  <c r="C680" i="69" s="1"/>
  <c r="B528" i="64"/>
  <c r="B680" i="69" s="1"/>
  <c r="E680" i="69" s="1"/>
  <c r="C527" i="64"/>
  <c r="C679" i="69" s="1"/>
  <c r="B527" i="64"/>
  <c r="B679" i="69" s="1"/>
  <c r="C526" i="64"/>
  <c r="C678" i="69" s="1"/>
  <c r="B526" i="64"/>
  <c r="B678" i="69" s="1"/>
  <c r="E678" i="69" s="1"/>
  <c r="C525" i="64"/>
  <c r="C677" i="69" s="1"/>
  <c r="B523" i="64"/>
  <c r="C522" i="64"/>
  <c r="C674" i="69" s="1"/>
  <c r="B522" i="64"/>
  <c r="B674" i="69" s="1"/>
  <c r="C521" i="64"/>
  <c r="C673" i="69" s="1"/>
  <c r="B521" i="64"/>
  <c r="B673" i="69" s="1"/>
  <c r="B520" i="64"/>
  <c r="B672" i="69" s="1"/>
  <c r="C519" i="64"/>
  <c r="C671" i="69" s="1"/>
  <c r="B519" i="64"/>
  <c r="B671" i="69" s="1"/>
  <c r="C518" i="64"/>
  <c r="C670" i="69" s="1"/>
  <c r="B518" i="64"/>
  <c r="B670" i="69" s="1"/>
  <c r="C517" i="64"/>
  <c r="C669" i="69" s="1"/>
  <c r="B517" i="64"/>
  <c r="B669" i="69" s="1"/>
  <c r="E669" i="69" s="1"/>
  <c r="C516" i="64"/>
  <c r="C668" i="69" s="1"/>
  <c r="B516" i="64"/>
  <c r="B668" i="69" s="1"/>
  <c r="E668" i="69" s="1"/>
  <c r="C515" i="64"/>
  <c r="C667" i="69" s="1"/>
  <c r="B515" i="64"/>
  <c r="B667" i="69" s="1"/>
  <c r="E667" i="69" s="1"/>
  <c r="C514" i="64"/>
  <c r="C666" i="69" s="1"/>
  <c r="B514" i="64"/>
  <c r="B666" i="69" s="1"/>
  <c r="E666" i="69" s="1"/>
  <c r="C513" i="64"/>
  <c r="C665" i="69" s="1"/>
  <c r="B513" i="64"/>
  <c r="B665" i="69" s="1"/>
  <c r="C512" i="64"/>
  <c r="C664" i="69" s="1"/>
  <c r="B512" i="64"/>
  <c r="B664" i="69" s="1"/>
  <c r="E664" i="69" s="1"/>
  <c r="B510" i="64"/>
  <c r="C509" i="64"/>
  <c r="C661" i="69" s="1"/>
  <c r="C508" i="64"/>
  <c r="C660" i="69" s="1"/>
  <c r="C507" i="64"/>
  <c r="C659" i="69" s="1"/>
  <c r="B507" i="64"/>
  <c r="B659" i="69" s="1"/>
  <c r="C506" i="64"/>
  <c r="C658" i="69" s="1"/>
  <c r="B506" i="64"/>
  <c r="B658" i="69" s="1"/>
  <c r="C505" i="64"/>
  <c r="C657" i="69" s="1"/>
  <c r="B505" i="64"/>
  <c r="B657" i="69" s="1"/>
  <c r="E657" i="69" s="1"/>
  <c r="C504" i="64"/>
  <c r="C656" i="69" s="1"/>
  <c r="B504" i="64"/>
  <c r="B656" i="69" s="1"/>
  <c r="C503" i="64"/>
  <c r="C655" i="69" s="1"/>
  <c r="B501" i="64"/>
  <c r="C500" i="64"/>
  <c r="C652" i="69" s="1"/>
  <c r="B500" i="64"/>
  <c r="B652" i="69" s="1"/>
  <c r="C499" i="64"/>
  <c r="C651" i="69" s="1"/>
  <c r="B499" i="64"/>
  <c r="B651" i="69" s="1"/>
  <c r="C498" i="64"/>
  <c r="C650" i="69" s="1"/>
  <c r="B498" i="64"/>
  <c r="B650" i="69" s="1"/>
  <c r="E650" i="69" s="1"/>
  <c r="C497" i="64"/>
  <c r="C649" i="69" s="1"/>
  <c r="B497" i="64"/>
  <c r="B649" i="69" s="1"/>
  <c r="B495" i="64"/>
  <c r="C494" i="64"/>
  <c r="C646" i="69" s="1"/>
  <c r="B494" i="64"/>
  <c r="B646" i="69" s="1"/>
  <c r="C493" i="64"/>
  <c r="C645" i="69" s="1"/>
  <c r="B493" i="64"/>
  <c r="B645" i="69" s="1"/>
  <c r="C492" i="64"/>
  <c r="C644" i="69" s="1"/>
  <c r="B492" i="64"/>
  <c r="B644" i="69" s="1"/>
  <c r="B490" i="64"/>
  <c r="C489" i="64"/>
  <c r="C641" i="69" s="1"/>
  <c r="B489" i="64"/>
  <c r="B641" i="69" s="1"/>
  <c r="E641" i="69" s="1"/>
  <c r="C488" i="64"/>
  <c r="C640" i="69" s="1"/>
  <c r="B488" i="64"/>
  <c r="B640" i="69" s="1"/>
  <c r="E640" i="69" s="1"/>
  <c r="B486" i="64"/>
  <c r="C485" i="64"/>
  <c r="C637" i="69" s="1"/>
  <c r="B485" i="64"/>
  <c r="B637" i="69" s="1"/>
  <c r="C484" i="64"/>
  <c r="C636" i="69" s="1"/>
  <c r="B484" i="64"/>
  <c r="B636" i="69" s="1"/>
  <c r="C483" i="64"/>
  <c r="C635" i="69" s="1"/>
  <c r="B483" i="64"/>
  <c r="B635" i="69" s="1"/>
  <c r="E635" i="69" s="1"/>
  <c r="C482" i="64"/>
  <c r="C634" i="69" s="1"/>
  <c r="B482" i="64"/>
  <c r="B634" i="69" s="1"/>
  <c r="E634" i="69" s="1"/>
  <c r="B480" i="64"/>
  <c r="C479" i="64"/>
  <c r="C631" i="69" s="1"/>
  <c r="B479" i="64"/>
  <c r="B631" i="69" s="1"/>
  <c r="E631" i="69" s="1"/>
  <c r="C478" i="64"/>
  <c r="C630" i="69" s="1"/>
  <c r="B478" i="64"/>
  <c r="B630" i="69" s="1"/>
  <c r="E630" i="69" s="1"/>
  <c r="C477" i="64"/>
  <c r="C629" i="69" s="1"/>
  <c r="B477" i="64"/>
  <c r="B629" i="69" s="1"/>
  <c r="B475" i="64"/>
  <c r="C474" i="64"/>
  <c r="C626" i="69" s="1"/>
  <c r="B474" i="64"/>
  <c r="B626" i="69" s="1"/>
  <c r="E626" i="69" s="1"/>
  <c r="C473" i="64"/>
  <c r="C625" i="69" s="1"/>
  <c r="B473" i="64"/>
  <c r="B625" i="69" s="1"/>
  <c r="E625" i="69" s="1"/>
  <c r="C472" i="64"/>
  <c r="C624" i="69" s="1"/>
  <c r="B472" i="64"/>
  <c r="B624" i="69" s="1"/>
  <c r="C471" i="64"/>
  <c r="C623" i="69" s="1"/>
  <c r="B471" i="64"/>
  <c r="B623" i="69" s="1"/>
  <c r="E623" i="69" s="1"/>
  <c r="B469" i="64"/>
  <c r="C466" i="64"/>
  <c r="C618" i="69" s="1"/>
  <c r="C465" i="64"/>
  <c r="C617" i="69" s="1"/>
  <c r="B465" i="64"/>
  <c r="B617" i="69" s="1"/>
  <c r="E617" i="69" s="1"/>
  <c r="C464" i="64"/>
  <c r="C616" i="69" s="1"/>
  <c r="B464" i="64"/>
  <c r="B616" i="69" s="1"/>
  <c r="E616" i="69" s="1"/>
  <c r="C463" i="64"/>
  <c r="C615" i="69" s="1"/>
  <c r="B463" i="64"/>
  <c r="B615" i="69" s="1"/>
  <c r="E615" i="69" s="1"/>
  <c r="C462" i="64"/>
  <c r="C614" i="69" s="1"/>
  <c r="B462" i="64"/>
  <c r="B614" i="69" s="1"/>
  <c r="C461" i="64"/>
  <c r="C613" i="69" s="1"/>
  <c r="B461" i="64"/>
  <c r="B613" i="69" s="1"/>
  <c r="E613" i="69" s="1"/>
  <c r="B459" i="64"/>
  <c r="B458" i="64"/>
  <c r="C456" i="64"/>
  <c r="C600" i="69" s="1"/>
  <c r="B456" i="64"/>
  <c r="B600" i="69" s="1"/>
  <c r="C455" i="64"/>
  <c r="C599" i="69" s="1"/>
  <c r="B455" i="64"/>
  <c r="B599" i="69" s="1"/>
  <c r="C454" i="64"/>
  <c r="C598" i="69" s="1"/>
  <c r="B454" i="64"/>
  <c r="B598" i="69" s="1"/>
  <c r="C453" i="64"/>
  <c r="C597" i="69" s="1"/>
  <c r="B453" i="64"/>
  <c r="B597" i="69" s="1"/>
  <c r="C452" i="64"/>
  <c r="C596" i="69" s="1"/>
  <c r="C451" i="64"/>
  <c r="C595" i="69" s="1"/>
  <c r="C450" i="64"/>
  <c r="C594" i="69" s="1"/>
  <c r="B448" i="64"/>
  <c r="C447" i="64"/>
  <c r="C591" i="69" s="1"/>
  <c r="B447" i="64"/>
  <c r="B591" i="69" s="1"/>
  <c r="C446" i="64"/>
  <c r="C590" i="69" s="1"/>
  <c r="B446" i="64"/>
  <c r="B590" i="69" s="1"/>
  <c r="C445" i="64"/>
  <c r="C589" i="69" s="1"/>
  <c r="B445" i="64"/>
  <c r="B589" i="69" s="1"/>
  <c r="C444" i="64"/>
  <c r="C588" i="69" s="1"/>
  <c r="C443" i="64"/>
  <c r="C587" i="69" s="1"/>
  <c r="C442" i="64"/>
  <c r="C586" i="69" s="1"/>
  <c r="B440" i="64"/>
  <c r="C439" i="64"/>
  <c r="C583" i="69" s="1"/>
  <c r="B439" i="64"/>
  <c r="B583" i="69" s="1"/>
  <c r="C438" i="64"/>
  <c r="C582" i="69" s="1"/>
  <c r="B438" i="64"/>
  <c r="B582" i="69" s="1"/>
  <c r="C437" i="64"/>
  <c r="C581" i="69" s="1"/>
  <c r="B437" i="64"/>
  <c r="B581" i="69" s="1"/>
  <c r="C436" i="64"/>
  <c r="C580" i="69" s="1"/>
  <c r="B436" i="64"/>
  <c r="B580" i="69" s="1"/>
  <c r="C435" i="64"/>
  <c r="C579" i="69" s="1"/>
  <c r="C434" i="64"/>
  <c r="C578" i="69" s="1"/>
  <c r="C433" i="64"/>
  <c r="C577" i="69" s="1"/>
  <c r="B431" i="64"/>
  <c r="C430" i="64"/>
  <c r="C574" i="69" s="1"/>
  <c r="B430" i="64"/>
  <c r="B574" i="69" s="1"/>
  <c r="C429" i="64"/>
  <c r="C573" i="69" s="1"/>
  <c r="B429" i="64"/>
  <c r="B573" i="69" s="1"/>
  <c r="C428" i="64"/>
  <c r="C572" i="69" s="1"/>
  <c r="B428" i="64"/>
  <c r="B572" i="69" s="1"/>
  <c r="C427" i="64"/>
  <c r="C571" i="69" s="1"/>
  <c r="C426" i="64"/>
  <c r="C570" i="69" s="1"/>
  <c r="C425" i="64"/>
  <c r="C569" i="69" s="1"/>
  <c r="B423" i="64"/>
  <c r="B422" i="64"/>
  <c r="C420" i="64"/>
  <c r="C556" i="69" s="1"/>
  <c r="B420" i="64"/>
  <c r="B556" i="69" s="1"/>
  <c r="C419" i="64"/>
  <c r="C555" i="69" s="1"/>
  <c r="B419" i="64"/>
  <c r="B555" i="69" s="1"/>
  <c r="C418" i="64"/>
  <c r="C554" i="69" s="1"/>
  <c r="B418" i="64"/>
  <c r="B554" i="69" s="1"/>
  <c r="C417" i="64"/>
  <c r="C553" i="69" s="1"/>
  <c r="B417" i="64"/>
  <c r="B553" i="69" s="1"/>
  <c r="C416" i="64"/>
  <c r="C552" i="69" s="1"/>
  <c r="C415" i="64"/>
  <c r="C551" i="69" s="1"/>
  <c r="C414" i="64"/>
  <c r="C550" i="69" s="1"/>
  <c r="B412" i="64"/>
  <c r="C411" i="64"/>
  <c r="C547" i="69" s="1"/>
  <c r="B411" i="64"/>
  <c r="B547" i="69" s="1"/>
  <c r="C410" i="64"/>
  <c r="C546" i="69" s="1"/>
  <c r="B410" i="64"/>
  <c r="B546" i="69" s="1"/>
  <c r="C409" i="64"/>
  <c r="C545" i="69" s="1"/>
  <c r="B409" i="64"/>
  <c r="B545" i="69" s="1"/>
  <c r="C408" i="64"/>
  <c r="C544" i="69" s="1"/>
  <c r="C407" i="64"/>
  <c r="C543" i="69" s="1"/>
  <c r="C406" i="64"/>
  <c r="C542" i="69" s="1"/>
  <c r="B404" i="64"/>
  <c r="C403" i="64"/>
  <c r="C539" i="69" s="1"/>
  <c r="B403" i="64"/>
  <c r="B539" i="69" s="1"/>
  <c r="C402" i="64"/>
  <c r="C538" i="69" s="1"/>
  <c r="B402" i="64"/>
  <c r="B538" i="69" s="1"/>
  <c r="C401" i="64"/>
  <c r="C537" i="69" s="1"/>
  <c r="B401" i="64"/>
  <c r="B537" i="69" s="1"/>
  <c r="C400" i="64"/>
  <c r="C536" i="69" s="1"/>
  <c r="B400" i="64"/>
  <c r="B536" i="69" s="1"/>
  <c r="C399" i="64"/>
  <c r="C535" i="69" s="1"/>
  <c r="C398" i="64"/>
  <c r="C534" i="69" s="1"/>
  <c r="C397" i="64"/>
  <c r="C533" i="69" s="1"/>
  <c r="B395" i="64"/>
  <c r="C394" i="64"/>
  <c r="C530" i="69" s="1"/>
  <c r="B394" i="64"/>
  <c r="B530" i="69" s="1"/>
  <c r="C393" i="64"/>
  <c r="C529" i="69" s="1"/>
  <c r="B393" i="64"/>
  <c r="B529" i="69" s="1"/>
  <c r="C392" i="64"/>
  <c r="C528" i="69" s="1"/>
  <c r="B392" i="64"/>
  <c r="B528" i="69" s="1"/>
  <c r="C391" i="64"/>
  <c r="C527" i="69" s="1"/>
  <c r="C390" i="64"/>
  <c r="C526" i="69" s="1"/>
  <c r="C389" i="64"/>
  <c r="C525" i="69" s="1"/>
  <c r="B387" i="64"/>
  <c r="B386" i="64"/>
  <c r="C384" i="64"/>
  <c r="C512" i="69" s="1"/>
  <c r="B384" i="64"/>
  <c r="B512" i="69" s="1"/>
  <c r="C383" i="64"/>
  <c r="C511" i="69" s="1"/>
  <c r="B383" i="64"/>
  <c r="B511" i="69" s="1"/>
  <c r="C382" i="64"/>
  <c r="C510" i="69" s="1"/>
  <c r="B382" i="64"/>
  <c r="B510" i="69" s="1"/>
  <c r="C381" i="64"/>
  <c r="C509" i="69" s="1"/>
  <c r="B381" i="64"/>
  <c r="B509" i="69" s="1"/>
  <c r="C380" i="64"/>
  <c r="C508" i="69" s="1"/>
  <c r="B380" i="64"/>
  <c r="B508" i="69" s="1"/>
  <c r="C379" i="64"/>
  <c r="C507" i="69" s="1"/>
  <c r="B377" i="64"/>
  <c r="C376" i="64"/>
  <c r="C504" i="69" s="1"/>
  <c r="B376" i="64"/>
  <c r="B504" i="69" s="1"/>
  <c r="C375" i="64"/>
  <c r="C503" i="69" s="1"/>
  <c r="B375" i="64"/>
  <c r="B503" i="69" s="1"/>
  <c r="C374" i="64"/>
  <c r="C502" i="69" s="1"/>
  <c r="B374" i="64"/>
  <c r="B502" i="69" s="1"/>
  <c r="C373" i="64"/>
  <c r="C501" i="69" s="1"/>
  <c r="B373" i="64"/>
  <c r="B501" i="69" s="1"/>
  <c r="C372" i="64"/>
  <c r="C500" i="69" s="1"/>
  <c r="B372" i="64"/>
  <c r="B500" i="69" s="1"/>
  <c r="C371" i="64"/>
  <c r="C499" i="69" s="1"/>
  <c r="B369" i="64"/>
  <c r="C368" i="64"/>
  <c r="C496" i="69" s="1"/>
  <c r="B368" i="64"/>
  <c r="B496" i="69" s="1"/>
  <c r="C367" i="64"/>
  <c r="C495" i="69" s="1"/>
  <c r="B367" i="64"/>
  <c r="B495" i="69" s="1"/>
  <c r="C366" i="64"/>
  <c r="C494" i="69" s="1"/>
  <c r="B366" i="64"/>
  <c r="B494" i="69" s="1"/>
  <c r="C365" i="64"/>
  <c r="C493" i="69" s="1"/>
  <c r="B365" i="64"/>
  <c r="B493" i="69" s="1"/>
  <c r="C364" i="64"/>
  <c r="C492" i="69" s="1"/>
  <c r="B364" i="64"/>
  <c r="B492" i="69" s="1"/>
  <c r="C363" i="64"/>
  <c r="C491" i="69" s="1"/>
  <c r="B361" i="64"/>
  <c r="B360" i="64"/>
  <c r="C358" i="64"/>
  <c r="C478" i="69" s="1"/>
  <c r="B358" i="64"/>
  <c r="B478" i="69" s="1"/>
  <c r="C357" i="64"/>
  <c r="C477" i="69" s="1"/>
  <c r="B357" i="64"/>
  <c r="B477" i="69" s="1"/>
  <c r="C356" i="64"/>
  <c r="C476" i="69" s="1"/>
  <c r="B356" i="64"/>
  <c r="B476" i="69" s="1"/>
  <c r="C355" i="64"/>
  <c r="C475" i="69" s="1"/>
  <c r="B355" i="64"/>
  <c r="B475" i="69" s="1"/>
  <c r="C354" i="64"/>
  <c r="C474" i="69" s="1"/>
  <c r="B354" i="64"/>
  <c r="B474" i="69" s="1"/>
  <c r="C353" i="64"/>
  <c r="C473" i="69" s="1"/>
  <c r="C352" i="64"/>
  <c r="C472" i="69" s="1"/>
  <c r="B350" i="64"/>
  <c r="B349" i="64"/>
  <c r="C337" i="64"/>
  <c r="C449" i="69" s="1"/>
  <c r="B337" i="64"/>
  <c r="B449" i="69" s="1"/>
  <c r="E449" i="69" s="1"/>
  <c r="C336" i="64"/>
  <c r="C448" i="69" s="1"/>
  <c r="B336" i="64"/>
  <c r="B448" i="69" s="1"/>
  <c r="E448" i="69" s="1"/>
  <c r="C335" i="64"/>
  <c r="C447" i="69" s="1"/>
  <c r="B335" i="64"/>
  <c r="B447" i="69" s="1"/>
  <c r="B333" i="64"/>
  <c r="B332" i="64"/>
  <c r="C320" i="64"/>
  <c r="C424" i="69" s="1"/>
  <c r="B320" i="64"/>
  <c r="B424" i="69" s="1"/>
  <c r="E424" i="69" s="1"/>
  <c r="C319" i="64"/>
  <c r="C423" i="69" s="1"/>
  <c r="B319" i="64"/>
  <c r="B423" i="69" s="1"/>
  <c r="E423" i="69" s="1"/>
  <c r="C318" i="64"/>
  <c r="C422" i="69" s="1"/>
  <c r="B318" i="64"/>
  <c r="B422" i="69" s="1"/>
  <c r="B316" i="64"/>
  <c r="B315" i="64"/>
  <c r="C313" i="64"/>
  <c r="C409" i="69" s="1"/>
  <c r="B313" i="64"/>
  <c r="B409" i="69" s="1"/>
  <c r="C312" i="64"/>
  <c r="C408" i="69" s="1"/>
  <c r="B312" i="64"/>
  <c r="B408" i="69" s="1"/>
  <c r="B310" i="64"/>
  <c r="C309" i="64"/>
  <c r="C405" i="69" s="1"/>
  <c r="B309" i="64"/>
  <c r="B405" i="69" s="1"/>
  <c r="C308" i="64"/>
  <c r="C404" i="69" s="1"/>
  <c r="B308" i="64"/>
  <c r="B404" i="69" s="1"/>
  <c r="B306" i="64"/>
  <c r="B305" i="64"/>
  <c r="C303" i="64"/>
  <c r="C391" i="69" s="1"/>
  <c r="B303" i="64"/>
  <c r="B391" i="69" s="1"/>
  <c r="C302" i="64"/>
  <c r="C390" i="69" s="1"/>
  <c r="B302" i="64"/>
  <c r="B390" i="69" s="1"/>
  <c r="C301" i="64"/>
  <c r="C389" i="69" s="1"/>
  <c r="B301" i="64"/>
  <c r="B389" i="69" s="1"/>
  <c r="E389" i="69" s="1"/>
  <c r="C300" i="64"/>
  <c r="C388" i="69" s="1"/>
  <c r="B300" i="64"/>
  <c r="B388" i="69" s="1"/>
  <c r="C299" i="64"/>
  <c r="C387" i="69" s="1"/>
  <c r="B299" i="64"/>
  <c r="B387" i="69" s="1"/>
  <c r="B297" i="64"/>
  <c r="C296" i="64"/>
  <c r="C384" i="69" s="1"/>
  <c r="B296" i="64"/>
  <c r="B384" i="69" s="1"/>
  <c r="C295" i="64"/>
  <c r="C383" i="69" s="1"/>
  <c r="B295" i="64"/>
  <c r="B383" i="69" s="1"/>
  <c r="C294" i="64"/>
  <c r="C382" i="69" s="1"/>
  <c r="B294" i="64"/>
  <c r="B382" i="69" s="1"/>
  <c r="E382" i="69" s="1"/>
  <c r="C293" i="64"/>
  <c r="C381" i="69" s="1"/>
  <c r="B293" i="64"/>
  <c r="B381" i="69" s="1"/>
  <c r="C292" i="64"/>
  <c r="C380" i="69" s="1"/>
  <c r="B292" i="64"/>
  <c r="B380" i="69" s="1"/>
  <c r="B290" i="64"/>
  <c r="C289" i="64"/>
  <c r="C377" i="69" s="1"/>
  <c r="B289" i="64"/>
  <c r="B377" i="69" s="1"/>
  <c r="C288" i="64"/>
  <c r="C376" i="69" s="1"/>
  <c r="B288" i="64"/>
  <c r="B376" i="69" s="1"/>
  <c r="E376" i="69" s="1"/>
  <c r="C287" i="64"/>
  <c r="C375" i="69" s="1"/>
  <c r="B287" i="64"/>
  <c r="B375" i="69" s="1"/>
  <c r="C286" i="64"/>
  <c r="C374" i="69" s="1"/>
  <c r="B286" i="64"/>
  <c r="B374" i="69" s="1"/>
  <c r="B284" i="64"/>
  <c r="C283" i="64"/>
  <c r="C371" i="69" s="1"/>
  <c r="B283" i="64"/>
  <c r="B371" i="69" s="1"/>
  <c r="C282" i="64"/>
  <c r="C370" i="69" s="1"/>
  <c r="B282" i="64"/>
  <c r="B370" i="69" s="1"/>
  <c r="C281" i="64"/>
  <c r="C369" i="69" s="1"/>
  <c r="B281" i="64"/>
  <c r="B369" i="69" s="1"/>
  <c r="E369" i="69" s="1"/>
  <c r="C280" i="64"/>
  <c r="C368" i="69" s="1"/>
  <c r="B280" i="64"/>
  <c r="B368" i="69" s="1"/>
  <c r="C279" i="64"/>
  <c r="C367" i="69" s="1"/>
  <c r="B279" i="64"/>
  <c r="B367" i="69" s="1"/>
  <c r="B277" i="64"/>
  <c r="C276" i="64"/>
  <c r="C364" i="69" s="1"/>
  <c r="B276" i="64"/>
  <c r="B364" i="69" s="1"/>
  <c r="C275" i="64"/>
  <c r="C363" i="69" s="1"/>
  <c r="B275" i="64"/>
  <c r="B363" i="69" s="1"/>
  <c r="C274" i="64"/>
  <c r="C362" i="69" s="1"/>
  <c r="B274" i="64"/>
  <c r="B362" i="69" s="1"/>
  <c r="E362" i="69" s="1"/>
  <c r="C273" i="64"/>
  <c r="C361" i="69" s="1"/>
  <c r="B273" i="64"/>
  <c r="B361" i="69" s="1"/>
  <c r="C272" i="64"/>
  <c r="C360" i="69" s="1"/>
  <c r="B272" i="64"/>
  <c r="B360" i="69" s="1"/>
  <c r="B270" i="64"/>
  <c r="C269" i="64"/>
  <c r="C357" i="69" s="1"/>
  <c r="B269" i="64"/>
  <c r="B357" i="69" s="1"/>
  <c r="C268" i="64"/>
  <c r="C356" i="69" s="1"/>
  <c r="B268" i="64"/>
  <c r="B356" i="69" s="1"/>
  <c r="E356" i="69" s="1"/>
  <c r="C267" i="64"/>
  <c r="C355" i="69" s="1"/>
  <c r="B267" i="64"/>
  <c r="B355" i="69" s="1"/>
  <c r="C266" i="64"/>
  <c r="C354" i="69" s="1"/>
  <c r="B266" i="64"/>
  <c r="B354" i="69" s="1"/>
  <c r="B264" i="64"/>
  <c r="C263" i="64"/>
  <c r="C351" i="69" s="1"/>
  <c r="B263" i="64"/>
  <c r="B351" i="69" s="1"/>
  <c r="C262" i="64"/>
  <c r="C350" i="69" s="1"/>
  <c r="B262" i="64"/>
  <c r="B350" i="69" s="1"/>
  <c r="C261" i="64"/>
  <c r="C349" i="69" s="1"/>
  <c r="B261" i="64"/>
  <c r="B349" i="69" s="1"/>
  <c r="E349" i="69" s="1"/>
  <c r="C260" i="64"/>
  <c r="C348" i="69" s="1"/>
  <c r="B260" i="64"/>
  <c r="B348" i="69" s="1"/>
  <c r="C259" i="64"/>
  <c r="C347" i="69" s="1"/>
  <c r="B259" i="64"/>
  <c r="B347" i="69" s="1"/>
  <c r="B257" i="64"/>
  <c r="C256" i="64"/>
  <c r="C344" i="69" s="1"/>
  <c r="B256" i="64"/>
  <c r="B344" i="69" s="1"/>
  <c r="C255" i="64"/>
  <c r="C343" i="69" s="1"/>
  <c r="B255" i="64"/>
  <c r="B343" i="69" s="1"/>
  <c r="C254" i="64"/>
  <c r="C342" i="69" s="1"/>
  <c r="B254" i="64"/>
  <c r="B342" i="69" s="1"/>
  <c r="E342" i="69" s="1"/>
  <c r="C253" i="64"/>
  <c r="C341" i="69" s="1"/>
  <c r="B253" i="64"/>
  <c r="B341" i="69" s="1"/>
  <c r="C252" i="64"/>
  <c r="C340" i="69" s="1"/>
  <c r="B252" i="64"/>
  <c r="B340" i="69" s="1"/>
  <c r="B250" i="64"/>
  <c r="C249" i="64"/>
  <c r="C337" i="69" s="1"/>
  <c r="B249" i="64"/>
  <c r="B337" i="69" s="1"/>
  <c r="C248" i="64"/>
  <c r="C336" i="69" s="1"/>
  <c r="B248" i="64"/>
  <c r="B336" i="69" s="1"/>
  <c r="E336" i="69" s="1"/>
  <c r="C247" i="64"/>
  <c r="C335" i="69" s="1"/>
  <c r="B247" i="64"/>
  <c r="B335" i="69" s="1"/>
  <c r="C246" i="64"/>
  <c r="C334" i="69" s="1"/>
  <c r="B246" i="64"/>
  <c r="B334" i="69" s="1"/>
  <c r="B244" i="64"/>
  <c r="B243" i="64"/>
  <c r="C241" i="64"/>
  <c r="C321" i="69" s="1"/>
  <c r="B241" i="64"/>
  <c r="B321" i="69" s="1"/>
  <c r="C240" i="64"/>
  <c r="C320" i="69" s="1"/>
  <c r="B240" i="64"/>
  <c r="B320" i="69" s="1"/>
  <c r="B238" i="64"/>
  <c r="C237" i="64"/>
  <c r="C317" i="69" s="1"/>
  <c r="B237" i="64"/>
  <c r="B317" i="69" s="1"/>
  <c r="C236" i="64"/>
  <c r="C316" i="69" s="1"/>
  <c r="B236" i="64"/>
  <c r="B316" i="69" s="1"/>
  <c r="C235" i="64"/>
  <c r="C315" i="69" s="1"/>
  <c r="B235" i="64"/>
  <c r="B315" i="69" s="1"/>
  <c r="B233" i="64"/>
  <c r="C230" i="64"/>
  <c r="C310" i="69" s="1"/>
  <c r="B228" i="64"/>
  <c r="C227" i="64"/>
  <c r="C307" i="69" s="1"/>
  <c r="B225" i="64"/>
  <c r="C224" i="64"/>
  <c r="C304" i="69" s="1"/>
  <c r="B224" i="64"/>
  <c r="B304" i="69" s="1"/>
  <c r="E304" i="69" s="1"/>
  <c r="C223" i="64"/>
  <c r="C303" i="69" s="1"/>
  <c r="B223" i="64"/>
  <c r="B303" i="69" s="1"/>
  <c r="E303" i="69" s="1"/>
  <c r="C222" i="64"/>
  <c r="C302" i="69" s="1"/>
  <c r="B222" i="64"/>
  <c r="B302" i="69" s="1"/>
  <c r="C221" i="64"/>
  <c r="C301" i="69" s="1"/>
  <c r="B221" i="64"/>
  <c r="B301" i="69" s="1"/>
  <c r="E301" i="69" s="1"/>
  <c r="B219" i="64"/>
  <c r="B218" i="64"/>
  <c r="C202" i="64"/>
  <c r="C274" i="69" s="1"/>
  <c r="B202" i="64"/>
  <c r="B274" i="69" s="1"/>
  <c r="E274" i="69" s="1"/>
  <c r="C201" i="64"/>
  <c r="C273" i="69" s="1"/>
  <c r="B201" i="64"/>
  <c r="B273" i="69" s="1"/>
  <c r="E273" i="69" s="1"/>
  <c r="C200" i="64"/>
  <c r="C272" i="69" s="1"/>
  <c r="B200" i="64"/>
  <c r="B272" i="69" s="1"/>
  <c r="C199" i="64"/>
  <c r="C271" i="69" s="1"/>
  <c r="B199" i="64"/>
  <c r="B271" i="69" s="1"/>
  <c r="E271" i="69" s="1"/>
  <c r="B197" i="64"/>
  <c r="B196" i="64"/>
  <c r="C194" i="64"/>
  <c r="C258" i="69" s="1"/>
  <c r="B194" i="64"/>
  <c r="B258" i="69" s="1"/>
  <c r="C193" i="64"/>
  <c r="C257" i="69" s="1"/>
  <c r="B193" i="64"/>
  <c r="B257" i="69" s="1"/>
  <c r="C192" i="64"/>
  <c r="C256" i="69" s="1"/>
  <c r="B192" i="64"/>
  <c r="B256" i="69" s="1"/>
  <c r="B190" i="64"/>
  <c r="C189" i="64"/>
  <c r="C253" i="69" s="1"/>
  <c r="B189" i="64"/>
  <c r="B253" i="69" s="1"/>
  <c r="C188" i="64"/>
  <c r="C252" i="69" s="1"/>
  <c r="B188" i="64"/>
  <c r="B252" i="69" s="1"/>
  <c r="C187" i="64"/>
  <c r="C251" i="69" s="1"/>
  <c r="B187" i="64"/>
  <c r="B251" i="69" s="1"/>
  <c r="E251" i="69" s="1"/>
  <c r="C186" i="64"/>
  <c r="C250" i="69" s="1"/>
  <c r="B186" i="64"/>
  <c r="B250" i="69" s="1"/>
  <c r="E250" i="69" s="1"/>
  <c r="B184" i="64"/>
  <c r="C183" i="64"/>
  <c r="C247" i="69" s="1"/>
  <c r="B183" i="64"/>
  <c r="B247" i="69" s="1"/>
  <c r="E247" i="69" s="1"/>
  <c r="C182" i="64"/>
  <c r="C246" i="69" s="1"/>
  <c r="B182" i="64"/>
  <c r="B246" i="69" s="1"/>
  <c r="E246" i="69" s="1"/>
  <c r="C181" i="64"/>
  <c r="C245" i="69" s="1"/>
  <c r="B181" i="64"/>
  <c r="B245" i="69" s="1"/>
  <c r="C180" i="64"/>
  <c r="C244" i="69" s="1"/>
  <c r="B180" i="64"/>
  <c r="B244" i="69" s="1"/>
  <c r="E244" i="69" s="1"/>
  <c r="B178" i="64"/>
  <c r="B177" i="64"/>
  <c r="C175" i="64"/>
  <c r="C231" i="69" s="1"/>
  <c r="B175" i="64"/>
  <c r="B231" i="69" s="1"/>
  <c r="C174" i="64"/>
  <c r="C230" i="69" s="1"/>
  <c r="B174" i="64"/>
  <c r="B230" i="69" s="1"/>
  <c r="B173" i="64"/>
  <c r="B229" i="69" s="1"/>
  <c r="B171" i="64"/>
  <c r="C170" i="64"/>
  <c r="C226" i="69" s="1"/>
  <c r="B170" i="64"/>
  <c r="B226" i="69" s="1"/>
  <c r="C169" i="64"/>
  <c r="C225" i="69" s="1"/>
  <c r="B169" i="64"/>
  <c r="B225" i="69" s="1"/>
  <c r="C168" i="64"/>
  <c r="C224" i="69" s="1"/>
  <c r="B168" i="64"/>
  <c r="B224" i="69" s="1"/>
  <c r="E224" i="69" s="1"/>
  <c r="C167" i="64"/>
  <c r="C223" i="69" s="1"/>
  <c r="B167" i="64"/>
  <c r="B223" i="69" s="1"/>
  <c r="E223" i="69" s="1"/>
  <c r="B165" i="64"/>
  <c r="C164" i="64"/>
  <c r="C220" i="69" s="1"/>
  <c r="B164" i="64"/>
  <c r="B220" i="69" s="1"/>
  <c r="E220" i="69" s="1"/>
  <c r="C163" i="64"/>
  <c r="C219" i="69" s="1"/>
  <c r="B163" i="64"/>
  <c r="B219" i="69" s="1"/>
  <c r="E219" i="69" s="1"/>
  <c r="C162" i="64"/>
  <c r="C218" i="69" s="1"/>
  <c r="B162" i="64"/>
  <c r="B218" i="69" s="1"/>
  <c r="C161" i="64"/>
  <c r="C217" i="69" s="1"/>
  <c r="B161" i="64"/>
  <c r="B217" i="69" s="1"/>
  <c r="E217" i="69" s="1"/>
  <c r="B158" i="64"/>
  <c r="B159" i="64"/>
  <c r="C156" i="64"/>
  <c r="C204" i="69" s="1"/>
  <c r="B156" i="64"/>
  <c r="B204" i="69" s="1"/>
  <c r="E204" i="69" s="1"/>
  <c r="C155" i="64"/>
  <c r="C203" i="69" s="1"/>
  <c r="B155" i="64"/>
  <c r="B203" i="69" s="1"/>
  <c r="E203" i="69" s="1"/>
  <c r="C154" i="64"/>
  <c r="C202" i="69" s="1"/>
  <c r="B154" i="64"/>
  <c r="B202" i="69" s="1"/>
  <c r="C153" i="64"/>
  <c r="C201" i="69" s="1"/>
  <c r="B153" i="64"/>
  <c r="B201" i="69" s="1"/>
  <c r="E201" i="69" s="1"/>
  <c r="C152" i="64"/>
  <c r="C200" i="69" s="1"/>
  <c r="B150" i="64"/>
  <c r="C149" i="64"/>
  <c r="C197" i="69" s="1"/>
  <c r="B149" i="64"/>
  <c r="B197" i="69" s="1"/>
  <c r="C148" i="64"/>
  <c r="C196" i="69" s="1"/>
  <c r="B148" i="64"/>
  <c r="B196" i="69" s="1"/>
  <c r="C147" i="64"/>
  <c r="C195" i="69" s="1"/>
  <c r="B147" i="64"/>
  <c r="B195" i="69" s="1"/>
  <c r="E195" i="69" s="1"/>
  <c r="C146" i="64"/>
  <c r="C194" i="69" s="1"/>
  <c r="B146" i="64"/>
  <c r="B194" i="69" s="1"/>
  <c r="B144" i="64"/>
  <c r="C143" i="64"/>
  <c r="C191" i="69" s="1"/>
  <c r="B141" i="64"/>
  <c r="B140" i="64"/>
  <c r="C138" i="64"/>
  <c r="C178" i="69" s="1"/>
  <c r="B138" i="64"/>
  <c r="B178" i="69" s="1"/>
  <c r="E178" i="69" s="1"/>
  <c r="C137" i="64"/>
  <c r="C177" i="69" s="1"/>
  <c r="B137" i="64"/>
  <c r="B177" i="69" s="1"/>
  <c r="E177" i="69" s="1"/>
  <c r="C136" i="64"/>
  <c r="C176" i="69" s="1"/>
  <c r="B136" i="64"/>
  <c r="B176" i="69" s="1"/>
  <c r="C135" i="64"/>
  <c r="C175" i="69" s="1"/>
  <c r="B135" i="64"/>
  <c r="B175" i="69" s="1"/>
  <c r="E175" i="69" s="1"/>
  <c r="C134" i="64"/>
  <c r="C174" i="69" s="1"/>
  <c r="B132" i="64"/>
  <c r="C131" i="64"/>
  <c r="C171" i="69" s="1"/>
  <c r="B131" i="64"/>
  <c r="B171" i="69" s="1"/>
  <c r="C130" i="64"/>
  <c r="C170" i="69" s="1"/>
  <c r="B130" i="64"/>
  <c r="B170" i="69" s="1"/>
  <c r="C129" i="64"/>
  <c r="C169" i="69" s="1"/>
  <c r="B129" i="64"/>
  <c r="B169" i="69" s="1"/>
  <c r="E169" i="69" s="1"/>
  <c r="C128" i="64"/>
  <c r="C168" i="69" s="1"/>
  <c r="B128" i="64"/>
  <c r="B168" i="69" s="1"/>
  <c r="B126" i="64"/>
  <c r="C125" i="64"/>
  <c r="C165" i="69" s="1"/>
  <c r="B123" i="64"/>
  <c r="B122" i="64"/>
  <c r="C120" i="64"/>
  <c r="C152" i="69" s="1"/>
  <c r="B120" i="64"/>
  <c r="B152" i="69" s="1"/>
  <c r="C119" i="64"/>
  <c r="C151" i="69" s="1"/>
  <c r="B119" i="64"/>
  <c r="B151" i="69" s="1"/>
  <c r="C118" i="64"/>
  <c r="C150" i="69" s="1"/>
  <c r="B118" i="64"/>
  <c r="B150" i="69" s="1"/>
  <c r="B116" i="64"/>
  <c r="C115" i="64"/>
  <c r="C147" i="69" s="1"/>
  <c r="B115" i="64"/>
  <c r="B147" i="69" s="1"/>
  <c r="E147" i="69" s="1"/>
  <c r="C114" i="64"/>
  <c r="C146" i="69" s="1"/>
  <c r="B114" i="64"/>
  <c r="B146" i="69" s="1"/>
  <c r="E146" i="69" s="1"/>
  <c r="B112" i="64"/>
  <c r="C109" i="64"/>
  <c r="C141" i="69" s="1"/>
  <c r="B107" i="64"/>
  <c r="C106" i="64"/>
  <c r="C138" i="69" s="1"/>
  <c r="B104" i="64"/>
  <c r="C103" i="64"/>
  <c r="C135" i="69" s="1"/>
  <c r="B103" i="64"/>
  <c r="B135" i="69" s="1"/>
  <c r="E135" i="69" s="1"/>
  <c r="C102" i="64"/>
  <c r="C134" i="69" s="1"/>
  <c r="B102" i="64"/>
  <c r="B134" i="69" s="1"/>
  <c r="E134" i="69" s="1"/>
  <c r="C101" i="64"/>
  <c r="C133" i="69" s="1"/>
  <c r="B101" i="64"/>
  <c r="B133" i="69" s="1"/>
  <c r="C100" i="64"/>
  <c r="C132" i="69" s="1"/>
  <c r="B100" i="64"/>
  <c r="B132" i="69" s="1"/>
  <c r="E132" i="69" s="1"/>
  <c r="B98" i="64"/>
  <c r="B97" i="64"/>
  <c r="C93" i="64"/>
  <c r="C117" i="69" s="1"/>
  <c r="B91" i="64"/>
  <c r="C90" i="64"/>
  <c r="C114" i="69" s="1"/>
  <c r="B90" i="64"/>
  <c r="B114" i="69" s="1"/>
  <c r="E114" i="69" s="1"/>
  <c r="C89" i="64"/>
  <c r="C113" i="69" s="1"/>
  <c r="B89" i="64"/>
  <c r="B113" i="69" s="1"/>
  <c r="E113" i="69" s="1"/>
  <c r="C88" i="64"/>
  <c r="C112" i="69" s="1"/>
  <c r="B88" i="64"/>
  <c r="B112" i="69" s="1"/>
  <c r="E112" i="69" s="1"/>
  <c r="C87" i="64"/>
  <c r="C111" i="69" s="1"/>
  <c r="B87" i="64"/>
  <c r="B111" i="69" s="1"/>
  <c r="C86" i="64"/>
  <c r="C110" i="69" s="1"/>
  <c r="B86" i="64"/>
  <c r="B110" i="69" s="1"/>
  <c r="E110" i="69" s="1"/>
  <c r="B84" i="64"/>
  <c r="B83" i="64"/>
  <c r="C81" i="64"/>
  <c r="C97" i="69" s="1"/>
  <c r="B81" i="64"/>
  <c r="B97" i="69" s="1"/>
  <c r="C80" i="64"/>
  <c r="C96" i="69" s="1"/>
  <c r="B80" i="64"/>
  <c r="B96" i="69" s="1"/>
  <c r="C79" i="64"/>
  <c r="C95" i="69" s="1"/>
  <c r="B79" i="64"/>
  <c r="B95" i="69" s="1"/>
  <c r="B77" i="64"/>
  <c r="C76" i="64"/>
  <c r="C92" i="69" s="1"/>
  <c r="B76" i="64"/>
  <c r="B92" i="69" s="1"/>
  <c r="E92" i="69" s="1"/>
  <c r="C75" i="64"/>
  <c r="C91" i="69" s="1"/>
  <c r="B75" i="64"/>
  <c r="B91" i="69" s="1"/>
  <c r="E91" i="69" s="1"/>
  <c r="B73" i="64"/>
  <c r="C72" i="64"/>
  <c r="C88" i="69" s="1"/>
  <c r="B72" i="64"/>
  <c r="B88" i="69" s="1"/>
  <c r="C71" i="64"/>
  <c r="C87" i="69" s="1"/>
  <c r="B71" i="64"/>
  <c r="B87" i="69" s="1"/>
  <c r="C70" i="64"/>
  <c r="C86" i="69" s="1"/>
  <c r="B68" i="64"/>
  <c r="C67" i="64"/>
  <c r="C83" i="69" s="1"/>
  <c r="B67" i="64"/>
  <c r="B83" i="69" s="1"/>
  <c r="E83" i="69" s="1"/>
  <c r="C66" i="64"/>
  <c r="C82" i="69" s="1"/>
  <c r="B66" i="64"/>
  <c r="B82" i="69" s="1"/>
  <c r="E82" i="69" s="1"/>
  <c r="C65" i="64"/>
  <c r="C81" i="69" s="1"/>
  <c r="B65" i="64"/>
  <c r="B81" i="69" s="1"/>
  <c r="B63" i="64"/>
  <c r="C62" i="64"/>
  <c r="C78" i="69" s="1"/>
  <c r="B62" i="64"/>
  <c r="B78" i="69" s="1"/>
  <c r="E78" i="69" s="1"/>
  <c r="C61" i="64"/>
  <c r="C77" i="69" s="1"/>
  <c r="B61" i="64"/>
  <c r="B77" i="69" s="1"/>
  <c r="E77" i="69" s="1"/>
  <c r="C60" i="64"/>
  <c r="C76" i="69" s="1"/>
  <c r="B60" i="64"/>
  <c r="B76" i="69" s="1"/>
  <c r="C59" i="64"/>
  <c r="C75" i="69" s="1"/>
  <c r="B59" i="64"/>
  <c r="B75" i="69" s="1"/>
  <c r="E75" i="69" s="1"/>
  <c r="B57" i="64"/>
  <c r="B56" i="64"/>
  <c r="C54" i="64"/>
  <c r="C62" i="69" s="1"/>
  <c r="B54" i="64"/>
  <c r="B62" i="69" s="1"/>
  <c r="C53" i="64"/>
  <c r="C61" i="69" s="1"/>
  <c r="B53" i="64"/>
  <c r="B61" i="69" s="1"/>
  <c r="C52" i="64"/>
  <c r="C60" i="69" s="1"/>
  <c r="B52" i="64"/>
  <c r="B60" i="69" s="1"/>
  <c r="E60" i="69" s="1"/>
  <c r="C51" i="64"/>
  <c r="C59" i="69" s="1"/>
  <c r="B49" i="64"/>
  <c r="B51" i="64"/>
  <c r="B59" i="69" s="1"/>
  <c r="C48" i="64"/>
  <c r="C56" i="69" s="1"/>
  <c r="C47" i="64"/>
  <c r="C55" i="69" s="1"/>
  <c r="B47" i="64"/>
  <c r="B55" i="69" s="1"/>
  <c r="C46" i="64"/>
  <c r="C54" i="69" s="1"/>
  <c r="B46" i="64"/>
  <c r="B54" i="69" s="1"/>
  <c r="E54" i="69" s="1"/>
  <c r="C45" i="64"/>
  <c r="C53" i="69" s="1"/>
  <c r="B45" i="64"/>
  <c r="B53" i="69" s="1"/>
  <c r="B43" i="64"/>
  <c r="C42" i="64"/>
  <c r="C50" i="69" s="1"/>
  <c r="B42" i="64"/>
  <c r="B50" i="69" s="1"/>
  <c r="C41" i="64"/>
  <c r="C49" i="69" s="1"/>
  <c r="B41" i="64"/>
  <c r="B49" i="69" s="1"/>
  <c r="C40" i="64"/>
  <c r="C48" i="69" s="1"/>
  <c r="B40" i="64"/>
  <c r="B48" i="69" s="1"/>
  <c r="B38" i="64"/>
  <c r="C37" i="64"/>
  <c r="C45" i="69" s="1"/>
  <c r="B37" i="64"/>
  <c r="B45" i="69" s="1"/>
  <c r="E45" i="69" s="1"/>
  <c r="C36" i="64"/>
  <c r="C44" i="69" s="1"/>
  <c r="B36" i="64"/>
  <c r="B44" i="69" s="1"/>
  <c r="E44" i="69" s="1"/>
  <c r="B34" i="64"/>
  <c r="C33" i="64"/>
  <c r="C41" i="69" s="1"/>
  <c r="B33" i="64"/>
  <c r="B41" i="69" s="1"/>
  <c r="C32" i="64"/>
  <c r="C40" i="69" s="1"/>
  <c r="B32" i="64"/>
  <c r="B40" i="69" s="1"/>
  <c r="C31" i="64"/>
  <c r="C39" i="69" s="1"/>
  <c r="B31" i="64"/>
  <c r="B39" i="69" s="1"/>
  <c r="E39" i="69" s="1"/>
  <c r="C30" i="64"/>
  <c r="C38" i="69" s="1"/>
  <c r="B30" i="64"/>
  <c r="B38" i="69" s="1"/>
  <c r="E38" i="69" s="1"/>
  <c r="B28" i="64"/>
  <c r="C27" i="64"/>
  <c r="C35" i="69" s="1"/>
  <c r="B27" i="64"/>
  <c r="B35" i="69" s="1"/>
  <c r="E35" i="69" s="1"/>
  <c r="C26" i="64"/>
  <c r="C34" i="69" s="1"/>
  <c r="B26" i="64"/>
  <c r="B34" i="69" s="1"/>
  <c r="E34" i="69" s="1"/>
  <c r="C25" i="64"/>
  <c r="C33" i="69" s="1"/>
  <c r="B25" i="64"/>
  <c r="B33" i="69" s="1"/>
  <c r="B23" i="64"/>
  <c r="C22" i="64"/>
  <c r="C30" i="69" s="1"/>
  <c r="B22" i="64"/>
  <c r="B30" i="69" s="1"/>
  <c r="E30" i="69" s="1"/>
  <c r="C21" i="64"/>
  <c r="C29" i="69" s="1"/>
  <c r="B21" i="64"/>
  <c r="B29" i="69" s="1"/>
  <c r="E29" i="69" s="1"/>
  <c r="C20" i="64"/>
  <c r="C28" i="69" s="1"/>
  <c r="B20" i="64"/>
  <c r="B28" i="69" s="1"/>
  <c r="C19" i="64"/>
  <c r="C27" i="69" s="1"/>
  <c r="B19" i="64"/>
  <c r="B27" i="69" s="1"/>
  <c r="E27" i="69" s="1"/>
  <c r="B17" i="64"/>
  <c r="B16" i="64"/>
  <c r="C14" i="64"/>
  <c r="C14" i="69" s="1"/>
  <c r="B14" i="64"/>
  <c r="B14" i="69" s="1"/>
  <c r="C13" i="64"/>
  <c r="C13" i="69" s="1"/>
  <c r="B13" i="64"/>
  <c r="B13" i="69" s="1"/>
  <c r="C12" i="64"/>
  <c r="C12" i="69" s="1"/>
  <c r="B12" i="64"/>
  <c r="B12" i="69" s="1"/>
  <c r="C11" i="64"/>
  <c r="C11" i="69" s="1"/>
  <c r="B11" i="64"/>
  <c r="B11" i="69" s="1"/>
  <c r="C10" i="64"/>
  <c r="C10" i="69" s="1"/>
  <c r="B10" i="64"/>
  <c r="B10" i="69" s="1"/>
  <c r="B8" i="64"/>
  <c r="B7" i="64"/>
  <c r="C556" i="63"/>
  <c r="C300" i="63"/>
  <c r="B307" i="63"/>
  <c r="F307" i="63" s="1"/>
  <c r="E307" i="63"/>
  <c r="B308" i="63"/>
  <c r="F308" i="63" s="1"/>
  <c r="H308" i="63" s="1"/>
  <c r="E308" i="63"/>
  <c r="B309" i="63"/>
  <c r="F309" i="63" s="1"/>
  <c r="E309" i="63"/>
  <c r="B310" i="63"/>
  <c r="F310" i="63" s="1"/>
  <c r="E310" i="63"/>
  <c r="B311" i="63"/>
  <c r="F311" i="63" s="1"/>
  <c r="H311" i="63" s="1"/>
  <c r="E311" i="63"/>
  <c r="B312" i="63"/>
  <c r="F312" i="63" s="1"/>
  <c r="H312" i="63" s="1"/>
  <c r="E312" i="63"/>
  <c r="B313" i="63"/>
  <c r="F313" i="63" s="1"/>
  <c r="E313" i="63"/>
  <c r="B316" i="63"/>
  <c r="F316" i="63" s="1"/>
  <c r="H316" i="63" s="1"/>
  <c r="E316" i="63"/>
  <c r="B317" i="63"/>
  <c r="F317" i="63" s="1"/>
  <c r="H317" i="63" s="1"/>
  <c r="E317" i="63"/>
  <c r="B318" i="63"/>
  <c r="F318" i="63" s="1"/>
  <c r="H318" i="63" s="1"/>
  <c r="E318" i="63"/>
  <c r="B319" i="63"/>
  <c r="F319" i="63" s="1"/>
  <c r="E319" i="63"/>
  <c r="B320" i="63"/>
  <c r="F320" i="63" s="1"/>
  <c r="H320" i="63" s="1"/>
  <c r="E320" i="63"/>
  <c r="B321" i="63"/>
  <c r="F321" i="63" s="1"/>
  <c r="H321" i="63" s="1"/>
  <c r="E321" i="63"/>
  <c r="B322" i="63"/>
  <c r="F322" i="63" s="1"/>
  <c r="H322" i="63" s="1"/>
  <c r="E322" i="63"/>
  <c r="B323" i="63"/>
  <c r="F323" i="63" s="1"/>
  <c r="E323" i="63"/>
  <c r="B324" i="63"/>
  <c r="F324" i="63" s="1"/>
  <c r="H324" i="63" s="1"/>
  <c r="E324" i="63"/>
  <c r="C340" i="63"/>
  <c r="B351" i="63"/>
  <c r="B361" i="63"/>
  <c r="B604" i="64"/>
  <c r="B764" i="69" s="1"/>
  <c r="D368" i="63"/>
  <c r="D608" i="64" s="1"/>
  <c r="D768" i="69" s="1"/>
  <c r="B369" i="63"/>
  <c r="B609" i="64" s="1"/>
  <c r="D369" i="63"/>
  <c r="D609" i="64" s="1"/>
  <c r="D769" i="69" s="1"/>
  <c r="B370" i="63"/>
  <c r="B610" i="64" s="1"/>
  <c r="D370" i="63"/>
  <c r="D610" i="64" s="1"/>
  <c r="D770" i="69" s="1"/>
  <c r="C514" i="63"/>
  <c r="C515" i="63" s="1"/>
  <c r="C516" i="63" s="1"/>
  <c r="C523" i="63"/>
  <c r="C530" i="63"/>
  <c r="B626" i="64"/>
  <c r="B786" i="69" s="1"/>
  <c r="B758" i="63"/>
  <c r="B653" i="64" s="1"/>
  <c r="B813" i="69" s="1"/>
  <c r="D718" i="63"/>
  <c r="D650" i="64" s="1"/>
  <c r="D810" i="69" s="1"/>
  <c r="D714" i="63"/>
  <c r="D646" i="64" s="1"/>
  <c r="D806" i="69" s="1"/>
  <c r="D657" i="63"/>
  <c r="D639" i="64" s="1"/>
  <c r="D799" i="69" s="1"/>
  <c r="D601" i="63"/>
  <c r="D633" i="64" s="1"/>
  <c r="D793" i="69" s="1"/>
  <c r="C621" i="64"/>
  <c r="C781" i="69" s="1"/>
  <c r="C456" i="63"/>
  <c r="C452" i="63"/>
  <c r="C426" i="63"/>
  <c r="C427" i="63" s="1"/>
  <c r="C208" i="63"/>
  <c r="C207" i="63"/>
  <c r="C388" i="63"/>
  <c r="C389" i="63" s="1"/>
  <c r="C390" i="63" s="1"/>
  <c r="C391" i="63" s="1"/>
  <c r="D601" i="64"/>
  <c r="D761" i="69" s="1"/>
  <c r="D283" i="63"/>
  <c r="D600" i="64" s="1"/>
  <c r="D760" i="69" s="1"/>
  <c r="D282" i="63"/>
  <c r="D599" i="64" s="1"/>
  <c r="D759" i="69" s="1"/>
  <c r="D281" i="63"/>
  <c r="D598" i="64" s="1"/>
  <c r="D758" i="69" s="1"/>
  <c r="C241" i="63"/>
  <c r="D231" i="63"/>
  <c r="D589" i="64" s="1"/>
  <c r="D749" i="69" s="1"/>
  <c r="C162" i="63"/>
  <c r="C172" i="63"/>
  <c r="C173" i="63" s="1"/>
  <c r="C175" i="63" s="1"/>
  <c r="D186" i="63" s="1"/>
  <c r="C124" i="63"/>
  <c r="C125" i="63" s="1"/>
  <c r="C134" i="63" s="1"/>
  <c r="D137" i="63" s="1"/>
  <c r="D578" i="64" s="1"/>
  <c r="D738" i="69" s="1"/>
  <c r="C89" i="63"/>
  <c r="C90" i="63" s="1"/>
  <c r="C91" i="63" s="1"/>
  <c r="B72" i="63"/>
  <c r="B567" i="64" s="1"/>
  <c r="B727" i="69" s="1"/>
  <c r="D67" i="63"/>
  <c r="D562" i="64" s="1"/>
  <c r="D722" i="69" s="1"/>
  <c r="C54" i="63"/>
  <c r="C19" i="63"/>
  <c r="C20" i="63" s="1"/>
  <c r="C21" i="63" s="1"/>
  <c r="C22" i="63" s="1"/>
  <c r="C404" i="51"/>
  <c r="C405" i="51" s="1"/>
  <c r="C406" i="51" s="1"/>
  <c r="C407" i="51" s="1"/>
  <c r="C207" i="51"/>
  <c r="C442" i="51"/>
  <c r="C443" i="51" s="1"/>
  <c r="C452" i="51"/>
  <c r="C468" i="51"/>
  <c r="C472" i="51"/>
  <c r="C520" i="64"/>
  <c r="C672" i="69" s="1"/>
  <c r="C89" i="51"/>
  <c r="C90" i="51" s="1"/>
  <c r="C91" i="51" s="1"/>
  <c r="C124" i="51"/>
  <c r="C125" i="51" s="1"/>
  <c r="C162" i="51"/>
  <c r="C214" i="51"/>
  <c r="C223" i="51"/>
  <c r="C241" i="51"/>
  <c r="D281" i="51"/>
  <c r="D497" i="64" s="1"/>
  <c r="D649" i="69" s="1"/>
  <c r="D282" i="51"/>
  <c r="D498" i="64" s="1"/>
  <c r="D650" i="69" s="1"/>
  <c r="D283" i="51"/>
  <c r="D499" i="64" s="1"/>
  <c r="D651" i="69" s="1"/>
  <c r="D500" i="64"/>
  <c r="D652" i="69" s="1"/>
  <c r="F722" i="69" l="1"/>
  <c r="F759" i="69"/>
  <c r="F749" i="69"/>
  <c r="B53" i="66"/>
  <c r="B770" i="69"/>
  <c r="B52" i="66"/>
  <c r="B769" i="69"/>
  <c r="F650" i="69"/>
  <c r="E411" i="63"/>
  <c r="F410" i="63"/>
  <c r="C409" i="63"/>
  <c r="F411" i="63"/>
  <c r="D411" i="63"/>
  <c r="E410" i="63"/>
  <c r="F409" i="63"/>
  <c r="D409" i="63"/>
  <c r="C411" i="63"/>
  <c r="D410" i="63"/>
  <c r="E409" i="63"/>
  <c r="C410" i="63"/>
  <c r="D427" i="51"/>
  <c r="E426" i="51"/>
  <c r="F425" i="51"/>
  <c r="F426" i="51"/>
  <c r="C427" i="51"/>
  <c r="D426" i="51"/>
  <c r="E425" i="51"/>
  <c r="E427" i="51"/>
  <c r="F427" i="51"/>
  <c r="C426" i="51"/>
  <c r="D425" i="51"/>
  <c r="C425" i="51"/>
  <c r="D114" i="51"/>
  <c r="D471" i="64" s="1"/>
  <c r="D623" i="69" s="1"/>
  <c r="F623" i="69" s="1"/>
  <c r="F111" i="51"/>
  <c r="C110" i="51"/>
  <c r="D109" i="51"/>
  <c r="E110" i="51"/>
  <c r="C111" i="51"/>
  <c r="E111" i="51"/>
  <c r="F110" i="51"/>
  <c r="C109" i="51"/>
  <c r="F109" i="51"/>
  <c r="E109" i="51"/>
  <c r="D111" i="51"/>
  <c r="D110" i="51"/>
  <c r="F106" i="63"/>
  <c r="F111" i="63"/>
  <c r="C110" i="63"/>
  <c r="D109" i="63"/>
  <c r="E108" i="63"/>
  <c r="C109" i="63"/>
  <c r="D111" i="63"/>
  <c r="F109" i="63"/>
  <c r="C111" i="63"/>
  <c r="E109" i="63"/>
  <c r="E111" i="63"/>
  <c r="F110" i="63"/>
  <c r="D108" i="63"/>
  <c r="E110" i="63"/>
  <c r="C108" i="63"/>
  <c r="D110" i="63"/>
  <c r="F108" i="63"/>
  <c r="F38" i="63"/>
  <c r="F42" i="63"/>
  <c r="C41" i="63"/>
  <c r="D40" i="63"/>
  <c r="C42" i="63"/>
  <c r="E40" i="63"/>
  <c r="E42" i="63"/>
  <c r="F41" i="63"/>
  <c r="C40" i="63"/>
  <c r="D42" i="63"/>
  <c r="E41" i="63"/>
  <c r="F40" i="63"/>
  <c r="D41" i="63"/>
  <c r="D114" i="63"/>
  <c r="D572" i="64" s="1"/>
  <c r="D732" i="69" s="1"/>
  <c r="F732" i="69" s="1"/>
  <c r="C248" i="51"/>
  <c r="C249" i="51" s="1"/>
  <c r="C250" i="51" s="1"/>
  <c r="C252" i="51" s="1"/>
  <c r="D261" i="51" s="1"/>
  <c r="D493" i="64" s="1"/>
  <c r="D645" i="69" s="1"/>
  <c r="C182" i="63"/>
  <c r="D188" i="63" s="1"/>
  <c r="D586" i="64" s="1"/>
  <c r="D746" i="69" s="1"/>
  <c r="C180" i="63"/>
  <c r="D187" i="63" s="1"/>
  <c r="D585" i="64" s="1"/>
  <c r="D745" i="69" s="1"/>
  <c r="C248" i="63"/>
  <c r="C249" i="63" s="1"/>
  <c r="C250" i="63" s="1"/>
  <c r="C252" i="63" s="1"/>
  <c r="D261" i="63" s="1"/>
  <c r="D594" i="64" s="1"/>
  <c r="D754" i="69" s="1"/>
  <c r="C528" i="63"/>
  <c r="D538" i="63" s="1"/>
  <c r="D627" i="64" s="1"/>
  <c r="D787" i="69" s="1"/>
  <c r="F787" i="69" s="1"/>
  <c r="C454" i="63"/>
  <c r="C455" i="63" s="1"/>
  <c r="C493" i="63" s="1"/>
  <c r="D506" i="63" s="1"/>
  <c r="C470" i="51"/>
  <c r="C471" i="51" s="1"/>
  <c r="C222" i="63"/>
  <c r="C224" i="63" s="1"/>
  <c r="C225" i="63" s="1"/>
  <c r="C226" i="63" s="1"/>
  <c r="C228" i="63" s="1"/>
  <c r="D232" i="63" s="1"/>
  <c r="C64" i="63"/>
  <c r="D74" i="63" s="1"/>
  <c r="D569" i="64" s="1"/>
  <c r="D729" i="69" s="1"/>
  <c r="C62" i="63"/>
  <c r="D73" i="63" s="1"/>
  <c r="D568" i="64" s="1"/>
  <c r="D728" i="69" s="1"/>
  <c r="C446" i="63"/>
  <c r="D502" i="63" s="1"/>
  <c r="D619" i="64" s="1"/>
  <c r="D779" i="69" s="1"/>
  <c r="C448" i="63"/>
  <c r="D503" i="63" s="1"/>
  <c r="D620" i="64" s="1"/>
  <c r="D780" i="69" s="1"/>
  <c r="C444" i="51"/>
  <c r="C464" i="51"/>
  <c r="D519" i="51" s="1"/>
  <c r="D519" i="64" s="1"/>
  <c r="D671" i="69" s="1"/>
  <c r="C462" i="51"/>
  <c r="D518" i="51" s="1"/>
  <c r="D518" i="64" s="1"/>
  <c r="D670" i="69" s="1"/>
  <c r="C55" i="63"/>
  <c r="C163" i="63"/>
  <c r="C172" i="51"/>
  <c r="C173" i="51" s="1"/>
  <c r="C163" i="51"/>
  <c r="C182" i="51"/>
  <c r="D188" i="51" s="1"/>
  <c r="D485" i="64" s="1"/>
  <c r="D637" i="69" s="1"/>
  <c r="C180" i="51"/>
  <c r="D187" i="51" s="1"/>
  <c r="D484" i="64" s="1"/>
  <c r="D636" i="69" s="1"/>
  <c r="C26" i="1"/>
  <c r="C28" i="1" s="1"/>
  <c r="D48" i="1" s="1"/>
  <c r="C33" i="1"/>
  <c r="D49" i="1" s="1"/>
  <c r="C35" i="1"/>
  <c r="C453" i="51"/>
  <c r="C454" i="51" s="1"/>
  <c r="C455" i="51" s="1"/>
  <c r="C208" i="51"/>
  <c r="C222" i="51" s="1"/>
  <c r="G307" i="63"/>
  <c r="C557" i="63"/>
  <c r="C524" i="63"/>
  <c r="D584" i="64"/>
  <c r="D744" i="69" s="1"/>
  <c r="F744" i="69" s="1"/>
  <c r="G320" i="63"/>
  <c r="G318" i="63"/>
  <c r="D618" i="64"/>
  <c r="D778" i="69" s="1"/>
  <c r="F778" i="69" s="1"/>
  <c r="G321" i="63"/>
  <c r="G316" i="63"/>
  <c r="H310" i="63"/>
  <c r="G310" i="63"/>
  <c r="G311" i="63"/>
  <c r="G324" i="63"/>
  <c r="G317" i="63"/>
  <c r="F407" i="63"/>
  <c r="F406" i="63"/>
  <c r="F408" i="63"/>
  <c r="G322" i="63"/>
  <c r="H309" i="63"/>
  <c r="G309" i="63"/>
  <c r="H313" i="63"/>
  <c r="G313" i="63"/>
  <c r="G308" i="63"/>
  <c r="H323" i="63"/>
  <c r="G323" i="63"/>
  <c r="H319" i="63"/>
  <c r="G319" i="63"/>
  <c r="G312" i="63"/>
  <c r="C242" i="63"/>
  <c r="C243" i="63" s="1"/>
  <c r="H307" i="63"/>
  <c r="F37" i="63"/>
  <c r="D575" i="64"/>
  <c r="D735" i="69" s="1"/>
  <c r="F735" i="69" s="1"/>
  <c r="E107" i="63"/>
  <c r="E106" i="63"/>
  <c r="D574" i="64"/>
  <c r="D734" i="69" s="1"/>
  <c r="F734" i="69" s="1"/>
  <c r="D107" i="63"/>
  <c r="D106" i="63"/>
  <c r="D573" i="64"/>
  <c r="D733" i="69" s="1"/>
  <c r="C107" i="63"/>
  <c r="C106" i="63"/>
  <c r="F107" i="63"/>
  <c r="E39" i="63"/>
  <c r="E38" i="63"/>
  <c r="D70" i="63" s="1"/>
  <c r="E37" i="63"/>
  <c r="D39" i="63"/>
  <c r="D38" i="63"/>
  <c r="D69" i="63" s="1"/>
  <c r="D37" i="63"/>
  <c r="C39" i="63"/>
  <c r="C38" i="63"/>
  <c r="D68" i="63" s="1"/>
  <c r="C37" i="63"/>
  <c r="F39" i="63"/>
  <c r="F134" i="63"/>
  <c r="C126" i="63"/>
  <c r="E134" i="63"/>
  <c r="D139" i="63" s="1"/>
  <c r="D580" i="64" s="1"/>
  <c r="D740" i="69" s="1"/>
  <c r="F740" i="69" s="1"/>
  <c r="D134" i="63"/>
  <c r="D138" i="63" s="1"/>
  <c r="D579" i="64" s="1"/>
  <c r="D739" i="69" s="1"/>
  <c r="F739" i="69" s="1"/>
  <c r="E408" i="63"/>
  <c r="D499" i="63" s="1"/>
  <c r="D616" i="64" s="1"/>
  <c r="D776" i="69" s="1"/>
  <c r="F776" i="69" s="1"/>
  <c r="E407" i="63"/>
  <c r="E406" i="63"/>
  <c r="D496" i="63"/>
  <c r="D613" i="64" s="1"/>
  <c r="D773" i="69" s="1"/>
  <c r="F773" i="69" s="1"/>
  <c r="D408" i="63"/>
  <c r="D498" i="63" s="1"/>
  <c r="D615" i="64" s="1"/>
  <c r="D775" i="69" s="1"/>
  <c r="F775" i="69" s="1"/>
  <c r="D407" i="63"/>
  <c r="D406" i="63"/>
  <c r="C408" i="63"/>
  <c r="D497" i="63" s="1"/>
  <c r="D614" i="64" s="1"/>
  <c r="D774" i="69" s="1"/>
  <c r="C407" i="63"/>
  <c r="C406" i="63"/>
  <c r="C47" i="63"/>
  <c r="C48" i="63" s="1"/>
  <c r="D71" i="63" s="1"/>
  <c r="D566" i="64" s="1"/>
  <c r="D726" i="69" s="1"/>
  <c r="F726" i="69" s="1"/>
  <c r="C428" i="63"/>
  <c r="C422" i="51"/>
  <c r="C423" i="51"/>
  <c r="D513" i="51" s="1"/>
  <c r="D513" i="64" s="1"/>
  <c r="D665" i="69" s="1"/>
  <c r="C424" i="51"/>
  <c r="D422" i="51"/>
  <c r="D423" i="51"/>
  <c r="D514" i="51" s="1"/>
  <c r="D514" i="64" s="1"/>
  <c r="D666" i="69" s="1"/>
  <c r="F666" i="69" s="1"/>
  <c r="D424" i="51"/>
  <c r="D512" i="51"/>
  <c r="D512" i="64" s="1"/>
  <c r="D664" i="69" s="1"/>
  <c r="F664" i="69" s="1"/>
  <c r="E422" i="51"/>
  <c r="E423" i="51"/>
  <c r="D515" i="51" s="1"/>
  <c r="D515" i="64" s="1"/>
  <c r="D667" i="69" s="1"/>
  <c r="F667" i="69" s="1"/>
  <c r="E424" i="51"/>
  <c r="F422" i="51"/>
  <c r="F423" i="51"/>
  <c r="F424" i="51"/>
  <c r="D106" i="51"/>
  <c r="D116" i="51" s="1"/>
  <c r="F106" i="51"/>
  <c r="F108" i="51"/>
  <c r="C107" i="51"/>
  <c r="C106" i="51"/>
  <c r="D115" i="51" s="1"/>
  <c r="F107" i="51"/>
  <c r="C108" i="51"/>
  <c r="C242" i="51"/>
  <c r="C215" i="51"/>
  <c r="E134" i="51"/>
  <c r="D139" i="51" s="1"/>
  <c r="D479" i="64" s="1"/>
  <c r="D631" i="69" s="1"/>
  <c r="F631" i="69" s="1"/>
  <c r="D134" i="51"/>
  <c r="D138" i="51" s="1"/>
  <c r="D478" i="64" s="1"/>
  <c r="D630" i="69" s="1"/>
  <c r="F630" i="69" s="1"/>
  <c r="C126" i="51"/>
  <c r="F134" i="51"/>
  <c r="C134" i="51"/>
  <c r="D137" i="51" s="1"/>
  <c r="D477" i="64" s="1"/>
  <c r="D629" i="69" s="1"/>
  <c r="E108" i="51"/>
  <c r="E107" i="51"/>
  <c r="E106" i="51"/>
  <c r="D117" i="51" s="1"/>
  <c r="D108" i="51"/>
  <c r="D107" i="51"/>
  <c r="C301" i="63" l="1"/>
  <c r="D563" i="64"/>
  <c r="D723" i="69" s="1"/>
  <c r="D564" i="64"/>
  <c r="D724" i="69" s="1"/>
  <c r="F724" i="69" s="1"/>
  <c r="D565" i="64"/>
  <c r="D725" i="69" s="1"/>
  <c r="F725" i="69" s="1"/>
  <c r="D473" i="64"/>
  <c r="D625" i="69" s="1"/>
  <c r="F625" i="69" s="1"/>
  <c r="D474" i="64"/>
  <c r="D626" i="69" s="1"/>
  <c r="F626" i="69" s="1"/>
  <c r="D472" i="64"/>
  <c r="D624" i="69" s="1"/>
  <c r="D537" i="63"/>
  <c r="D626" i="64" s="1"/>
  <c r="D786" i="69" s="1"/>
  <c r="C473" i="51"/>
  <c r="C509" i="51"/>
  <c r="C531" i="63"/>
  <c r="C457" i="63"/>
  <c r="D623" i="64"/>
  <c r="D783" i="69" s="1"/>
  <c r="C457" i="51"/>
  <c r="C430" i="63"/>
  <c r="D500" i="63" s="1"/>
  <c r="D617" i="64" s="1"/>
  <c r="D777" i="69" s="1"/>
  <c r="F777" i="69" s="1"/>
  <c r="C446" i="51"/>
  <c r="D516" i="51" s="1"/>
  <c r="D516" i="64" s="1"/>
  <c r="D668" i="69" s="1"/>
  <c r="F668" i="69" s="1"/>
  <c r="C257" i="63"/>
  <c r="D262" i="63" s="1"/>
  <c r="D595" i="64" s="1"/>
  <c r="D755" i="69" s="1"/>
  <c r="C217" i="51"/>
  <c r="D231" i="51" s="1"/>
  <c r="D488" i="64" s="1"/>
  <c r="D640" i="69" s="1"/>
  <c r="F640" i="69" s="1"/>
  <c r="C175" i="51"/>
  <c r="C165" i="63"/>
  <c r="D185" i="63" s="1"/>
  <c r="D583" i="64" s="1"/>
  <c r="D743" i="69" s="1"/>
  <c r="F743" i="69" s="1"/>
  <c r="C165" i="51"/>
  <c r="D185" i="51" s="1"/>
  <c r="D482" i="64" s="1"/>
  <c r="D634" i="69" s="1"/>
  <c r="F634" i="69" s="1"/>
  <c r="C57" i="63"/>
  <c r="D72" i="63" s="1"/>
  <c r="D567" i="64" s="1"/>
  <c r="D727" i="69" s="1"/>
  <c r="C37" i="1"/>
  <c r="D50" i="1" s="1"/>
  <c r="C243" i="51"/>
  <c r="C257" i="51" s="1"/>
  <c r="D260" i="63"/>
  <c r="D593" i="64" s="1"/>
  <c r="D753" i="69" s="1"/>
  <c r="C558" i="63"/>
  <c r="C559" i="63" s="1"/>
  <c r="C560" i="63" s="1"/>
  <c r="C561" i="63" s="1"/>
  <c r="C302" i="63"/>
  <c r="C303" i="63" l="1"/>
  <c r="C304" i="63" s="1"/>
  <c r="D330" i="63" s="1"/>
  <c r="D598" i="63"/>
  <c r="D597" i="63"/>
  <c r="C496" i="51"/>
  <c r="C499" i="51" s="1"/>
  <c r="C501" i="51" s="1"/>
  <c r="C502" i="51" s="1"/>
  <c r="C480" i="63"/>
  <c r="C483" i="63" s="1"/>
  <c r="C485" i="63" s="1"/>
  <c r="C486" i="63" s="1"/>
  <c r="C488" i="63" s="1"/>
  <c r="D505" i="63" s="1"/>
  <c r="D622" i="64" s="1"/>
  <c r="D782" i="69" s="1"/>
  <c r="D504" i="63"/>
  <c r="D621" i="64" s="1"/>
  <c r="D781" i="69" s="1"/>
  <c r="D540" i="63"/>
  <c r="D629" i="64" s="1"/>
  <c r="D789" i="69" s="1"/>
  <c r="F789" i="69" s="1"/>
  <c r="D541" i="63"/>
  <c r="D630" i="64" s="1"/>
  <c r="D790" i="69" s="1"/>
  <c r="F790" i="69" s="1"/>
  <c r="D539" i="63"/>
  <c r="D628" i="64" s="1"/>
  <c r="D788" i="69" s="1"/>
  <c r="D186" i="51"/>
  <c r="D483" i="64" s="1"/>
  <c r="D635" i="69" s="1"/>
  <c r="F635" i="69" s="1"/>
  <c r="D522" i="51"/>
  <c r="D522" i="64" s="1"/>
  <c r="D674" i="69" s="1"/>
  <c r="D517" i="51"/>
  <c r="D517" i="64" s="1"/>
  <c r="D669" i="69" s="1"/>
  <c r="F669" i="69" s="1"/>
  <c r="D520" i="51"/>
  <c r="D520" i="64" s="1"/>
  <c r="D672" i="69" s="1"/>
  <c r="C562" i="63"/>
  <c r="C619" i="63"/>
  <c r="C676" i="63" s="1"/>
  <c r="D262" i="51"/>
  <c r="D494" i="64" s="1"/>
  <c r="D646" i="69" s="1"/>
  <c r="D260" i="51"/>
  <c r="D492" i="64" s="1"/>
  <c r="D644" i="69" s="1"/>
  <c r="D596" i="63"/>
  <c r="D604" i="63" s="1"/>
  <c r="D636" i="64" s="1"/>
  <c r="D796" i="69" s="1"/>
  <c r="C568" i="63"/>
  <c r="C570" i="63" s="1"/>
  <c r="D329" i="63" l="1"/>
  <c r="C341" i="63"/>
  <c r="D331" i="63"/>
  <c r="E598" i="63"/>
  <c r="E597" i="63"/>
  <c r="D584" i="63"/>
  <c r="C583" i="63"/>
  <c r="C584" i="63"/>
  <c r="D583" i="63"/>
  <c r="C598" i="63"/>
  <c r="C597" i="63"/>
  <c r="D364" i="63"/>
  <c r="D604" i="64" s="1"/>
  <c r="D764" i="69" s="1"/>
  <c r="C683" i="63"/>
  <c r="C685" i="63" s="1"/>
  <c r="C730" i="63"/>
  <c r="C677" i="63"/>
  <c r="C626" i="63"/>
  <c r="C628" i="63" s="1"/>
  <c r="C620" i="63"/>
  <c r="C504" i="51"/>
  <c r="D351" i="63"/>
  <c r="D367" i="63" s="1"/>
  <c r="D607" i="64" s="1"/>
  <c r="D767" i="69" s="1"/>
  <c r="C361" i="63"/>
  <c r="E351" i="63"/>
  <c r="E361" i="63"/>
  <c r="D366" i="63" s="1"/>
  <c r="C351" i="63"/>
  <c r="C596" i="63"/>
  <c r="C582" i="63"/>
  <c r="D582" i="63"/>
  <c r="E596" i="63"/>
  <c r="C701" i="63" l="1"/>
  <c r="C700" i="63"/>
  <c r="C699" i="63"/>
  <c r="E700" i="63"/>
  <c r="D700" i="63"/>
  <c r="E701" i="63"/>
  <c r="E699" i="63"/>
  <c r="D701" i="63"/>
  <c r="D699" i="63"/>
  <c r="D644" i="63"/>
  <c r="D643" i="63"/>
  <c r="D642" i="63"/>
  <c r="E643" i="63"/>
  <c r="C644" i="63"/>
  <c r="C643" i="63"/>
  <c r="C642" i="63"/>
  <c r="E642" i="63"/>
  <c r="E644" i="63"/>
  <c r="D603" i="63"/>
  <c r="D635" i="64" s="1"/>
  <c r="D795" i="69" s="1"/>
  <c r="F795" i="69" s="1"/>
  <c r="D602" i="63"/>
  <c r="D634" i="64" s="1"/>
  <c r="D794" i="69" s="1"/>
  <c r="D361" i="63"/>
  <c r="D365" i="63"/>
  <c r="D605" i="64" s="1"/>
  <c r="D765" i="69" s="1"/>
  <c r="D521" i="51"/>
  <c r="D521" i="64" s="1"/>
  <c r="D673" i="69" s="1"/>
  <c r="D606" i="64"/>
  <c r="D766" i="69" s="1"/>
  <c r="F766" i="69" s="1"/>
  <c r="C755" i="63"/>
  <c r="C753" i="63"/>
  <c r="C654" i="63"/>
  <c r="D654" i="63" s="1"/>
  <c r="D661" i="63" s="1"/>
  <c r="D643" i="64" s="1"/>
  <c r="D803" i="69" s="1"/>
  <c r="D641" i="63"/>
  <c r="D660" i="63"/>
  <c r="D642" i="64" s="1"/>
  <c r="D802" i="69" s="1"/>
  <c r="C641" i="63"/>
  <c r="E654" i="63"/>
  <c r="E641" i="63"/>
  <c r="D658" i="63" l="1"/>
  <c r="D640" i="64" s="1"/>
  <c r="D800" i="69" s="1"/>
  <c r="D659" i="63"/>
  <c r="D641" i="64" s="1"/>
  <c r="D801" i="69" s="1"/>
  <c r="F801" i="69" s="1"/>
  <c r="D762" i="63"/>
  <c r="D657" i="64" s="1"/>
  <c r="D817" i="69" s="1"/>
  <c r="D763" i="63"/>
  <c r="D658" i="64" s="1"/>
  <c r="D818" i="69" s="1"/>
  <c r="D739" i="63"/>
  <c r="E739" i="63" s="1"/>
  <c r="D758" i="63" s="1"/>
  <c r="D737" i="63"/>
  <c r="E737" i="63" s="1"/>
  <c r="D735" i="63"/>
  <c r="E735" i="63" s="1"/>
  <c r="D738" i="63"/>
  <c r="E738" i="63" s="1"/>
  <c r="D736" i="63"/>
  <c r="E736" i="63" s="1"/>
  <c r="D744" i="63"/>
  <c r="D759" i="63" s="1"/>
  <c r="D654" i="64" s="1"/>
  <c r="D814" i="69" s="1"/>
  <c r="E711" i="63"/>
  <c r="E698" i="63"/>
  <c r="C698" i="63"/>
  <c r="C711" i="63"/>
  <c r="D711" i="63" s="1"/>
  <c r="D698" i="63"/>
  <c r="D717" i="63" s="1"/>
  <c r="D649" i="64" s="1"/>
  <c r="D809" i="69" s="1"/>
  <c r="D716" i="63" l="1"/>
  <c r="D648" i="64" s="1"/>
  <c r="D808" i="69" s="1"/>
  <c r="F808" i="69" s="1"/>
  <c r="D715" i="63"/>
  <c r="D647" i="64" s="1"/>
  <c r="D807" i="69" s="1"/>
  <c r="D653" i="64"/>
  <c r="D813" i="69" s="1"/>
  <c r="C751" i="63"/>
  <c r="D761" i="63" s="1"/>
  <c r="D656" i="64" s="1"/>
  <c r="D816" i="69" s="1"/>
  <c r="C749" i="63"/>
  <c r="D760" i="63" s="1"/>
  <c r="D655" i="64" s="1"/>
  <c r="D815" i="69" s="1"/>
  <c r="C156" i="30" l="1"/>
  <c r="C147" i="30"/>
  <c r="C185" i="30"/>
  <c r="C104" i="30"/>
  <c r="C18" i="30"/>
  <c r="C19" i="30" s="1"/>
  <c r="D156" i="59"/>
  <c r="D452" i="64" s="1"/>
  <c r="D596" i="69" s="1"/>
  <c r="B156" i="59"/>
  <c r="B452" i="64" s="1"/>
  <c r="B596" i="69" s="1"/>
  <c r="D155" i="59"/>
  <c r="D451" i="64" s="1"/>
  <c r="D595" i="69" s="1"/>
  <c r="B155" i="59"/>
  <c r="B451" i="64" s="1"/>
  <c r="B595" i="69" s="1"/>
  <c r="D154" i="59"/>
  <c r="D450" i="64" s="1"/>
  <c r="D594" i="69" s="1"/>
  <c r="B154" i="59"/>
  <c r="B450" i="64" s="1"/>
  <c r="B594" i="69" s="1"/>
  <c r="D137" i="59"/>
  <c r="E137" i="59" s="1"/>
  <c r="C137" i="59"/>
  <c r="C144" i="59" s="1"/>
  <c r="E144" i="59" s="1"/>
  <c r="F144" i="59" s="1"/>
  <c r="D136" i="59"/>
  <c r="H136" i="59" s="1"/>
  <c r="C136" i="59"/>
  <c r="C143" i="59" s="1"/>
  <c r="E143" i="59" s="1"/>
  <c r="F143" i="59" s="1"/>
  <c r="D135" i="59"/>
  <c r="E135" i="59" s="1"/>
  <c r="C135" i="59"/>
  <c r="C142" i="59" s="1"/>
  <c r="E142" i="59" s="1"/>
  <c r="F142" i="59" s="1"/>
  <c r="D117" i="59"/>
  <c r="D444" i="64" s="1"/>
  <c r="D588" i="69" s="1"/>
  <c r="B117" i="59"/>
  <c r="B444" i="64" s="1"/>
  <c r="B588" i="69" s="1"/>
  <c r="D116" i="59"/>
  <c r="D443" i="64" s="1"/>
  <c r="D587" i="69" s="1"/>
  <c r="B116" i="59"/>
  <c r="B443" i="64" s="1"/>
  <c r="B587" i="69" s="1"/>
  <c r="D115" i="59"/>
  <c r="D442" i="64" s="1"/>
  <c r="D586" i="69" s="1"/>
  <c r="B115" i="59"/>
  <c r="B442" i="64" s="1"/>
  <c r="B586" i="69" s="1"/>
  <c r="D98" i="59"/>
  <c r="E98" i="59" s="1"/>
  <c r="C98" i="59"/>
  <c r="C105" i="59" s="1"/>
  <c r="E105" i="59" s="1"/>
  <c r="F105" i="59" s="1"/>
  <c r="D97" i="59"/>
  <c r="E97" i="59" s="1"/>
  <c r="C97" i="59"/>
  <c r="C104" i="59" s="1"/>
  <c r="E104" i="59" s="1"/>
  <c r="F104" i="59" s="1"/>
  <c r="D96" i="59"/>
  <c r="E96" i="59" s="1"/>
  <c r="C96" i="59"/>
  <c r="C103" i="59" s="1"/>
  <c r="E103" i="59" s="1"/>
  <c r="F103" i="59" s="1"/>
  <c r="D77" i="59"/>
  <c r="D435" i="64" s="1"/>
  <c r="D579" i="69" s="1"/>
  <c r="B77" i="59"/>
  <c r="B435" i="64" s="1"/>
  <c r="B579" i="69" s="1"/>
  <c r="D76" i="59"/>
  <c r="D434" i="64" s="1"/>
  <c r="D578" i="69" s="1"/>
  <c r="B76" i="59"/>
  <c r="B434" i="64" s="1"/>
  <c r="B578" i="69" s="1"/>
  <c r="D75" i="59"/>
  <c r="D433" i="64" s="1"/>
  <c r="D577" i="69" s="1"/>
  <c r="B75" i="59"/>
  <c r="B433" i="64" s="1"/>
  <c r="B577" i="69" s="1"/>
  <c r="D58" i="59"/>
  <c r="H58" i="59" s="1"/>
  <c r="C58" i="59"/>
  <c r="C65" i="59" s="1"/>
  <c r="E65" i="59" s="1"/>
  <c r="F65" i="59" s="1"/>
  <c r="D57" i="59"/>
  <c r="H57" i="59" s="1"/>
  <c r="C57" i="59"/>
  <c r="C64" i="59" s="1"/>
  <c r="E64" i="59" s="1"/>
  <c r="F64" i="59" s="1"/>
  <c r="D56" i="59"/>
  <c r="H56" i="59" s="1"/>
  <c r="C56" i="59"/>
  <c r="C63" i="59" s="1"/>
  <c r="E63" i="59" s="1"/>
  <c r="F63" i="59" s="1"/>
  <c r="D38" i="59"/>
  <c r="D427" i="64" s="1"/>
  <c r="B38" i="59"/>
  <c r="B427" i="64" s="1"/>
  <c r="B571" i="69" s="1"/>
  <c r="D37" i="59"/>
  <c r="D426" i="64" s="1"/>
  <c r="D570" i="69" s="1"/>
  <c r="B37" i="59"/>
  <c r="B426" i="64" s="1"/>
  <c r="B570" i="69" s="1"/>
  <c r="D36" i="59"/>
  <c r="D425" i="64" s="1"/>
  <c r="B36" i="59"/>
  <c r="B425" i="64" s="1"/>
  <c r="B569" i="69" s="1"/>
  <c r="D19" i="59"/>
  <c r="E19" i="59" s="1"/>
  <c r="C19" i="59"/>
  <c r="C26" i="59" s="1"/>
  <c r="E26" i="59" s="1"/>
  <c r="F26" i="59" s="1"/>
  <c r="D18" i="59"/>
  <c r="E18" i="59" s="1"/>
  <c r="C18" i="59"/>
  <c r="C25" i="59" s="1"/>
  <c r="E25" i="59" s="1"/>
  <c r="F25" i="59" s="1"/>
  <c r="D17" i="59"/>
  <c r="E17" i="59" s="1"/>
  <c r="C17" i="59"/>
  <c r="C24" i="59" s="1"/>
  <c r="E24" i="59" s="1"/>
  <c r="F24" i="59" s="1"/>
  <c r="D156" i="58"/>
  <c r="D416" i="64" s="1"/>
  <c r="D552" i="69" s="1"/>
  <c r="B156" i="58"/>
  <c r="B416" i="64" s="1"/>
  <c r="B552" i="69" s="1"/>
  <c r="D155" i="58"/>
  <c r="D415" i="64" s="1"/>
  <c r="D551" i="69" s="1"/>
  <c r="B155" i="58"/>
  <c r="B415" i="64" s="1"/>
  <c r="B551" i="69" s="1"/>
  <c r="D154" i="58"/>
  <c r="D414" i="64" s="1"/>
  <c r="D550" i="69" s="1"/>
  <c r="B154" i="58"/>
  <c r="B414" i="64" s="1"/>
  <c r="B550" i="69" s="1"/>
  <c r="D137" i="58"/>
  <c r="E137" i="58" s="1"/>
  <c r="C137" i="58"/>
  <c r="C144" i="58" s="1"/>
  <c r="E144" i="58" s="1"/>
  <c r="F144" i="58" s="1"/>
  <c r="D136" i="58"/>
  <c r="E136" i="58" s="1"/>
  <c r="C136" i="58"/>
  <c r="C143" i="58" s="1"/>
  <c r="E143" i="58" s="1"/>
  <c r="F143" i="58" s="1"/>
  <c r="D135" i="58"/>
  <c r="E135" i="58" s="1"/>
  <c r="C135" i="58"/>
  <c r="C142" i="58" s="1"/>
  <c r="E142" i="58" s="1"/>
  <c r="F142" i="58" s="1"/>
  <c r="D117" i="58"/>
  <c r="D408" i="64" s="1"/>
  <c r="D544" i="69" s="1"/>
  <c r="B117" i="58"/>
  <c r="B408" i="64" s="1"/>
  <c r="B544" i="69" s="1"/>
  <c r="D116" i="58"/>
  <c r="D407" i="64" s="1"/>
  <c r="D543" i="69" s="1"/>
  <c r="B116" i="58"/>
  <c r="B407" i="64" s="1"/>
  <c r="B543" i="69" s="1"/>
  <c r="D115" i="58"/>
  <c r="D406" i="64" s="1"/>
  <c r="D542" i="69" s="1"/>
  <c r="B115" i="58"/>
  <c r="B406" i="64" s="1"/>
  <c r="B542" i="69" s="1"/>
  <c r="D98" i="58"/>
  <c r="E98" i="58" s="1"/>
  <c r="C98" i="58"/>
  <c r="C105" i="58" s="1"/>
  <c r="E105" i="58" s="1"/>
  <c r="F105" i="58" s="1"/>
  <c r="D97" i="58"/>
  <c r="E97" i="58" s="1"/>
  <c r="C97" i="58"/>
  <c r="C104" i="58" s="1"/>
  <c r="E104" i="58" s="1"/>
  <c r="F104" i="58" s="1"/>
  <c r="D96" i="58"/>
  <c r="E96" i="58" s="1"/>
  <c r="C96" i="58"/>
  <c r="C103" i="58" s="1"/>
  <c r="E103" i="58" s="1"/>
  <c r="F103" i="58" s="1"/>
  <c r="D77" i="58"/>
  <c r="D399" i="64" s="1"/>
  <c r="D535" i="69" s="1"/>
  <c r="B77" i="58"/>
  <c r="B399" i="64" s="1"/>
  <c r="B535" i="69" s="1"/>
  <c r="D76" i="58"/>
  <c r="D398" i="64" s="1"/>
  <c r="D534" i="69" s="1"/>
  <c r="B76" i="58"/>
  <c r="B398" i="64" s="1"/>
  <c r="B534" i="69" s="1"/>
  <c r="D75" i="58"/>
  <c r="D397" i="64" s="1"/>
  <c r="D533" i="69" s="1"/>
  <c r="B75" i="58"/>
  <c r="B397" i="64" s="1"/>
  <c r="B533" i="69" s="1"/>
  <c r="D58" i="58"/>
  <c r="C58" i="58"/>
  <c r="C65" i="58" s="1"/>
  <c r="E65" i="58" s="1"/>
  <c r="F65" i="58" s="1"/>
  <c r="D57" i="58"/>
  <c r="E57" i="58" s="1"/>
  <c r="C57" i="58"/>
  <c r="C64" i="58" s="1"/>
  <c r="E64" i="58" s="1"/>
  <c r="F64" i="58" s="1"/>
  <c r="D56" i="58"/>
  <c r="C56" i="58"/>
  <c r="C63" i="58" s="1"/>
  <c r="E63" i="58" s="1"/>
  <c r="F63" i="58" s="1"/>
  <c r="C17" i="58"/>
  <c r="D17" i="58"/>
  <c r="E17" i="58" s="1"/>
  <c r="C18" i="58"/>
  <c r="C25" i="58" s="1"/>
  <c r="D18" i="58"/>
  <c r="E18" i="58" s="1"/>
  <c r="C19" i="58"/>
  <c r="C26" i="58" s="1"/>
  <c r="E26" i="58" s="1"/>
  <c r="F26" i="58" s="1"/>
  <c r="D19" i="58"/>
  <c r="E19" i="58" s="1"/>
  <c r="B36" i="58"/>
  <c r="B389" i="64" s="1"/>
  <c r="B525" i="69" s="1"/>
  <c r="D36" i="58"/>
  <c r="D389" i="64" s="1"/>
  <c r="D525" i="69" s="1"/>
  <c r="B37" i="58"/>
  <c r="B390" i="64" s="1"/>
  <c r="B526" i="69" s="1"/>
  <c r="D37" i="58"/>
  <c r="D390" i="64" s="1"/>
  <c r="D526" i="69" s="1"/>
  <c r="B38" i="58"/>
  <c r="B391" i="64" s="1"/>
  <c r="B527" i="69" s="1"/>
  <c r="D38" i="58"/>
  <c r="D391" i="64" s="1"/>
  <c r="D527" i="69" s="1"/>
  <c r="D386" i="51"/>
  <c r="D509" i="64" s="1"/>
  <c r="D661" i="69" s="1"/>
  <c r="D385" i="51"/>
  <c r="D508" i="64" s="1"/>
  <c r="D660" i="69" s="1"/>
  <c r="B386" i="51"/>
  <c r="B509" i="64" s="1"/>
  <c r="B661" i="69" s="1"/>
  <c r="B385" i="51"/>
  <c r="B508" i="64" s="1"/>
  <c r="B660" i="69" s="1"/>
  <c r="B782" i="51"/>
  <c r="B552" i="64" s="1"/>
  <c r="B704" i="69" s="1"/>
  <c r="C580" i="51"/>
  <c r="D625" i="51"/>
  <c r="D532" i="64" s="1"/>
  <c r="D684" i="69" s="1"/>
  <c r="D681" i="51"/>
  <c r="D538" i="64" s="1"/>
  <c r="D690" i="69" s="1"/>
  <c r="D738" i="51"/>
  <c r="D545" i="64" s="1"/>
  <c r="D697" i="69" s="1"/>
  <c r="C530" i="51"/>
  <c r="C531" i="51" s="1"/>
  <c r="C532" i="51" s="1"/>
  <c r="C552" i="51" s="1"/>
  <c r="E308" i="51"/>
  <c r="E324" i="51"/>
  <c r="B324" i="51"/>
  <c r="F324" i="51" s="1"/>
  <c r="H324" i="51" s="1"/>
  <c r="E323" i="51"/>
  <c r="B323" i="51"/>
  <c r="F323" i="51" s="1"/>
  <c r="E322" i="51"/>
  <c r="B322" i="51"/>
  <c r="F322" i="51" s="1"/>
  <c r="E321" i="51"/>
  <c r="B321" i="51"/>
  <c r="F321" i="51" s="1"/>
  <c r="H321" i="51" s="1"/>
  <c r="E320" i="51"/>
  <c r="B320" i="51"/>
  <c r="F320" i="51" s="1"/>
  <c r="H320" i="51" s="1"/>
  <c r="E319" i="51"/>
  <c r="B319" i="51"/>
  <c r="F319" i="51" s="1"/>
  <c r="E318" i="51"/>
  <c r="B318" i="51"/>
  <c r="F318" i="51" s="1"/>
  <c r="H318" i="51" s="1"/>
  <c r="E317" i="51"/>
  <c r="B317" i="51"/>
  <c r="F317" i="51" s="1"/>
  <c r="H317" i="51" s="1"/>
  <c r="E316" i="51"/>
  <c r="B316" i="51"/>
  <c r="F316" i="51" s="1"/>
  <c r="H316" i="51" s="1"/>
  <c r="E313" i="51"/>
  <c r="B313" i="51"/>
  <c r="F313" i="51" s="1"/>
  <c r="H313" i="51" s="1"/>
  <c r="E312" i="51"/>
  <c r="B312" i="51"/>
  <c r="F312" i="51" s="1"/>
  <c r="H312" i="51" s="1"/>
  <c r="E311" i="51"/>
  <c r="B311" i="51"/>
  <c r="F311" i="51" s="1"/>
  <c r="H311" i="51" s="1"/>
  <c r="E310" i="51"/>
  <c r="B310" i="51"/>
  <c r="F310" i="51" s="1"/>
  <c r="H310" i="51" s="1"/>
  <c r="E309" i="51"/>
  <c r="B309" i="51"/>
  <c r="F309" i="51" s="1"/>
  <c r="H309" i="51" s="1"/>
  <c r="B308" i="51"/>
  <c r="F308" i="51" s="1"/>
  <c r="H308" i="51" s="1"/>
  <c r="E307" i="51"/>
  <c r="B307" i="51"/>
  <c r="F307" i="51" s="1"/>
  <c r="C300" i="51"/>
  <c r="B380" i="51"/>
  <c r="B503" i="64" s="1"/>
  <c r="B655" i="69" s="1"/>
  <c r="C356" i="51"/>
  <c r="B367" i="51"/>
  <c r="D373" i="51"/>
  <c r="B377" i="51"/>
  <c r="D384" i="51"/>
  <c r="D507" i="64" s="1"/>
  <c r="D659" i="69" s="1"/>
  <c r="C547" i="51"/>
  <c r="C554" i="51"/>
  <c r="B525" i="64"/>
  <c r="B677" i="69" s="1"/>
  <c r="C19" i="51"/>
  <c r="C20" i="51" s="1"/>
  <c r="D67" i="51"/>
  <c r="D461" i="64" s="1"/>
  <c r="D613" i="69" s="1"/>
  <c r="F613" i="69" s="1"/>
  <c r="C54" i="51"/>
  <c r="B72" i="51"/>
  <c r="B466" i="64" s="1"/>
  <c r="D102" i="66" l="1"/>
  <c r="F102" i="66" s="1"/>
  <c r="D569" i="69"/>
  <c r="D103" i="66"/>
  <c r="F103" i="66" s="1"/>
  <c r="D571" i="69"/>
  <c r="B618" i="69"/>
  <c r="C21" i="51"/>
  <c r="C22" i="51" s="1"/>
  <c r="E41" i="51" s="1"/>
  <c r="B50" i="66"/>
  <c r="B51" i="66"/>
  <c r="D105" i="66"/>
  <c r="F105" i="66" s="1"/>
  <c r="D104" i="66"/>
  <c r="F104" i="66" s="1"/>
  <c r="D106" i="66"/>
  <c r="F106" i="66" s="1"/>
  <c r="C64" i="51"/>
  <c r="D74" i="51" s="1"/>
  <c r="D468" i="64" s="1"/>
  <c r="D620" i="69" s="1"/>
  <c r="C62" i="51"/>
  <c r="D73" i="51" s="1"/>
  <c r="D467" i="64" s="1"/>
  <c r="D619" i="69" s="1"/>
  <c r="C24" i="58"/>
  <c r="E24" i="58" s="1"/>
  <c r="F24" i="58" s="1"/>
  <c r="H56" i="58"/>
  <c r="E56" i="58"/>
  <c r="F56" i="58" s="1"/>
  <c r="G56" i="58" s="1"/>
  <c r="H58" i="58"/>
  <c r="E58" i="58"/>
  <c r="F58" i="58" s="1"/>
  <c r="G58" i="58" s="1"/>
  <c r="C55" i="51"/>
  <c r="C112" i="59"/>
  <c r="D112" i="59" s="1"/>
  <c r="F112" i="59" s="1"/>
  <c r="G112" i="59" s="1"/>
  <c r="C70" i="58"/>
  <c r="D70" i="58" s="1"/>
  <c r="F70" i="58" s="1"/>
  <c r="G70" i="58" s="1"/>
  <c r="C33" i="58"/>
  <c r="D33" i="58" s="1"/>
  <c r="F33" i="58" s="1"/>
  <c r="G33" i="58" s="1"/>
  <c r="C148" i="30"/>
  <c r="C150" i="30" s="1"/>
  <c r="D164" i="30" s="1"/>
  <c r="D36" i="64" s="1"/>
  <c r="D44" i="69" s="1"/>
  <c r="F44" i="69" s="1"/>
  <c r="E67" i="30"/>
  <c r="D67" i="30"/>
  <c r="F67" i="30"/>
  <c r="C31" i="59"/>
  <c r="D31" i="59" s="1"/>
  <c r="F31" i="59" s="1"/>
  <c r="G31" i="59" s="1"/>
  <c r="D41" i="59" s="1"/>
  <c r="C149" i="59"/>
  <c r="D149" i="59" s="1"/>
  <c r="F149" i="59" s="1"/>
  <c r="G149" i="59" s="1"/>
  <c r="D160" i="59" s="1"/>
  <c r="C110" i="59"/>
  <c r="D110" i="59" s="1"/>
  <c r="F110" i="59" s="1"/>
  <c r="G110" i="59" s="1"/>
  <c r="D120" i="59" s="1"/>
  <c r="C150" i="59"/>
  <c r="D150" i="59" s="1"/>
  <c r="F150" i="59" s="1"/>
  <c r="G150" i="59" s="1"/>
  <c r="C111" i="59"/>
  <c r="D111" i="59" s="1"/>
  <c r="F111" i="59" s="1"/>
  <c r="G111" i="59" s="1"/>
  <c r="C151" i="59"/>
  <c r="D151" i="59" s="1"/>
  <c r="F151" i="59" s="1"/>
  <c r="G151" i="59" s="1"/>
  <c r="E25" i="58"/>
  <c r="F25" i="58" s="1"/>
  <c r="C32" i="58"/>
  <c r="D32" i="58" s="1"/>
  <c r="F32" i="58" s="1"/>
  <c r="G32" i="58" s="1"/>
  <c r="C72" i="58"/>
  <c r="D72" i="58" s="1"/>
  <c r="F72" i="58" s="1"/>
  <c r="G72" i="58" s="1"/>
  <c r="C71" i="58"/>
  <c r="D71" i="58" s="1"/>
  <c r="F71" i="58" s="1"/>
  <c r="G71" i="58" s="1"/>
  <c r="C151" i="58"/>
  <c r="D151" i="58" s="1"/>
  <c r="F151" i="58" s="1"/>
  <c r="G151" i="58" s="1"/>
  <c r="C110" i="58"/>
  <c r="D110" i="58" s="1"/>
  <c r="F110" i="58" s="1"/>
  <c r="G110" i="58" s="1"/>
  <c r="D120" i="58" s="1"/>
  <c r="C149" i="58"/>
  <c r="D149" i="58" s="1"/>
  <c r="F149" i="58" s="1"/>
  <c r="G149" i="58" s="1"/>
  <c r="D160" i="58" s="1"/>
  <c r="C111" i="58"/>
  <c r="D111" i="58" s="1"/>
  <c r="F111" i="58" s="1"/>
  <c r="G111" i="58" s="1"/>
  <c r="C150" i="58"/>
  <c r="D150" i="58" s="1"/>
  <c r="F150" i="58" s="1"/>
  <c r="G150" i="58" s="1"/>
  <c r="C112" i="58"/>
  <c r="D112" i="58" s="1"/>
  <c r="F112" i="58" s="1"/>
  <c r="G112" i="58" s="1"/>
  <c r="F96" i="58"/>
  <c r="G96" i="58" s="1"/>
  <c r="F135" i="58"/>
  <c r="G135" i="58" s="1"/>
  <c r="F137" i="58"/>
  <c r="G137" i="58" s="1"/>
  <c r="F136" i="58"/>
  <c r="G136" i="58" s="1"/>
  <c r="C70" i="59"/>
  <c r="D70" i="59" s="1"/>
  <c r="F70" i="59" s="1"/>
  <c r="G70" i="59" s="1"/>
  <c r="D81" i="59" s="1"/>
  <c r="C71" i="59"/>
  <c r="D71" i="59" s="1"/>
  <c r="F71" i="59" s="1"/>
  <c r="G71" i="59" s="1"/>
  <c r="C72" i="59"/>
  <c r="D72" i="59" s="1"/>
  <c r="F72" i="59" s="1"/>
  <c r="G72" i="59" s="1"/>
  <c r="C32" i="59"/>
  <c r="D32" i="59" s="1"/>
  <c r="F32" i="59" s="1"/>
  <c r="G32" i="59" s="1"/>
  <c r="C33" i="59"/>
  <c r="D33" i="59" s="1"/>
  <c r="F33" i="59" s="1"/>
  <c r="G33" i="59" s="1"/>
  <c r="D80" i="59"/>
  <c r="D438" i="64" s="1"/>
  <c r="D582" i="69" s="1"/>
  <c r="F97" i="58"/>
  <c r="G97" i="58" s="1"/>
  <c r="F98" i="58"/>
  <c r="G98" i="58" s="1"/>
  <c r="F19" i="59"/>
  <c r="G19" i="59" s="1"/>
  <c r="E58" i="59"/>
  <c r="F58" i="59" s="1"/>
  <c r="G58" i="59" s="1"/>
  <c r="F96" i="59"/>
  <c r="G96" i="59" s="1"/>
  <c r="F98" i="59"/>
  <c r="G98" i="59" s="1"/>
  <c r="F137" i="59"/>
  <c r="G137" i="59" s="1"/>
  <c r="D40" i="59"/>
  <c r="D429" i="64" s="1"/>
  <c r="D573" i="69" s="1"/>
  <c r="E56" i="59"/>
  <c r="F56" i="59" s="1"/>
  <c r="G56" i="59" s="1"/>
  <c r="D159" i="59"/>
  <c r="D455" i="64" s="1"/>
  <c r="D599" i="69" s="1"/>
  <c r="E136" i="59"/>
  <c r="F136" i="59" s="1"/>
  <c r="G136" i="59" s="1"/>
  <c r="F18" i="59"/>
  <c r="G18" i="59" s="1"/>
  <c r="E57" i="59"/>
  <c r="F57" i="59" s="1"/>
  <c r="G57" i="59" s="1"/>
  <c r="D78" i="59" s="1"/>
  <c r="D436" i="64" s="1"/>
  <c r="D580" i="69" s="1"/>
  <c r="F17" i="59"/>
  <c r="G17" i="59" s="1"/>
  <c r="F97" i="59"/>
  <c r="G97" i="59" s="1"/>
  <c r="F135" i="59"/>
  <c r="G135" i="59" s="1"/>
  <c r="D119" i="59"/>
  <c r="D446" i="64" s="1"/>
  <c r="D590" i="69" s="1"/>
  <c r="H135" i="59"/>
  <c r="H137" i="59"/>
  <c r="H136" i="58"/>
  <c r="H137" i="58"/>
  <c r="F18" i="58"/>
  <c r="G18" i="58" s="1"/>
  <c r="H135" i="58"/>
  <c r="D159" i="58"/>
  <c r="D419" i="64" s="1"/>
  <c r="D555" i="69" s="1"/>
  <c r="D119" i="58"/>
  <c r="D410" i="64" s="1"/>
  <c r="D546" i="69" s="1"/>
  <c r="D80" i="58"/>
  <c r="D402" i="64" s="1"/>
  <c r="D538" i="69" s="1"/>
  <c r="F57" i="58"/>
  <c r="G57" i="58" s="1"/>
  <c r="H57" i="58"/>
  <c r="F17" i="58"/>
  <c r="G17" i="58" s="1"/>
  <c r="F19" i="58"/>
  <c r="G19" i="58" s="1"/>
  <c r="C581" i="51"/>
  <c r="G318" i="51"/>
  <c r="H307" i="51"/>
  <c r="G322" i="51"/>
  <c r="H322" i="51"/>
  <c r="G319" i="51"/>
  <c r="H319" i="51"/>
  <c r="G323" i="51"/>
  <c r="H323" i="51"/>
  <c r="G309" i="51"/>
  <c r="G308" i="51"/>
  <c r="G313" i="51"/>
  <c r="G312" i="51"/>
  <c r="G317" i="51"/>
  <c r="G321" i="51"/>
  <c r="G320" i="51"/>
  <c r="G324" i="51"/>
  <c r="G316" i="51"/>
  <c r="G307" i="51"/>
  <c r="G311" i="51"/>
  <c r="G310" i="51"/>
  <c r="D562" i="51"/>
  <c r="D526" i="64" s="1"/>
  <c r="D678" i="69" s="1"/>
  <c r="F678" i="69" s="1"/>
  <c r="C47" i="51"/>
  <c r="C48" i="51" s="1"/>
  <c r="D71" i="51" s="1"/>
  <c r="D465" i="64" s="1"/>
  <c r="D617" i="69" s="1"/>
  <c r="F617" i="69" s="1"/>
  <c r="C37" i="51" l="1"/>
  <c r="E81" i="69"/>
  <c r="E351" i="69"/>
  <c r="E347" i="69"/>
  <c r="E658" i="69"/>
  <c r="E758" i="69"/>
  <c r="F758" i="69" s="1"/>
  <c r="E810" i="69"/>
  <c r="F810" i="69" s="1"/>
  <c r="E176" i="69"/>
  <c r="E344" i="69"/>
  <c r="E380" i="69"/>
  <c r="E59" i="69"/>
  <c r="E391" i="69"/>
  <c r="E672" i="69"/>
  <c r="F672" i="69" s="1"/>
  <c r="E832" i="69"/>
  <c r="E194" i="69"/>
  <c r="E28" i="69"/>
  <c r="E88" i="69"/>
  <c r="E512" i="69"/>
  <c r="E574" i="69"/>
  <c r="E645" i="69"/>
  <c r="F645" i="69" s="1"/>
  <c r="E709" i="69"/>
  <c r="E767" i="69"/>
  <c r="F767" i="69" s="1"/>
  <c r="E803" i="69"/>
  <c r="F803" i="69" s="1"/>
  <c r="E49" i="69"/>
  <c r="E119" i="69"/>
  <c r="E197" i="69"/>
  <c r="E275" i="69"/>
  <c r="F275" i="69" s="1"/>
  <c r="E315" i="69"/>
  <c r="E355" i="69"/>
  <c r="E377" i="69"/>
  <c r="E553" i="69"/>
  <c r="E583" i="69"/>
  <c r="E614" i="69"/>
  <c r="E644" i="69"/>
  <c r="F644" i="69" s="1"/>
  <c r="E728" i="69"/>
  <c r="F728" i="69" s="1"/>
  <c r="E770" i="69"/>
  <c r="F770" i="69" s="1"/>
  <c r="E802" i="69"/>
  <c r="F802" i="69" s="1"/>
  <c r="E150" i="69"/>
  <c r="E202" i="69"/>
  <c r="E348" i="69"/>
  <c r="E370" i="69"/>
  <c r="E598" i="69"/>
  <c r="E659" i="69"/>
  <c r="F659" i="69" s="1"/>
  <c r="E685" i="69"/>
  <c r="E745" i="69"/>
  <c r="F745" i="69" s="1"/>
  <c r="E779" i="69"/>
  <c r="F779" i="69" s="1"/>
  <c r="E817" i="69"/>
  <c r="F817" i="69" s="1"/>
  <c r="E95" i="69"/>
  <c r="E171" i="69"/>
  <c r="E387" i="69"/>
  <c r="E245" i="69"/>
  <c r="E363" i="69"/>
  <c r="E581" i="69"/>
  <c r="E684" i="69"/>
  <c r="F684" i="69" s="1"/>
  <c r="E768" i="69"/>
  <c r="F768" i="69" s="1"/>
  <c r="E842" i="69"/>
  <c r="E316" i="69"/>
  <c r="E350" i="69"/>
  <c r="E384" i="69"/>
  <c r="E11" i="69"/>
  <c r="E87" i="69"/>
  <c r="E341" i="69"/>
  <c r="E539" i="69"/>
  <c r="E597" i="69"/>
  <c r="E690" i="69"/>
  <c r="F690" i="69" s="1"/>
  <c r="E774" i="69"/>
  <c r="F774" i="69" s="1"/>
  <c r="E14" i="69"/>
  <c r="E226" i="69"/>
  <c r="E40" i="69"/>
  <c r="E96" i="69"/>
  <c r="E496" i="69"/>
  <c r="E528" i="69"/>
  <c r="E580" i="69"/>
  <c r="F580" i="69" s="1"/>
  <c r="E600" i="69"/>
  <c r="E651" i="69"/>
  <c r="F651" i="69" s="1"/>
  <c r="E687" i="69"/>
  <c r="E729" i="69"/>
  <c r="F729" i="69" s="1"/>
  <c r="E781" i="69"/>
  <c r="F781" i="69" s="1"/>
  <c r="E809" i="69"/>
  <c r="F809" i="69" s="1"/>
  <c r="E10" i="69"/>
  <c r="E143" i="69"/>
  <c r="E225" i="69"/>
  <c r="E281" i="69"/>
  <c r="F281" i="69" s="1"/>
  <c r="E321" i="69"/>
  <c r="E361" i="69"/>
  <c r="E383" i="69"/>
  <c r="E447" i="69"/>
  <c r="E475" i="69"/>
  <c r="E537" i="69"/>
  <c r="E589" i="69"/>
  <c r="E656" i="69"/>
  <c r="E698" i="69"/>
  <c r="E746" i="69"/>
  <c r="F746" i="69" s="1"/>
  <c r="E780" i="69"/>
  <c r="F780" i="69" s="1"/>
  <c r="E168" i="69"/>
  <c r="E218" i="69"/>
  <c r="E284" i="69"/>
  <c r="F284" i="69" s="1"/>
  <c r="E354" i="69"/>
  <c r="E388" i="69"/>
  <c r="E530" i="69"/>
  <c r="E111" i="69"/>
  <c r="E229" i="69"/>
  <c r="E477" i="69"/>
  <c r="E788" i="69"/>
  <c r="F788" i="69" s="1"/>
  <c r="E170" i="69"/>
  <c r="E257" i="69"/>
  <c r="E381" i="69"/>
  <c r="E591" i="69"/>
  <c r="E694" i="69"/>
  <c r="E782" i="69"/>
  <c r="F782" i="69" s="1"/>
  <c r="E62" i="69"/>
  <c r="E256" i="69"/>
  <c r="E334" i="69"/>
  <c r="E368" i="69"/>
  <c r="E390" i="69"/>
  <c r="E33" i="69"/>
  <c r="E357" i="69"/>
  <c r="E620" i="69"/>
  <c r="F620" i="69" s="1"/>
  <c r="E700" i="69"/>
  <c r="E800" i="69"/>
  <c r="F800" i="69" s="1"/>
  <c r="E302" i="69"/>
  <c r="E48" i="69"/>
  <c r="E118" i="69"/>
  <c r="E554" i="69"/>
  <c r="E619" i="69"/>
  <c r="F619" i="69" s="1"/>
  <c r="E661" i="69"/>
  <c r="F661" i="69" s="1"/>
  <c r="E693" i="69"/>
  <c r="E793" i="69"/>
  <c r="F793" i="69" s="1"/>
  <c r="E13" i="69"/>
  <c r="E61" i="69"/>
  <c r="E151" i="69"/>
  <c r="E285" i="69"/>
  <c r="F285" i="69" s="1"/>
  <c r="E337" i="69"/>
  <c r="E367" i="69"/>
  <c r="E405" i="69"/>
  <c r="E511" i="69"/>
  <c r="E624" i="69"/>
  <c r="F624" i="69" s="1"/>
  <c r="E660" i="69"/>
  <c r="F660" i="69" s="1"/>
  <c r="E754" i="69"/>
  <c r="F754" i="69" s="1"/>
  <c r="E818" i="69"/>
  <c r="F818" i="69" s="1"/>
  <c r="E230" i="69"/>
  <c r="E312" i="69"/>
  <c r="E360" i="69"/>
  <c r="E474" i="69"/>
  <c r="E504" i="69"/>
  <c r="E536" i="69"/>
  <c r="E556" i="69"/>
  <c r="E649" i="69"/>
  <c r="F649" i="69" s="1"/>
  <c r="E673" i="69"/>
  <c r="F673" i="69" s="1"/>
  <c r="E697" i="69"/>
  <c r="F697" i="69" s="1"/>
  <c r="E765" i="69"/>
  <c r="F765" i="69" s="1"/>
  <c r="E807" i="69"/>
  <c r="F807" i="69" s="1"/>
  <c r="E133" i="69"/>
  <c r="E806" i="69"/>
  <c r="F806" i="69" s="1"/>
  <c r="E545" i="69"/>
  <c r="E503" i="69"/>
  <c r="E142" i="69"/>
  <c r="E41" i="69"/>
  <c r="E708" i="69"/>
  <c r="E196" i="69"/>
  <c r="E422" i="69"/>
  <c r="E701" i="69"/>
  <c r="E769" i="69"/>
  <c r="F769" i="69" s="1"/>
  <c r="E311" i="69"/>
  <c r="E276" i="69"/>
  <c r="E272" i="69"/>
  <c r="E53" i="69"/>
  <c r="E476" i="69"/>
  <c r="E761" i="69"/>
  <c r="F761" i="69" s="1"/>
  <c r="E343" i="69"/>
  <c r="E495" i="69"/>
  <c r="E760" i="69"/>
  <c r="F760" i="69" s="1"/>
  <c r="E252" i="69"/>
  <c r="E572" i="69"/>
  <c r="E665" i="69"/>
  <c r="F665" i="69" s="1"/>
  <c r="E723" i="69"/>
  <c r="F723" i="69" s="1"/>
  <c r="E335" i="69"/>
  <c r="E340" i="69"/>
  <c r="E652" i="69"/>
  <c r="F652" i="69" s="1"/>
  <c r="E637" i="69"/>
  <c r="F637" i="69" s="1"/>
  <c r="E799" i="69"/>
  <c r="F799" i="69" s="1"/>
  <c r="E371" i="69"/>
  <c r="E375" i="69"/>
  <c r="E671" i="69"/>
  <c r="F671" i="69" s="1"/>
  <c r="E547" i="69"/>
  <c r="E691" i="69"/>
  <c r="E839" i="69"/>
  <c r="E409" i="69"/>
  <c r="E738" i="69"/>
  <c r="F738" i="69" s="1"/>
  <c r="E835" i="69"/>
  <c r="E636" i="69"/>
  <c r="F636" i="69" s="1"/>
  <c r="E320" i="69"/>
  <c r="E733" i="69"/>
  <c r="F733" i="69" s="1"/>
  <c r="E794" i="69"/>
  <c r="F794" i="69" s="1"/>
  <c r="E76" i="69"/>
  <c r="E253" i="69"/>
  <c r="E670" i="69"/>
  <c r="F670" i="69" s="1"/>
  <c r="E364" i="69"/>
  <c r="E629" i="69"/>
  <c r="F629" i="69" s="1"/>
  <c r="E753" i="69"/>
  <c r="F753" i="69" s="1"/>
  <c r="E374" i="69"/>
  <c r="E796" i="69"/>
  <c r="F796" i="69" s="1"/>
  <c r="E679" i="69"/>
  <c r="E38" i="51"/>
  <c r="F39" i="51"/>
  <c r="F38" i="51"/>
  <c r="D39" i="51"/>
  <c r="E37" i="51"/>
  <c r="F37" i="51"/>
  <c r="D38" i="51"/>
  <c r="C39" i="51"/>
  <c r="E39" i="51"/>
  <c r="D37" i="51"/>
  <c r="C38" i="51"/>
  <c r="F41" i="51"/>
  <c r="D40" i="51"/>
  <c r="F40" i="51"/>
  <c r="C41" i="51"/>
  <c r="D42" i="51"/>
  <c r="D41" i="51"/>
  <c r="E42" i="51"/>
  <c r="F42" i="51"/>
  <c r="C42" i="51"/>
  <c r="E40" i="51"/>
  <c r="C40" i="51"/>
  <c r="D70" i="30"/>
  <c r="D25" i="64" s="1"/>
  <c r="D33" i="69" s="1"/>
  <c r="D71" i="30"/>
  <c r="D26" i="64" s="1"/>
  <c r="D34" i="69" s="1"/>
  <c r="F34" i="69" s="1"/>
  <c r="D72" i="30"/>
  <c r="D27" i="64" s="1"/>
  <c r="D35" i="69" s="1"/>
  <c r="F35" i="69" s="1"/>
  <c r="C301" i="51"/>
  <c r="D69" i="51"/>
  <c r="D463" i="64" s="1"/>
  <c r="D615" i="69" s="1"/>
  <c r="F615" i="69" s="1"/>
  <c r="D81" i="58"/>
  <c r="D403" i="64" s="1"/>
  <c r="D539" i="69" s="1"/>
  <c r="D70" i="51"/>
  <c r="D464" i="64" s="1"/>
  <c r="D616" i="69" s="1"/>
  <c r="F616" i="69" s="1"/>
  <c r="D68" i="51"/>
  <c r="D462" i="64" s="1"/>
  <c r="D614" i="69" s="1"/>
  <c r="C31" i="58"/>
  <c r="D31" i="58" s="1"/>
  <c r="F31" i="58" s="1"/>
  <c r="G31" i="58" s="1"/>
  <c r="D41" i="58" s="1"/>
  <c r="D394" i="64" s="1"/>
  <c r="D530" i="69" s="1"/>
  <c r="D40" i="58"/>
  <c r="D393" i="64" s="1"/>
  <c r="D529" i="69" s="1"/>
  <c r="C57" i="51"/>
  <c r="D72" i="51" s="1"/>
  <c r="D466" i="64" s="1"/>
  <c r="D618" i="69" s="1"/>
  <c r="D456" i="64"/>
  <c r="D600" i="69" s="1"/>
  <c r="D439" i="64"/>
  <c r="D583" i="69" s="1"/>
  <c r="D420" i="64"/>
  <c r="D556" i="69" s="1"/>
  <c r="D411" i="64"/>
  <c r="D547" i="69" s="1"/>
  <c r="D118" i="58"/>
  <c r="D409" i="64" s="1"/>
  <c r="D545" i="69" s="1"/>
  <c r="D78" i="58"/>
  <c r="D400" i="64" s="1"/>
  <c r="D536" i="69" s="1"/>
  <c r="D447" i="64"/>
  <c r="D591" i="69" s="1"/>
  <c r="D79" i="59"/>
  <c r="D437" i="64" s="1"/>
  <c r="D581" i="69" s="1"/>
  <c r="D430" i="64"/>
  <c r="D574" i="69" s="1"/>
  <c r="D118" i="59"/>
  <c r="D445" i="64" s="1"/>
  <c r="D589" i="69" s="1"/>
  <c r="D39" i="59"/>
  <c r="D428" i="64" s="1"/>
  <c r="D572" i="69" s="1"/>
  <c r="D158" i="59"/>
  <c r="D454" i="64" s="1"/>
  <c r="D598" i="69" s="1"/>
  <c r="D157" i="59"/>
  <c r="D453" i="64" s="1"/>
  <c r="D597" i="69" s="1"/>
  <c r="D158" i="58"/>
  <c r="D418" i="64" s="1"/>
  <c r="D554" i="69" s="1"/>
  <c r="D157" i="58"/>
  <c r="D417" i="64" s="1"/>
  <c r="D553" i="69" s="1"/>
  <c r="D79" i="58"/>
  <c r="D401" i="64" s="1"/>
  <c r="D537" i="69" s="1"/>
  <c r="D39" i="58"/>
  <c r="D392" i="64" s="1"/>
  <c r="D528" i="69" s="1"/>
  <c r="C582" i="51"/>
  <c r="C583" i="51" s="1"/>
  <c r="C584" i="51" s="1"/>
  <c r="C585" i="51" s="1"/>
  <c r="C302" i="51"/>
  <c r="C548" i="51"/>
  <c r="F33" i="69" l="1"/>
  <c r="F581" i="69"/>
  <c r="F591" i="69"/>
  <c r="F597" i="69"/>
  <c r="F583" i="69"/>
  <c r="F574" i="69"/>
  <c r="F572" i="69"/>
  <c r="F589" i="69"/>
  <c r="F600" i="69"/>
  <c r="F598" i="69"/>
  <c r="F547" i="69"/>
  <c r="F537" i="69"/>
  <c r="F554" i="69"/>
  <c r="F530" i="69"/>
  <c r="F528" i="69"/>
  <c r="F545" i="69"/>
  <c r="F556" i="69"/>
  <c r="F539" i="69"/>
  <c r="F553" i="69"/>
  <c r="F536" i="69"/>
  <c r="F614" i="69"/>
  <c r="D622" i="51"/>
  <c r="D621" i="51"/>
  <c r="C555" i="51"/>
  <c r="D561" i="51"/>
  <c r="D525" i="64" s="1"/>
  <c r="D677" i="69" s="1"/>
  <c r="C586" i="51"/>
  <c r="C643" i="51"/>
  <c r="C303" i="51"/>
  <c r="D620" i="51"/>
  <c r="C592" i="51"/>
  <c r="C594" i="51" s="1"/>
  <c r="E622" i="51" l="1"/>
  <c r="E621" i="51"/>
  <c r="D608" i="51"/>
  <c r="C607" i="51"/>
  <c r="C608" i="51"/>
  <c r="D607" i="51"/>
  <c r="C622" i="51"/>
  <c r="C621" i="51"/>
  <c r="D564" i="51"/>
  <c r="D528" i="64" s="1"/>
  <c r="D680" i="69" s="1"/>
  <c r="F680" i="69" s="1"/>
  <c r="D563" i="51"/>
  <c r="D527" i="64" s="1"/>
  <c r="D679" i="69" s="1"/>
  <c r="F679" i="69" s="1"/>
  <c r="D565" i="51"/>
  <c r="D529" i="64" s="1"/>
  <c r="D681" i="69" s="1"/>
  <c r="F681" i="69" s="1"/>
  <c r="C644" i="51"/>
  <c r="C700" i="51"/>
  <c r="C304" i="51"/>
  <c r="D628" i="51"/>
  <c r="D535" i="64" s="1"/>
  <c r="D687" i="69" s="1"/>
  <c r="F687" i="69" s="1"/>
  <c r="C650" i="51"/>
  <c r="C652" i="51" s="1"/>
  <c r="C620" i="51"/>
  <c r="D626" i="51" s="1"/>
  <c r="D606" i="51"/>
  <c r="C606" i="51"/>
  <c r="E620" i="51"/>
  <c r="D627" i="51" s="1"/>
  <c r="D331" i="51" l="1"/>
  <c r="D330" i="51"/>
  <c r="E668" i="51"/>
  <c r="E667" i="51"/>
  <c r="E666" i="51"/>
  <c r="D668" i="51"/>
  <c r="D667" i="51"/>
  <c r="D666" i="51"/>
  <c r="C668" i="51"/>
  <c r="C667" i="51"/>
  <c r="C666" i="51"/>
  <c r="D339" i="51"/>
  <c r="D335" i="51"/>
  <c r="D338" i="51"/>
  <c r="D333" i="51"/>
  <c r="D329" i="51"/>
  <c r="D337" i="51"/>
  <c r="D332" i="51"/>
  <c r="D336" i="51"/>
  <c r="C701" i="51"/>
  <c r="C754" i="51"/>
  <c r="C707" i="51"/>
  <c r="C709" i="51" s="1"/>
  <c r="D334" i="51"/>
  <c r="D380" i="51"/>
  <c r="C357" i="51"/>
  <c r="D533" i="64"/>
  <c r="D685" i="69" s="1"/>
  <c r="F685" i="69" s="1"/>
  <c r="D534" i="64"/>
  <c r="D686" i="69" s="1"/>
  <c r="F686" i="69" s="1"/>
  <c r="E678" i="51"/>
  <c r="D665" i="51"/>
  <c r="E665" i="51"/>
  <c r="C678" i="51"/>
  <c r="D678" i="51" s="1"/>
  <c r="D685" i="51" s="1"/>
  <c r="D542" i="64" s="1"/>
  <c r="D694" i="69" s="1"/>
  <c r="F694" i="69" s="1"/>
  <c r="C665" i="51"/>
  <c r="C735" i="51" l="1"/>
  <c r="D735" i="51" s="1"/>
  <c r="D742" i="51" s="1"/>
  <c r="D549" i="64" s="1"/>
  <c r="D701" i="69" s="1"/>
  <c r="F701" i="69" s="1"/>
  <c r="D725" i="51"/>
  <c r="D724" i="51"/>
  <c r="D723" i="51"/>
  <c r="E723" i="51"/>
  <c r="C725" i="51"/>
  <c r="C724" i="51"/>
  <c r="C723" i="51"/>
  <c r="E724" i="51"/>
  <c r="E725" i="51"/>
  <c r="D503" i="64"/>
  <c r="D655" i="69" s="1"/>
  <c r="D722" i="51"/>
  <c r="D741" i="51" s="1"/>
  <c r="D548" i="64" s="1"/>
  <c r="D700" i="69" s="1"/>
  <c r="F700" i="69" s="1"/>
  <c r="C722" i="51"/>
  <c r="D739" i="51" s="1"/>
  <c r="D546" i="64" s="1"/>
  <c r="D698" i="69" s="1"/>
  <c r="F698" i="69" s="1"/>
  <c r="E735" i="51"/>
  <c r="E722" i="51"/>
  <c r="D759" i="51"/>
  <c r="E759" i="51" s="1"/>
  <c r="C779" i="51"/>
  <c r="D787" i="51" s="1"/>
  <c r="D557" i="64" s="1"/>
  <c r="D709" i="69" s="1"/>
  <c r="F709" i="69" s="1"/>
  <c r="D761" i="51"/>
  <c r="E761" i="51" s="1"/>
  <c r="D782" i="51" s="1"/>
  <c r="C777" i="51"/>
  <c r="D786" i="51" s="1"/>
  <c r="D556" i="64" s="1"/>
  <c r="D708" i="69" s="1"/>
  <c r="F708" i="69" s="1"/>
  <c r="D762" i="51"/>
  <c r="E762" i="51" s="1"/>
  <c r="D763" i="51"/>
  <c r="E763" i="51" s="1"/>
  <c r="D760" i="51"/>
  <c r="E760" i="51" s="1"/>
  <c r="D768" i="51"/>
  <c r="D783" i="51" s="1"/>
  <c r="D553" i="64" s="1"/>
  <c r="D705" i="69" s="1"/>
  <c r="D367" i="51"/>
  <c r="D383" i="51" s="1"/>
  <c r="D506" i="64" s="1"/>
  <c r="D658" i="69" s="1"/>
  <c r="F658" i="69" s="1"/>
  <c r="E367" i="51"/>
  <c r="E377" i="51"/>
  <c r="C367" i="51"/>
  <c r="C377" i="51"/>
  <c r="D682" i="51"/>
  <c r="D539" i="64" s="1"/>
  <c r="D691" i="69" s="1"/>
  <c r="F691" i="69" s="1"/>
  <c r="D684" i="51"/>
  <c r="D541" i="64" s="1"/>
  <c r="D693" i="69" s="1"/>
  <c r="F693" i="69" s="1"/>
  <c r="D683" i="51"/>
  <c r="D540" i="64" s="1"/>
  <c r="D692" i="69" s="1"/>
  <c r="F692" i="69" s="1"/>
  <c r="D382" i="51" l="1"/>
  <c r="D505" i="64" s="1"/>
  <c r="D657" i="69" s="1"/>
  <c r="F657" i="69" s="1"/>
  <c r="D377" i="51"/>
  <c r="D381" i="51"/>
  <c r="D504" i="64" s="1"/>
  <c r="D656" i="69" s="1"/>
  <c r="F656" i="69" s="1"/>
  <c r="D740" i="51"/>
  <c r="D547" i="64" s="1"/>
  <c r="D699" i="69" s="1"/>
  <c r="F699" i="69" s="1"/>
  <c r="C773" i="51"/>
  <c r="D784" i="51" s="1"/>
  <c r="D554" i="64" s="1"/>
  <c r="D706" i="69" s="1"/>
  <c r="C775" i="51"/>
  <c r="D785" i="51" s="1"/>
  <c r="D555" i="64" s="1"/>
  <c r="D707" i="69" s="1"/>
  <c r="D552" i="64"/>
  <c r="D704" i="69" s="1"/>
  <c r="C62" i="49"/>
  <c r="C63" i="49" s="1"/>
  <c r="C64" i="49" s="1"/>
  <c r="D100" i="49" s="1"/>
  <c r="D670" i="64" s="1"/>
  <c r="D838" i="69" s="1"/>
  <c r="F838" i="69" s="1"/>
  <c r="C81" i="49"/>
  <c r="C82" i="49" s="1"/>
  <c r="C17" i="49"/>
  <c r="C18" i="49" s="1"/>
  <c r="C19" i="49" s="1"/>
  <c r="C122" i="46"/>
  <c r="C123" i="46" s="1"/>
  <c r="B151" i="46"/>
  <c r="B379" i="64" s="1"/>
  <c r="B507" i="69" s="1"/>
  <c r="C70" i="46"/>
  <c r="B102" i="46"/>
  <c r="B371" i="64" s="1"/>
  <c r="B499" i="69" s="1"/>
  <c r="B50" i="46"/>
  <c r="B363" i="64" s="1"/>
  <c r="B491" i="69" s="1"/>
  <c r="C18" i="46"/>
  <c r="L191" i="38"/>
  <c r="L190" i="38"/>
  <c r="L189" i="38"/>
  <c r="L188" i="38"/>
  <c r="L187" i="38"/>
  <c r="L186" i="38"/>
  <c r="L185" i="38"/>
  <c r="L184" i="38"/>
  <c r="L183" i="38"/>
  <c r="L182" i="38"/>
  <c r="L181" i="38"/>
  <c r="L180" i="38"/>
  <c r="L179" i="38"/>
  <c r="L178" i="38"/>
  <c r="L177" i="38"/>
  <c r="L176" i="38"/>
  <c r="L175" i="38"/>
  <c r="L174" i="38"/>
  <c r="L173" i="38"/>
  <c r="L172" i="38"/>
  <c r="L171" i="38"/>
  <c r="L170" i="38"/>
  <c r="L169" i="38"/>
  <c r="L168" i="38"/>
  <c r="L167" i="38"/>
  <c r="L166" i="38"/>
  <c r="L165" i="38"/>
  <c r="L164" i="38"/>
  <c r="L163" i="38"/>
  <c r="L162" i="38"/>
  <c r="L161" i="38"/>
  <c r="L160" i="38"/>
  <c r="L159" i="38"/>
  <c r="L158" i="38"/>
  <c r="L157" i="38"/>
  <c r="L156" i="38"/>
  <c r="L155" i="38"/>
  <c r="L154" i="38"/>
  <c r="L153" i="38"/>
  <c r="L152" i="38"/>
  <c r="L151" i="38"/>
  <c r="L150" i="38"/>
  <c r="L149" i="38"/>
  <c r="L148" i="38"/>
  <c r="L147" i="38"/>
  <c r="L146" i="38"/>
  <c r="L145" i="38"/>
  <c r="L144" i="38"/>
  <c r="L143" i="38"/>
  <c r="L142" i="38"/>
  <c r="L141" i="38"/>
  <c r="L140" i="38"/>
  <c r="L139" i="38"/>
  <c r="L138" i="38"/>
  <c r="L137" i="38"/>
  <c r="L136" i="38"/>
  <c r="L135" i="38"/>
  <c r="L134" i="38"/>
  <c r="L133" i="38"/>
  <c r="L132" i="38"/>
  <c r="L131" i="38"/>
  <c r="L130" i="38"/>
  <c r="L129" i="38"/>
  <c r="L128" i="38"/>
  <c r="L127" i="38"/>
  <c r="L126" i="38"/>
  <c r="L125" i="38"/>
  <c r="L124" i="38"/>
  <c r="L123" i="38"/>
  <c r="L122" i="38"/>
  <c r="L121" i="38"/>
  <c r="L120" i="38"/>
  <c r="L119" i="38"/>
  <c r="L118" i="38"/>
  <c r="L117" i="38"/>
  <c r="L116" i="38"/>
  <c r="L115" i="38"/>
  <c r="L114" i="38"/>
  <c r="L113" i="38"/>
  <c r="L112" i="38"/>
  <c r="L111" i="38"/>
  <c r="L110" i="38"/>
  <c r="L109" i="38"/>
  <c r="L108" i="38"/>
  <c r="L107" i="38"/>
  <c r="L106" i="38"/>
  <c r="L105" i="38"/>
  <c r="L104" i="38"/>
  <c r="L103" i="38"/>
  <c r="L102" i="38"/>
  <c r="L101" i="38"/>
  <c r="L100" i="38"/>
  <c r="L99" i="38"/>
  <c r="L98" i="38"/>
  <c r="L97" i="38"/>
  <c r="L96" i="38"/>
  <c r="L95" i="38"/>
  <c r="L94" i="38"/>
  <c r="L93" i="38"/>
  <c r="L92" i="38"/>
  <c r="L91" i="38"/>
  <c r="L90" i="38"/>
  <c r="L89" i="38"/>
  <c r="L88" i="38"/>
  <c r="L87" i="38"/>
  <c r="L86" i="38"/>
  <c r="L85" i="38"/>
  <c r="L84" i="38"/>
  <c r="L83" i="38"/>
  <c r="L82" i="38"/>
  <c r="L81" i="38"/>
  <c r="L80" i="38"/>
  <c r="L79" i="38"/>
  <c r="L78" i="38"/>
  <c r="L77" i="38"/>
  <c r="L76" i="38"/>
  <c r="L75" i="38"/>
  <c r="L74" i="38"/>
  <c r="L73" i="38"/>
  <c r="L72" i="38"/>
  <c r="L71" i="38"/>
  <c r="L70" i="38"/>
  <c r="L69" i="38"/>
  <c r="L68" i="38"/>
  <c r="L67" i="38"/>
  <c r="L66" i="38"/>
  <c r="L65" i="38"/>
  <c r="L64" i="38"/>
  <c r="L63" i="38"/>
  <c r="L62" i="38"/>
  <c r="L61" i="38"/>
  <c r="L60" i="38"/>
  <c r="L59" i="38"/>
  <c r="L58" i="38"/>
  <c r="L57" i="38"/>
  <c r="L56" i="38"/>
  <c r="L55" i="38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C19" i="45"/>
  <c r="C59" i="45"/>
  <c r="C54" i="45"/>
  <c r="C52" i="45"/>
  <c r="C48" i="45"/>
  <c r="C15" i="45"/>
  <c r="C16" i="45"/>
  <c r="C17" i="45"/>
  <c r="C20" i="45"/>
  <c r="B352" i="64"/>
  <c r="B472" i="69" s="1"/>
  <c r="B353" i="64"/>
  <c r="B473" i="69" s="1"/>
  <c r="F161" i="44"/>
  <c r="H161" i="44" s="1"/>
  <c r="E161" i="44"/>
  <c r="F160" i="44"/>
  <c r="H160" i="44" s="1"/>
  <c r="E160" i="44"/>
  <c r="F159" i="44"/>
  <c r="H159" i="44" s="1"/>
  <c r="E159" i="44"/>
  <c r="F158" i="44"/>
  <c r="H158" i="44" s="1"/>
  <c r="E158" i="44"/>
  <c r="F157" i="44"/>
  <c r="H157" i="44" s="1"/>
  <c r="E157" i="44"/>
  <c r="F156" i="44"/>
  <c r="H156" i="44" s="1"/>
  <c r="E156" i="44"/>
  <c r="F155" i="44"/>
  <c r="H155" i="44" s="1"/>
  <c r="E155" i="44"/>
  <c r="F154" i="44"/>
  <c r="H154" i="44" s="1"/>
  <c r="E154" i="44"/>
  <c r="F153" i="44"/>
  <c r="H153" i="44" s="1"/>
  <c r="E153" i="44"/>
  <c r="F152" i="44"/>
  <c r="H152" i="44" s="1"/>
  <c r="E152" i="44"/>
  <c r="F151" i="44"/>
  <c r="H151" i="44" s="1"/>
  <c r="E151" i="44"/>
  <c r="F150" i="44"/>
  <c r="H150" i="44" s="1"/>
  <c r="E150" i="44"/>
  <c r="F149" i="44"/>
  <c r="H149" i="44" s="1"/>
  <c r="E149" i="44"/>
  <c r="F148" i="44"/>
  <c r="H148" i="44" s="1"/>
  <c r="E148" i="44"/>
  <c r="F147" i="44"/>
  <c r="H147" i="44" s="1"/>
  <c r="E147" i="44"/>
  <c r="F146" i="44"/>
  <c r="H146" i="44" s="1"/>
  <c r="E146" i="44"/>
  <c r="F145" i="44"/>
  <c r="H145" i="44" s="1"/>
  <c r="E145" i="44"/>
  <c r="F144" i="44"/>
  <c r="H144" i="44" s="1"/>
  <c r="E144" i="44"/>
  <c r="F143" i="44"/>
  <c r="H143" i="44" s="1"/>
  <c r="E143" i="44"/>
  <c r="F142" i="44"/>
  <c r="H142" i="44" s="1"/>
  <c r="E142" i="44"/>
  <c r="F141" i="44"/>
  <c r="H141" i="44" s="1"/>
  <c r="E141" i="44"/>
  <c r="F140" i="44"/>
  <c r="H140" i="44" s="1"/>
  <c r="E140" i="44"/>
  <c r="F139" i="44"/>
  <c r="H139" i="44" s="1"/>
  <c r="E139" i="44"/>
  <c r="F138" i="44"/>
  <c r="H138" i="44" s="1"/>
  <c r="E138" i="44"/>
  <c r="F137" i="44"/>
  <c r="H137" i="44" s="1"/>
  <c r="E137" i="44"/>
  <c r="F136" i="44"/>
  <c r="H136" i="44" s="1"/>
  <c r="E136" i="44"/>
  <c r="F135" i="44"/>
  <c r="H135" i="44" s="1"/>
  <c r="E135" i="44"/>
  <c r="F134" i="44"/>
  <c r="H134" i="44" s="1"/>
  <c r="E134" i="44"/>
  <c r="F133" i="44"/>
  <c r="H133" i="44" s="1"/>
  <c r="E133" i="44"/>
  <c r="F132" i="44"/>
  <c r="H132" i="44" s="1"/>
  <c r="E132" i="44"/>
  <c r="F131" i="44"/>
  <c r="H131" i="44" s="1"/>
  <c r="E131" i="44"/>
  <c r="F130" i="44"/>
  <c r="H130" i="44" s="1"/>
  <c r="E130" i="44"/>
  <c r="F129" i="44"/>
  <c r="H129" i="44" s="1"/>
  <c r="E129" i="44"/>
  <c r="F128" i="44"/>
  <c r="H128" i="44" s="1"/>
  <c r="E128" i="44"/>
  <c r="F127" i="44"/>
  <c r="H127" i="44" s="1"/>
  <c r="E127" i="44"/>
  <c r="F126" i="44"/>
  <c r="H126" i="44" s="1"/>
  <c r="E126" i="44"/>
  <c r="F125" i="44"/>
  <c r="H125" i="44" s="1"/>
  <c r="E125" i="44"/>
  <c r="F124" i="44"/>
  <c r="H124" i="44" s="1"/>
  <c r="E124" i="44"/>
  <c r="F123" i="44"/>
  <c r="H123" i="44" s="1"/>
  <c r="E123" i="44"/>
  <c r="F122" i="44"/>
  <c r="H122" i="44" s="1"/>
  <c r="E122" i="44"/>
  <c r="F121" i="44"/>
  <c r="H121" i="44" s="1"/>
  <c r="E121" i="44"/>
  <c r="F120" i="44"/>
  <c r="H120" i="44" s="1"/>
  <c r="E120" i="44"/>
  <c r="F119" i="44"/>
  <c r="H119" i="44" s="1"/>
  <c r="E119" i="44"/>
  <c r="F118" i="44"/>
  <c r="H118" i="44" s="1"/>
  <c r="E118" i="44"/>
  <c r="F117" i="44"/>
  <c r="H117" i="44" s="1"/>
  <c r="E117" i="44"/>
  <c r="F116" i="44"/>
  <c r="H116" i="44" s="1"/>
  <c r="E116" i="44"/>
  <c r="F115" i="44"/>
  <c r="H115" i="44" s="1"/>
  <c r="E115" i="44"/>
  <c r="F114" i="44"/>
  <c r="H114" i="44" s="1"/>
  <c r="E114" i="44"/>
  <c r="F113" i="44"/>
  <c r="H113" i="44" s="1"/>
  <c r="E113" i="44"/>
  <c r="F112" i="44"/>
  <c r="H112" i="44" s="1"/>
  <c r="E112" i="44"/>
  <c r="F111" i="44"/>
  <c r="H111" i="44" s="1"/>
  <c r="E111" i="44"/>
  <c r="F110" i="44"/>
  <c r="H110" i="44" s="1"/>
  <c r="E110" i="44"/>
  <c r="F109" i="44"/>
  <c r="H109" i="44" s="1"/>
  <c r="E109" i="44"/>
  <c r="F108" i="44"/>
  <c r="H108" i="44" s="1"/>
  <c r="E108" i="44"/>
  <c r="F107" i="44"/>
  <c r="H107" i="44" s="1"/>
  <c r="E107" i="44"/>
  <c r="F106" i="44"/>
  <c r="H106" i="44" s="1"/>
  <c r="E106" i="44"/>
  <c r="F105" i="44"/>
  <c r="H105" i="44" s="1"/>
  <c r="E105" i="44"/>
  <c r="F104" i="44"/>
  <c r="H104" i="44" s="1"/>
  <c r="E104" i="44"/>
  <c r="F103" i="44"/>
  <c r="H103" i="44" s="1"/>
  <c r="E103" i="44"/>
  <c r="F102" i="44"/>
  <c r="H102" i="44" s="1"/>
  <c r="E102" i="44"/>
  <c r="F101" i="44"/>
  <c r="E101" i="44"/>
  <c r="F100" i="44"/>
  <c r="E100" i="44"/>
  <c r="F99" i="44"/>
  <c r="E99" i="44"/>
  <c r="F98" i="44"/>
  <c r="E98" i="44"/>
  <c r="F97" i="44"/>
  <c r="E97" i="44"/>
  <c r="F96" i="44"/>
  <c r="E96" i="44"/>
  <c r="F95" i="44"/>
  <c r="E95" i="44"/>
  <c r="F94" i="44"/>
  <c r="E94" i="44"/>
  <c r="F93" i="44"/>
  <c r="E93" i="44"/>
  <c r="F92" i="44"/>
  <c r="E92" i="44"/>
  <c r="F91" i="44"/>
  <c r="E91" i="44"/>
  <c r="F90" i="44"/>
  <c r="E90" i="44"/>
  <c r="F89" i="44"/>
  <c r="E89" i="44"/>
  <c r="F88" i="44"/>
  <c r="E88" i="44"/>
  <c r="F87" i="44"/>
  <c r="E87" i="44"/>
  <c r="F86" i="44"/>
  <c r="E86" i="44"/>
  <c r="F85" i="44"/>
  <c r="E85" i="44"/>
  <c r="F84" i="44"/>
  <c r="E84" i="44"/>
  <c r="F83" i="44"/>
  <c r="E83" i="44"/>
  <c r="F82" i="44"/>
  <c r="E82" i="44"/>
  <c r="F81" i="44"/>
  <c r="E81" i="44"/>
  <c r="F80" i="44"/>
  <c r="E80" i="44"/>
  <c r="F79" i="44"/>
  <c r="E79" i="44"/>
  <c r="F78" i="44"/>
  <c r="E78" i="44"/>
  <c r="F77" i="44"/>
  <c r="E77" i="44"/>
  <c r="F76" i="44"/>
  <c r="E76" i="44"/>
  <c r="F75" i="44"/>
  <c r="E75" i="44"/>
  <c r="F74" i="44"/>
  <c r="E74" i="44"/>
  <c r="F73" i="44"/>
  <c r="E73" i="44"/>
  <c r="F72" i="44"/>
  <c r="E72" i="44"/>
  <c r="F71" i="44"/>
  <c r="E71" i="44"/>
  <c r="F70" i="44"/>
  <c r="E70" i="44"/>
  <c r="F69" i="44"/>
  <c r="E69" i="44"/>
  <c r="F68" i="44"/>
  <c r="E68" i="44"/>
  <c r="F67" i="44"/>
  <c r="E67" i="44"/>
  <c r="F66" i="44"/>
  <c r="E66" i="44"/>
  <c r="F65" i="44"/>
  <c r="E65" i="44"/>
  <c r="F64" i="44"/>
  <c r="E64" i="44"/>
  <c r="F63" i="44"/>
  <c r="E63" i="44"/>
  <c r="F62" i="44"/>
  <c r="E62" i="44"/>
  <c r="F61" i="44"/>
  <c r="E61" i="44"/>
  <c r="F60" i="44"/>
  <c r="E60" i="44"/>
  <c r="F59" i="44"/>
  <c r="E59" i="44"/>
  <c r="F58" i="44"/>
  <c r="E58" i="44"/>
  <c r="F57" i="44"/>
  <c r="E57" i="44"/>
  <c r="F56" i="44"/>
  <c r="E56" i="44"/>
  <c r="F55" i="44"/>
  <c r="E55" i="44"/>
  <c r="F54" i="44"/>
  <c r="E54" i="44"/>
  <c r="F53" i="44"/>
  <c r="E53" i="44"/>
  <c r="F52" i="44"/>
  <c r="E52" i="44"/>
  <c r="F51" i="44"/>
  <c r="H51" i="44" s="1"/>
  <c r="E51" i="44"/>
  <c r="F50" i="44"/>
  <c r="H50" i="44" s="1"/>
  <c r="E50" i="44"/>
  <c r="F49" i="44"/>
  <c r="H49" i="44" s="1"/>
  <c r="E49" i="44"/>
  <c r="F48" i="44"/>
  <c r="H48" i="44" s="1"/>
  <c r="E48" i="44"/>
  <c r="F47" i="44"/>
  <c r="H47" i="44" s="1"/>
  <c r="E47" i="44"/>
  <c r="F46" i="44"/>
  <c r="H46" i="44" s="1"/>
  <c r="E46" i="44"/>
  <c r="F45" i="44"/>
  <c r="H45" i="44" s="1"/>
  <c r="E45" i="44"/>
  <c r="F44" i="44"/>
  <c r="H44" i="44" s="1"/>
  <c r="E44" i="44"/>
  <c r="F43" i="44"/>
  <c r="H43" i="44" s="1"/>
  <c r="E43" i="44"/>
  <c r="F42" i="44"/>
  <c r="H42" i="44" s="1"/>
  <c r="E42" i="44"/>
  <c r="F41" i="44"/>
  <c r="H41" i="44" s="1"/>
  <c r="E41" i="44"/>
  <c r="F40" i="44"/>
  <c r="H40" i="44" s="1"/>
  <c r="E40" i="44"/>
  <c r="F39" i="44"/>
  <c r="H39" i="44" s="1"/>
  <c r="E39" i="44"/>
  <c r="F38" i="44"/>
  <c r="H38" i="44" s="1"/>
  <c r="E38" i="44"/>
  <c r="F37" i="44"/>
  <c r="H37" i="44" s="1"/>
  <c r="E37" i="44"/>
  <c r="F36" i="44"/>
  <c r="H36" i="44" s="1"/>
  <c r="E36" i="44"/>
  <c r="F35" i="44"/>
  <c r="H35" i="44" s="1"/>
  <c r="E35" i="44"/>
  <c r="F34" i="44"/>
  <c r="H34" i="44" s="1"/>
  <c r="E34" i="44"/>
  <c r="F33" i="44"/>
  <c r="H33" i="44" s="1"/>
  <c r="E33" i="44"/>
  <c r="F32" i="44"/>
  <c r="H32" i="44" s="1"/>
  <c r="E32" i="44"/>
  <c r="F31" i="44"/>
  <c r="H31" i="44" s="1"/>
  <c r="E31" i="44"/>
  <c r="F30" i="44"/>
  <c r="H30" i="44" s="1"/>
  <c r="E30" i="44"/>
  <c r="F29" i="44"/>
  <c r="H29" i="44" s="1"/>
  <c r="E29" i="44"/>
  <c r="F28" i="44"/>
  <c r="H28" i="44" s="1"/>
  <c r="E28" i="44"/>
  <c r="F27" i="44"/>
  <c r="H27" i="44" s="1"/>
  <c r="E27" i="44"/>
  <c r="F26" i="44"/>
  <c r="H26" i="44" s="1"/>
  <c r="E26" i="44"/>
  <c r="F25" i="44"/>
  <c r="H25" i="44" s="1"/>
  <c r="E25" i="44"/>
  <c r="F24" i="44"/>
  <c r="H24" i="44" s="1"/>
  <c r="E24" i="44"/>
  <c r="A10" i="44"/>
  <c r="B111" i="66" l="1"/>
  <c r="B110" i="66"/>
  <c r="C84" i="49"/>
  <c r="D104" i="49" s="1"/>
  <c r="D674" i="64" s="1"/>
  <c r="D842" i="69" s="1"/>
  <c r="F842" i="69" s="1"/>
  <c r="C26" i="45"/>
  <c r="D83" i="45" s="1"/>
  <c r="D353" i="64" s="1"/>
  <c r="D473" i="69" s="1"/>
  <c r="C148" i="46"/>
  <c r="D156" i="46" s="1"/>
  <c r="D384" i="64" s="1"/>
  <c r="D512" i="69" s="1"/>
  <c r="F512" i="69" s="1"/>
  <c r="C146" i="46"/>
  <c r="D155" i="46" s="1"/>
  <c r="D383" i="64" s="1"/>
  <c r="D511" i="69" s="1"/>
  <c r="F511" i="69" s="1"/>
  <c r="C88" i="49"/>
  <c r="C89" i="49" s="1"/>
  <c r="D75" i="49"/>
  <c r="C75" i="49"/>
  <c r="C76" i="49"/>
  <c r="D671" i="64" s="1"/>
  <c r="D839" i="69" s="1"/>
  <c r="F839" i="69" s="1"/>
  <c r="E76" i="49"/>
  <c r="D673" i="64" s="1"/>
  <c r="D841" i="69" s="1"/>
  <c r="F841" i="69" s="1"/>
  <c r="E75" i="49"/>
  <c r="F76" i="49"/>
  <c r="F75" i="49"/>
  <c r="D76" i="49"/>
  <c r="D672" i="64" s="1"/>
  <c r="D840" i="69" s="1"/>
  <c r="F840" i="69" s="1"/>
  <c r="F31" i="49"/>
  <c r="F30" i="49"/>
  <c r="E31" i="49"/>
  <c r="D666" i="64" s="1"/>
  <c r="D834" i="69" s="1"/>
  <c r="F834" i="69" s="1"/>
  <c r="E30" i="49"/>
  <c r="D31" i="49"/>
  <c r="D665" i="64" s="1"/>
  <c r="D833" i="69" s="1"/>
  <c r="F833" i="69" s="1"/>
  <c r="D30" i="49"/>
  <c r="D42" i="49"/>
  <c r="D663" i="64" s="1"/>
  <c r="D831" i="69" s="1"/>
  <c r="F831" i="69" s="1"/>
  <c r="C31" i="49"/>
  <c r="D664" i="64" s="1"/>
  <c r="D832" i="69" s="1"/>
  <c r="F832" i="69" s="1"/>
  <c r="C30" i="49"/>
  <c r="D129" i="46"/>
  <c r="E129" i="46" s="1"/>
  <c r="D131" i="46"/>
  <c r="E131" i="46" s="1"/>
  <c r="D137" i="46"/>
  <c r="D152" i="46" s="1"/>
  <c r="D380" i="64" s="1"/>
  <c r="D508" i="69" s="1"/>
  <c r="D128" i="46"/>
  <c r="E128" i="46" s="1"/>
  <c r="D130" i="46"/>
  <c r="E130" i="46" s="1"/>
  <c r="D132" i="46"/>
  <c r="E132" i="46" s="1"/>
  <c r="C53" i="45"/>
  <c r="C60" i="45" s="1"/>
  <c r="C46" i="45"/>
  <c r="C21" i="45"/>
  <c r="C165" i="44"/>
  <c r="D182" i="44" s="1"/>
  <c r="D336" i="64" s="1"/>
  <c r="D448" i="69" s="1"/>
  <c r="F448" i="69" s="1"/>
  <c r="G31" i="44"/>
  <c r="G47" i="44"/>
  <c r="G51" i="44"/>
  <c r="G127" i="44"/>
  <c r="G27" i="44"/>
  <c r="G148" i="44"/>
  <c r="G153" i="44"/>
  <c r="G35" i="44"/>
  <c r="G39" i="44"/>
  <c r="G43" i="44"/>
  <c r="G111" i="44"/>
  <c r="G120" i="44"/>
  <c r="G122" i="44"/>
  <c r="G126" i="44"/>
  <c r="G110" i="44"/>
  <c r="G132" i="44"/>
  <c r="G134" i="44"/>
  <c r="G139" i="44"/>
  <c r="G29" i="44"/>
  <c r="G37" i="44"/>
  <c r="G45" i="44"/>
  <c r="G105" i="44"/>
  <c r="G115" i="44"/>
  <c r="G124" i="44"/>
  <c r="G136" i="44"/>
  <c r="G138" i="44"/>
  <c r="G143" i="44"/>
  <c r="G150" i="44"/>
  <c r="G152" i="44"/>
  <c r="G157" i="44"/>
  <c r="G102" i="44"/>
  <c r="G104" i="44"/>
  <c r="G112" i="44"/>
  <c r="G114" i="44"/>
  <c r="G119" i="44"/>
  <c r="G128" i="44"/>
  <c r="G131" i="44"/>
  <c r="G140" i="44"/>
  <c r="G142" i="44"/>
  <c r="G154" i="44"/>
  <c r="G156" i="44"/>
  <c r="G161" i="44"/>
  <c r="G25" i="44"/>
  <c r="G33" i="44"/>
  <c r="G41" i="44"/>
  <c r="G49" i="44"/>
  <c r="G106" i="44"/>
  <c r="G108" i="44"/>
  <c r="G116" i="44"/>
  <c r="G118" i="44"/>
  <c r="G123" i="44"/>
  <c r="G130" i="44"/>
  <c r="G135" i="44"/>
  <c r="G144" i="44"/>
  <c r="G146" i="44"/>
  <c r="G149" i="44"/>
  <c r="G158" i="44"/>
  <c r="G160" i="44"/>
  <c r="H56" i="44"/>
  <c r="G56" i="44"/>
  <c r="H62" i="44"/>
  <c r="G62" i="44"/>
  <c r="H67" i="44"/>
  <c r="G67" i="44"/>
  <c r="C164" i="44"/>
  <c r="D181" i="44" s="1"/>
  <c r="D335" i="64" s="1"/>
  <c r="D447" i="69" s="1"/>
  <c r="F447" i="69" s="1"/>
  <c r="C163" i="44"/>
  <c r="D183" i="44" s="1"/>
  <c r="D337" i="64" s="1"/>
  <c r="D449" i="69" s="1"/>
  <c r="F449" i="69" s="1"/>
  <c r="G24" i="44"/>
  <c r="G28" i="44"/>
  <c r="G32" i="44"/>
  <c r="G36" i="44"/>
  <c r="G40" i="44"/>
  <c r="G44" i="44"/>
  <c r="G48" i="44"/>
  <c r="H55" i="44"/>
  <c r="G55" i="44"/>
  <c r="H59" i="44"/>
  <c r="G59" i="44"/>
  <c r="H63" i="44"/>
  <c r="G63" i="44"/>
  <c r="H64" i="44"/>
  <c r="G64" i="44"/>
  <c r="H68" i="44"/>
  <c r="G68" i="44"/>
  <c r="H71" i="44"/>
  <c r="G71" i="44"/>
  <c r="G76" i="44"/>
  <c r="H76" i="44"/>
  <c r="H80" i="44"/>
  <c r="G80" i="44"/>
  <c r="H87" i="44"/>
  <c r="G87" i="44"/>
  <c r="G93" i="44"/>
  <c r="H93" i="44"/>
  <c r="H96" i="44"/>
  <c r="G96" i="44"/>
  <c r="G98" i="44"/>
  <c r="H98" i="44"/>
  <c r="H52" i="44"/>
  <c r="G52" i="44"/>
  <c r="H53" i="44"/>
  <c r="G53" i="44"/>
  <c r="H57" i="44"/>
  <c r="G57" i="44"/>
  <c r="H61" i="44"/>
  <c r="G61" i="44"/>
  <c r="H66" i="44"/>
  <c r="G66" i="44"/>
  <c r="H69" i="44"/>
  <c r="G69" i="44"/>
  <c r="H73" i="44"/>
  <c r="G73" i="44"/>
  <c r="G74" i="44"/>
  <c r="H74" i="44"/>
  <c r="H78" i="44"/>
  <c r="G78" i="44"/>
  <c r="H82" i="44"/>
  <c r="G82" i="44"/>
  <c r="H85" i="44"/>
  <c r="G85" i="44"/>
  <c r="H89" i="44"/>
  <c r="G89" i="44"/>
  <c r="G91" i="44"/>
  <c r="H91" i="44"/>
  <c r="G100" i="44"/>
  <c r="H100" i="44"/>
  <c r="A11" i="44"/>
  <c r="A12" i="44" s="1"/>
  <c r="A13" i="44" s="1"/>
  <c r="A14" i="44" s="1"/>
  <c r="A15" i="44" s="1"/>
  <c r="A16" i="44" s="1"/>
  <c r="A17" i="44" s="1"/>
  <c r="A18" i="44" s="1"/>
  <c r="A19" i="44" s="1"/>
  <c r="G26" i="44"/>
  <c r="G30" i="44"/>
  <c r="G34" i="44"/>
  <c r="G38" i="44"/>
  <c r="G42" i="44"/>
  <c r="G46" i="44"/>
  <c r="G50" i="44"/>
  <c r="H54" i="44"/>
  <c r="G54" i="44"/>
  <c r="G58" i="44"/>
  <c r="H58" i="44"/>
  <c r="G60" i="44"/>
  <c r="H60" i="44"/>
  <c r="H65" i="44"/>
  <c r="G65" i="44"/>
  <c r="G70" i="44"/>
  <c r="H70" i="44"/>
  <c r="G72" i="44"/>
  <c r="H72" i="44"/>
  <c r="H75" i="44"/>
  <c r="G75" i="44"/>
  <c r="H77" i="44"/>
  <c r="G77" i="44"/>
  <c r="H79" i="44"/>
  <c r="G79" i="44"/>
  <c r="H81" i="44"/>
  <c r="G81" i="44"/>
  <c r="H83" i="44"/>
  <c r="G83" i="44"/>
  <c r="H84" i="44"/>
  <c r="G84" i="44"/>
  <c r="H86" i="44"/>
  <c r="G86" i="44"/>
  <c r="H88" i="44"/>
  <c r="G88" i="44"/>
  <c r="H90" i="44"/>
  <c r="G90" i="44"/>
  <c r="H92" i="44"/>
  <c r="G92" i="44"/>
  <c r="H94" i="44"/>
  <c r="G94" i="44"/>
  <c r="H95" i="44"/>
  <c r="G95" i="44"/>
  <c r="H97" i="44"/>
  <c r="G97" i="44"/>
  <c r="H99" i="44"/>
  <c r="G99" i="44"/>
  <c r="H101" i="44"/>
  <c r="G101" i="44"/>
  <c r="G103" i="44"/>
  <c r="G107" i="44"/>
  <c r="G109" i="44"/>
  <c r="G113" i="44"/>
  <c r="G117" i="44"/>
  <c r="G121" i="44"/>
  <c r="G125" i="44"/>
  <c r="G129" i="44"/>
  <c r="G133" i="44"/>
  <c r="G137" i="44"/>
  <c r="G141" i="44"/>
  <c r="G145" i="44"/>
  <c r="G147" i="44"/>
  <c r="G151" i="44"/>
  <c r="G155" i="44"/>
  <c r="G159" i="44"/>
  <c r="D151" i="46" l="1"/>
  <c r="D379" i="64" s="1"/>
  <c r="D507" i="69" s="1"/>
  <c r="C91" i="49"/>
  <c r="C96" i="49"/>
  <c r="C97" i="49" s="1"/>
  <c r="D105" i="49" s="1"/>
  <c r="D675" i="64" s="1"/>
  <c r="D843" i="69" s="1"/>
  <c r="F843" i="69" s="1"/>
  <c r="C151" i="36"/>
  <c r="C215" i="36"/>
  <c r="C22" i="45"/>
  <c r="C79" i="45"/>
  <c r="C72" i="46"/>
  <c r="C20" i="46"/>
  <c r="C18" i="37"/>
  <c r="C87" i="36"/>
  <c r="C280" i="36"/>
  <c r="C19" i="28"/>
  <c r="C22" i="36"/>
  <c r="C344" i="36"/>
  <c r="C84" i="28"/>
  <c r="C99" i="26"/>
  <c r="C37" i="49"/>
  <c r="C18" i="26"/>
  <c r="C56" i="45"/>
  <c r="C57" i="45" s="1"/>
  <c r="C63" i="45" s="1"/>
  <c r="C55" i="45"/>
  <c r="C61" i="45" s="1"/>
  <c r="C173" i="44"/>
  <c r="D188" i="44" s="1"/>
  <c r="D342" i="64" s="1"/>
  <c r="D454" i="69" s="1"/>
  <c r="B178" i="44"/>
  <c r="B193" i="44" s="1"/>
  <c r="C176" i="44"/>
  <c r="D191" i="44" s="1"/>
  <c r="D345" i="64" s="1"/>
  <c r="D457" i="69" s="1"/>
  <c r="B172" i="44"/>
  <c r="B187" i="44" s="1"/>
  <c r="B173" i="44"/>
  <c r="B188" i="44" s="1"/>
  <c r="C175" i="44"/>
  <c r="D190" i="44" s="1"/>
  <c r="D344" i="64" s="1"/>
  <c r="D456" i="69" s="1"/>
  <c r="C177" i="44"/>
  <c r="D192" i="44" s="1"/>
  <c r="D346" i="64" s="1"/>
  <c r="D458" i="69" s="1"/>
  <c r="C170" i="44"/>
  <c r="D185" i="44" s="1"/>
  <c r="D339" i="64" s="1"/>
  <c r="D451" i="69" s="1"/>
  <c r="C178" i="44"/>
  <c r="D193" i="44" s="1"/>
  <c r="D347" i="64" s="1"/>
  <c r="D459" i="69" s="1"/>
  <c r="B175" i="44"/>
  <c r="B190" i="44" s="1"/>
  <c r="C171" i="44"/>
  <c r="D186" i="44" s="1"/>
  <c r="D340" i="64" s="1"/>
  <c r="D452" i="69" s="1"/>
  <c r="B176" i="44"/>
  <c r="B191" i="44" s="1"/>
  <c r="B170" i="44"/>
  <c r="B185" i="44" s="1"/>
  <c r="C172" i="44"/>
  <c r="D187" i="44" s="1"/>
  <c r="D341" i="64" s="1"/>
  <c r="D453" i="69" s="1"/>
  <c r="B169" i="44"/>
  <c r="B184" i="44" s="1"/>
  <c r="B177" i="44"/>
  <c r="B192" i="44" s="1"/>
  <c r="C169" i="44"/>
  <c r="D184" i="44" s="1"/>
  <c r="D338" i="64" s="1"/>
  <c r="D450" i="69" s="1"/>
  <c r="B174" i="44"/>
  <c r="B189" i="44" s="1"/>
  <c r="C174" i="44"/>
  <c r="D189" i="44" s="1"/>
  <c r="D343" i="64" s="1"/>
  <c r="D455" i="69" s="1"/>
  <c r="B171" i="44"/>
  <c r="B186" i="44" s="1"/>
  <c r="C142" i="46" l="1"/>
  <c r="D153" i="46" s="1"/>
  <c r="D381" i="64" s="1"/>
  <c r="D509" i="69" s="1"/>
  <c r="C144" i="46"/>
  <c r="D154" i="46" s="1"/>
  <c r="D382" i="64" s="1"/>
  <c r="D510" i="69" s="1"/>
  <c r="D88" i="45"/>
  <c r="D358" i="64" s="1"/>
  <c r="D478" i="69" s="1"/>
  <c r="D49" i="66"/>
  <c r="F49" i="66" s="1"/>
  <c r="C39" i="49"/>
  <c r="D46" i="49" s="1"/>
  <c r="D667" i="64" s="1"/>
  <c r="D835" i="69" s="1"/>
  <c r="F835" i="69" s="1"/>
  <c r="C23" i="45"/>
  <c r="D82" i="45" s="1"/>
  <c r="C186" i="44"/>
  <c r="C340" i="64" s="1"/>
  <c r="C452" i="69" s="1"/>
  <c r="B340" i="64"/>
  <c r="B452" i="69" s="1"/>
  <c r="C191" i="44"/>
  <c r="C345" i="64" s="1"/>
  <c r="C457" i="69" s="1"/>
  <c r="B345" i="64"/>
  <c r="B457" i="69" s="1"/>
  <c r="C184" i="44"/>
  <c r="C338" i="64" s="1"/>
  <c r="C450" i="69" s="1"/>
  <c r="B338" i="64"/>
  <c r="B450" i="69" s="1"/>
  <c r="C189" i="44"/>
  <c r="C343" i="64" s="1"/>
  <c r="C455" i="69" s="1"/>
  <c r="B343" i="64"/>
  <c r="B455" i="69" s="1"/>
  <c r="C190" i="44"/>
  <c r="C344" i="64" s="1"/>
  <c r="C456" i="69" s="1"/>
  <c r="B344" i="64"/>
  <c r="B456" i="69" s="1"/>
  <c r="C193" i="44"/>
  <c r="C347" i="64" s="1"/>
  <c r="C459" i="69" s="1"/>
  <c r="B347" i="64"/>
  <c r="B459" i="69" s="1"/>
  <c r="C192" i="44"/>
  <c r="C346" i="64" s="1"/>
  <c r="C458" i="69" s="1"/>
  <c r="B346" i="64"/>
  <c r="B458" i="69" s="1"/>
  <c r="C187" i="44"/>
  <c r="C341" i="64" s="1"/>
  <c r="C453" i="69" s="1"/>
  <c r="B341" i="64"/>
  <c r="B453" i="69" s="1"/>
  <c r="C185" i="44"/>
  <c r="C339" i="64" s="1"/>
  <c r="C451" i="69" s="1"/>
  <c r="B339" i="64"/>
  <c r="B451" i="69" s="1"/>
  <c r="C188" i="44"/>
  <c r="C342" i="64" s="1"/>
  <c r="C454" i="69" s="1"/>
  <c r="B342" i="64"/>
  <c r="B454" i="69" s="1"/>
  <c r="C62" i="45"/>
  <c r="C67" i="45"/>
  <c r="C65" i="45"/>
  <c r="C66" i="45"/>
  <c r="D87" i="45" l="1"/>
  <c r="D357" i="64" s="1"/>
  <c r="D477" i="69" s="1"/>
  <c r="F477" i="69" s="1"/>
  <c r="D352" i="64"/>
  <c r="D472" i="69" s="1"/>
  <c r="C74" i="45"/>
  <c r="C72" i="45"/>
  <c r="C70" i="45"/>
  <c r="A10" i="38"/>
  <c r="F191" i="38"/>
  <c r="H191" i="38" s="1"/>
  <c r="F190" i="38"/>
  <c r="H190" i="38" s="1"/>
  <c r="F189" i="38"/>
  <c r="H189" i="38" s="1"/>
  <c r="F188" i="38"/>
  <c r="H188" i="38" s="1"/>
  <c r="F187" i="38"/>
  <c r="H187" i="38" s="1"/>
  <c r="F186" i="38"/>
  <c r="H186" i="38" s="1"/>
  <c r="F185" i="38"/>
  <c r="H185" i="38" s="1"/>
  <c r="F184" i="38"/>
  <c r="H184" i="38" s="1"/>
  <c r="F183" i="38"/>
  <c r="H183" i="38" s="1"/>
  <c r="F182" i="38"/>
  <c r="H182" i="38" s="1"/>
  <c r="F181" i="38"/>
  <c r="H181" i="38" s="1"/>
  <c r="F180" i="38"/>
  <c r="H180" i="38" s="1"/>
  <c r="F179" i="38"/>
  <c r="H179" i="38" s="1"/>
  <c r="F178" i="38"/>
  <c r="H178" i="38" s="1"/>
  <c r="F177" i="38"/>
  <c r="H177" i="38" s="1"/>
  <c r="F176" i="38"/>
  <c r="H176" i="38" s="1"/>
  <c r="F175" i="38"/>
  <c r="H175" i="38" s="1"/>
  <c r="F174" i="38"/>
  <c r="H174" i="38" s="1"/>
  <c r="F173" i="38"/>
  <c r="H173" i="38" s="1"/>
  <c r="F172" i="38"/>
  <c r="H172" i="38" s="1"/>
  <c r="F171" i="38"/>
  <c r="H171" i="38" s="1"/>
  <c r="F170" i="38"/>
  <c r="H170" i="38" s="1"/>
  <c r="F169" i="38"/>
  <c r="H169" i="38" s="1"/>
  <c r="F168" i="38"/>
  <c r="H168" i="38" s="1"/>
  <c r="F167" i="38"/>
  <c r="H167" i="38" s="1"/>
  <c r="F166" i="38"/>
  <c r="H166" i="38" s="1"/>
  <c r="F165" i="38"/>
  <c r="H165" i="38" s="1"/>
  <c r="F164" i="38"/>
  <c r="H164" i="38" s="1"/>
  <c r="F163" i="38"/>
  <c r="H163" i="38" s="1"/>
  <c r="F162" i="38"/>
  <c r="H162" i="38" s="1"/>
  <c r="F161" i="38"/>
  <c r="H161" i="38" s="1"/>
  <c r="F160" i="38"/>
  <c r="H160" i="38" s="1"/>
  <c r="F159" i="38"/>
  <c r="H159" i="38" s="1"/>
  <c r="F158" i="38"/>
  <c r="H158" i="38" s="1"/>
  <c r="F157" i="38"/>
  <c r="H157" i="38" s="1"/>
  <c r="F156" i="38"/>
  <c r="H156" i="38" s="1"/>
  <c r="F155" i="38"/>
  <c r="H155" i="38" s="1"/>
  <c r="F154" i="38"/>
  <c r="H154" i="38" s="1"/>
  <c r="F153" i="38"/>
  <c r="H153" i="38" s="1"/>
  <c r="F152" i="38"/>
  <c r="H152" i="38" s="1"/>
  <c r="F151" i="38"/>
  <c r="H151" i="38" s="1"/>
  <c r="F150" i="38"/>
  <c r="H150" i="38" s="1"/>
  <c r="F149" i="38"/>
  <c r="H149" i="38" s="1"/>
  <c r="F148" i="38"/>
  <c r="H148" i="38" s="1"/>
  <c r="F147" i="38"/>
  <c r="H147" i="38" s="1"/>
  <c r="F146" i="38"/>
  <c r="H146" i="38" s="1"/>
  <c r="F145" i="38"/>
  <c r="H145" i="38" s="1"/>
  <c r="F144" i="38"/>
  <c r="H144" i="38" s="1"/>
  <c r="F143" i="38"/>
  <c r="H143" i="38" s="1"/>
  <c r="F142" i="38"/>
  <c r="H142" i="38" s="1"/>
  <c r="F141" i="38"/>
  <c r="H141" i="38" s="1"/>
  <c r="F140" i="38"/>
  <c r="H140" i="38" s="1"/>
  <c r="F139" i="38"/>
  <c r="H139" i="38" s="1"/>
  <c r="F138" i="38"/>
  <c r="H138" i="38" s="1"/>
  <c r="F137" i="38"/>
  <c r="H137" i="38" s="1"/>
  <c r="F136" i="38"/>
  <c r="H136" i="38" s="1"/>
  <c r="F135" i="38"/>
  <c r="H135" i="38" s="1"/>
  <c r="F134" i="38"/>
  <c r="H134" i="38" s="1"/>
  <c r="F133" i="38"/>
  <c r="H133" i="38" s="1"/>
  <c r="F132" i="38"/>
  <c r="H132" i="38" s="1"/>
  <c r="F131" i="38"/>
  <c r="H131" i="38" s="1"/>
  <c r="F130" i="38"/>
  <c r="H130" i="38" s="1"/>
  <c r="F129" i="38"/>
  <c r="H129" i="38" s="1"/>
  <c r="F128" i="38"/>
  <c r="H128" i="38" s="1"/>
  <c r="F127" i="38"/>
  <c r="H127" i="38" s="1"/>
  <c r="F126" i="38"/>
  <c r="H126" i="38" s="1"/>
  <c r="F125" i="38"/>
  <c r="H125" i="38" s="1"/>
  <c r="F124" i="38"/>
  <c r="H124" i="38" s="1"/>
  <c r="F123" i="38"/>
  <c r="H123" i="38" s="1"/>
  <c r="F122" i="38"/>
  <c r="H122" i="38" s="1"/>
  <c r="F121" i="38"/>
  <c r="H121" i="38" s="1"/>
  <c r="F120" i="38"/>
  <c r="H120" i="38" s="1"/>
  <c r="F119" i="38"/>
  <c r="H119" i="38" s="1"/>
  <c r="F118" i="38"/>
  <c r="H118" i="38" s="1"/>
  <c r="F117" i="38"/>
  <c r="H117" i="38" s="1"/>
  <c r="F116" i="38"/>
  <c r="H116" i="38" s="1"/>
  <c r="F115" i="38"/>
  <c r="H115" i="38" s="1"/>
  <c r="F114" i="38"/>
  <c r="H114" i="38" s="1"/>
  <c r="F113" i="38"/>
  <c r="H113" i="38" s="1"/>
  <c r="F112" i="38"/>
  <c r="H112" i="38" s="1"/>
  <c r="F111" i="38"/>
  <c r="H111" i="38" s="1"/>
  <c r="F110" i="38"/>
  <c r="H110" i="38" s="1"/>
  <c r="F109" i="38"/>
  <c r="H109" i="38" s="1"/>
  <c r="F108" i="38"/>
  <c r="H108" i="38" s="1"/>
  <c r="F107" i="38"/>
  <c r="H107" i="38" s="1"/>
  <c r="F106" i="38"/>
  <c r="H106" i="38" s="1"/>
  <c r="F105" i="38"/>
  <c r="H105" i="38" s="1"/>
  <c r="F104" i="38"/>
  <c r="H104" i="38" s="1"/>
  <c r="F103" i="38"/>
  <c r="H103" i="38" s="1"/>
  <c r="F102" i="38"/>
  <c r="H102" i="38" s="1"/>
  <c r="F101" i="38"/>
  <c r="H101" i="38" s="1"/>
  <c r="F100" i="38"/>
  <c r="H100" i="38" s="1"/>
  <c r="F99" i="38"/>
  <c r="H99" i="38" s="1"/>
  <c r="F98" i="38"/>
  <c r="H98" i="38" s="1"/>
  <c r="F97" i="38"/>
  <c r="H97" i="38" s="1"/>
  <c r="F96" i="38"/>
  <c r="H96" i="38" s="1"/>
  <c r="F95" i="38"/>
  <c r="H95" i="38" s="1"/>
  <c r="F94" i="38"/>
  <c r="H94" i="38" s="1"/>
  <c r="F93" i="38"/>
  <c r="H93" i="38" s="1"/>
  <c r="F92" i="38"/>
  <c r="H92" i="38" s="1"/>
  <c r="F91" i="38"/>
  <c r="H91" i="38" s="1"/>
  <c r="F90" i="38"/>
  <c r="H90" i="38" s="1"/>
  <c r="F89" i="38"/>
  <c r="H89" i="38" s="1"/>
  <c r="F88" i="38"/>
  <c r="H88" i="38" s="1"/>
  <c r="F87" i="38"/>
  <c r="H87" i="38" s="1"/>
  <c r="F86" i="38"/>
  <c r="H86" i="38" s="1"/>
  <c r="F85" i="38"/>
  <c r="H85" i="38" s="1"/>
  <c r="F84" i="38"/>
  <c r="H84" i="38" s="1"/>
  <c r="F83" i="38"/>
  <c r="H83" i="38" s="1"/>
  <c r="F82" i="38"/>
  <c r="H82" i="38" s="1"/>
  <c r="F81" i="38"/>
  <c r="H81" i="38" s="1"/>
  <c r="F80" i="38"/>
  <c r="H80" i="38" s="1"/>
  <c r="F79" i="38"/>
  <c r="H79" i="38" s="1"/>
  <c r="F78" i="38"/>
  <c r="F77" i="38"/>
  <c r="H77" i="38" s="1"/>
  <c r="F76" i="38"/>
  <c r="H76" i="38" s="1"/>
  <c r="F75" i="38"/>
  <c r="H75" i="38" s="1"/>
  <c r="F74" i="38"/>
  <c r="H74" i="38" s="1"/>
  <c r="F73" i="38"/>
  <c r="H73" i="38" s="1"/>
  <c r="F72" i="38"/>
  <c r="H72" i="38" s="1"/>
  <c r="F71" i="38"/>
  <c r="H71" i="38" s="1"/>
  <c r="F70" i="38"/>
  <c r="H70" i="38" s="1"/>
  <c r="F69" i="38"/>
  <c r="H69" i="38" s="1"/>
  <c r="F68" i="38"/>
  <c r="H68" i="38" s="1"/>
  <c r="F67" i="38"/>
  <c r="H67" i="38" s="1"/>
  <c r="F66" i="38"/>
  <c r="H66" i="38" s="1"/>
  <c r="F65" i="38"/>
  <c r="H65" i="38" s="1"/>
  <c r="F64" i="38"/>
  <c r="H64" i="38" s="1"/>
  <c r="F63" i="38"/>
  <c r="H63" i="38" s="1"/>
  <c r="F62" i="38"/>
  <c r="H62" i="38" s="1"/>
  <c r="F61" i="38"/>
  <c r="H61" i="38" s="1"/>
  <c r="F60" i="38"/>
  <c r="H60" i="38" s="1"/>
  <c r="F59" i="38"/>
  <c r="H59" i="38" s="1"/>
  <c r="F58" i="38"/>
  <c r="H58" i="38" s="1"/>
  <c r="F57" i="38"/>
  <c r="H57" i="38" s="1"/>
  <c r="F56" i="38"/>
  <c r="H56" i="38" s="1"/>
  <c r="F55" i="38"/>
  <c r="H55" i="38" s="1"/>
  <c r="F54" i="38"/>
  <c r="H54" i="38" s="1"/>
  <c r="F53" i="38"/>
  <c r="H53" i="38" s="1"/>
  <c r="F52" i="38"/>
  <c r="H52" i="38" s="1"/>
  <c r="F51" i="38"/>
  <c r="H51" i="38" s="1"/>
  <c r="F50" i="38"/>
  <c r="H50" i="38" s="1"/>
  <c r="F49" i="38"/>
  <c r="H49" i="38" s="1"/>
  <c r="F48" i="38"/>
  <c r="H48" i="38" s="1"/>
  <c r="F47" i="38"/>
  <c r="H47" i="38" s="1"/>
  <c r="F46" i="38"/>
  <c r="H46" i="38" s="1"/>
  <c r="F45" i="38"/>
  <c r="H45" i="38" s="1"/>
  <c r="F44" i="38"/>
  <c r="H44" i="38" s="1"/>
  <c r="F43" i="38"/>
  <c r="H43" i="38" s="1"/>
  <c r="F42" i="38"/>
  <c r="H42" i="38" s="1"/>
  <c r="F41" i="38"/>
  <c r="H41" i="38" s="1"/>
  <c r="F40" i="38"/>
  <c r="H40" i="38" s="1"/>
  <c r="F39" i="38"/>
  <c r="H39" i="38" s="1"/>
  <c r="F38" i="38"/>
  <c r="H38" i="38" s="1"/>
  <c r="F37" i="38"/>
  <c r="H37" i="38" s="1"/>
  <c r="F36" i="38"/>
  <c r="H36" i="38" s="1"/>
  <c r="F35" i="38"/>
  <c r="H35" i="38" s="1"/>
  <c r="F34" i="38"/>
  <c r="H34" i="38" s="1"/>
  <c r="F33" i="38"/>
  <c r="H33" i="38" s="1"/>
  <c r="F32" i="38"/>
  <c r="H32" i="38" s="1"/>
  <c r="F31" i="38"/>
  <c r="H31" i="38" s="1"/>
  <c r="F30" i="38"/>
  <c r="H30" i="38" s="1"/>
  <c r="F29" i="38"/>
  <c r="H29" i="38" s="1"/>
  <c r="F28" i="38"/>
  <c r="H28" i="38" s="1"/>
  <c r="F27" i="38"/>
  <c r="H27" i="38" s="1"/>
  <c r="F26" i="38"/>
  <c r="H26" i="38" s="1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C44" i="37"/>
  <c r="C45" i="37" s="1"/>
  <c r="D55" i="37" s="1"/>
  <c r="D312" i="64" s="1"/>
  <c r="D408" i="69" s="1"/>
  <c r="C16" i="37"/>
  <c r="D86" i="45" l="1"/>
  <c r="D356" i="64" s="1"/>
  <c r="D476" i="69" s="1"/>
  <c r="F476" i="69" s="1"/>
  <c r="D84" i="45"/>
  <c r="D354" i="64" s="1"/>
  <c r="D474" i="69" s="1"/>
  <c r="F474" i="69" s="1"/>
  <c r="D85" i="45"/>
  <c r="D355" i="64" s="1"/>
  <c r="D475" i="69" s="1"/>
  <c r="F475" i="69" s="1"/>
  <c r="M42" i="38"/>
  <c r="K42" i="38"/>
  <c r="M55" i="38"/>
  <c r="K55" i="38"/>
  <c r="K57" i="38"/>
  <c r="M57" i="38"/>
  <c r="G68" i="38"/>
  <c r="M68" i="38"/>
  <c r="K68" i="38"/>
  <c r="M77" i="38"/>
  <c r="K77" i="38"/>
  <c r="M87" i="38"/>
  <c r="K87" i="38"/>
  <c r="M99" i="38"/>
  <c r="K99" i="38"/>
  <c r="M26" i="38"/>
  <c r="K26" i="38"/>
  <c r="K30" i="38"/>
  <c r="M30" i="38"/>
  <c r="M32" i="38"/>
  <c r="K32" i="38"/>
  <c r="K43" i="38"/>
  <c r="M43" i="38"/>
  <c r="K63" i="38"/>
  <c r="M63" i="38"/>
  <c r="M66" i="38"/>
  <c r="K66" i="38"/>
  <c r="M74" i="38"/>
  <c r="K74" i="38"/>
  <c r="M27" i="38"/>
  <c r="K27" i="38"/>
  <c r="M31" i="38"/>
  <c r="K31" i="38"/>
  <c r="M33" i="38"/>
  <c r="K33" i="38"/>
  <c r="K41" i="38"/>
  <c r="M41" i="38"/>
  <c r="M44" i="38"/>
  <c r="K44" i="38"/>
  <c r="M47" i="38"/>
  <c r="K47" i="38"/>
  <c r="K50" i="38"/>
  <c r="M50" i="38"/>
  <c r="K54" i="38"/>
  <c r="M54" i="38"/>
  <c r="M56" i="38"/>
  <c r="K56" i="38"/>
  <c r="M60" i="38"/>
  <c r="K60" i="38"/>
  <c r="G64" i="38"/>
  <c r="M64" i="38"/>
  <c r="K64" i="38"/>
  <c r="K67" i="38"/>
  <c r="M67" i="38"/>
  <c r="M71" i="38"/>
  <c r="K71" i="38"/>
  <c r="K75" i="38"/>
  <c r="M75" i="38"/>
  <c r="M80" i="38"/>
  <c r="K80" i="38"/>
  <c r="M82" i="38"/>
  <c r="K82" i="38"/>
  <c r="M86" i="38"/>
  <c r="K86" i="38"/>
  <c r="M90" i="38"/>
  <c r="K90" i="38"/>
  <c r="K94" i="38"/>
  <c r="M94" i="38"/>
  <c r="K98" i="38"/>
  <c r="M98" i="38"/>
  <c r="K102" i="38"/>
  <c r="M102" i="38"/>
  <c r="K105" i="38"/>
  <c r="M105" i="38"/>
  <c r="K109" i="38"/>
  <c r="M109" i="38"/>
  <c r="M113" i="38"/>
  <c r="K113" i="38"/>
  <c r="M115" i="38"/>
  <c r="K115" i="38"/>
  <c r="K120" i="38"/>
  <c r="M120" i="38"/>
  <c r="M124" i="38"/>
  <c r="K124" i="38"/>
  <c r="K127" i="38"/>
  <c r="M127" i="38"/>
  <c r="M131" i="38"/>
  <c r="K131" i="38"/>
  <c r="K136" i="38"/>
  <c r="M136" i="38"/>
  <c r="K140" i="38"/>
  <c r="M140" i="38"/>
  <c r="K143" i="38"/>
  <c r="M143" i="38"/>
  <c r="K148" i="38"/>
  <c r="M148" i="38"/>
  <c r="M151" i="38"/>
  <c r="K151" i="38"/>
  <c r="K156" i="38"/>
  <c r="M156" i="38"/>
  <c r="M161" i="38"/>
  <c r="K161" i="38"/>
  <c r="K165" i="38"/>
  <c r="M165" i="38"/>
  <c r="M168" i="38"/>
  <c r="K168" i="38"/>
  <c r="M175" i="38"/>
  <c r="K175" i="38"/>
  <c r="K180" i="38"/>
  <c r="M180" i="38"/>
  <c r="G186" i="38"/>
  <c r="M186" i="38"/>
  <c r="K186" i="38"/>
  <c r="K188" i="38"/>
  <c r="M188" i="38"/>
  <c r="M48" i="38"/>
  <c r="K48" i="38"/>
  <c r="M76" i="38"/>
  <c r="K76" i="38"/>
  <c r="G83" i="38"/>
  <c r="M83" i="38"/>
  <c r="K83" i="38"/>
  <c r="K106" i="38"/>
  <c r="M106" i="38"/>
  <c r="K116" i="38"/>
  <c r="M116" i="38"/>
  <c r="M125" i="38"/>
  <c r="K125" i="38"/>
  <c r="K141" i="38"/>
  <c r="M141" i="38"/>
  <c r="K145" i="38"/>
  <c r="M145" i="38"/>
  <c r="K157" i="38"/>
  <c r="M157" i="38"/>
  <c r="M162" i="38"/>
  <c r="K162" i="38"/>
  <c r="M166" i="38"/>
  <c r="K166" i="38"/>
  <c r="M169" i="38"/>
  <c r="K169" i="38"/>
  <c r="M172" i="38"/>
  <c r="K172" i="38"/>
  <c r="M176" i="38"/>
  <c r="K176" i="38"/>
  <c r="M177" i="38"/>
  <c r="K177" i="38"/>
  <c r="K181" i="38"/>
  <c r="M181" i="38"/>
  <c r="K184" i="38"/>
  <c r="M184" i="38"/>
  <c r="K37" i="38"/>
  <c r="M37" i="38"/>
  <c r="M51" i="38"/>
  <c r="K51" i="38"/>
  <c r="K61" i="38"/>
  <c r="M61" i="38"/>
  <c r="M95" i="38"/>
  <c r="K95" i="38"/>
  <c r="K110" i="38"/>
  <c r="M110" i="38"/>
  <c r="M114" i="38"/>
  <c r="K114" i="38"/>
  <c r="M121" i="38"/>
  <c r="K121" i="38"/>
  <c r="K128" i="38"/>
  <c r="M128" i="38"/>
  <c r="G132" i="38"/>
  <c r="M132" i="38"/>
  <c r="K132" i="38"/>
  <c r="K137" i="38"/>
  <c r="M137" i="38"/>
  <c r="K144" i="38"/>
  <c r="M144" i="38"/>
  <c r="G152" i="38"/>
  <c r="M152" i="38"/>
  <c r="K152" i="38"/>
  <c r="M159" i="38"/>
  <c r="K159" i="38"/>
  <c r="K191" i="38"/>
  <c r="M191" i="38"/>
  <c r="M29" i="38"/>
  <c r="K29" i="38"/>
  <c r="K35" i="38"/>
  <c r="M35" i="38"/>
  <c r="M38" i="38"/>
  <c r="K38" i="38"/>
  <c r="K39" i="38"/>
  <c r="M39" i="38"/>
  <c r="M46" i="38"/>
  <c r="K46" i="38"/>
  <c r="M49" i="38"/>
  <c r="K49" i="38"/>
  <c r="K52" i="38"/>
  <c r="M52" i="38"/>
  <c r="M58" i="38"/>
  <c r="K58" i="38"/>
  <c r="M62" i="38"/>
  <c r="K62" i="38"/>
  <c r="K69" i="38"/>
  <c r="M69" i="38"/>
  <c r="K73" i="38"/>
  <c r="M73" i="38"/>
  <c r="M78" i="38"/>
  <c r="K78" i="38"/>
  <c r="M81" i="38"/>
  <c r="K81" i="38"/>
  <c r="M84" i="38"/>
  <c r="K84" i="38"/>
  <c r="M88" i="38"/>
  <c r="K88" i="38"/>
  <c r="K92" i="38"/>
  <c r="M92" i="38"/>
  <c r="K96" i="38"/>
  <c r="M96" i="38"/>
  <c r="K100" i="38"/>
  <c r="M100" i="38"/>
  <c r="G107" i="38"/>
  <c r="M107" i="38"/>
  <c r="K107" i="38"/>
  <c r="M111" i="38"/>
  <c r="K111" i="38"/>
  <c r="K117" i="38"/>
  <c r="M117" i="38"/>
  <c r="K122" i="38"/>
  <c r="M122" i="38"/>
  <c r="G129" i="38"/>
  <c r="M129" i="38"/>
  <c r="K129" i="38"/>
  <c r="K133" i="38"/>
  <c r="M133" i="38"/>
  <c r="M138" i="38"/>
  <c r="K138" i="38"/>
  <c r="K146" i="38"/>
  <c r="M146" i="38"/>
  <c r="M149" i="38"/>
  <c r="K149" i="38"/>
  <c r="K153" i="38"/>
  <c r="M153" i="38"/>
  <c r="M160" i="38"/>
  <c r="K160" i="38"/>
  <c r="M163" i="38"/>
  <c r="K163" i="38"/>
  <c r="M170" i="38"/>
  <c r="K170" i="38"/>
  <c r="M173" i="38"/>
  <c r="K173" i="38"/>
  <c r="M178" i="38"/>
  <c r="K178" i="38"/>
  <c r="K182" i="38"/>
  <c r="M182" i="38"/>
  <c r="M187" i="38"/>
  <c r="K187" i="38"/>
  <c r="M189" i="38"/>
  <c r="K189" i="38"/>
  <c r="K28" i="38"/>
  <c r="M28" i="38"/>
  <c r="M34" i="38"/>
  <c r="K34" i="38"/>
  <c r="K45" i="38"/>
  <c r="M45" i="38"/>
  <c r="K65" i="38"/>
  <c r="M65" i="38"/>
  <c r="M72" i="38"/>
  <c r="K72" i="38"/>
  <c r="G91" i="38"/>
  <c r="M91" i="38"/>
  <c r="K91" i="38"/>
  <c r="M103" i="38"/>
  <c r="K103" i="38"/>
  <c r="M36" i="38"/>
  <c r="K36" i="38"/>
  <c r="M40" i="38"/>
  <c r="K40" i="38"/>
  <c r="G53" i="38"/>
  <c r="M53" i="38"/>
  <c r="K53" i="38"/>
  <c r="K59" i="38"/>
  <c r="M59" i="38"/>
  <c r="M70" i="38"/>
  <c r="K70" i="38"/>
  <c r="M79" i="38"/>
  <c r="K79" i="38"/>
  <c r="M85" i="38"/>
  <c r="K85" i="38"/>
  <c r="M89" i="38"/>
  <c r="K89" i="38"/>
  <c r="K93" i="38"/>
  <c r="M93" i="38"/>
  <c r="M97" i="38"/>
  <c r="K97" i="38"/>
  <c r="K101" i="38"/>
  <c r="M101" i="38"/>
  <c r="K104" i="38"/>
  <c r="M104" i="38"/>
  <c r="M108" i="38"/>
  <c r="K108" i="38"/>
  <c r="K112" i="38"/>
  <c r="M112" i="38"/>
  <c r="K118" i="38"/>
  <c r="M118" i="38"/>
  <c r="K119" i="38"/>
  <c r="M119" i="38"/>
  <c r="K123" i="38"/>
  <c r="M123" i="38"/>
  <c r="K126" i="38"/>
  <c r="M126" i="38"/>
  <c r="K130" i="38"/>
  <c r="M130" i="38"/>
  <c r="K134" i="38"/>
  <c r="M134" i="38"/>
  <c r="K135" i="38"/>
  <c r="M135" i="38"/>
  <c r="K139" i="38"/>
  <c r="M139" i="38"/>
  <c r="M142" i="38"/>
  <c r="K142" i="38"/>
  <c r="G147" i="38"/>
  <c r="M147" i="38"/>
  <c r="K147" i="38"/>
  <c r="K150" i="38"/>
  <c r="M150" i="38"/>
  <c r="K154" i="38"/>
  <c r="M154" i="38"/>
  <c r="G155" i="38"/>
  <c r="M155" i="38"/>
  <c r="K155" i="38"/>
  <c r="K158" i="38"/>
  <c r="M158" i="38"/>
  <c r="M164" i="38"/>
  <c r="K164" i="38"/>
  <c r="K167" i="38"/>
  <c r="M167" i="38"/>
  <c r="M171" i="38"/>
  <c r="K171" i="38"/>
  <c r="K174" i="38"/>
  <c r="M174" i="38"/>
  <c r="G179" i="38"/>
  <c r="K179" i="38"/>
  <c r="M179" i="38"/>
  <c r="K183" i="38"/>
  <c r="M183" i="38"/>
  <c r="K185" i="38"/>
  <c r="M185" i="38"/>
  <c r="M190" i="38"/>
  <c r="K190" i="38"/>
  <c r="G98" i="38"/>
  <c r="G182" i="38"/>
  <c r="G41" i="38"/>
  <c r="G114" i="38"/>
  <c r="G124" i="38"/>
  <c r="G52" i="38"/>
  <c r="G169" i="38"/>
  <c r="G35" i="38"/>
  <c r="G59" i="38"/>
  <c r="G79" i="38"/>
  <c r="G45" i="38"/>
  <c r="G47" i="38"/>
  <c r="G86" i="38"/>
  <c r="G161" i="38"/>
  <c r="G178" i="38"/>
  <c r="G58" i="38"/>
  <c r="G67" i="38"/>
  <c r="G106" i="38"/>
  <c r="G137" i="38"/>
  <c r="G141" i="38"/>
  <c r="G165" i="38"/>
  <c r="G173" i="38"/>
  <c r="G190" i="38"/>
  <c r="G29" i="38"/>
  <c r="G46" i="38"/>
  <c r="G56" i="38"/>
  <c r="G95" i="38"/>
  <c r="G111" i="38"/>
  <c r="G121" i="38"/>
  <c r="G142" i="38"/>
  <c r="G162" i="38"/>
  <c r="G170" i="38"/>
  <c r="G32" i="38"/>
  <c r="G60" i="38"/>
  <c r="G72" i="38"/>
  <c r="G87" i="38"/>
  <c r="G99" i="38"/>
  <c r="G115" i="38"/>
  <c r="G138" i="38"/>
  <c r="G174" i="38"/>
  <c r="A11" i="38"/>
  <c r="A12" i="38" s="1"/>
  <c r="G36" i="38"/>
  <c r="G42" i="38"/>
  <c r="G49" i="38"/>
  <c r="G76" i="38"/>
  <c r="G80" i="38"/>
  <c r="G103" i="38"/>
  <c r="G125" i="38"/>
  <c r="G131" i="38"/>
  <c r="G148" i="38"/>
  <c r="G158" i="38"/>
  <c r="G166" i="38"/>
  <c r="G183" i="38"/>
  <c r="G187" i="38"/>
  <c r="G191" i="38"/>
  <c r="G51" i="38"/>
  <c r="G89" i="38"/>
  <c r="C195" i="38"/>
  <c r="D212" i="38" s="1"/>
  <c r="D319" i="64" s="1"/>
  <c r="D423" i="69" s="1"/>
  <c r="F423" i="69" s="1"/>
  <c r="G176" i="38"/>
  <c r="G136" i="38"/>
  <c r="G177" i="38"/>
  <c r="G181" i="38"/>
  <c r="G185" i="38"/>
  <c r="G189" i="38"/>
  <c r="C193" i="38"/>
  <c r="D213" i="38" s="1"/>
  <c r="D320" i="64" s="1"/>
  <c r="D424" i="69" s="1"/>
  <c r="F424" i="69" s="1"/>
  <c r="G28" i="38"/>
  <c r="G44" i="38"/>
  <c r="G55" i="38"/>
  <c r="G62" i="38"/>
  <c r="G75" i="38"/>
  <c r="G82" i="38"/>
  <c r="G94" i="38"/>
  <c r="G102" i="38"/>
  <c r="G110" i="38"/>
  <c r="G117" i="38"/>
  <c r="G120" i="38"/>
  <c r="G128" i="38"/>
  <c r="G134" i="38"/>
  <c r="G140" i="38"/>
  <c r="G151" i="38"/>
  <c r="G168" i="38"/>
  <c r="G172" i="38"/>
  <c r="C194" i="38"/>
  <c r="D211" i="38" s="1"/>
  <c r="D318" i="64" s="1"/>
  <c r="D422" i="69" s="1"/>
  <c r="F422" i="69" s="1"/>
  <c r="G40" i="38"/>
  <c r="G48" i="38"/>
  <c r="G63" i="38"/>
  <c r="G71" i="38"/>
  <c r="G85" i="38"/>
  <c r="G90" i="38"/>
  <c r="G105" i="38"/>
  <c r="G118" i="38"/>
  <c r="G130" i="38"/>
  <c r="G160" i="38"/>
  <c r="G74" i="38"/>
  <c r="G78" i="38"/>
  <c r="G97" i="38"/>
  <c r="G30" i="38"/>
  <c r="G37" i="38"/>
  <c r="G116" i="38"/>
  <c r="G159" i="38"/>
  <c r="G73" i="38"/>
  <c r="G171" i="38"/>
  <c r="G175" i="38"/>
  <c r="G33" i="38"/>
  <c r="G84" i="38"/>
  <c r="G69" i="38"/>
  <c r="G96" i="38"/>
  <c r="G112" i="38"/>
  <c r="G108" i="38"/>
  <c r="G143" i="38"/>
  <c r="G39" i="38"/>
  <c r="G43" i="38"/>
  <c r="G66" i="38"/>
  <c r="G70" i="38"/>
  <c r="H78" i="38"/>
  <c r="G92" i="38"/>
  <c r="G144" i="38"/>
  <c r="G27" i="38"/>
  <c r="G31" i="38"/>
  <c r="G34" i="38"/>
  <c r="G38" i="38"/>
  <c r="G50" i="38"/>
  <c r="G54" i="38"/>
  <c r="G57" i="38"/>
  <c r="G61" i="38"/>
  <c r="G65" i="38"/>
  <c r="G77" i="38"/>
  <c r="G81" i="38"/>
  <c r="G88" i="38"/>
  <c r="G93" i="38"/>
  <c r="G101" i="38"/>
  <c r="G122" i="38"/>
  <c r="G126" i="38"/>
  <c r="G145" i="38"/>
  <c r="G149" i="38"/>
  <c r="G153" i="38"/>
  <c r="G156" i="38"/>
  <c r="G163" i="38"/>
  <c r="G167" i="38"/>
  <c r="G100" i="38"/>
  <c r="G104" i="38"/>
  <c r="G109" i="38"/>
  <c r="G113" i="38"/>
  <c r="G119" i="38"/>
  <c r="G123" i="38"/>
  <c r="G127" i="38"/>
  <c r="G133" i="38"/>
  <c r="G135" i="38"/>
  <c r="G139" i="38"/>
  <c r="G146" i="38"/>
  <c r="G150" i="38"/>
  <c r="G154" i="38"/>
  <c r="G157" i="38"/>
  <c r="G164" i="38"/>
  <c r="G180" i="38"/>
  <c r="G184" i="38"/>
  <c r="G188" i="38"/>
  <c r="G26" i="38"/>
  <c r="C150" i="36" l="1"/>
  <c r="C152" i="36" s="1"/>
  <c r="C153" i="36" s="1"/>
  <c r="C214" i="36"/>
  <c r="C216" i="36" s="1"/>
  <c r="C217" i="36" s="1"/>
  <c r="C98" i="26"/>
  <c r="C18" i="28"/>
  <c r="C83" i="28"/>
  <c r="C86" i="36"/>
  <c r="C21" i="36"/>
  <c r="C17" i="37"/>
  <c r="C19" i="46"/>
  <c r="C21" i="46" s="1"/>
  <c r="C22" i="46" s="1"/>
  <c r="C71" i="46"/>
  <c r="C73" i="46" s="1"/>
  <c r="C74" i="46" s="1"/>
  <c r="C343" i="36"/>
  <c r="C279" i="36"/>
  <c r="C17" i="26"/>
  <c r="A13" i="38"/>
  <c r="D254" i="36" l="1"/>
  <c r="D253" i="36"/>
  <c r="C99" i="46"/>
  <c r="D107" i="46" s="1"/>
  <c r="D376" i="64" s="1"/>
  <c r="D504" i="69" s="1"/>
  <c r="F504" i="69" s="1"/>
  <c r="C97" i="46"/>
  <c r="D106" i="46" s="1"/>
  <c r="D375" i="64" s="1"/>
  <c r="D503" i="69" s="1"/>
  <c r="F503" i="69" s="1"/>
  <c r="C47" i="46"/>
  <c r="D55" i="46" s="1"/>
  <c r="D368" i="64" s="1"/>
  <c r="D496" i="69" s="1"/>
  <c r="F496" i="69" s="1"/>
  <c r="C45" i="46"/>
  <c r="D54" i="46" s="1"/>
  <c r="D367" i="64" s="1"/>
  <c r="D495" i="69" s="1"/>
  <c r="F495" i="69" s="1"/>
  <c r="C218" i="36"/>
  <c r="C224" i="36"/>
  <c r="C226" i="36" s="1"/>
  <c r="C160" i="36"/>
  <c r="C162" i="36" s="1"/>
  <c r="C154" i="36"/>
  <c r="D88" i="46"/>
  <c r="D103" i="46" s="1"/>
  <c r="D372" i="64" s="1"/>
  <c r="D500" i="69" s="1"/>
  <c r="D82" i="46"/>
  <c r="E82" i="46" s="1"/>
  <c r="D83" i="46"/>
  <c r="E83" i="46" s="1"/>
  <c r="D102" i="46" s="1"/>
  <c r="D79" i="46"/>
  <c r="E79" i="46" s="1"/>
  <c r="D80" i="46"/>
  <c r="E80" i="46" s="1"/>
  <c r="D81" i="46"/>
  <c r="E81" i="46" s="1"/>
  <c r="D36" i="46"/>
  <c r="D51" i="46" s="1"/>
  <c r="D364" i="64" s="1"/>
  <c r="D492" i="69" s="1"/>
  <c r="D27" i="46"/>
  <c r="E27" i="46" s="1"/>
  <c r="D50" i="46" s="1"/>
  <c r="D31" i="46"/>
  <c r="E31" i="46" s="1"/>
  <c r="D29" i="46"/>
  <c r="E29" i="46" s="1"/>
  <c r="D28" i="46"/>
  <c r="E28" i="46" s="1"/>
  <c r="D30" i="46"/>
  <c r="E30" i="46" s="1"/>
  <c r="A14" i="38"/>
  <c r="E254" i="36" l="1"/>
  <c r="E253" i="36"/>
  <c r="D240" i="36"/>
  <c r="C239" i="36"/>
  <c r="C253" i="36"/>
  <c r="C240" i="36"/>
  <c r="C254" i="36"/>
  <c r="D239" i="36"/>
  <c r="E178" i="36"/>
  <c r="E177" i="36"/>
  <c r="E176" i="36"/>
  <c r="C176" i="36"/>
  <c r="D178" i="36"/>
  <c r="D177" i="36"/>
  <c r="D176" i="36"/>
  <c r="C177" i="36"/>
  <c r="C178" i="36"/>
  <c r="D371" i="64"/>
  <c r="D499" i="69" s="1"/>
  <c r="C95" i="46"/>
  <c r="D105" i="46" s="1"/>
  <c r="D374" i="64" s="1"/>
  <c r="D502" i="69" s="1"/>
  <c r="C93" i="46"/>
  <c r="D104" i="46" s="1"/>
  <c r="D373" i="64" s="1"/>
  <c r="D501" i="69" s="1"/>
  <c r="A17" i="38"/>
  <c r="D363" i="64" l="1"/>
  <c r="D491" i="69" s="1"/>
  <c r="C41" i="46"/>
  <c r="D52" i="46" s="1"/>
  <c r="D365" i="64" s="1"/>
  <c r="D493" i="69" s="1"/>
  <c r="C43" i="46"/>
  <c r="D53" i="46" s="1"/>
  <c r="D366" i="64" s="1"/>
  <c r="D494" i="69" s="1"/>
  <c r="A18" i="38"/>
  <c r="A19" i="38" l="1"/>
  <c r="A20" i="38" l="1"/>
  <c r="A21" i="38" l="1"/>
  <c r="C200" i="38" s="1"/>
  <c r="D215" i="38" s="1"/>
  <c r="D322" i="64" s="1"/>
  <c r="D426" i="69" s="1"/>
  <c r="B200" i="38" l="1"/>
  <c r="B215" i="38" s="1"/>
  <c r="C199" i="38"/>
  <c r="D214" i="38" s="1"/>
  <c r="D321" i="64" s="1"/>
  <c r="D425" i="69" s="1"/>
  <c r="B199" i="38"/>
  <c r="B214" i="38" s="1"/>
  <c r="C208" i="38"/>
  <c r="D223" i="38" s="1"/>
  <c r="D330" i="64" s="1"/>
  <c r="D434" i="69" s="1"/>
  <c r="B201" i="38"/>
  <c r="B216" i="38" s="1"/>
  <c r="C202" i="38"/>
  <c r="D217" i="38" s="1"/>
  <c r="D324" i="64" s="1"/>
  <c r="D428" i="69" s="1"/>
  <c r="B202" i="38"/>
  <c r="B217" i="38" s="1"/>
  <c r="C201" i="38"/>
  <c r="D216" i="38" s="1"/>
  <c r="D323" i="64" s="1"/>
  <c r="D427" i="69" s="1"/>
  <c r="B207" i="38"/>
  <c r="B222" i="38" s="1"/>
  <c r="B203" i="38"/>
  <c r="B218" i="38" s="1"/>
  <c r="B204" i="38"/>
  <c r="B219" i="38" s="1"/>
  <c r="C203" i="38"/>
  <c r="D218" i="38" s="1"/>
  <c r="D325" i="64" s="1"/>
  <c r="D429" i="69" s="1"/>
  <c r="C204" i="38"/>
  <c r="D219" i="38" s="1"/>
  <c r="D326" i="64" s="1"/>
  <c r="D430" i="69" s="1"/>
  <c r="B208" i="38"/>
  <c r="B223" i="38" s="1"/>
  <c r="C206" i="38"/>
  <c r="D221" i="38" s="1"/>
  <c r="D328" i="64" s="1"/>
  <c r="D432" i="69" s="1"/>
  <c r="B205" i="38"/>
  <c r="B220" i="38" s="1"/>
  <c r="B206" i="38"/>
  <c r="B221" i="38" s="1"/>
  <c r="C205" i="38"/>
  <c r="D220" i="38" s="1"/>
  <c r="D327" i="64" s="1"/>
  <c r="D431" i="69" s="1"/>
  <c r="C207" i="38"/>
  <c r="D222" i="38" s="1"/>
  <c r="D329" i="64" s="1"/>
  <c r="D433" i="69" s="1"/>
  <c r="D46" i="66" l="1"/>
  <c r="F46" i="66" s="1"/>
  <c r="C220" i="38"/>
  <c r="C327" i="64" s="1"/>
  <c r="C431" i="69" s="1"/>
  <c r="B327" i="64"/>
  <c r="B431" i="69" s="1"/>
  <c r="C219" i="38"/>
  <c r="C326" i="64" s="1"/>
  <c r="C430" i="69" s="1"/>
  <c r="B326" i="64"/>
  <c r="B430" i="69" s="1"/>
  <c r="C217" i="38"/>
  <c r="C324" i="64" s="1"/>
  <c r="C428" i="69" s="1"/>
  <c r="B324" i="64"/>
  <c r="B428" i="69" s="1"/>
  <c r="C214" i="38"/>
  <c r="C321" i="64" s="1"/>
  <c r="C425" i="69" s="1"/>
  <c r="B321" i="64"/>
  <c r="B425" i="69" s="1"/>
  <c r="C223" i="38"/>
  <c r="C330" i="64" s="1"/>
  <c r="C434" i="69" s="1"/>
  <c r="B330" i="64"/>
  <c r="B434" i="69" s="1"/>
  <c r="C218" i="38"/>
  <c r="C325" i="64" s="1"/>
  <c r="C429" i="69" s="1"/>
  <c r="B325" i="64"/>
  <c r="B429" i="69" s="1"/>
  <c r="C221" i="38"/>
  <c r="C328" i="64" s="1"/>
  <c r="C432" i="69" s="1"/>
  <c r="B328" i="64"/>
  <c r="B432" i="69" s="1"/>
  <c r="C222" i="38"/>
  <c r="C329" i="64" s="1"/>
  <c r="C433" i="69" s="1"/>
  <c r="B329" i="64"/>
  <c r="B433" i="69" s="1"/>
  <c r="C216" i="38"/>
  <c r="C323" i="64" s="1"/>
  <c r="C427" i="69" s="1"/>
  <c r="B323" i="64"/>
  <c r="B427" i="69" s="1"/>
  <c r="C215" i="38"/>
  <c r="C322" i="64" s="1"/>
  <c r="C426" i="69" s="1"/>
  <c r="B322" i="64"/>
  <c r="B426" i="69" s="1"/>
  <c r="C50" i="37"/>
  <c r="C52" i="37" l="1"/>
  <c r="D56" i="37" s="1"/>
  <c r="D313" i="64" s="1"/>
  <c r="D409" i="69" s="1"/>
  <c r="F409" i="69" s="1"/>
  <c r="C19" i="37"/>
  <c r="C20" i="37" l="1"/>
  <c r="C25" i="37" l="1"/>
  <c r="D30" i="37"/>
  <c r="D308" i="64" s="1"/>
  <c r="D404" i="69" s="1"/>
  <c r="C27" i="37" l="1"/>
  <c r="D31" i="37" s="1"/>
  <c r="D309" i="64" s="1"/>
  <c r="D405" i="69" s="1"/>
  <c r="F405" i="69" s="1"/>
  <c r="C405" i="36"/>
  <c r="C406" i="36" s="1"/>
  <c r="D446" i="36"/>
  <c r="D286" i="64" s="1"/>
  <c r="D374" i="69" s="1"/>
  <c r="F374" i="69" s="1"/>
  <c r="C466" i="36"/>
  <c r="C467" i="36" s="1"/>
  <c r="C468" i="36" s="1"/>
  <c r="D505" i="36"/>
  <c r="D292" i="64" s="1"/>
  <c r="D380" i="69" s="1"/>
  <c r="F380" i="69" s="1"/>
  <c r="C526" i="36"/>
  <c r="C527" i="36" s="1"/>
  <c r="C528" i="36" s="1"/>
  <c r="D565" i="36"/>
  <c r="D299" i="64" s="1"/>
  <c r="D387" i="69" s="1"/>
  <c r="F387" i="69" s="1"/>
  <c r="D569" i="36"/>
  <c r="D303" i="64" s="1"/>
  <c r="D391" i="69" s="1"/>
  <c r="F391" i="69" s="1"/>
  <c r="D257" i="36"/>
  <c r="D266" i="64" s="1"/>
  <c r="D354" i="69" s="1"/>
  <c r="F354" i="69" s="1"/>
  <c r="C278" i="36"/>
  <c r="D320" i="36"/>
  <c r="D272" i="64" s="1"/>
  <c r="D360" i="69" s="1"/>
  <c r="F360" i="69" s="1"/>
  <c r="C342" i="36"/>
  <c r="D384" i="36"/>
  <c r="D279" i="64" s="1"/>
  <c r="D367" i="69" s="1"/>
  <c r="F367" i="69" s="1"/>
  <c r="C407" i="36" l="1"/>
  <c r="D443" i="36"/>
  <c r="D442" i="36"/>
  <c r="D551" i="36"/>
  <c r="C551" i="36"/>
  <c r="E551" i="36"/>
  <c r="E550" i="36"/>
  <c r="D550" i="36"/>
  <c r="C550" i="36"/>
  <c r="E492" i="36"/>
  <c r="E491" i="36"/>
  <c r="E490" i="36"/>
  <c r="D492" i="36"/>
  <c r="D491" i="36"/>
  <c r="D490" i="36"/>
  <c r="C492" i="36"/>
  <c r="C491" i="36"/>
  <c r="C490" i="36"/>
  <c r="C345" i="36"/>
  <c r="C346" i="36" s="1"/>
  <c r="C534" i="36"/>
  <c r="C536" i="36" s="1"/>
  <c r="C413" i="36"/>
  <c r="C415" i="36" s="1"/>
  <c r="D441" i="36"/>
  <c r="D449" i="36" s="1"/>
  <c r="D289" i="64" s="1"/>
  <c r="D377" i="69" s="1"/>
  <c r="F377" i="69" s="1"/>
  <c r="C474" i="36"/>
  <c r="C476" i="36" s="1"/>
  <c r="C281" i="36"/>
  <c r="C282" i="36" s="1"/>
  <c r="E443" i="36" l="1"/>
  <c r="E442" i="36"/>
  <c r="D429" i="36"/>
  <c r="C428" i="36"/>
  <c r="D428" i="36"/>
  <c r="C429" i="36"/>
  <c r="C443" i="36"/>
  <c r="C442" i="36"/>
  <c r="C353" i="36"/>
  <c r="C355" i="36" s="1"/>
  <c r="C347" i="36"/>
  <c r="C289" i="36"/>
  <c r="C291" i="36" s="1"/>
  <c r="C283" i="36"/>
  <c r="E549" i="36"/>
  <c r="D252" i="36"/>
  <c r="C489" i="36"/>
  <c r="D489" i="36"/>
  <c r="D508" i="36" s="1"/>
  <c r="D295" i="64" s="1"/>
  <c r="D383" i="69" s="1"/>
  <c r="F383" i="69" s="1"/>
  <c r="C502" i="36"/>
  <c r="D502" i="36" s="1"/>
  <c r="D509" i="36" s="1"/>
  <c r="D296" i="64" s="1"/>
  <c r="D384" i="69" s="1"/>
  <c r="F384" i="69" s="1"/>
  <c r="E502" i="36"/>
  <c r="E489" i="36"/>
  <c r="C427" i="36"/>
  <c r="C441" i="36"/>
  <c r="E441" i="36"/>
  <c r="D427" i="36"/>
  <c r="D368" i="36" l="1"/>
  <c r="D387" i="36" s="1"/>
  <c r="D282" i="64" s="1"/>
  <c r="D370" i="69" s="1"/>
  <c r="F370" i="69" s="1"/>
  <c r="E370" i="36"/>
  <c r="E369" i="36"/>
  <c r="D370" i="36"/>
  <c r="D369" i="36"/>
  <c r="C370" i="36"/>
  <c r="C369" i="36"/>
  <c r="E317" i="36"/>
  <c r="E307" i="36"/>
  <c r="E306" i="36"/>
  <c r="E305" i="36"/>
  <c r="D307" i="36"/>
  <c r="D306" i="36"/>
  <c r="D305" i="36"/>
  <c r="C307" i="36"/>
  <c r="C306" i="36"/>
  <c r="C305" i="36"/>
  <c r="D448" i="36"/>
  <c r="D288" i="64" s="1"/>
  <c r="D376" i="69" s="1"/>
  <c r="F376" i="69" s="1"/>
  <c r="D447" i="36"/>
  <c r="D287" i="64" s="1"/>
  <c r="D375" i="69" s="1"/>
  <c r="F375" i="69" s="1"/>
  <c r="D507" i="36"/>
  <c r="D294" i="64" s="1"/>
  <c r="D382" i="69" s="1"/>
  <c r="F382" i="69" s="1"/>
  <c r="D506" i="36"/>
  <c r="D293" i="64" s="1"/>
  <c r="D381" i="69" s="1"/>
  <c r="F381" i="69" s="1"/>
  <c r="C252" i="36"/>
  <c r="D258" i="36" s="1"/>
  <c r="D267" i="64" s="1"/>
  <c r="D355" i="69" s="1"/>
  <c r="F355" i="69" s="1"/>
  <c r="D238" i="36"/>
  <c r="E562" i="36"/>
  <c r="D567" i="36" s="1"/>
  <c r="D301" i="64" s="1"/>
  <c r="D389" i="69" s="1"/>
  <c r="F389" i="69" s="1"/>
  <c r="E368" i="36"/>
  <c r="C552" i="36"/>
  <c r="C549" i="36"/>
  <c r="D549" i="36"/>
  <c r="D568" i="36" s="1"/>
  <c r="D302" i="64" s="1"/>
  <c r="D390" i="69" s="1"/>
  <c r="F390" i="69" s="1"/>
  <c r="C238" i="36"/>
  <c r="C317" i="36"/>
  <c r="D317" i="36" s="1"/>
  <c r="D324" i="36" s="1"/>
  <c r="D276" i="64" s="1"/>
  <c r="D364" i="69" s="1"/>
  <c r="F364" i="69" s="1"/>
  <c r="E381" i="36"/>
  <c r="C368" i="36"/>
  <c r="C381" i="36"/>
  <c r="D381" i="36" s="1"/>
  <c r="D388" i="36" s="1"/>
  <c r="D283" i="64" s="1"/>
  <c r="D371" i="69" s="1"/>
  <c r="F371" i="69" s="1"/>
  <c r="E304" i="36"/>
  <c r="E371" i="36"/>
  <c r="D371" i="36"/>
  <c r="C371" i="36"/>
  <c r="E252" i="36"/>
  <c r="D259" i="36" s="1"/>
  <c r="D304" i="36"/>
  <c r="D323" i="36" s="1"/>
  <c r="D275" i="64" s="1"/>
  <c r="D363" i="69" s="1"/>
  <c r="F363" i="69" s="1"/>
  <c r="C304" i="36"/>
  <c r="D260" i="36"/>
  <c r="D269" i="64" s="1"/>
  <c r="D357" i="69" s="1"/>
  <c r="F357" i="69" s="1"/>
  <c r="C562" i="36"/>
  <c r="D562" i="36" s="1"/>
  <c r="D552" i="36"/>
  <c r="E552" i="36"/>
  <c r="D322" i="36" l="1"/>
  <c r="D274" i="64" s="1"/>
  <c r="D362" i="69" s="1"/>
  <c r="F362" i="69" s="1"/>
  <c r="D321" i="36"/>
  <c r="D273" i="64" s="1"/>
  <c r="D361" i="69" s="1"/>
  <c r="F361" i="69" s="1"/>
  <c r="D268" i="64"/>
  <c r="D356" i="69" s="1"/>
  <c r="F356" i="69" s="1"/>
  <c r="D566" i="36"/>
  <c r="D300" i="64" s="1"/>
  <c r="D388" i="69" s="1"/>
  <c r="F388" i="69" s="1"/>
  <c r="D386" i="36"/>
  <c r="D281" i="64" s="1"/>
  <c r="D369" i="69" s="1"/>
  <c r="F369" i="69" s="1"/>
  <c r="D385" i="36"/>
  <c r="D280" i="64" s="1"/>
  <c r="D368" i="69" s="1"/>
  <c r="F368" i="69" s="1"/>
  <c r="D195" i="36"/>
  <c r="D263" i="64" s="1"/>
  <c r="D351" i="69" s="1"/>
  <c r="F351" i="69" s="1"/>
  <c r="D127" i="36"/>
  <c r="D252" i="64" s="1"/>
  <c r="D340" i="69" s="1"/>
  <c r="F340" i="69" s="1"/>
  <c r="C85" i="36"/>
  <c r="D149" i="64"/>
  <c r="D197" i="69" s="1"/>
  <c r="F197" i="69" s="1"/>
  <c r="C88" i="36" l="1"/>
  <c r="C89" i="36" s="1"/>
  <c r="C96" i="36" s="1"/>
  <c r="C98" i="36" s="1"/>
  <c r="C90" i="36" l="1"/>
  <c r="D191" i="36"/>
  <c r="D259" i="64" s="1"/>
  <c r="D347" i="69" s="1"/>
  <c r="F347" i="69" s="1"/>
  <c r="E188" i="36"/>
  <c r="E175" i="36"/>
  <c r="C188" i="36"/>
  <c r="D188" i="36" s="1"/>
  <c r="D175" i="36"/>
  <c r="D194" i="36" s="1"/>
  <c r="D262" i="64" s="1"/>
  <c r="D350" i="69" s="1"/>
  <c r="F350" i="69" s="1"/>
  <c r="C175" i="36"/>
  <c r="E114" i="36" l="1"/>
  <c r="E113" i="36"/>
  <c r="E112" i="36"/>
  <c r="C113" i="36"/>
  <c r="D114" i="36"/>
  <c r="D113" i="36"/>
  <c r="D112" i="36"/>
  <c r="C114" i="36"/>
  <c r="C112" i="36"/>
  <c r="C111" i="36"/>
  <c r="C124" i="36"/>
  <c r="D128" i="36" s="1"/>
  <c r="D253" i="64" s="1"/>
  <c r="D341" i="69" s="1"/>
  <c r="F341" i="69" s="1"/>
  <c r="D193" i="36"/>
  <c r="D261" i="64" s="1"/>
  <c r="D349" i="69" s="1"/>
  <c r="F349" i="69" s="1"/>
  <c r="D192" i="36"/>
  <c r="D260" i="64" s="1"/>
  <c r="D348" i="69" s="1"/>
  <c r="F348" i="69" s="1"/>
  <c r="E124" i="36"/>
  <c r="D111" i="36"/>
  <c r="D130" i="36" s="1"/>
  <c r="D255" i="64" s="1"/>
  <c r="D343" i="69" s="1"/>
  <c r="F343" i="69" s="1"/>
  <c r="E111" i="36"/>
  <c r="D129" i="36" l="1"/>
  <c r="D254" i="64" s="1"/>
  <c r="D342" i="69" s="1"/>
  <c r="F342" i="69" s="1"/>
  <c r="C20" i="36"/>
  <c r="C23" i="36" l="1"/>
  <c r="C24" i="36" s="1"/>
  <c r="D60" i="36" l="1"/>
  <c r="D61" i="36"/>
  <c r="C25" i="36"/>
  <c r="C31" i="36"/>
  <c r="D59" i="36"/>
  <c r="D67" i="36" s="1"/>
  <c r="D249" i="64" s="1"/>
  <c r="D337" i="69" s="1"/>
  <c r="F337" i="69" s="1"/>
  <c r="E61" i="36" l="1"/>
  <c r="E60" i="36"/>
  <c r="D47" i="36"/>
  <c r="C46" i="36"/>
  <c r="C47" i="36"/>
  <c r="C61" i="36"/>
  <c r="C60" i="36"/>
  <c r="D46" i="36"/>
  <c r="C33" i="36"/>
  <c r="D64" i="36" s="1"/>
  <c r="D246" i="64" s="1"/>
  <c r="D334" i="69" s="1"/>
  <c r="F334" i="69" s="1"/>
  <c r="E59" i="36"/>
  <c r="C59" i="36"/>
  <c r="C45" i="36"/>
  <c r="D65" i="36" s="1"/>
  <c r="D45" i="36"/>
  <c r="D66" i="36" s="1"/>
  <c r="D124" i="36"/>
  <c r="D131" i="36" s="1"/>
  <c r="D256" i="64" s="1"/>
  <c r="D344" i="69" s="1"/>
  <c r="F344" i="69" s="1"/>
  <c r="D248" i="64" l="1"/>
  <c r="D336" i="69" s="1"/>
  <c r="F336" i="69" s="1"/>
  <c r="D247" i="64"/>
  <c r="D335" i="69" s="1"/>
  <c r="F335" i="69" s="1"/>
  <c r="C97" i="33"/>
  <c r="C98" i="33" s="1"/>
  <c r="C100" i="33" s="1"/>
  <c r="C117" i="33" s="1"/>
  <c r="D122" i="33" s="1"/>
  <c r="B230" i="64"/>
  <c r="B310" i="69" s="1"/>
  <c r="B227" i="64"/>
  <c r="C17" i="33"/>
  <c r="C75" i="33" s="1"/>
  <c r="C76" i="33" s="1"/>
  <c r="C20" i="32"/>
  <c r="F399" i="69" l="1"/>
  <c r="B307" i="69"/>
  <c r="B143" i="66"/>
  <c r="C22" i="32"/>
  <c r="C23" i="32" s="1"/>
  <c r="C21" i="32"/>
  <c r="C41" i="32" s="1"/>
  <c r="C43" i="32" s="1"/>
  <c r="C85" i="33"/>
  <c r="C83" i="33"/>
  <c r="C78" i="33"/>
  <c r="C135" i="33"/>
  <c r="C136" i="33" s="1"/>
  <c r="C130" i="33"/>
  <c r="D139" i="33" s="1"/>
  <c r="D240" i="64" s="1"/>
  <c r="D320" i="69" s="1"/>
  <c r="F320" i="69" s="1"/>
  <c r="D63" i="33"/>
  <c r="D227" i="64" s="1"/>
  <c r="D307" i="69" s="1"/>
  <c r="C18" i="33"/>
  <c r="D59" i="32" l="1"/>
  <c r="C58" i="32"/>
  <c r="D57" i="32"/>
  <c r="C57" i="32"/>
  <c r="C59" i="32"/>
  <c r="D58" i="32"/>
  <c r="D140" i="33"/>
  <c r="D241" i="64" s="1"/>
  <c r="D321" i="69" s="1"/>
  <c r="F321" i="69" s="1"/>
  <c r="D39" i="33"/>
  <c r="D221" i="64" s="1"/>
  <c r="D301" i="69" s="1"/>
  <c r="F301" i="69" s="1"/>
  <c r="C20" i="33"/>
  <c r="C21" i="33" s="1"/>
  <c r="C22" i="33" s="1"/>
  <c r="D89" i="33"/>
  <c r="D231" i="64" s="1"/>
  <c r="D311" i="69" s="1"/>
  <c r="F311" i="69" s="1"/>
  <c r="D88" i="33"/>
  <c r="D230" i="64" s="1"/>
  <c r="D310" i="69" s="1"/>
  <c r="D90" i="33"/>
  <c r="D232" i="64" s="1"/>
  <c r="D312" i="69" s="1"/>
  <c r="F312" i="69" s="1"/>
  <c r="C104" i="33"/>
  <c r="C108" i="33" s="1"/>
  <c r="C110" i="33" s="1"/>
  <c r="D237" i="64"/>
  <c r="D317" i="69" s="1"/>
  <c r="D120" i="33"/>
  <c r="D235" i="64" s="1"/>
  <c r="D315" i="69" s="1"/>
  <c r="F315" i="69" s="1"/>
  <c r="C36" i="33" l="1"/>
  <c r="D35" i="33"/>
  <c r="C35" i="33"/>
  <c r="D36" i="33"/>
  <c r="F36" i="33"/>
  <c r="E36" i="33"/>
  <c r="F35" i="33"/>
  <c r="E35" i="33"/>
  <c r="C34" i="33"/>
  <c r="D223" i="64"/>
  <c r="D303" i="69" s="1"/>
  <c r="F303" i="69" s="1"/>
  <c r="E34" i="33"/>
  <c r="D222" i="64"/>
  <c r="D302" i="69" s="1"/>
  <c r="F302" i="69" s="1"/>
  <c r="F34" i="33"/>
  <c r="D34" i="33"/>
  <c r="D224" i="64"/>
  <c r="D304" i="69" s="1"/>
  <c r="F304" i="69" s="1"/>
  <c r="C111" i="33"/>
  <c r="C112" i="33" s="1"/>
  <c r="D121" i="33" l="1"/>
  <c r="D236" i="64" s="1"/>
  <c r="D316" i="69" s="1"/>
  <c r="F316" i="69" s="1"/>
  <c r="C56" i="32" l="1"/>
  <c r="D56" i="32"/>
  <c r="D68" i="32" s="1"/>
  <c r="D205" i="64" s="1"/>
  <c r="D277" i="69" s="1"/>
  <c r="F277" i="69" s="1"/>
  <c r="D35" i="32"/>
  <c r="D64" i="32" s="1"/>
  <c r="D201" i="64" s="1"/>
  <c r="D273" i="69" s="1"/>
  <c r="F273" i="69" s="1"/>
  <c r="E34" i="32"/>
  <c r="E35" i="32"/>
  <c r="D65" i="32" s="1"/>
  <c r="D202" i="64" s="1"/>
  <c r="D274" i="69" s="1"/>
  <c r="F274" i="69" s="1"/>
  <c r="F35" i="32"/>
  <c r="C34" i="32"/>
  <c r="D67" i="32" l="1"/>
  <c r="D204" i="64" s="1"/>
  <c r="D276" i="69" s="1"/>
  <c r="F276" i="69" s="1"/>
  <c r="C35" i="32"/>
  <c r="D63" i="32" s="1"/>
  <c r="D200" i="64" s="1"/>
  <c r="D272" i="69" s="1"/>
  <c r="F272" i="69" s="1"/>
  <c r="F34" i="32"/>
  <c r="D34" i="32"/>
  <c r="D62" i="32"/>
  <c r="D199" i="64" s="1"/>
  <c r="D271" i="69" s="1"/>
  <c r="F271" i="69" s="1"/>
  <c r="C106" i="31"/>
  <c r="C120" i="31" s="1"/>
  <c r="C69" i="31"/>
  <c r="D43" i="31"/>
  <c r="D180" i="64" s="1"/>
  <c r="D244" i="69" s="1"/>
  <c r="F244" i="69" s="1"/>
  <c r="C20" i="31"/>
  <c r="C67" i="21"/>
  <c r="C194" i="20"/>
  <c r="C193" i="20"/>
  <c r="C192" i="20"/>
  <c r="C62" i="20"/>
  <c r="C63" i="20" s="1"/>
  <c r="C64" i="20" s="1"/>
  <c r="C65" i="20" s="1"/>
  <c r="L22" i="20"/>
  <c r="L21" i="20"/>
  <c r="C20" i="20"/>
  <c r="C21" i="20" s="1"/>
  <c r="C22" i="20" s="1"/>
  <c r="D48" i="20"/>
  <c r="D59" i="64" s="1"/>
  <c r="D75" i="69" s="1"/>
  <c r="F75" i="69" s="1"/>
  <c r="C173" i="64"/>
  <c r="C229" i="69" s="1"/>
  <c r="C109" i="29"/>
  <c r="C18" i="29"/>
  <c r="C19" i="29" s="1"/>
  <c r="C20" i="29" s="1"/>
  <c r="C21" i="29" s="1"/>
  <c r="C80" i="29"/>
  <c r="C70" i="29"/>
  <c r="C71" i="29" s="1"/>
  <c r="D53" i="64"/>
  <c r="D61" i="69" s="1"/>
  <c r="F61" i="69" s="1"/>
  <c r="D52" i="64"/>
  <c r="D60" i="69" s="1"/>
  <c r="F60" i="69" s="1"/>
  <c r="D51" i="64"/>
  <c r="D59" i="69" s="1"/>
  <c r="F59" i="69" s="1"/>
  <c r="D48" i="64"/>
  <c r="D56" i="69" s="1"/>
  <c r="D46" i="64"/>
  <c r="D54" i="69" s="1"/>
  <c r="F54" i="69" s="1"/>
  <c r="D47" i="64"/>
  <c r="D55" i="69" s="1"/>
  <c r="C95" i="30"/>
  <c r="D54" i="64"/>
  <c r="D62" i="69" s="1"/>
  <c r="F62" i="69" s="1"/>
  <c r="B227" i="30"/>
  <c r="B48" i="64" s="1"/>
  <c r="C20" i="30"/>
  <c r="B138" i="66" l="1"/>
  <c r="B56" i="69"/>
  <c r="F41" i="29"/>
  <c r="C40" i="29"/>
  <c r="D39" i="29"/>
  <c r="D41" i="29"/>
  <c r="F39" i="29"/>
  <c r="D40" i="29"/>
  <c r="E41" i="29"/>
  <c r="F40" i="29"/>
  <c r="C39" i="29"/>
  <c r="E40" i="29"/>
  <c r="C41" i="29"/>
  <c r="E39" i="29"/>
  <c r="E40" i="31"/>
  <c r="F39" i="31"/>
  <c r="C38" i="31"/>
  <c r="D40" i="31"/>
  <c r="E39" i="31"/>
  <c r="F38" i="31"/>
  <c r="C40" i="31"/>
  <c r="D39" i="31"/>
  <c r="E38" i="31"/>
  <c r="F40" i="31"/>
  <c r="C39" i="31"/>
  <c r="D38" i="31"/>
  <c r="D43" i="30"/>
  <c r="D19" i="64" s="1"/>
  <c r="D27" i="69" s="1"/>
  <c r="F27" i="69" s="1"/>
  <c r="F40" i="30"/>
  <c r="C39" i="30"/>
  <c r="D38" i="30"/>
  <c r="D45" i="30" s="1"/>
  <c r="D39" i="30"/>
  <c r="E40" i="30"/>
  <c r="F39" i="30"/>
  <c r="C38" i="30"/>
  <c r="E38" i="30"/>
  <c r="D46" i="30" s="1"/>
  <c r="D40" i="30"/>
  <c r="E39" i="30"/>
  <c r="F38" i="30"/>
  <c r="C40" i="30"/>
  <c r="C107" i="29"/>
  <c r="C108" i="29" s="1"/>
  <c r="C142" i="29" s="1"/>
  <c r="D147" i="29" s="1"/>
  <c r="C70" i="31"/>
  <c r="C89" i="31"/>
  <c r="C96" i="30"/>
  <c r="C113" i="30"/>
  <c r="D120" i="30" s="1"/>
  <c r="D32" i="64" s="1"/>
  <c r="D40" i="69" s="1"/>
  <c r="F40" i="69" s="1"/>
  <c r="C115" i="30"/>
  <c r="D121" i="30" s="1"/>
  <c r="D33" i="64" s="1"/>
  <c r="D41" i="69" s="1"/>
  <c r="F41" i="69" s="1"/>
  <c r="C92" i="29"/>
  <c r="C90" i="29"/>
  <c r="C77" i="21"/>
  <c r="D82" i="21" s="1"/>
  <c r="D95" i="64" s="1"/>
  <c r="D119" i="69" s="1"/>
  <c r="F119" i="69" s="1"/>
  <c r="C75" i="21"/>
  <c r="D81" i="21" s="1"/>
  <c r="D94" i="64" s="1"/>
  <c r="D118" i="69" s="1"/>
  <c r="F118" i="69" s="1"/>
  <c r="C105" i="30"/>
  <c r="C106" i="30" s="1"/>
  <c r="C224" i="51"/>
  <c r="C155" i="20"/>
  <c r="C140" i="30"/>
  <c r="C156" i="20"/>
  <c r="C141" i="30"/>
  <c r="D44" i="29"/>
  <c r="D161" i="64" s="1"/>
  <c r="D217" i="69" s="1"/>
  <c r="F217" i="69" s="1"/>
  <c r="C79" i="31"/>
  <c r="C112" i="31"/>
  <c r="C113" i="31" s="1"/>
  <c r="D125" i="31"/>
  <c r="D194" i="64" s="1"/>
  <c r="D258" i="69" s="1"/>
  <c r="D123" i="31"/>
  <c r="D192" i="64" s="1"/>
  <c r="D256" i="69" s="1"/>
  <c r="F256" i="69" s="1"/>
  <c r="E37" i="31"/>
  <c r="D183" i="64" s="1"/>
  <c r="D247" i="69" s="1"/>
  <c r="F247" i="69" s="1"/>
  <c r="E36" i="31"/>
  <c r="E35" i="31"/>
  <c r="F37" i="31"/>
  <c r="D37" i="31"/>
  <c r="D182" i="64" s="1"/>
  <c r="D246" i="69" s="1"/>
  <c r="F246" i="69" s="1"/>
  <c r="D36" i="31"/>
  <c r="D35" i="31"/>
  <c r="F36" i="31"/>
  <c r="F35" i="31"/>
  <c r="C37" i="31"/>
  <c r="D181" i="64" s="1"/>
  <c r="D245" i="69" s="1"/>
  <c r="F245" i="69" s="1"/>
  <c r="C36" i="31"/>
  <c r="C35" i="31"/>
  <c r="C81" i="29"/>
  <c r="C82" i="29" s="1"/>
  <c r="C83" i="29" s="1"/>
  <c r="C72" i="29"/>
  <c r="E36" i="29"/>
  <c r="D47" i="29" s="1"/>
  <c r="E37" i="29"/>
  <c r="E38" i="29"/>
  <c r="C36" i="29"/>
  <c r="D45" i="29" s="1"/>
  <c r="C37" i="29"/>
  <c r="C38" i="29"/>
  <c r="D36" i="29"/>
  <c r="D46" i="29" s="1"/>
  <c r="D37" i="29"/>
  <c r="D38" i="29"/>
  <c r="F36" i="29"/>
  <c r="F37" i="29"/>
  <c r="F38" i="29"/>
  <c r="C186" i="30"/>
  <c r="C187" i="30" s="1"/>
  <c r="C35" i="30"/>
  <c r="C36" i="30"/>
  <c r="C37" i="30"/>
  <c r="D35" i="30"/>
  <c r="D36" i="30"/>
  <c r="D37" i="30"/>
  <c r="E35" i="30"/>
  <c r="E36" i="30"/>
  <c r="E37" i="30"/>
  <c r="F35" i="30"/>
  <c r="F36" i="30"/>
  <c r="F37" i="30"/>
  <c r="C180" i="30"/>
  <c r="D45" i="64"/>
  <c r="D53" i="69" s="1"/>
  <c r="F53" i="69" s="1"/>
  <c r="D44" i="30" l="1"/>
  <c r="D20" i="64" s="1"/>
  <c r="D28" i="69" s="1"/>
  <c r="F28" i="69" s="1"/>
  <c r="D22" i="64"/>
  <c r="D30" i="69" s="1"/>
  <c r="F30" i="69" s="1"/>
  <c r="D21" i="64"/>
  <c r="D29" i="69" s="1"/>
  <c r="F29" i="69" s="1"/>
  <c r="D163" i="64"/>
  <c r="D219" i="69" s="1"/>
  <c r="F219" i="69" s="1"/>
  <c r="D162" i="64"/>
  <c r="D218" i="69" s="1"/>
  <c r="F218" i="69" s="1"/>
  <c r="D164" i="64"/>
  <c r="D220" i="69" s="1"/>
  <c r="F220" i="69" s="1"/>
  <c r="C194" i="30"/>
  <c r="D42" i="64" s="1"/>
  <c r="D50" i="69" s="1"/>
  <c r="C115" i="31"/>
  <c r="D124" i="31" s="1"/>
  <c r="D193" i="64" s="1"/>
  <c r="D257" i="69" s="1"/>
  <c r="F257" i="69" s="1"/>
  <c r="C72" i="31"/>
  <c r="D92" i="31" s="1"/>
  <c r="D186" i="64" s="1"/>
  <c r="D250" i="69" s="1"/>
  <c r="F250" i="69" s="1"/>
  <c r="C110" i="29"/>
  <c r="C85" i="29"/>
  <c r="C74" i="29"/>
  <c r="D95" i="29" s="1"/>
  <c r="D167" i="64" s="1"/>
  <c r="D223" i="69" s="1"/>
  <c r="F223" i="69" s="1"/>
  <c r="C170" i="20"/>
  <c r="C172" i="20" s="1"/>
  <c r="C173" i="20" s="1"/>
  <c r="C174" i="20" s="1"/>
  <c r="C176" i="20" s="1"/>
  <c r="D180" i="20" s="1"/>
  <c r="C155" i="30"/>
  <c r="C157" i="30" s="1"/>
  <c r="C158" i="30" s="1"/>
  <c r="C159" i="30" s="1"/>
  <c r="C161" i="30" s="1"/>
  <c r="C189" i="30"/>
  <c r="D41" i="64" s="1"/>
  <c r="D49" i="69" s="1"/>
  <c r="F49" i="69" s="1"/>
  <c r="C108" i="30"/>
  <c r="C98" i="30"/>
  <c r="D118" i="30" s="1"/>
  <c r="D30" i="64" s="1"/>
  <c r="D38" i="69" s="1"/>
  <c r="F38" i="69" s="1"/>
  <c r="D97" i="29"/>
  <c r="D169" i="64" s="1"/>
  <c r="D225" i="69" s="1"/>
  <c r="F225" i="69" s="1"/>
  <c r="D98" i="29"/>
  <c r="D170" i="64" s="1"/>
  <c r="D226" i="69" s="1"/>
  <c r="F226" i="69" s="1"/>
  <c r="C80" i="31"/>
  <c r="D95" i="31"/>
  <c r="D189" i="64" s="1"/>
  <c r="D253" i="69" s="1"/>
  <c r="F253" i="69" s="1"/>
  <c r="C87" i="31"/>
  <c r="C225" i="51"/>
  <c r="C226" i="51" s="1"/>
  <c r="D175" i="64"/>
  <c r="D231" i="69" s="1"/>
  <c r="D40" i="64"/>
  <c r="D48" i="69" s="1"/>
  <c r="F48" i="69" s="1"/>
  <c r="D94" i="31" l="1"/>
  <c r="D188" i="64" s="1"/>
  <c r="D252" i="69" s="1"/>
  <c r="F252" i="69" s="1"/>
  <c r="D119" i="30"/>
  <c r="D31" i="64" s="1"/>
  <c r="D39" i="69" s="1"/>
  <c r="F39" i="69" s="1"/>
  <c r="D165" i="30"/>
  <c r="D37" i="64" s="1"/>
  <c r="D45" i="69" s="1"/>
  <c r="F45" i="69" s="1"/>
  <c r="D96" i="29"/>
  <c r="D168" i="64" s="1"/>
  <c r="D224" i="69" s="1"/>
  <c r="F224" i="69" s="1"/>
  <c r="D145" i="29"/>
  <c r="D173" i="64" s="1"/>
  <c r="D229" i="69" s="1"/>
  <c r="F229" i="69" s="1"/>
  <c r="C129" i="29"/>
  <c r="C132" i="29" s="1"/>
  <c r="C134" i="29" s="1"/>
  <c r="C135" i="29" s="1"/>
  <c r="C228" i="51"/>
  <c r="C82" i="31"/>
  <c r="D590" i="64"/>
  <c r="D750" i="69" s="1"/>
  <c r="F750" i="69" s="1"/>
  <c r="B152" i="64"/>
  <c r="B200" i="69" s="1"/>
  <c r="B31" i="28"/>
  <c r="B143" i="64" s="1"/>
  <c r="B191" i="69" s="1"/>
  <c r="C102" i="28"/>
  <c r="C95" i="28"/>
  <c r="B69" i="28"/>
  <c r="D65" i="28"/>
  <c r="B59" i="28"/>
  <c r="C48" i="28"/>
  <c r="C17" i="28"/>
  <c r="C125" i="26"/>
  <c r="C118" i="26"/>
  <c r="B134" i="64"/>
  <c r="B174" i="69" s="1"/>
  <c r="C63" i="26"/>
  <c r="B38" i="26"/>
  <c r="B125" i="64" s="1"/>
  <c r="C16" i="26"/>
  <c r="B165" i="69" l="1"/>
  <c r="D93" i="31"/>
  <c r="D187" i="64" s="1"/>
  <c r="D251" i="69" s="1"/>
  <c r="F251" i="69" s="1"/>
  <c r="D232" i="51"/>
  <c r="D489" i="64" s="1"/>
  <c r="D641" i="69" s="1"/>
  <c r="F641" i="69" s="1"/>
  <c r="C137" i="29"/>
  <c r="C85" i="28"/>
  <c r="C20" i="28"/>
  <c r="C21" i="28" s="1"/>
  <c r="D28" i="28" s="1"/>
  <c r="D146" i="29" l="1"/>
  <c r="D174" i="64" s="1"/>
  <c r="D230" i="69" s="1"/>
  <c r="F230" i="69" s="1"/>
  <c r="C87" i="28"/>
  <c r="C88" i="28" s="1"/>
  <c r="C49" i="28"/>
  <c r="E69" i="28" s="1"/>
  <c r="D26" i="28"/>
  <c r="D27" i="28"/>
  <c r="D31" i="28" l="1"/>
  <c r="D143" i="64" s="1"/>
  <c r="D191" i="69" s="1"/>
  <c r="C100" i="28"/>
  <c r="C96" i="28"/>
  <c r="D109" i="28" s="1"/>
  <c r="C59" i="28"/>
  <c r="D72" i="28" s="1"/>
  <c r="C69" i="28"/>
  <c r="D59" i="28"/>
  <c r="E59" i="28"/>
  <c r="D73" i="28" s="1"/>
  <c r="D74" i="28" l="1"/>
  <c r="D148" i="64" s="1"/>
  <c r="D196" i="69" s="1"/>
  <c r="F196" i="69" s="1"/>
  <c r="D110" i="28"/>
  <c r="D153" i="64" s="1"/>
  <c r="D201" i="69" s="1"/>
  <c r="F201" i="69" s="1"/>
  <c r="D146" i="64"/>
  <c r="D194" i="69" s="1"/>
  <c r="F194" i="69" s="1"/>
  <c r="D147" i="64"/>
  <c r="D195" i="69" s="1"/>
  <c r="F195" i="69" s="1"/>
  <c r="D152" i="64"/>
  <c r="D200" i="69" s="1"/>
  <c r="C103" i="28"/>
  <c r="D69" i="28"/>
  <c r="B74" i="26"/>
  <c r="D80" i="26"/>
  <c r="B84" i="26"/>
  <c r="D113" i="28" l="1"/>
  <c r="D156" i="64" s="1"/>
  <c r="D204" i="69" s="1"/>
  <c r="F204" i="69" s="1"/>
  <c r="D112" i="28"/>
  <c r="D155" i="64" s="1"/>
  <c r="D203" i="69" s="1"/>
  <c r="F203" i="69" s="1"/>
  <c r="D111" i="28"/>
  <c r="D154" i="64" s="1"/>
  <c r="D202" i="69" s="1"/>
  <c r="F202" i="69" s="1"/>
  <c r="C100" i="26"/>
  <c r="C19" i="26"/>
  <c r="C20" i="26" s="1"/>
  <c r="B109" i="64"/>
  <c r="B141" i="69" s="1"/>
  <c r="D27" i="26" l="1"/>
  <c r="D26" i="26"/>
  <c r="D28" i="26"/>
  <c r="D29" i="26"/>
  <c r="C102" i="26"/>
  <c r="C103" i="26" s="1"/>
  <c r="C123" i="26" s="1"/>
  <c r="D133" i="26" s="1"/>
  <c r="D111" i="64"/>
  <c r="D143" i="69" s="1"/>
  <c r="F143" i="69" s="1"/>
  <c r="D110" i="64"/>
  <c r="D142" i="69" s="1"/>
  <c r="F142" i="69" s="1"/>
  <c r="C64" i="26"/>
  <c r="C84" i="26" s="1"/>
  <c r="D87" i="26" s="1"/>
  <c r="D33" i="26"/>
  <c r="D25" i="26"/>
  <c r="D38" i="26" s="1"/>
  <c r="D32" i="26"/>
  <c r="D34" i="26"/>
  <c r="D30" i="26"/>
  <c r="D35" i="26"/>
  <c r="D31" i="26"/>
  <c r="D109" i="64"/>
  <c r="D141" i="69" s="1"/>
  <c r="D125" i="64" l="1"/>
  <c r="D165" i="69" s="1"/>
  <c r="D135" i="64"/>
  <c r="D175" i="69" s="1"/>
  <c r="F175" i="69" s="1"/>
  <c r="C119" i="26"/>
  <c r="D132" i="26" s="1"/>
  <c r="D114" i="64"/>
  <c r="D146" i="69" s="1"/>
  <c r="F146" i="69" s="1"/>
  <c r="E74" i="26"/>
  <c r="D74" i="26"/>
  <c r="D130" i="64" s="1"/>
  <c r="D170" i="69" s="1"/>
  <c r="F170" i="69" s="1"/>
  <c r="E84" i="26"/>
  <c r="D88" i="26" s="1"/>
  <c r="C74" i="26"/>
  <c r="D84" i="26"/>
  <c r="D90" i="26" s="1"/>
  <c r="D131" i="64" s="1"/>
  <c r="D171" i="69" s="1"/>
  <c r="F171" i="69" s="1"/>
  <c r="D129" i="64" l="1"/>
  <c r="D169" i="69" s="1"/>
  <c r="F169" i="69" s="1"/>
  <c r="D128" i="64"/>
  <c r="D168" i="69" s="1"/>
  <c r="F168" i="69" s="1"/>
  <c r="D134" i="64"/>
  <c r="D174" i="69" s="1"/>
  <c r="D115" i="64"/>
  <c r="D147" i="69" s="1"/>
  <c r="F147" i="69" s="1"/>
  <c r="C126" i="26"/>
  <c r="B106" i="64"/>
  <c r="B138" i="69" s="1"/>
  <c r="B91" i="66" l="1"/>
  <c r="D136" i="26"/>
  <c r="D138" i="64" s="1"/>
  <c r="D178" i="69" s="1"/>
  <c r="F178" i="69" s="1"/>
  <c r="D135" i="26"/>
  <c r="D137" i="64" s="1"/>
  <c r="D177" i="69" s="1"/>
  <c r="F177" i="69" s="1"/>
  <c r="D134" i="26"/>
  <c r="D136" i="64" s="1"/>
  <c r="D176" i="69" s="1"/>
  <c r="F176" i="69" s="1"/>
  <c r="E525" i="69" l="1"/>
  <c r="F525" i="69" s="1"/>
  <c r="E473" i="69"/>
  <c r="F473" i="69" s="1"/>
  <c r="E764" i="69"/>
  <c r="F764" i="69" s="1"/>
  <c r="E544" i="69"/>
  <c r="F544" i="69" s="1"/>
  <c r="E677" i="69"/>
  <c r="F677" i="69" s="1"/>
  <c r="E432" i="69"/>
  <c r="F432" i="69" s="1"/>
  <c r="E431" i="69"/>
  <c r="F431" i="69" s="1"/>
  <c r="E674" i="69"/>
  <c r="F674" i="69" s="1"/>
  <c r="E526" i="69"/>
  <c r="F526" i="69" s="1"/>
  <c r="E507" i="69"/>
  <c r="F507" i="69" s="1"/>
  <c r="E618" i="69"/>
  <c r="F618" i="69" s="1"/>
  <c r="E458" i="69"/>
  <c r="F458" i="69" s="1"/>
  <c r="E582" i="69"/>
  <c r="F582" i="69" s="1"/>
  <c r="E534" i="69"/>
  <c r="F534" i="69" s="1"/>
  <c r="E815" i="69"/>
  <c r="F815" i="69" s="1"/>
  <c r="E231" i="69"/>
  <c r="F231" i="69" s="1"/>
  <c r="F239" i="69" s="1"/>
  <c r="E543" i="69"/>
  <c r="F543" i="69" s="1"/>
  <c r="E816" i="69"/>
  <c r="F816" i="69" s="1"/>
  <c r="E655" i="69"/>
  <c r="F655" i="69" s="1"/>
  <c r="E577" i="69"/>
  <c r="F577" i="69" s="1"/>
  <c r="E599" i="69"/>
  <c r="F599" i="69" s="1"/>
  <c r="E429" i="69"/>
  <c r="F429" i="69" s="1"/>
  <c r="E287" i="69"/>
  <c r="F287" i="69" s="1"/>
  <c r="F296" i="69" s="1"/>
  <c r="E527" i="69"/>
  <c r="F527" i="69" s="1"/>
  <c r="E538" i="69"/>
  <c r="F538" i="69" s="1"/>
  <c r="E165" i="69"/>
  <c r="F165" i="69" s="1"/>
  <c r="E50" i="69"/>
  <c r="F50" i="69" s="1"/>
  <c r="E571" i="69"/>
  <c r="F571" i="69" s="1"/>
  <c r="E428" i="69"/>
  <c r="F428" i="69" s="1"/>
  <c r="E529" i="69"/>
  <c r="F529" i="69" s="1"/>
  <c r="E452" i="69"/>
  <c r="F452" i="69" s="1"/>
  <c r="E459" i="69"/>
  <c r="F459" i="69" s="1"/>
  <c r="E426" i="69"/>
  <c r="F426" i="69" s="1"/>
  <c r="E546" i="69"/>
  <c r="F546" i="69" s="1"/>
  <c r="E457" i="69"/>
  <c r="F457" i="69" s="1"/>
  <c r="E814" i="69"/>
  <c r="F814" i="69" s="1"/>
  <c r="E500" i="69"/>
  <c r="F500" i="69" s="1"/>
  <c r="E535" i="69"/>
  <c r="F535" i="69" s="1"/>
  <c r="E493" i="69"/>
  <c r="F493" i="69" s="1"/>
  <c r="E451" i="69"/>
  <c r="F451" i="69" s="1"/>
  <c r="E573" i="69"/>
  <c r="F573" i="69" s="1"/>
  <c r="E704" i="69"/>
  <c r="F704" i="69" s="1"/>
  <c r="E174" i="69"/>
  <c r="F174" i="69" s="1"/>
  <c r="E404" i="69"/>
  <c r="F404" i="69" s="1"/>
  <c r="E138" i="69"/>
  <c r="E307" i="69"/>
  <c r="F307" i="69" s="1"/>
  <c r="E646" i="69"/>
  <c r="F646" i="69" s="1"/>
  <c r="E152" i="69"/>
  <c r="E97" i="69"/>
  <c r="E499" i="69"/>
  <c r="F499" i="69" s="1"/>
  <c r="E844" i="69"/>
  <c r="F844" i="69" s="1"/>
  <c r="F852" i="69" s="1"/>
  <c r="E427" i="69"/>
  <c r="F427" i="69" s="1"/>
  <c r="E813" i="69"/>
  <c r="F813" i="69" s="1"/>
  <c r="E141" i="69"/>
  <c r="F141" i="69" s="1"/>
  <c r="E310" i="69"/>
  <c r="F310" i="69" s="1"/>
  <c r="E587" i="69"/>
  <c r="F587" i="69" s="1"/>
  <c r="E492" i="69"/>
  <c r="F492" i="69" s="1"/>
  <c r="E596" i="69"/>
  <c r="F596" i="69" s="1"/>
  <c r="E501" i="69"/>
  <c r="F501" i="69" s="1"/>
  <c r="E258" i="69"/>
  <c r="F258" i="69" s="1"/>
  <c r="F266" i="69" s="1"/>
  <c r="E454" i="69"/>
  <c r="F454" i="69" s="1"/>
  <c r="E578" i="69"/>
  <c r="F578" i="69" s="1"/>
  <c r="E707" i="69"/>
  <c r="F707" i="69" s="1"/>
  <c r="E551" i="69"/>
  <c r="F551" i="69" s="1"/>
  <c r="E509" i="69"/>
  <c r="F509" i="69" s="1"/>
  <c r="E433" i="69"/>
  <c r="F433" i="69" s="1"/>
  <c r="E550" i="69"/>
  <c r="F550" i="69" s="1"/>
  <c r="E569" i="69"/>
  <c r="F569" i="69" s="1"/>
  <c r="E555" i="69"/>
  <c r="F555" i="69" s="1"/>
  <c r="E56" i="69"/>
  <c r="F56" i="69" s="1"/>
  <c r="E472" i="69"/>
  <c r="F472" i="69" s="1"/>
  <c r="E586" i="69"/>
  <c r="F586" i="69" s="1"/>
  <c r="E755" i="69"/>
  <c r="F755" i="69" s="1"/>
  <c r="E491" i="69"/>
  <c r="F491" i="69" s="1"/>
  <c r="E595" i="69"/>
  <c r="F595" i="69" s="1"/>
  <c r="E434" i="69"/>
  <c r="F434" i="69" s="1"/>
  <c r="E408" i="69"/>
  <c r="F408" i="69" s="1"/>
  <c r="E570" i="69"/>
  <c r="F570" i="69" s="1"/>
  <c r="E455" i="69"/>
  <c r="F455" i="69" s="1"/>
  <c r="E706" i="69"/>
  <c r="F706" i="69" s="1"/>
  <c r="E12" i="69"/>
  <c r="E191" i="69"/>
  <c r="F191" i="69" s="1"/>
  <c r="E510" i="69"/>
  <c r="F510" i="69" s="1"/>
  <c r="E594" i="69"/>
  <c r="F594" i="69" s="1"/>
  <c r="E453" i="69"/>
  <c r="F453" i="69" s="1"/>
  <c r="E317" i="69"/>
  <c r="F317" i="69" s="1"/>
  <c r="E533" i="69"/>
  <c r="F533" i="69" s="1"/>
  <c r="E494" i="69"/>
  <c r="F494" i="69" s="1"/>
  <c r="E200" i="69"/>
  <c r="F200" i="69" s="1"/>
  <c r="E456" i="69"/>
  <c r="F456" i="69" s="1"/>
  <c r="E55" i="69"/>
  <c r="F55" i="69" s="1"/>
  <c r="E430" i="69"/>
  <c r="F430" i="69" s="1"/>
  <c r="E552" i="69"/>
  <c r="F552" i="69" s="1"/>
  <c r="E425" i="69"/>
  <c r="F425" i="69" s="1"/>
  <c r="E502" i="69"/>
  <c r="F502" i="69" s="1"/>
  <c r="E786" i="69"/>
  <c r="F786" i="69" s="1"/>
  <c r="E588" i="69"/>
  <c r="F588" i="69" s="1"/>
  <c r="E727" i="69"/>
  <c r="F727" i="69" s="1"/>
  <c r="E705" i="69"/>
  <c r="F705" i="69" s="1"/>
  <c r="E579" i="69"/>
  <c r="F579" i="69" s="1"/>
  <c r="E542" i="69"/>
  <c r="F542" i="69" s="1"/>
  <c r="E590" i="69"/>
  <c r="F590" i="69" s="1"/>
  <c r="E450" i="69"/>
  <c r="F450" i="69" s="1"/>
  <c r="E783" i="69"/>
  <c r="F783" i="69" s="1"/>
  <c r="E508" i="69"/>
  <c r="F508" i="69" s="1"/>
  <c r="E478" i="69"/>
  <c r="F478" i="69" s="1"/>
  <c r="D100" i="64"/>
  <c r="D132" i="69" s="1"/>
  <c r="F132" i="69" s="1"/>
  <c r="D106" i="64"/>
  <c r="D138" i="69" s="1"/>
  <c r="D103" i="64"/>
  <c r="D135" i="69" s="1"/>
  <c r="F135" i="69" s="1"/>
  <c r="D102" i="64"/>
  <c r="D134" i="69" s="1"/>
  <c r="F134" i="69" s="1"/>
  <c r="D101" i="64"/>
  <c r="D133" i="69" s="1"/>
  <c r="F133" i="69" s="1"/>
  <c r="F138" i="69" l="1"/>
  <c r="F467" i="69"/>
  <c r="F826" i="69"/>
  <c r="F608" i="69"/>
  <c r="F417" i="69"/>
  <c r="F442" i="69"/>
  <c r="F486" i="69"/>
  <c r="F70" i="69"/>
  <c r="F717" i="69"/>
  <c r="F212" i="69"/>
  <c r="F520" i="69"/>
  <c r="F329" i="69"/>
  <c r="F186" i="69"/>
  <c r="F564" i="69"/>
  <c r="D120" i="64"/>
  <c r="D152" i="69" s="1"/>
  <c r="F152" i="69" s="1"/>
  <c r="D118" i="64"/>
  <c r="D150" i="69" s="1"/>
  <c r="F150" i="69" s="1"/>
  <c r="B80" i="21" l="1"/>
  <c r="B93" i="64" s="1"/>
  <c r="B117" i="69" s="1"/>
  <c r="E117" i="69" s="1"/>
  <c r="C68" i="21" l="1"/>
  <c r="D119" i="64" l="1"/>
  <c r="D151" i="69" s="1"/>
  <c r="F151" i="69" s="1"/>
  <c r="F160" i="69" s="1"/>
  <c r="C70" i="21"/>
  <c r="D80" i="21" s="1"/>
  <c r="D93" i="64" s="1"/>
  <c r="D117" i="69" s="1"/>
  <c r="F117" i="69" s="1"/>
  <c r="C116" i="20"/>
  <c r="B135" i="20"/>
  <c r="B70" i="64" s="1"/>
  <c r="C98" i="20"/>
  <c r="C99" i="20" s="1"/>
  <c r="C23" i="20"/>
  <c r="C17" i="21"/>
  <c r="C45" i="21" s="1"/>
  <c r="C118" i="20"/>
  <c r="C119" i="20" s="1"/>
  <c r="C162" i="20"/>
  <c r="B86" i="69" l="1"/>
  <c r="E86" i="69" s="1"/>
  <c r="D126" i="66"/>
  <c r="F126" i="66" s="1"/>
  <c r="D125" i="66"/>
  <c r="F125" i="66" s="1"/>
  <c r="D78" i="66"/>
  <c r="F78" i="66" s="1"/>
  <c r="D127" i="66"/>
  <c r="F127" i="66" s="1"/>
  <c r="D128" i="66"/>
  <c r="F128" i="66" s="1"/>
  <c r="D57" i="66"/>
  <c r="F57" i="66" s="1"/>
  <c r="D96" i="66"/>
  <c r="F96" i="66" s="1"/>
  <c r="D27" i="66"/>
  <c r="F27" i="66" s="1"/>
  <c r="D92" i="66"/>
  <c r="F92" i="66" s="1"/>
  <c r="D85" i="66"/>
  <c r="F85" i="66" s="1"/>
  <c r="D86" i="66"/>
  <c r="F86" i="66" s="1"/>
  <c r="D70" i="66"/>
  <c r="F70" i="66" s="1"/>
  <c r="D81" i="66"/>
  <c r="F81" i="66" s="1"/>
  <c r="D118" i="66"/>
  <c r="F118" i="66" s="1"/>
  <c r="D97" i="66"/>
  <c r="F97" i="66" s="1"/>
  <c r="D64" i="66"/>
  <c r="F64" i="66" s="1"/>
  <c r="D98" i="66"/>
  <c r="F98" i="66" s="1"/>
  <c r="D124" i="66"/>
  <c r="F124" i="66" s="1"/>
  <c r="D134" i="66"/>
  <c r="F134" i="66" s="1"/>
  <c r="D133" i="66"/>
  <c r="F133" i="66" s="1"/>
  <c r="D14" i="66"/>
  <c r="F14" i="66" s="1"/>
  <c r="D120" i="66"/>
  <c r="F120" i="66" s="1"/>
  <c r="D38" i="66"/>
  <c r="F38" i="66" s="1"/>
  <c r="D24" i="66"/>
  <c r="F24" i="66" s="1"/>
  <c r="D37" i="66"/>
  <c r="F37" i="66" s="1"/>
  <c r="D87" i="66"/>
  <c r="F87" i="66" s="1"/>
  <c r="D135" i="66"/>
  <c r="F135" i="66" s="1"/>
  <c r="D91" i="66"/>
  <c r="F91" i="66" s="1"/>
  <c r="D50" i="66"/>
  <c r="F50" i="66" s="1"/>
  <c r="D69" i="66"/>
  <c r="F69" i="66" s="1"/>
  <c r="D65" i="66"/>
  <c r="F65" i="66" s="1"/>
  <c r="D131" i="66"/>
  <c r="F131" i="66" s="1"/>
  <c r="D28" i="66"/>
  <c r="F28" i="66" s="1"/>
  <c r="D13" i="66"/>
  <c r="F13" i="66" s="1"/>
  <c r="D72" i="66"/>
  <c r="F72" i="66" s="1"/>
  <c r="D111" i="66"/>
  <c r="F111" i="66" s="1"/>
  <c r="D137" i="66"/>
  <c r="F137" i="66" s="1"/>
  <c r="D117" i="66"/>
  <c r="F117" i="66" s="1"/>
  <c r="D35" i="66"/>
  <c r="F35" i="66" s="1"/>
  <c r="D33" i="66"/>
  <c r="F33" i="66" s="1"/>
  <c r="D94" i="66"/>
  <c r="F94" i="66" s="1"/>
  <c r="D88" i="66"/>
  <c r="F88" i="66" s="1"/>
  <c r="D75" i="66"/>
  <c r="F75" i="66" s="1"/>
  <c r="D26" i="66"/>
  <c r="F26" i="66" s="1"/>
  <c r="D59" i="66"/>
  <c r="F59" i="66" s="1"/>
  <c r="D12" i="66"/>
  <c r="F12" i="66" s="1"/>
  <c r="D40" i="66"/>
  <c r="F40" i="66" s="1"/>
  <c r="D115" i="66"/>
  <c r="F115" i="66" s="1"/>
  <c r="D44" i="66"/>
  <c r="F44" i="66" s="1"/>
  <c r="D60" i="66"/>
  <c r="F60" i="66" s="1"/>
  <c r="D95" i="66"/>
  <c r="F95" i="66" s="1"/>
  <c r="D52" i="66"/>
  <c r="F52" i="66" s="1"/>
  <c r="D48" i="66"/>
  <c r="F48" i="66" s="1"/>
  <c r="D77" i="66"/>
  <c r="F77" i="66" s="1"/>
  <c r="D83" i="66"/>
  <c r="F83" i="66" s="1"/>
  <c r="D53" i="66"/>
  <c r="F53" i="66" s="1"/>
  <c r="D29" i="66"/>
  <c r="F29" i="66" s="1"/>
  <c r="D25" i="66"/>
  <c r="F25" i="66" s="1"/>
  <c r="D39" i="66"/>
  <c r="F39" i="66" s="1"/>
  <c r="D79" i="66"/>
  <c r="F79" i="66" s="1"/>
  <c r="D47" i="66"/>
  <c r="F47" i="66" s="1"/>
  <c r="D129" i="66"/>
  <c r="F129" i="66" s="1"/>
  <c r="D36" i="66"/>
  <c r="F36" i="66" s="1"/>
  <c r="D138" i="66"/>
  <c r="F138" i="66" s="1"/>
  <c r="D45" i="66"/>
  <c r="F45" i="66" s="1"/>
  <c r="D142" i="66"/>
  <c r="F142" i="66" s="1"/>
  <c r="D132" i="66"/>
  <c r="F132" i="66" s="1"/>
  <c r="D76" i="66"/>
  <c r="F76" i="66" s="1"/>
  <c r="D119" i="66"/>
  <c r="F119" i="66" s="1"/>
  <c r="D73" i="66"/>
  <c r="F73" i="66" s="1"/>
  <c r="D74" i="66"/>
  <c r="F74" i="66" s="1"/>
  <c r="D130" i="66"/>
  <c r="F130" i="66" s="1"/>
  <c r="D116" i="66"/>
  <c r="F116" i="66" s="1"/>
  <c r="D90" i="66"/>
  <c r="F90" i="66" s="1"/>
  <c r="D51" i="66"/>
  <c r="F51" i="66" s="1"/>
  <c r="D62" i="66"/>
  <c r="F62" i="66" s="1"/>
  <c r="D143" i="66"/>
  <c r="F143" i="66" s="1"/>
  <c r="D136" i="66"/>
  <c r="F136" i="66" s="1"/>
  <c r="D110" i="66"/>
  <c r="F110" i="66" s="1"/>
  <c r="C18" i="21"/>
  <c r="C19" i="21" s="1"/>
  <c r="C20" i="21" s="1"/>
  <c r="D49" i="21" s="1"/>
  <c r="D86" i="64" s="1"/>
  <c r="D110" i="69" s="1"/>
  <c r="F110" i="69" s="1"/>
  <c r="C46" i="21"/>
  <c r="C163" i="20"/>
  <c r="C165" i="20" s="1"/>
  <c r="C117" i="20"/>
  <c r="C120" i="20" s="1"/>
  <c r="C121" i="20" s="1"/>
  <c r="C123" i="20" s="1"/>
  <c r="C100" i="20"/>
  <c r="C101" i="20" s="1"/>
  <c r="C102" i="20" s="1"/>
  <c r="C24" i="20"/>
  <c r="C198" i="20"/>
  <c r="C199" i="20" s="1"/>
  <c r="D34" i="66" l="1"/>
  <c r="F34" i="66" s="1"/>
  <c r="E40" i="21"/>
  <c r="F39" i="21"/>
  <c r="C38" i="21"/>
  <c r="D37" i="21"/>
  <c r="D40" i="21"/>
  <c r="E39" i="21"/>
  <c r="F38" i="21"/>
  <c r="C37" i="21"/>
  <c r="F40" i="21"/>
  <c r="D38" i="21"/>
  <c r="C40" i="21"/>
  <c r="D39" i="21"/>
  <c r="E38" i="21"/>
  <c r="F37" i="21"/>
  <c r="C39" i="21"/>
  <c r="E37" i="21"/>
  <c r="D53" i="21"/>
  <c r="D90" i="64" s="1"/>
  <c r="D89" i="64"/>
  <c r="D113" i="69" s="1"/>
  <c r="F113" i="69" s="1"/>
  <c r="E36" i="21"/>
  <c r="E35" i="21"/>
  <c r="D88" i="64"/>
  <c r="D112" i="69" s="1"/>
  <c r="F112" i="69" s="1"/>
  <c r="D36" i="21"/>
  <c r="D35" i="21"/>
  <c r="D87" i="64"/>
  <c r="D111" i="69" s="1"/>
  <c r="F111" i="69" s="1"/>
  <c r="C36" i="21"/>
  <c r="C35" i="21"/>
  <c r="F36" i="21"/>
  <c r="F35" i="21"/>
  <c r="C25" i="20"/>
  <c r="D73" i="20"/>
  <c r="C200" i="20"/>
  <c r="D179" i="20"/>
  <c r="D75" i="64" s="1"/>
  <c r="D91" i="69" s="1"/>
  <c r="F91" i="69" s="1"/>
  <c r="D20" i="66" l="1"/>
  <c r="F20" i="66" s="1"/>
  <c r="D114" i="69"/>
  <c r="F114" i="69" s="1"/>
  <c r="F127" i="69" s="1"/>
  <c r="E45" i="20"/>
  <c r="F44" i="20"/>
  <c r="C43" i="20"/>
  <c r="D42" i="20"/>
  <c r="E41" i="20"/>
  <c r="F45" i="20"/>
  <c r="D43" i="20"/>
  <c r="F41" i="20"/>
  <c r="D45" i="20"/>
  <c r="E44" i="20"/>
  <c r="F43" i="20"/>
  <c r="C42" i="20"/>
  <c r="D41" i="20"/>
  <c r="C44" i="20"/>
  <c r="E42" i="20"/>
  <c r="C45" i="20"/>
  <c r="D44" i="20"/>
  <c r="E43" i="20"/>
  <c r="F42" i="20"/>
  <c r="C41" i="20"/>
  <c r="D77" i="20"/>
  <c r="D66" i="64" s="1"/>
  <c r="D82" i="69" s="1"/>
  <c r="F82" i="69" s="1"/>
  <c r="C202" i="20"/>
  <c r="C220" i="20"/>
  <c r="D225" i="20" s="1"/>
  <c r="D81" i="64" s="1"/>
  <c r="D97" i="69" s="1"/>
  <c r="F97" i="69" s="1"/>
  <c r="F73" i="20"/>
  <c r="C73" i="20"/>
  <c r="E73" i="20"/>
  <c r="F40" i="20"/>
  <c r="D62" i="64"/>
  <c r="D78" i="69" s="1"/>
  <c r="F78" i="69" s="1"/>
  <c r="E40" i="20"/>
  <c r="D60" i="64"/>
  <c r="D76" i="69" s="1"/>
  <c r="F76" i="69" s="1"/>
  <c r="D61" i="64"/>
  <c r="D77" i="69" s="1"/>
  <c r="F77" i="69" s="1"/>
  <c r="D40" i="20"/>
  <c r="C40" i="20"/>
  <c r="C103" i="20"/>
  <c r="D76" i="64"/>
  <c r="D92" i="69" s="1"/>
  <c r="F92" i="69" s="1"/>
  <c r="D18" i="66" l="1"/>
  <c r="F18" i="66" s="1"/>
  <c r="D78" i="20"/>
  <c r="D67" i="64" s="1"/>
  <c r="C206" i="20"/>
  <c r="C210" i="20" s="1"/>
  <c r="C212" i="20" s="1"/>
  <c r="C213" i="20" s="1"/>
  <c r="C215" i="20" s="1"/>
  <c r="D223" i="20"/>
  <c r="D79" i="64" s="1"/>
  <c r="D76" i="20"/>
  <c r="D65" i="64" s="1"/>
  <c r="D11" i="66"/>
  <c r="F11" i="66" s="1"/>
  <c r="C132" i="20"/>
  <c r="D137" i="20" s="1"/>
  <c r="D72" i="64" s="1"/>
  <c r="C105" i="20"/>
  <c r="C125" i="20" s="1"/>
  <c r="D135" i="20" s="1"/>
  <c r="D70" i="64" s="1"/>
  <c r="D86" i="69" s="1"/>
  <c r="F86" i="69" s="1"/>
  <c r="C130" i="20"/>
  <c r="D136" i="20" s="1"/>
  <c r="D71" i="64" s="1"/>
  <c r="D82" i="66" l="1"/>
  <c r="F82" i="66" s="1"/>
  <c r="D81" i="69"/>
  <c r="F81" i="69" s="1"/>
  <c r="D63" i="66"/>
  <c r="F63" i="66" s="1"/>
  <c r="D95" i="69"/>
  <c r="F95" i="69" s="1"/>
  <c r="D71" i="66"/>
  <c r="F71" i="66" s="1"/>
  <c r="D87" i="69"/>
  <c r="F87" i="69" s="1"/>
  <c r="D84" i="66"/>
  <c r="F84" i="66" s="1"/>
  <c r="D88" i="69"/>
  <c r="F88" i="69" s="1"/>
  <c r="D19" i="66"/>
  <c r="F19" i="66" s="1"/>
  <c r="D83" i="69"/>
  <c r="F83" i="69" s="1"/>
  <c r="D224" i="20"/>
  <c r="D80" i="64" s="1"/>
  <c r="D96" i="69" s="1"/>
  <c r="F96" i="69" s="1"/>
  <c r="D10" i="66"/>
  <c r="F10" i="66" s="1"/>
  <c r="D9" i="66"/>
  <c r="F9" i="66" s="1"/>
  <c r="D12" i="64"/>
  <c r="C42" i="1"/>
  <c r="D11" i="64"/>
  <c r="D11" i="69" s="1"/>
  <c r="F11" i="69" s="1"/>
  <c r="D13" i="64"/>
  <c r="F105" i="69" l="1"/>
  <c r="D89" i="66"/>
  <c r="F89" i="66" s="1"/>
  <c r="D13" i="69"/>
  <c r="F13" i="69" s="1"/>
  <c r="D93" i="66"/>
  <c r="F93" i="66" s="1"/>
  <c r="D12" i="69"/>
  <c r="F12" i="69" s="1"/>
  <c r="D61" i="66"/>
  <c r="F61" i="66" s="1"/>
  <c r="C44" i="1"/>
  <c r="D51" i="1" s="1"/>
  <c r="D10" i="64"/>
  <c r="D58" i="66" l="1"/>
  <c r="F58" i="66" s="1"/>
  <c r="D10" i="69"/>
  <c r="F10" i="69" s="1"/>
  <c r="D14" i="64"/>
  <c r="D80" i="66" l="1"/>
  <c r="F80" i="66" s="1"/>
  <c r="F145" i="66" s="1"/>
  <c r="D14" i="69"/>
  <c r="F14" i="69" s="1"/>
  <c r="F22" i="6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lucas.retondo lucas.retondo</author>
  </authors>
  <commentList>
    <comment ref="C24" authorId="0" shapeId="0" xr:uid="{00000000-0006-0000-0600-000001000000}">
      <text>
        <r>
          <rPr>
            <sz val="9"/>
            <color indexed="81"/>
            <rFont val="Segoe UI"/>
            <family val="2"/>
          </rPr>
          <t>(largura + argamassa) * (comprimento + argamassa)</t>
        </r>
      </text>
    </comment>
    <comment ref="C50" authorId="0" shapeId="0" xr:uid="{00000000-0006-0000-0600-000002000000}">
      <text>
        <r>
          <rPr>
            <sz val="9"/>
            <color indexed="81"/>
            <rFont val="Segoe UI"/>
            <family val="2"/>
          </rPr>
          <t>((largura + argamassa)*argamassa + comprimento*argamassa) * altura * quantidade</t>
        </r>
      </text>
    </comment>
    <comment ref="D105" authorId="0" shapeId="0" xr:uid="{00000000-0006-0000-0600-000003000000}">
      <text>
        <r>
          <rPr>
            <sz val="9"/>
            <color indexed="81"/>
            <rFont val="Segoe UI"/>
            <family val="2"/>
          </rPr>
          <t>1 metro / comprimento</t>
        </r>
      </text>
    </comment>
    <comment ref="E105" authorId="0" shapeId="0" xr:uid="{00000000-0006-0000-0600-000004000000}">
      <text>
        <r>
          <rPr>
            <sz val="9"/>
            <color indexed="81"/>
            <rFont val="Segoe UI"/>
            <family val="2"/>
          </rPr>
          <t>Largura * comprimento * altura</t>
        </r>
      </text>
    </comment>
  </commentList>
</comments>
</file>

<file path=xl/sharedStrings.xml><?xml version="1.0" encoding="utf-8"?>
<sst xmlns="http://schemas.openxmlformats.org/spreadsheetml/2006/main" count="7960" uniqueCount="1235">
  <si>
    <t>Parâmetro</t>
  </si>
  <si>
    <t>Qtd de tábuas</t>
  </si>
  <si>
    <t>Informe as medidas abaixo:</t>
  </si>
  <si>
    <t>O gabarito é um cercado de madeira construído com objetivo de auxiliar na marcação dos eixos das paredes e fundações.</t>
  </si>
  <si>
    <t>Gabarito da obra</t>
  </si>
  <si>
    <t>Lista de materiais</t>
  </si>
  <si>
    <t>Quantidade</t>
  </si>
  <si>
    <t>Estacas</t>
  </si>
  <si>
    <t>Pisos</t>
  </si>
  <si>
    <t>Portas</t>
  </si>
  <si>
    <t>Janelas</t>
  </si>
  <si>
    <t>Viga baldrame é uma fundação rasa de apoio. Ela é feita de concreto armado e tem formato retangular. A viga baldrame fica localiza abaixo do nível do solo e percorre todo o comprimento das paredes da construção.</t>
  </si>
  <si>
    <t>Viga Baldrame</t>
  </si>
  <si>
    <t>Altura</t>
  </si>
  <si>
    <t>Largura</t>
  </si>
  <si>
    <t>10mm (⅜'')</t>
  </si>
  <si>
    <t>Consumo prego por tábua</t>
  </si>
  <si>
    <t>Metragem total sarrafos</t>
  </si>
  <si>
    <t>Espaçamento sarrafo em metros</t>
  </si>
  <si>
    <t>Quantas tábuas por lado</t>
  </si>
  <si>
    <t>Quantidade de tábuas por lado</t>
  </si>
  <si>
    <t>4,2mm</t>
  </si>
  <si>
    <t>Metragem de aço do estribo</t>
  </si>
  <si>
    <t>Quantidade de estribos</t>
  </si>
  <si>
    <t>Metragem de aço de cada estribo</t>
  </si>
  <si>
    <t>Cálculo do aço para o estribo</t>
  </si>
  <si>
    <t>Metragem de aço da viga</t>
  </si>
  <si>
    <t>Cálculo do aço da viga</t>
  </si>
  <si>
    <t>Altura de concreto - 6cm</t>
  </si>
  <si>
    <t>Largura viga de concreto - 6cm</t>
  </si>
  <si>
    <t>Estribo</t>
  </si>
  <si>
    <t>Viga</t>
  </si>
  <si>
    <t>m3</t>
  </si>
  <si>
    <t>Pedra brita 1</t>
  </si>
  <si>
    <t>Areia média</t>
  </si>
  <si>
    <t>Saco 50kg</t>
  </si>
  <si>
    <t>Cimento CP III</t>
  </si>
  <si>
    <t>Aqui multiplicamos o volume calculado x o consumo da tabela anterior para saber quanto de material será necessário</t>
  </si>
  <si>
    <t>Água - litros</t>
  </si>
  <si>
    <t>Pedra - m3</t>
  </si>
  <si>
    <t>Areia - m3</t>
  </si>
  <si>
    <t>Cimento - 50kg</t>
  </si>
  <si>
    <t>Traço</t>
  </si>
  <si>
    <t>Consumo dos materiais</t>
  </si>
  <si>
    <t>Esta tabela nós temos quanto de cada material é necessário para fazer 1 m3 de concreto conforme o traço</t>
  </si>
  <si>
    <t>Consumo por m3 de concreto</t>
  </si>
  <si>
    <t>Unidade</t>
  </si>
  <si>
    <t>Linha de pedreiro lisa, 100 m</t>
  </si>
  <si>
    <t>unidade</t>
  </si>
  <si>
    <t>kg</t>
  </si>
  <si>
    <t>Peça</t>
  </si>
  <si>
    <t>Caibro madeira 6,5 x 6,5 cm bruto</t>
  </si>
  <si>
    <t>Cálculo da quantidade pregos e linha</t>
  </si>
  <si>
    <t>m</t>
  </si>
  <si>
    <t>Carretel</t>
  </si>
  <si>
    <t>Comprimento</t>
  </si>
  <si>
    <t>cm</t>
  </si>
  <si>
    <t>Traço do concreto feito na obra:</t>
  </si>
  <si>
    <t>Concreto usinado para vigas baldrames</t>
  </si>
  <si>
    <t>Volume pedra para lastro</t>
  </si>
  <si>
    <t>Altura do lastro de pedra</t>
  </si>
  <si>
    <t>Pedra brita 2 para lastro</t>
  </si>
  <si>
    <t>Quantidade de barras da armação:</t>
  </si>
  <si>
    <t>Distância entre os estribos:</t>
  </si>
  <si>
    <t>barras</t>
  </si>
  <si>
    <t>Largura da viga baldrame:</t>
  </si>
  <si>
    <t>Altura da viga baldrame:</t>
  </si>
  <si>
    <t>Metragem linear da viga baldrame:</t>
  </si>
  <si>
    <t>Comprimento da casa:</t>
  </si>
  <si>
    <t>Largura da casa:</t>
  </si>
  <si>
    <t>Barra de aço CA-25, 10mm (⅜'')</t>
  </si>
  <si>
    <t>Barra de aço CA-60, 4,2mm</t>
  </si>
  <si>
    <t>Quantidade de barras</t>
  </si>
  <si>
    <t>Cálculo arame e espaçadores</t>
  </si>
  <si>
    <t>Arame recozido BWG 18 (1,24mm)</t>
  </si>
  <si>
    <t>Quantidade de pregos</t>
  </si>
  <si>
    <t>Sarrafo madeira 2,3 x 10 cm bruto</t>
  </si>
  <si>
    <t>Tábua madeira 2,3 x 30 cm bruto</t>
  </si>
  <si>
    <t>Quantidade de cimento</t>
  </si>
  <si>
    <t>Litros</t>
  </si>
  <si>
    <r>
      <t>m</t>
    </r>
    <r>
      <rPr>
        <vertAlign val="superscript"/>
        <sz val="11"/>
        <rFont val="Calibri"/>
        <family val="2"/>
        <scheme val="minor"/>
      </rPr>
      <t>3</t>
    </r>
  </si>
  <si>
    <t>Vedacit Alvenarit para argamassa</t>
  </si>
  <si>
    <t>4,3 x 9 x 19 cm</t>
  </si>
  <si>
    <t>5,3 x 10 x 21 cm</t>
  </si>
  <si>
    <t>5 x 10 x 20 cm</t>
  </si>
  <si>
    <t>Cálculo da alvenaria de embasamento</t>
  </si>
  <si>
    <t>Caixa 12 kg</t>
  </si>
  <si>
    <t>Impermeabilizante Vedatop</t>
  </si>
  <si>
    <t>Broxa para pintura rústicas, 15 cm</t>
  </si>
  <si>
    <t>Sapata Isolada</t>
  </si>
  <si>
    <t>A sapata isolada é um dos tipos de fundação mais comum no Brasil. Elas são recomendadas para terrenos com solo firme e de boa resistência.</t>
  </si>
  <si>
    <t>Quantas tábuas de madeira</t>
  </si>
  <si>
    <t>unidades</t>
  </si>
  <si>
    <t>Quantidade de sapatas</t>
  </si>
  <si>
    <t>Inputs anteriores</t>
  </si>
  <si>
    <t>Metragem de aço do estribo total</t>
  </si>
  <si>
    <t>Metragem de aço do estribo por coluna</t>
  </si>
  <si>
    <t>Quantidade de estribos por coluna</t>
  </si>
  <si>
    <t>Metragem de todas as colunas</t>
  </si>
  <si>
    <t>Metragem de aço de cada coluna</t>
  </si>
  <si>
    <t>Cálculo do aço da coluna</t>
  </si>
  <si>
    <t>Coluna</t>
  </si>
  <si>
    <t>Metragem de todas das sapatas</t>
  </si>
  <si>
    <t>Metragem de aço comprimento</t>
  </si>
  <si>
    <t>Quantidade de barras comprimento</t>
  </si>
  <si>
    <t>Metragem de aço largura</t>
  </si>
  <si>
    <t>Quantidade de barras largura</t>
  </si>
  <si>
    <t>Armação de aço</t>
  </si>
  <si>
    <t>8mm (5/16'')</t>
  </si>
  <si>
    <t>Volume considerando topo</t>
  </si>
  <si>
    <t>Fator de redução topo</t>
  </si>
  <si>
    <t>Equação com largura</t>
  </si>
  <si>
    <t>Muito inclinado</t>
  </si>
  <si>
    <t>Volume todas as sapatas</t>
  </si>
  <si>
    <t>Inclinado</t>
  </si>
  <si>
    <t>Reto</t>
  </si>
  <si>
    <t>Tipo do topo</t>
  </si>
  <si>
    <t>A fundação com estacas é indicada para solos com pouco resistência, como aterros por exemplo. Nestes tipos de solo é necessário cavar muito para conseguir achar um solo firme para fazer as fundações.</t>
  </si>
  <si>
    <t>Cálculo do volume de concreto usinado</t>
  </si>
  <si>
    <t>Dimensões da viga de aço</t>
  </si>
  <si>
    <t>Cálculo da quantidade tábuas</t>
  </si>
  <si>
    <t>Cálculo da quantidade sarrafos</t>
  </si>
  <si>
    <t>Cálculo da quantidade pregos e arame</t>
  </si>
  <si>
    <t>Cálculo da quantidade de materiais</t>
  </si>
  <si>
    <t>Cálculo do volume de concreto magro para lastro</t>
  </si>
  <si>
    <t>Cálculo dos materiais do concreto feito na obra</t>
  </si>
  <si>
    <t>Largura da sapata isolada:</t>
  </si>
  <si>
    <t>Comprimento da sapata isolada:</t>
  </si>
  <si>
    <t>Altura da sapata isolada:</t>
  </si>
  <si>
    <t>Quantidade de sapatas:</t>
  </si>
  <si>
    <t>Concreto usinado para sapatas</t>
  </si>
  <si>
    <t>Tipo de armação de aço:</t>
  </si>
  <si>
    <t>Radier</t>
  </si>
  <si>
    <t>Gaiola</t>
  </si>
  <si>
    <t>Quantidade de barras conforme tipo</t>
  </si>
  <si>
    <t>Quantidade de estacas:</t>
  </si>
  <si>
    <t>Diâmetro das estacas:</t>
  </si>
  <si>
    <t>Profundidade das estacas:</t>
  </si>
  <si>
    <t>Volume todas as estacas</t>
  </si>
  <si>
    <t>Cálculo dos materiais</t>
  </si>
  <si>
    <t>Metragem de aço de cada estaca</t>
  </si>
  <si>
    <t>Metragem de todas as estacas</t>
  </si>
  <si>
    <t>Concreto usinado para radier</t>
  </si>
  <si>
    <t>Rolo</t>
  </si>
  <si>
    <t>10 x 10 cm</t>
  </si>
  <si>
    <t>15 x 15 cm</t>
  </si>
  <si>
    <t>20 x 20 cm</t>
  </si>
  <si>
    <t>Peça 2 x 3 m</t>
  </si>
  <si>
    <t>Tela de aço pesada 4,2 mm, 10 x 10 cm</t>
  </si>
  <si>
    <t>Tela de aço média 3,4 mm, 15 x 15 cm</t>
  </si>
  <si>
    <t>Tela de aço leve 3,4 mm, 20 x 20 cm</t>
  </si>
  <si>
    <t>Qual a espaçamento da malha de aço:</t>
  </si>
  <si>
    <t>Área da malha de aço</t>
  </si>
  <si>
    <t>Quantidade de malhas de aço</t>
  </si>
  <si>
    <t>Número de arranques:</t>
  </si>
  <si>
    <t>Volume concreto</t>
  </si>
  <si>
    <t>Volume por canaleta</t>
  </si>
  <si>
    <t>Quantidade de canaletas</t>
  </si>
  <si>
    <t>Rendimento (qtd/m)</t>
  </si>
  <si>
    <t>Canaleta</t>
  </si>
  <si>
    <t>Bloco</t>
  </si>
  <si>
    <t>Largura total</t>
  </si>
  <si>
    <t>Largura total das janelas</t>
  </si>
  <si>
    <t>Largura total das portas</t>
  </si>
  <si>
    <t>Aditivo plastificante Alvenarit</t>
  </si>
  <si>
    <t>Cimento CP II</t>
  </si>
  <si>
    <t>Aditivo - litros</t>
  </si>
  <si>
    <t>Esta tabela nós temos quanto de cada material é necessário para fazer 1 m³ de argamassa conforme o traço</t>
  </si>
  <si>
    <t>Consumo por m3 de argamassa</t>
  </si>
  <si>
    <t>Argamassa com aditivo</t>
  </si>
  <si>
    <t>Cal - 20kg</t>
  </si>
  <si>
    <t>Traço argamassa bloco concreto</t>
  </si>
  <si>
    <t>Traço argamassa tijolo cerâmico</t>
  </si>
  <si>
    <t>Volume de argamassa</t>
  </si>
  <si>
    <t>Volume argamassa (m3/m2)</t>
  </si>
  <si>
    <t>Área com perdas</t>
  </si>
  <si>
    <t>Qtd de tijolos</t>
  </si>
  <si>
    <t>Rendimento (qtd/m2)</t>
  </si>
  <si>
    <t>Área liquida da parede</t>
  </si>
  <si>
    <t>Áreas das janelas</t>
  </si>
  <si>
    <t>Área das portas</t>
  </si>
  <si>
    <t>Largura total m2</t>
  </si>
  <si>
    <t>Área Total</t>
  </si>
  <si>
    <t>Qtd</t>
  </si>
  <si>
    <t>Área m2</t>
  </si>
  <si>
    <t>Largura cm</t>
  </si>
  <si>
    <t>Altura cm</t>
  </si>
  <si>
    <t>Nesta etapa, a sua obra começa a ganhar forma de casa e você passa a ter uma noção melhor da disposição e tamanho dos cômodos com o levantamento das paredes.</t>
  </si>
  <si>
    <t>Cálculo da área da parede</t>
  </si>
  <si>
    <t>9 x 19 x 19 cm</t>
  </si>
  <si>
    <t>9 x 19 x 29 cm</t>
  </si>
  <si>
    <t>11,5 x 14 x 24 cm</t>
  </si>
  <si>
    <t>11,5 x 19 x 19 cm</t>
  </si>
  <si>
    <t>11,5 x 19 x 29 cm</t>
  </si>
  <si>
    <t>14 x 19 x 19 cm</t>
  </si>
  <si>
    <t>14 x 19 x 29 cm</t>
  </si>
  <si>
    <t>Medida bloco cerâmica de vedação</t>
  </si>
  <si>
    <t>Altura (pé direito):</t>
  </si>
  <si>
    <t>9 x 19 x 39 cm</t>
  </si>
  <si>
    <t>14 x 19 x 39 cm</t>
  </si>
  <si>
    <t>19 x 19 x 39 cm</t>
  </si>
  <si>
    <t>Medida bloco concreto vedação</t>
  </si>
  <si>
    <t>Medida do tijolo cerâmico:</t>
  </si>
  <si>
    <t>ATENÇÃO: ESTE CÁLCULO É VINCULADO A QUANTIDADE DE PORTAS E JANELAS</t>
  </si>
  <si>
    <t>Volume (m3/qtd)</t>
  </si>
  <si>
    <t>Cal hidratada para construção civil</t>
  </si>
  <si>
    <t>11,5 x 14 x 29 cm</t>
  </si>
  <si>
    <t>Paredes com Tijolo Cerâmicos</t>
  </si>
  <si>
    <t>Paredes com Blocos de Concreto</t>
  </si>
  <si>
    <t>Quantidade de blocos de concreto</t>
  </si>
  <si>
    <t>Quantidade de tijolos de cerâmica</t>
  </si>
  <si>
    <t>Colunas ou Pilares</t>
  </si>
  <si>
    <t>Cada coluna ou pilar é um bloco retangular ou cilíndrico feito de concreto armado dimensionado para suportar e distribuir o peso das vigas para as fundações.</t>
  </si>
  <si>
    <t>Peça 4,0m</t>
  </si>
  <si>
    <t>Peça 3,5m</t>
  </si>
  <si>
    <t>Área tábua</t>
  </si>
  <si>
    <t>Altura Tábua</t>
  </si>
  <si>
    <t>Altura Coluna</t>
  </si>
  <si>
    <t>Área tábua escolhida</t>
  </si>
  <si>
    <t>Dimensões da Coluna de aço</t>
  </si>
  <si>
    <t>Volume todas as colunas</t>
  </si>
  <si>
    <t>Quantidade de colunas</t>
  </si>
  <si>
    <t>Largura da coluna ou pilar:</t>
  </si>
  <si>
    <t>Comprimento da coluna ou pilar:</t>
  </si>
  <si>
    <t>Altura da coluna ou pilar:</t>
  </si>
  <si>
    <t>Origem do concreto:</t>
  </si>
  <si>
    <t>Cálculo do volume de pedra para lastro</t>
  </si>
  <si>
    <t>Medida do tijolo:</t>
  </si>
  <si>
    <t>Quantidade de tábuas total</t>
  </si>
  <si>
    <t>Quantidade de tábuas</t>
  </si>
  <si>
    <t>Diâmetro</t>
  </si>
  <si>
    <t>Espaçadores de ferragem</t>
  </si>
  <si>
    <t>Quantidade de sarrafos</t>
  </si>
  <si>
    <t>Quantidade de Vedacit Alvenarit Aditivo</t>
  </si>
  <si>
    <t>As vigas fazem parte da estrutura de concreto armado. Elas ficam apoiadas nas colunas e acima das paredes. Cada viga é um bloco retangular de concreto armado dimensionado para suportar e distribuir o peso da laje para as colunas.</t>
  </si>
  <si>
    <t>Largura da viga:</t>
  </si>
  <si>
    <t>Altura da viga:</t>
  </si>
  <si>
    <t>Metragem linear da viga:</t>
  </si>
  <si>
    <t>Concreto usinado para vigas</t>
  </si>
  <si>
    <t>Contrapiso</t>
  </si>
  <si>
    <t>O contrapiso é uma camada de argamassa com 2 a 5 cm de espessura. Ele é responsável por criar uma superfície regularizada e lisa para a instalação dos pisos.</t>
  </si>
  <si>
    <t>Espessura do contrapiso:</t>
  </si>
  <si>
    <t>Concreto usinado para contrapiso</t>
  </si>
  <si>
    <t>Laje</t>
  </si>
  <si>
    <t>A laje é a primeira cobertura da casa e o terceiro elemento da estrutura de concreto armado que dá sustentação para a casa. A laje é uma superfície plana dimensionada para suportar e distribuir o peso do telhado para as vigas.</t>
  </si>
  <si>
    <t>Área com redução de 100%</t>
  </si>
  <si>
    <t xml:space="preserve">Vazão grande (H16) </t>
  </si>
  <si>
    <t>EPS (isopor)</t>
  </si>
  <si>
    <t xml:space="preserve">Para piso (H12) </t>
  </si>
  <si>
    <t xml:space="preserve">Para forro (H8) </t>
  </si>
  <si>
    <t>Lajota cerâmica</t>
  </si>
  <si>
    <t>Laje treliçada vazão livre H16 cerâmica</t>
  </si>
  <si>
    <t>Largura do contrapiso:</t>
  </si>
  <si>
    <t>Largura da laje:</t>
  </si>
  <si>
    <t>Comprimento da laje:</t>
  </si>
  <si>
    <t>Espessura da laje</t>
  </si>
  <si>
    <t>Concreto usinado para laje</t>
  </si>
  <si>
    <t>Tipo da laje:</t>
  </si>
  <si>
    <t>Resistência da laje:</t>
  </si>
  <si>
    <t>Escolha do tipo de laje</t>
  </si>
  <si>
    <t xml:space="preserve">Lajota cerâmica.Para forro (H8) </t>
  </si>
  <si>
    <t xml:space="preserve">Lajota cerâmica.Para piso (H12) </t>
  </si>
  <si>
    <t xml:space="preserve">Lajota cerâmica.Vazão grande (H16) </t>
  </si>
  <si>
    <t xml:space="preserve">EPS (isopor).Para forro (H8) </t>
  </si>
  <si>
    <t xml:space="preserve">EPS (isopor).Para piso (H12) </t>
  </si>
  <si>
    <t xml:space="preserve">EPS (isopor).Vazão grande (H16) </t>
  </si>
  <si>
    <t>Laje treliçada para forro H8 cerâmica</t>
  </si>
  <si>
    <t>Laje treliçada para piso H12 cerâmica</t>
  </si>
  <si>
    <t>Laje treliçada para forro H8 isopor EPS</t>
  </si>
  <si>
    <t>Laje treliçada para piso H12 isopor EPS</t>
  </si>
  <si>
    <t>Escora de madeira 5 x 10 cm bruto</t>
  </si>
  <si>
    <t>As portas então entre os itens mais caros da construção. Elas desempenham uma função estética importante, mas também são responsáveis por permitir ou bloquear a entrada de pessoas, animais e veículos.</t>
  </si>
  <si>
    <t>Espuma expansiva</t>
  </si>
  <si>
    <t>Soleira para portas</t>
  </si>
  <si>
    <t>Tubo</t>
  </si>
  <si>
    <t>Dimensões das Portas</t>
  </si>
  <si>
    <t>As janelas então entre os itens mais caros da construção. Elas desempenham uma função estética importante, mas também são responsáveis por permitir ou bloquear a passagem de luz e ventilações nos ambientes.</t>
  </si>
  <si>
    <t>Peitoril para janela</t>
  </si>
  <si>
    <t>Metragem linear das paredes:</t>
  </si>
  <si>
    <t>Reboco</t>
  </si>
  <si>
    <t>Gesso</t>
  </si>
  <si>
    <t>Aditivo plastificante Bianco</t>
  </si>
  <si>
    <t>Argamassa reboco pronta</t>
  </si>
  <si>
    <t>Aditivo - kg</t>
  </si>
  <si>
    <t>Esta tabela nós temos quanto de cada material é necessário para fazer 1 m3 de argamassa conforme o traço</t>
  </si>
  <si>
    <t>Argamassa chapisco pronta</t>
  </si>
  <si>
    <t>Tipo de argamassa:</t>
  </si>
  <si>
    <t>Irá usar aditivo na argamassa:</t>
  </si>
  <si>
    <t>Cálculo dos materiais da argamassa feita na obra</t>
  </si>
  <si>
    <t>Cálculo dos materiais da argamassa feita na obra com aditivo</t>
  </si>
  <si>
    <t>Saco 20 kg</t>
  </si>
  <si>
    <t>Traço da argamassa feita na obra:</t>
  </si>
  <si>
    <t>Argamassa emboço pronta</t>
  </si>
  <si>
    <t>Argamassa pronta</t>
  </si>
  <si>
    <t>Quantidade kg de argamassa pronta</t>
  </si>
  <si>
    <t>Calcula fator de conversão do rendimento</t>
  </si>
  <si>
    <t>Quantidade de sacos de argamassa</t>
  </si>
  <si>
    <t>Medida</t>
  </si>
  <si>
    <t>m²</t>
  </si>
  <si>
    <t>Gesso liso aplicado</t>
  </si>
  <si>
    <t>Gesso em pó secagem rápida</t>
  </si>
  <si>
    <t>Cálculo do gesso feito na obra</t>
  </si>
  <si>
    <t>Tipo de gesso:</t>
  </si>
  <si>
    <t>Quantidade de sacos de gesso</t>
  </si>
  <si>
    <t>Largura do teto:</t>
  </si>
  <si>
    <t>Comprimento do teto:</t>
  </si>
  <si>
    <t>Escolha uma porta</t>
  </si>
  <si>
    <t>Modelos de portas internas</t>
  </si>
  <si>
    <t>Modelos de portas externas</t>
  </si>
  <si>
    <t>Modelo de porta</t>
  </si>
  <si>
    <t>Porta aço balcão, 217 x 120 cm</t>
  </si>
  <si>
    <t>Porta aço balcão, 217 x 160 cm</t>
  </si>
  <si>
    <t>Porta aço balcão, 217 x 200 cm</t>
  </si>
  <si>
    <t>Porta aço basculante, 215 x 84 cm</t>
  </si>
  <si>
    <t>Porta aço basculante, 215 x 88 cm</t>
  </si>
  <si>
    <t>Porta aço basculante, 217 x 87 cm</t>
  </si>
  <si>
    <t>Porta aço veneziana, 215 x 68 cm</t>
  </si>
  <si>
    <t>Porta aço veneziana, 215 x 74 cm</t>
  </si>
  <si>
    <t>Porta aço veneziana, 215 x 84 cm</t>
  </si>
  <si>
    <t>Porta aço veneziana, 215 x 88 cm</t>
  </si>
  <si>
    <t>Porta aço veneziana, 215 x 99 cm</t>
  </si>
  <si>
    <t>Porta aço veneziana, 217 x 67 cm</t>
  </si>
  <si>
    <t>Porta aço veneziana, 217 x 77 cm</t>
  </si>
  <si>
    <t>Porta aço veneziana, 217 x 87 cm</t>
  </si>
  <si>
    <t>Porta alumínio basculante, 210 x 80 cm</t>
  </si>
  <si>
    <t>Porta alumínio basculante, 210 x 86 cm</t>
  </si>
  <si>
    <t>Porta alumínio basculante, 210 x 90 cm</t>
  </si>
  <si>
    <t>Porta alumínio basculante, 215 x 80 cm</t>
  </si>
  <si>
    <t>Porta alumínio basculante, 215 x 88 cm</t>
  </si>
  <si>
    <t>Porta alumínio basculante, 215 x 90 cm</t>
  </si>
  <si>
    <t>Porta alumínio basculante, 216 x 88 cm</t>
  </si>
  <si>
    <t>Porta alumínio veneziana, 210 x 60 cm</t>
  </si>
  <si>
    <t>Porta alumínio veneziana, 210 x 66 cm</t>
  </si>
  <si>
    <t>Porta alumínio veneziana, 210 x 70 cm</t>
  </si>
  <si>
    <t>Porta alumínio veneziana, 210 x 76 cm</t>
  </si>
  <si>
    <t>Porta alumínio veneziana, 210 x 80 cm</t>
  </si>
  <si>
    <t>Porta alumínio veneziana, 210 x 86 cm</t>
  </si>
  <si>
    <t>Porta alumínio veneziana, 210 x 90 cm</t>
  </si>
  <si>
    <t>Porta alumínio veneziana, 215 x 68 cm</t>
  </si>
  <si>
    <t>Porta alumínio veneziana, 215 x 75 cm</t>
  </si>
  <si>
    <t>Porta alumínio veneziana, 215 x 77 cm</t>
  </si>
  <si>
    <t>Porta alumínio veneziana, 215 x 78 cm</t>
  </si>
  <si>
    <t>Porta alumínio veneziana, 215 x 85 cm</t>
  </si>
  <si>
    <t>Porta alumínio veneziana, 215 x 87 cm</t>
  </si>
  <si>
    <t>Porta alumínio veneziana, 215 x 90 cm</t>
  </si>
  <si>
    <t>Porta alumínio veneziana, 216 x 68 cm</t>
  </si>
  <si>
    <t>Porta alumínio veneziana, 216 x 78 cm</t>
  </si>
  <si>
    <t>Porta alumínio veneziana, 216 x 88 cm</t>
  </si>
  <si>
    <t>Porta alumínio veneziana, 217 x 88 cm</t>
  </si>
  <si>
    <t>Qtd total</t>
  </si>
  <si>
    <t>Espuma</t>
  </si>
  <si>
    <t>Kit porta de madeira</t>
  </si>
  <si>
    <t>Lista portas escolhidas</t>
  </si>
  <si>
    <t>Kit de instalação de porta de madeira</t>
  </si>
  <si>
    <t>Ripas</t>
  </si>
  <si>
    <t xml:space="preserve">Caibros </t>
  </si>
  <si>
    <t>Terças</t>
  </si>
  <si>
    <t>diagonais (d) (para 1 tesoura)</t>
  </si>
  <si>
    <t>pendurais laterais (v)(para 1 tesoura)</t>
  </si>
  <si>
    <t>empena (c) (para 1 tesoura)</t>
  </si>
  <si>
    <t>pendural central (p) (para 1 tesoura)</t>
  </si>
  <si>
    <t>Tirante (2m) (para 1 tesoura)</t>
  </si>
  <si>
    <t>d1</t>
  </si>
  <si>
    <t>v1</t>
  </si>
  <si>
    <t>c</t>
  </si>
  <si>
    <t>b (2m)</t>
  </si>
  <si>
    <t>p</t>
  </si>
  <si>
    <t>Inclinação</t>
  </si>
  <si>
    <t>concreto</t>
  </si>
  <si>
    <t>Telha concreto</t>
  </si>
  <si>
    <t>cerâmica</t>
  </si>
  <si>
    <t>Telha cerâmica romana</t>
  </si>
  <si>
    <t>Telha cerâmica portuguesa</t>
  </si>
  <si>
    <t>Telha cerâmica plan</t>
  </si>
  <si>
    <t>Telha cerâmica paulistinha</t>
  </si>
  <si>
    <t>Telha cerâmica mediterrânea</t>
  </si>
  <si>
    <t>Telha cerâmica italiana</t>
  </si>
  <si>
    <t>Telha cerâmica francesa</t>
  </si>
  <si>
    <t>Telha cerâmica espanhola</t>
  </si>
  <si>
    <t>Telha cerâmica colonial</t>
  </si>
  <si>
    <t>Telha cerâmica classic argila</t>
  </si>
  <si>
    <t>Telha cerâmica americana</t>
  </si>
  <si>
    <t>Material</t>
  </si>
  <si>
    <t>F.corr</t>
  </si>
  <si>
    <t>QTD/m²</t>
  </si>
  <si>
    <t>Galga</t>
  </si>
  <si>
    <t>Tipo de telha</t>
  </si>
  <si>
    <t>Quantidade de cummeiras</t>
  </si>
  <si>
    <t>Quantidade de telhas</t>
  </si>
  <si>
    <t>Fator de correção</t>
  </si>
  <si>
    <t xml:space="preserve">Fundo Preparador </t>
  </si>
  <si>
    <t>rendimento para 2 demãos</t>
  </si>
  <si>
    <t>Qtd de fundo</t>
  </si>
  <si>
    <t>Rendimento (L/m2)</t>
  </si>
  <si>
    <t>Tipo de tinta</t>
  </si>
  <si>
    <t>Qtd de tinta</t>
  </si>
  <si>
    <t>Quantidade de juntas</t>
  </si>
  <si>
    <t>Blocos de concreto</t>
  </si>
  <si>
    <t>Rejunte epóxi</t>
  </si>
  <si>
    <t>Pastilhas</t>
  </si>
  <si>
    <t>Área da peça</t>
  </si>
  <si>
    <t>Rejunte acrílico</t>
  </si>
  <si>
    <t>Rendimento rejunte acrílico (kg/m²)</t>
  </si>
  <si>
    <t>Rejunte cimentício</t>
  </si>
  <si>
    <t>Rendimento rejunte cimentício (kg/m²)</t>
  </si>
  <si>
    <t>Argamassa colante AC-III</t>
  </si>
  <si>
    <t>Argamassa colante AC-II</t>
  </si>
  <si>
    <t>Quantidade de peças</t>
  </si>
  <si>
    <t>Janela madeira abrir maxim-air, 100 x 60 cm</t>
  </si>
  <si>
    <t>Janela madeira abrir maxim-air, 100 x 80 cm</t>
  </si>
  <si>
    <t>Janela madeira abrir maxim-air, 120 x 140 cm</t>
  </si>
  <si>
    <t>Janela madeira abrir maxim-air, 60 x 100 cm</t>
  </si>
  <si>
    <t>Janela madeira abrir maxim-air, 60 x 120 cm</t>
  </si>
  <si>
    <t>Janela madeira abrir maxim-air, 60 x 60 cm</t>
  </si>
  <si>
    <t>Janela madeira abrir maxim-air, 60 x 80 cm</t>
  </si>
  <si>
    <t>Janela madeira abrir maxim-air, 80 x 100 cm</t>
  </si>
  <si>
    <t>Janela madeira abrir maxim-air, 80 x 120 cm</t>
  </si>
  <si>
    <t>Janela madeira abrir maxim-air, 80 x 140 cm</t>
  </si>
  <si>
    <t>Janela madeira abrir maxim-air, 80 x 60 cm</t>
  </si>
  <si>
    <t>Janela madeira abrir maxim-air, 80 x 80 cm</t>
  </si>
  <si>
    <t>Janela madeira pivotante, 100 x 40 cm</t>
  </si>
  <si>
    <t>Janela madeira pivotante, 100 x 45 cm</t>
  </si>
  <si>
    <t>Janela madeira pivotante, 110 x 50 cm</t>
  </si>
  <si>
    <t>Janela madeira pivotante, 120 x 40 cm</t>
  </si>
  <si>
    <t>Janela madeira pivotante, 140 x 45 cm</t>
  </si>
  <si>
    <t>Janela madeira pivotante, 80 x 40 cm</t>
  </si>
  <si>
    <t>Janela madeira pivotante, 80 x 50 cm</t>
  </si>
  <si>
    <t>Janela vidro de correr, 100 x 100 cm</t>
  </si>
  <si>
    <t>Janela vidro de correr, 100 x 120 cm</t>
  </si>
  <si>
    <t>Janela vidro de correr, 100 x 160 cm</t>
  </si>
  <si>
    <t>Janela vidro de correr, 100 x 200 cm</t>
  </si>
  <si>
    <t>Janela vidro de correr, 120 x 120 cm</t>
  </si>
  <si>
    <t>Janela vidro de correr, 120 x 160 cm</t>
  </si>
  <si>
    <t>Janela vidro de correr, 120 x 200 cm</t>
  </si>
  <si>
    <t>Modelos de janelas</t>
  </si>
  <si>
    <t>Kit janela de madeira</t>
  </si>
  <si>
    <t>Kit de instalação de janela de madeira</t>
  </si>
  <si>
    <t>Largura do telhado exposto:</t>
  </si>
  <si>
    <t>Comprimento do telhado exposto:</t>
  </si>
  <si>
    <t>Tipo de telha:</t>
  </si>
  <si>
    <t>Parâmetros da estrutura do telhado</t>
  </si>
  <si>
    <t>Telhado exposto</t>
  </si>
  <si>
    <t>O telhado exposto é aquele que você consegue ver as telhas ao olhar para a casa. Graças a diversidade de cores e formatos das telhas, o telhado exposto acaba se tornando um item decorativo do imóvel.</t>
  </si>
  <si>
    <t>Galga (cm)</t>
  </si>
  <si>
    <t>Inclinação (%)</t>
  </si>
  <si>
    <t>Cálculo da área da parede externa</t>
  </si>
  <si>
    <t>Cálculo da área da parede interna</t>
  </si>
  <si>
    <t>Revestimento da superfície:</t>
  </si>
  <si>
    <t>Tipo de tinta:</t>
  </si>
  <si>
    <t>Qtd Interno</t>
  </si>
  <si>
    <t>Área Interna</t>
  </si>
  <si>
    <t>Qtd Externa</t>
  </si>
  <si>
    <t>Área Externa</t>
  </si>
  <si>
    <t>Quantidade de demãos:</t>
  </si>
  <si>
    <t>Qtd de tinta x demãos</t>
  </si>
  <si>
    <t>acrílico acetinado</t>
  </si>
  <si>
    <t>acrílico fosco</t>
  </si>
  <si>
    <t>acrílico semi-brilho</t>
  </si>
  <si>
    <t>acrílico rende mais</t>
  </si>
  <si>
    <t>Fundo preparador</t>
  </si>
  <si>
    <t>Pintura</t>
  </si>
  <si>
    <t>Cálculo da área do teto</t>
  </si>
  <si>
    <t>A pintura de casa consiste na aplicação de tintas nas paredes, pisos, portas, janelas, entre outras partes. Normalmente a pintura das paredes é uma das últimas etapas da obra.</t>
  </si>
  <si>
    <t>Calçada</t>
  </si>
  <si>
    <t>Largura do calçada:</t>
  </si>
  <si>
    <t>Espessura do calçada:</t>
  </si>
  <si>
    <t>Cálculo da quantidade tábuas para juntas da calçada</t>
  </si>
  <si>
    <t>Comprimento do calçada:</t>
  </si>
  <si>
    <t>Espaçamentos da juntas</t>
  </si>
  <si>
    <t>Laje treliçada vazão livre H16 isopor EPS</t>
  </si>
  <si>
    <t>Cálculo da quantidade de malhas de aço</t>
  </si>
  <si>
    <t xml:space="preserve">Calçadas são as faixas do terreno onde pessoas e animais transitam. A calçada pertence a prefeitura, mas deve ser construída e conservada pelo dono do terreno. </t>
  </si>
  <si>
    <t>Cálculo da quantidade escoras</t>
  </si>
  <si>
    <t>Metragem linear do muro:</t>
  </si>
  <si>
    <t>Altura do muro:</t>
  </si>
  <si>
    <t>Medida do portão de carros:</t>
  </si>
  <si>
    <t>Portão carro</t>
  </si>
  <si>
    <t>Portão social</t>
  </si>
  <si>
    <t>Espaçamento entre cintas de amarração</t>
  </si>
  <si>
    <t>Quantidade de cintas de amarração</t>
  </si>
  <si>
    <t>Áreas da portão social</t>
  </si>
  <si>
    <t>Área do portão para carros</t>
  </si>
  <si>
    <t>Cálculo da área da muro</t>
  </si>
  <si>
    <t>Área liquida da muro</t>
  </si>
  <si>
    <t>Medida do bloco de concreto:</t>
  </si>
  <si>
    <t>Quantidade de rolo</t>
  </si>
  <si>
    <t>Quantidade de pincel</t>
  </si>
  <si>
    <t>Quantidade de fita crepe</t>
  </si>
  <si>
    <t>Quantidade de lixa</t>
  </si>
  <si>
    <t>Rolo para pintura</t>
  </si>
  <si>
    <t>Pincel para pintura</t>
  </si>
  <si>
    <t>Lixa para parede</t>
  </si>
  <si>
    <t>Metro Linear</t>
  </si>
  <si>
    <t>Cálculos quantidade de pregos</t>
  </si>
  <si>
    <t>Medida da portão social:</t>
  </si>
  <si>
    <t>O muro é a parede que separa o terreno da sua casa dos vizinhos e da rua. Serve de barreira e também como um mecanismo de privacidade e proteção para sua família.</t>
  </si>
  <si>
    <t xml:space="preserve">O gesso liso aplicado vem ganhando cada vez mais espaço no mercado devido a sua versatilidade e rapidez. Na maioria das vezes ele é aplicado diretamente na alvenaria por uma empresa especializada. </t>
  </si>
  <si>
    <t xml:space="preserve">O reboco é uma superfície lisa e impermeabilizante que cobre as paredes e tetos. Ele tem cerca de 2cm de espessura e é feito com uma argamassa composta por cimento, areia fina, cal ou aditivo. </t>
  </si>
  <si>
    <t>Piso cimentício</t>
  </si>
  <si>
    <t>Porcelanato</t>
  </si>
  <si>
    <t>Piso Cerâmico</t>
  </si>
  <si>
    <t>Quantidade rejunte cimentício sacos</t>
  </si>
  <si>
    <t>Quantidade rejunte cimentício kg</t>
  </si>
  <si>
    <t>Cálculo quantidade de rejunte</t>
  </si>
  <si>
    <t>AC I</t>
  </si>
  <si>
    <t>Piso cerâmico</t>
  </si>
  <si>
    <t>Tipo argamassa</t>
  </si>
  <si>
    <t>Quantidade argamassa sacos</t>
  </si>
  <si>
    <t>Quantidade argamassa kg</t>
  </si>
  <si>
    <t>Rendimento argamassa</t>
  </si>
  <si>
    <t>Cálculo quantidade de argamassa</t>
  </si>
  <si>
    <t>Comprimento peça (cm)</t>
  </si>
  <si>
    <t>Largura peça (cm)</t>
  </si>
  <si>
    <t>Pisos ambiente interno seco</t>
  </si>
  <si>
    <t>Pisos ambiente interno úmido</t>
  </si>
  <si>
    <t>Argamassa colante AC-I</t>
  </si>
  <si>
    <t>Quantidade rejunte acrílico kg</t>
  </si>
  <si>
    <t>Quantidade rejunte acrílico sacos</t>
  </si>
  <si>
    <t>Saco 5 kg</t>
  </si>
  <si>
    <t>Pisos ambiente externo seco</t>
  </si>
  <si>
    <t>AC II</t>
  </si>
  <si>
    <t>Pisos ambiente externo úmido</t>
  </si>
  <si>
    <t>Rendimento rejunte epóxi (kg/m²)</t>
  </si>
  <si>
    <t>Quantidade rejunte epóxi kg</t>
  </si>
  <si>
    <t>Quantidade rejunte epóxi sacos</t>
  </si>
  <si>
    <t>Os pisos são as peças utilizadas para revestir o contrapiso ou chão. Não precisamos nem dizer o quanto eles impactam no design da casa. Felizmente existem hoje muitos tipos e modelos de pisos.</t>
  </si>
  <si>
    <t xml:space="preserve">Os revestimentos são os azulejos, porcelanatos, cerâmicas, pastilhas e pedras utilizadas para revestir as paredes. Não precisamos nem dizer o quanto eles impactam na estética e estilo da casa. </t>
  </si>
  <si>
    <t>Revestimentos</t>
  </si>
  <si>
    <t>Revestimentos ambiente interno seco</t>
  </si>
  <si>
    <t>Revestimentos ambiente interno úmido</t>
  </si>
  <si>
    <t>Revestimentos ambiente externo seco</t>
  </si>
  <si>
    <t>Revestimentos ambiente externo úmido</t>
  </si>
  <si>
    <t>Azulejos</t>
  </si>
  <si>
    <t>Área m²</t>
  </si>
  <si>
    <t>ATENÇÃO: ESTE CÁLCULO É VINCULADO AS MEDIDAS DAS COLUNAS OU PILARES</t>
  </si>
  <si>
    <t>Muro com Tijolos Cerâmicos</t>
  </si>
  <si>
    <t>Cálculo da quantidade cal para marcação</t>
  </si>
  <si>
    <t>Lista de materiais por etapa</t>
  </si>
  <si>
    <t>Concreto da viga baldrame</t>
  </si>
  <si>
    <t>Concreto das sapatas isoladas</t>
  </si>
  <si>
    <t>Concreto e lastro das estacas</t>
  </si>
  <si>
    <t>Madeiramento do gabarito da obra</t>
  </si>
  <si>
    <t>Concreto magro usado como lastro</t>
  </si>
  <si>
    <t>Armações de aço da viga baldrame</t>
  </si>
  <si>
    <t>Armações de aço das estacas</t>
  </si>
  <si>
    <t>Armações de aço das colunas de arranque</t>
  </si>
  <si>
    <t>Fôrmas de madeira da viga baldrame</t>
  </si>
  <si>
    <t>Fôrmas de madeira das sapatas isoladas</t>
  </si>
  <si>
    <t>Armações de aço das sapatas isoladas</t>
  </si>
  <si>
    <t>Vergas e contravergas</t>
  </si>
  <si>
    <t>Concreto das colunas ou pilares</t>
  </si>
  <si>
    <t>Armações de aço das colunas ou pilares</t>
  </si>
  <si>
    <t>Fôrmas de madeira das colunas ou pilares</t>
  </si>
  <si>
    <t>Concreto das vigas</t>
  </si>
  <si>
    <t>Fôrmas de madeira das vigas</t>
  </si>
  <si>
    <t>Armações de aço das vigas</t>
  </si>
  <si>
    <t>Concreto da laje</t>
  </si>
  <si>
    <t>Malha de aço da laje</t>
  </si>
  <si>
    <t>Fôrmas de madeira da laje</t>
  </si>
  <si>
    <t>Escoras de madeira da laje</t>
  </si>
  <si>
    <t>Argamassa do chapisco das paredes internas</t>
  </si>
  <si>
    <t>Argamassa do emboço das paredes internas</t>
  </si>
  <si>
    <t>Argamassa do reboco das paredes internas</t>
  </si>
  <si>
    <t>Argamassa do chapisco das paredes externas</t>
  </si>
  <si>
    <t>Argamassa do emboço das paredes externas</t>
  </si>
  <si>
    <t>Argamassa do reboco das paredes externas</t>
  </si>
  <si>
    <t>Argamassa do chapisco das teto</t>
  </si>
  <si>
    <t>Argamassa do emboço das teto</t>
  </si>
  <si>
    <t>Argamassa do reboco das teto</t>
  </si>
  <si>
    <t>Gesso das paredes internas</t>
  </si>
  <si>
    <t>Gesso do teto</t>
  </si>
  <si>
    <t>Telhas e madeiramento do telhado exposto</t>
  </si>
  <si>
    <t>Pintura das paredes internas</t>
  </si>
  <si>
    <t>Pintura das paredes externas</t>
  </si>
  <si>
    <t>Pintura do teto</t>
  </si>
  <si>
    <t>Fundação de estacas do muro</t>
  </si>
  <si>
    <t>Concreto da viga baldrame do muro</t>
  </si>
  <si>
    <t>Concreto magro usado no lastro</t>
  </si>
  <si>
    <t>Armações de aço da viga baldrame do muro</t>
  </si>
  <si>
    <t>Fôrmas de madeira da viga baldrame do muro</t>
  </si>
  <si>
    <t>Impermeabilização da viga baldrame do muro</t>
  </si>
  <si>
    <t>Tijolos cerâmicos e argamassa do muro</t>
  </si>
  <si>
    <t>Cintas de amarração do muro</t>
  </si>
  <si>
    <t>Argamassa do chapisco do muro</t>
  </si>
  <si>
    <t>Argamassa do emboço do muro</t>
  </si>
  <si>
    <t>Argamassa do reboco do muro</t>
  </si>
  <si>
    <t>Pintura do muro</t>
  </si>
  <si>
    <t>Blocos de concreto e argamassa do muro</t>
  </si>
  <si>
    <t>Tijolos cerâmicos</t>
  </si>
  <si>
    <t>Argamassa</t>
  </si>
  <si>
    <t>Janelas e materias para instalação</t>
  </si>
  <si>
    <t>Concreto usinado para estaca</t>
  </si>
  <si>
    <t>Muro com Blocos de Concreto</t>
  </si>
  <si>
    <t>Concreto usinado para pilares</t>
  </si>
  <si>
    <t>Cálculo da quantidade tabeiras</t>
  </si>
  <si>
    <t>Cálculo da quantidade de pontaletes</t>
  </si>
  <si>
    <t>Dimensões da coluna de aço arranque</t>
  </si>
  <si>
    <t>Dimensões da sapata radier</t>
  </si>
  <si>
    <t>Dimensões da sapata gaiola</t>
  </si>
  <si>
    <t>Cálculo do volume de concreto</t>
  </si>
  <si>
    <t>Cálculo das armações de aço</t>
  </si>
  <si>
    <t>Cálculo da verga e contraverga</t>
  </si>
  <si>
    <t>Cálculo da área de argamassa chapisco</t>
  </si>
  <si>
    <t>Cálculo da área de argamassa emboço</t>
  </si>
  <si>
    <t>Cálculo da área de argamassa reboco</t>
  </si>
  <si>
    <t>Cálculo da área de gesso</t>
  </si>
  <si>
    <t>Cálculos internos da telhas</t>
  </si>
  <si>
    <t>Cálculos para tesoura de 1 diagonal e 1 pendural</t>
  </si>
  <si>
    <t>Cálculo da cinta de amarração</t>
  </si>
  <si>
    <t>Cálculo da armação de aço</t>
  </si>
  <si>
    <t>Dimensões da coluna de aço</t>
  </si>
  <si>
    <t>Perímetro gabarito + % perdas</t>
  </si>
  <si>
    <t>Peça 3,0 m</t>
  </si>
  <si>
    <t>Volume da viga + % perdas</t>
  </si>
  <si>
    <t>Quantidade de pregos + % perdas</t>
  </si>
  <si>
    <t>Quantidade de arame + % perdas</t>
  </si>
  <si>
    <t>Percentual de perdas:</t>
  </si>
  <si>
    <t>Largura (cm)</t>
  </si>
  <si>
    <t>Altura (cm)</t>
  </si>
  <si>
    <t>Comprimento (cm)</t>
  </si>
  <si>
    <t>Diâmetro (mm)</t>
  </si>
  <si>
    <t>Metragem + % perdas</t>
  </si>
  <si>
    <t>Quantidade de espaçadores  + % perdas</t>
  </si>
  <si>
    <t>Metragem + % de perdas</t>
  </si>
  <si>
    <t>Metragem de aço do estribo por coluna (m)</t>
  </si>
  <si>
    <t>Etapas da obra</t>
  </si>
  <si>
    <t>Ir para calculadora</t>
  </si>
  <si>
    <t>1. Gabarito</t>
  </si>
  <si>
    <t>2. Viga Baldrame</t>
  </si>
  <si>
    <t>3. Sapata Isolada</t>
  </si>
  <si>
    <t>4. Estacas</t>
  </si>
  <si>
    <t>Premissa global</t>
  </si>
  <si>
    <t>Viga madeira 5 x 15 cm bruto</t>
  </si>
  <si>
    <t>Viga madeira 5 x 11 cm bruto</t>
  </si>
  <si>
    <t>Caibro madeira 5 x 7 cm bruto</t>
  </si>
  <si>
    <t>Ripa madeira 1,5 x 5 cm bruto</t>
  </si>
  <si>
    <t>Prego aço polido c/ cabeça 17 x 27</t>
  </si>
  <si>
    <t>Sarrafo madeira 2,3 x 7 cm bruto</t>
  </si>
  <si>
    <t>Espaçador nivelador</t>
  </si>
  <si>
    <t>Colunas ou pilares do muro</t>
  </si>
  <si>
    <t>Pacote 50 pç</t>
  </si>
  <si>
    <t>Rolo 1 kg</t>
  </si>
  <si>
    <t>Barra 12 m</t>
  </si>
  <si>
    <t>m2</t>
  </si>
  <si>
    <t>peças</t>
  </si>
  <si>
    <t>Quantidade de pontaletes</t>
  </si>
  <si>
    <t>Perímetro gabarito</t>
  </si>
  <si>
    <t>Área do gabarito</t>
  </si>
  <si>
    <t>Espaçamento do gabarito</t>
  </si>
  <si>
    <t>Tamanho das tábuas</t>
  </si>
  <si>
    <t>kg/m</t>
  </si>
  <si>
    <t>Consumo linha por metro</t>
  </si>
  <si>
    <t>Consumo prego por metro</t>
  </si>
  <si>
    <t>Quantidade de preço</t>
  </si>
  <si>
    <t>Quantidade de linha de pedreiro</t>
  </si>
  <si>
    <t>Tamanho saco de cal</t>
  </si>
  <si>
    <t>Sacos</t>
  </si>
  <si>
    <t>Consumo cal por metro</t>
  </si>
  <si>
    <t>Quantidade de cal</t>
  </si>
  <si>
    <t>Quantidade sacos de cal</t>
  </si>
  <si>
    <t>Volume da viga</t>
  </si>
  <si>
    <t>Área da viga baldrame</t>
  </si>
  <si>
    <t>Volume da viga baldrame</t>
  </si>
  <si>
    <t>mm</t>
  </si>
  <si>
    <t>Tamanho da barra de aço</t>
  </si>
  <si>
    <t>Metragem de aço do estribo + perdas</t>
  </si>
  <si>
    <t>Consumo de arame</t>
  </si>
  <si>
    <t>peças/m</t>
  </si>
  <si>
    <t>Consumo de espaçadores</t>
  </si>
  <si>
    <t>Tamanho dobra do estribo</t>
  </si>
  <si>
    <t>Espaçamento entre os pontaletes</t>
  </si>
  <si>
    <t>Tamanho do arranque</t>
  </si>
  <si>
    <t>Quantidade de tábuas total + % perdas</t>
  </si>
  <si>
    <t>Metragem total sarrafos + % perdas</t>
  </si>
  <si>
    <t>Tamanho dos sarrafos</t>
  </si>
  <si>
    <t>Consumo de cimento</t>
  </si>
  <si>
    <t>Tijolos:</t>
  </si>
  <si>
    <t>Quantidade de cimento + % perdas</t>
  </si>
  <si>
    <t>Saco 50 kg/m</t>
  </si>
  <si>
    <t>Consumo areia média</t>
  </si>
  <si>
    <t>Consumo tijolo</t>
  </si>
  <si>
    <t>Consumo Vedacit Alvenarit Aditivo</t>
  </si>
  <si>
    <t>m3/m</t>
  </si>
  <si>
    <t>Quantidade de Vedacit + % perdas</t>
  </si>
  <si>
    <t>Quantidade de tijolos</t>
  </si>
  <si>
    <t>Quantidade de tijolos + % perdas</t>
  </si>
  <si>
    <t>litros/sacos</t>
  </si>
  <si>
    <t>litros</t>
  </si>
  <si>
    <t>Sacos 50 kg</t>
  </si>
  <si>
    <t>Consumo impermeabilizante Vedatop</t>
  </si>
  <si>
    <t>Quantidade impermeabilizante Vedatop</t>
  </si>
  <si>
    <t>Caixas 12 kg</t>
  </si>
  <si>
    <t>Quantidade Vedatop + % perdas</t>
  </si>
  <si>
    <t>Quantidade de areia média</t>
  </si>
  <si>
    <t>Quantidade de areia média + % perdas</t>
  </si>
  <si>
    <t>Quantidade de brocha</t>
  </si>
  <si>
    <t>Fator de redução</t>
  </si>
  <si>
    <t>Área da sapata</t>
  </si>
  <si>
    <t>Volume de cada sapata</t>
  </si>
  <si>
    <t>Volume concreto + % perdas</t>
  </si>
  <si>
    <t>Volume para cada sapata</t>
  </si>
  <si>
    <t>Volume total</t>
  </si>
  <si>
    <t>Volume total + % perdas</t>
  </si>
  <si>
    <t>Tipos:</t>
  </si>
  <si>
    <t>Medidas:</t>
  </si>
  <si>
    <t>Espaçamento barras</t>
  </si>
  <si>
    <t>Metragem de todas + % perdas</t>
  </si>
  <si>
    <t>Metragem de aço + % de perdas</t>
  </si>
  <si>
    <t>Área de cada sapata</t>
  </si>
  <si>
    <t>Área total</t>
  </si>
  <si>
    <t>Área total + % perdas</t>
  </si>
  <si>
    <t>Consumo de tábuas</t>
  </si>
  <si>
    <t>Consumo sarrafo por tábua</t>
  </si>
  <si>
    <t>Comprimento do sarrafo</t>
  </si>
  <si>
    <t>Cálculo da quantidade pregos</t>
  </si>
  <si>
    <t>Área da broca</t>
  </si>
  <si>
    <t>Volume de cada broca</t>
  </si>
  <si>
    <t>Volume todas as estacas + % perdas</t>
  </si>
  <si>
    <t>Volume pedra para lastro + % perdas</t>
  </si>
  <si>
    <t>Metragem de todas as estacas + perdas</t>
  </si>
  <si>
    <t>kg/m2</t>
  </si>
  <si>
    <t>Espaçamento sarrafo</t>
  </si>
  <si>
    <t>Área bruta da parede</t>
  </si>
  <si>
    <t>Área liquida da parede + % perdas</t>
  </si>
  <si>
    <t>Largura total com sobras</t>
  </si>
  <si>
    <t>Largura total com sobras + % perdas</t>
  </si>
  <si>
    <t>Bloco relacionado</t>
  </si>
  <si>
    <t>Rendimento canaletas</t>
  </si>
  <si>
    <t>Quantidade de barras de aço</t>
  </si>
  <si>
    <t>Barras de aço por verga ou contraverga</t>
  </si>
  <si>
    <t>Rendimento da argamassa</t>
  </si>
  <si>
    <t>Área da coluna</t>
  </si>
  <si>
    <t>Volume de cada coluna</t>
  </si>
  <si>
    <t>Volume todas as colunas + % perdas</t>
  </si>
  <si>
    <t>Metragem de aço do estribo + % perdas</t>
  </si>
  <si>
    <t>Tamanho peça</t>
  </si>
  <si>
    <t>Área da parede da tábua</t>
  </si>
  <si>
    <t>Quantidade de tábuas por coluna</t>
  </si>
  <si>
    <t>Área total das tábuas</t>
  </si>
  <si>
    <t>Área total das tábuas + % perdas</t>
  </si>
  <si>
    <t>Quantidade de sarrafos por tábua</t>
  </si>
  <si>
    <t>Quantidade de sarrafos total</t>
  </si>
  <si>
    <t>Área da viga</t>
  </si>
  <si>
    <t>Área do contrapiso</t>
  </si>
  <si>
    <t>Área da laje</t>
  </si>
  <si>
    <t>Volume concreto laje</t>
  </si>
  <si>
    <t>Volume penetração</t>
  </si>
  <si>
    <t>Percentual de penetração</t>
  </si>
  <si>
    <t>Tipo</t>
  </si>
  <si>
    <t>Resistência</t>
  </si>
  <si>
    <t>Chave</t>
  </si>
  <si>
    <t>Área a laje * % perdas</t>
  </si>
  <si>
    <t>Perímetro da laje</t>
  </si>
  <si>
    <t>Perímetro da laje + % perdas</t>
  </si>
  <si>
    <t>Espaçamento escoras</t>
  </si>
  <si>
    <t>Quantidade de tábuas + % perdas</t>
  </si>
  <si>
    <t>Consumo de escoras</t>
  </si>
  <si>
    <t>Área bruta da chapisco</t>
  </si>
  <si>
    <t>Área liquida da chapisco</t>
  </si>
  <si>
    <t>Volume chapisco</t>
  </si>
  <si>
    <t>Tamanho saco de argamassa</t>
  </si>
  <si>
    <t>Espessura chapisco</t>
  </si>
  <si>
    <t>Espessura emboço</t>
  </si>
  <si>
    <t>Volume emboço</t>
  </si>
  <si>
    <t>sacos</t>
  </si>
  <si>
    <t>Espessura reboco</t>
  </si>
  <si>
    <t>Volume reboco</t>
  </si>
  <si>
    <t>Rendimento argamassa chapisco pronta</t>
  </si>
  <si>
    <t>Área liquida de gesso</t>
  </si>
  <si>
    <t>Área bruta de gesso</t>
  </si>
  <si>
    <t>Área liquida de gesso + % perdas</t>
  </si>
  <si>
    <t>Quantidade de gesso</t>
  </si>
  <si>
    <t>Tamanho do saco de gesso</t>
  </si>
  <si>
    <t>Área bruta de gesso + % perdas</t>
  </si>
  <si>
    <t>Rendimento do gesso</t>
  </si>
  <si>
    <t>Rendimento da telha</t>
  </si>
  <si>
    <t>Área do telhado corrigida</t>
  </si>
  <si>
    <t>Área do telhado</t>
  </si>
  <si>
    <t>Rendimento cummeiras</t>
  </si>
  <si>
    <t>Quantidade de cummeiras + % perdas</t>
  </si>
  <si>
    <t>Quantidade de telhas + % perdas</t>
  </si>
  <si>
    <t>Quantidade de tesouras</t>
  </si>
  <si>
    <t>Espaçamento entre terças</t>
  </si>
  <si>
    <t>Espaçamento caibros</t>
  </si>
  <si>
    <t>Espaçamento ripas</t>
  </si>
  <si>
    <t>Espaçamento tesoura</t>
  </si>
  <si>
    <t>Quantidade de vigas 5 x 15 cm</t>
  </si>
  <si>
    <t>Tamanho das vigas 5 x 15 cm</t>
  </si>
  <si>
    <t>Tamanho das vigas 5 x 11 cm</t>
  </si>
  <si>
    <t>Quantidade de vigas 5 x 11 cm</t>
  </si>
  <si>
    <t>Quantidade de caibros 5 x 7 cm</t>
  </si>
  <si>
    <t>Tamanho do caibro 5 x 7 cm</t>
  </si>
  <si>
    <t>Consumo prego</t>
  </si>
  <si>
    <t>Consumo de rolo</t>
  </si>
  <si>
    <t>Consumo de pincel</t>
  </si>
  <si>
    <t>Consumo de fita crepe</t>
  </si>
  <si>
    <t>Consumo de lixa</t>
  </si>
  <si>
    <t>Área bruta do teto</t>
  </si>
  <si>
    <t>Área bruta do teto + % perdas</t>
  </si>
  <si>
    <t>Tipo da peça</t>
  </si>
  <si>
    <t>Quantidade de juntas + % perdas</t>
  </si>
  <si>
    <t>Área da calçada</t>
  </si>
  <si>
    <t>Área da calçada + % perdas</t>
  </si>
  <si>
    <t>peça</t>
  </si>
  <si>
    <t>Área bruta da muro</t>
  </si>
  <si>
    <t>Área liquida da muro + % perdas</t>
  </si>
  <si>
    <t>Largura total das cintas de amarração</t>
  </si>
  <si>
    <t>Largura total das cintas de amarração + % perdas</t>
  </si>
  <si>
    <t>Área da chapisco total</t>
  </si>
  <si>
    <t>Área da chapisco total + % perdas</t>
  </si>
  <si>
    <t>Área do emboço total + % perdas</t>
  </si>
  <si>
    <t>Rendimento argamassa emboço pronta</t>
  </si>
  <si>
    <t>Rendimento argamassa reboco pronta</t>
  </si>
  <si>
    <t>Área bruta do reboco</t>
  </si>
  <si>
    <t>Área liquida do reboco</t>
  </si>
  <si>
    <t>Área liquida do reboco + % perdas</t>
  </si>
  <si>
    <t>Área bruta do reboco + % perdas</t>
  </si>
  <si>
    <t>Área bruta do chapisco</t>
  </si>
  <si>
    <t>Área liquida do chapisco</t>
  </si>
  <si>
    <t>Área liquida do chapisco + % perdas</t>
  </si>
  <si>
    <t>Área bruta do chapisco + % perdas</t>
  </si>
  <si>
    <t>Área bruta do emboço</t>
  </si>
  <si>
    <t>Área liquida do emboço</t>
  </si>
  <si>
    <t>Área liquida do emboço + % perdas</t>
  </si>
  <si>
    <t>Área bruta do emboço + % perdas</t>
  </si>
  <si>
    <t>Área do chapisco total</t>
  </si>
  <si>
    <t>Área do chapisco total + % perdas</t>
  </si>
  <si>
    <t>Área do reboco total + % perdas</t>
  </si>
  <si>
    <t>Área do muro</t>
  </si>
  <si>
    <t>kg/tábua</t>
  </si>
  <si>
    <t>Caixa 12 kg/m</t>
  </si>
  <si>
    <t>m3/m2</t>
  </si>
  <si>
    <t>kg/m2 para 1 cm</t>
  </si>
  <si>
    <t>peça/litro</t>
  </si>
  <si>
    <t>peça/m2</t>
  </si>
  <si>
    <t>peças/m2</t>
  </si>
  <si>
    <t>Quantidade de sarrafos/tábua</t>
  </si>
  <si>
    <t>peças 3 m/m2</t>
  </si>
  <si>
    <t>Infelizmente, em todas as obras existem desperdícios de materiais. Por isso, por mais preciso que seja o cálculo, sempre ocorrem perdas. Por isso, criamos o campo abaixo para você informar o percentual de perdas.</t>
  </si>
  <si>
    <t>Tamanho carretel de linha</t>
  </si>
  <si>
    <t>Quantidade de carretel de linha</t>
  </si>
  <si>
    <t>Diâmetro do aço usado nas armações:</t>
  </si>
  <si>
    <t>Percentual de sobras laterais</t>
  </si>
  <si>
    <t>Cobrimento do concreto</t>
  </si>
  <si>
    <t>Portas e materiais para instalação</t>
  </si>
  <si>
    <t>Tamanho do beiral</t>
  </si>
  <si>
    <t>Cálculo da quantidade de tintas da área interna</t>
  </si>
  <si>
    <t>Cálculo o fundo preparador</t>
  </si>
  <si>
    <t>Cálculo outros materiais</t>
  </si>
  <si>
    <t>Fita crepe larga</t>
  </si>
  <si>
    <t>Cálculo da quantidade de tintas da área externa</t>
  </si>
  <si>
    <t>látex</t>
  </si>
  <si>
    <t>Cálculo da quantidade de tintas do teto</t>
  </si>
  <si>
    <t>Cálculo quantidade espaçadores</t>
  </si>
  <si>
    <t>Quantidade espaçadores por peça</t>
  </si>
  <si>
    <t>Quantidade espaçadores</t>
  </si>
  <si>
    <t>Quantidade espaçadores pacotes</t>
  </si>
  <si>
    <t>Cálculo da quantidade de tintas</t>
  </si>
  <si>
    <t>Porta aço de correr, 214 x 150 cm</t>
  </si>
  <si>
    <t>Porta aço de correr, 214 x 160 cm</t>
  </si>
  <si>
    <t>Porta aço de correr, 214 x 200 cm</t>
  </si>
  <si>
    <t>Porta aço de correr, 215 x 160 cm</t>
  </si>
  <si>
    <t>Porta aço de correr, 215 x 200 cm</t>
  </si>
  <si>
    <t>Porta aço de correr, 217 x 160 cm</t>
  </si>
  <si>
    <t>Porta aço de correr, 217 x 200 cm</t>
  </si>
  <si>
    <t>Porta alumínio balcão, 210 x 120 cm</t>
  </si>
  <si>
    <t>Porta alumínio balcão, 210 x 140 cm</t>
  </si>
  <si>
    <t>Porta alumínio balcão, 210 x 150 cm</t>
  </si>
  <si>
    <t>Porta alumínio balcão, 210 x 160 cm</t>
  </si>
  <si>
    <t>Porta alumínio balcão, 210 x 200 cm</t>
  </si>
  <si>
    <t>Porta alumínio balcão, 216 x 120 cm</t>
  </si>
  <si>
    <t>Porta alumínio balcão, 216 x 160 cm</t>
  </si>
  <si>
    <t>Porta alumínio balcão, 216 x 200 cm</t>
  </si>
  <si>
    <t>Porta alumínio balcão, 216 x 250 cm</t>
  </si>
  <si>
    <t>Porta alumínio camarão, 210 x 60 cm</t>
  </si>
  <si>
    <t>Porta alumínio camarão, 210 x 70 cm</t>
  </si>
  <si>
    <t>Porta alumínio camarão, 210 x 80 cm</t>
  </si>
  <si>
    <t>Porta alumínio de correr, 215 x 120 cm</t>
  </si>
  <si>
    <t>Porta alumínio de correr, 215 x 150 cm</t>
  </si>
  <si>
    <t>Porta alumínio de correr, 215 x 200 cm</t>
  </si>
  <si>
    <t>Porta alumínio de correr, 215 x 300 cm</t>
  </si>
  <si>
    <t>Porta alumínio de correr, 216 x 160 cm</t>
  </si>
  <si>
    <t>Porta alumínio de correr, 216 x 200 cm</t>
  </si>
  <si>
    <t>Porta alumínio de correr, 216 x 250 cm</t>
  </si>
  <si>
    <t>Porta alumínio de correr, 220 x 160 cm</t>
  </si>
  <si>
    <t>Porta alumínio de correr, 235 x 150 cm</t>
  </si>
  <si>
    <t>Porta alumínio de correr, 235 x 200 cm</t>
  </si>
  <si>
    <t>Porta alumínio de correr, 237 x 150 cm</t>
  </si>
  <si>
    <t>Porta alumínio pivotante, 223 x 126 cm</t>
  </si>
  <si>
    <t>Porta alumínio pivotante, 225 x 130 cm</t>
  </si>
  <si>
    <t>Porta alumínio pivotante, 243 x 146 cm</t>
  </si>
  <si>
    <t>Porta alumínio pivotante, 270 x 150 cm</t>
  </si>
  <si>
    <t>Porta madeira balcão 4 folhas, 210 x 70 cm</t>
  </si>
  <si>
    <t>Porta madeira balcão 4 folhas, 210 x 80 cm</t>
  </si>
  <si>
    <t>Porta madeira balcão 4 folhas, 215 x 140 cm</t>
  </si>
  <si>
    <t>Porta madeira balcão 4 folhas, 215 x 160 cm</t>
  </si>
  <si>
    <t>Porta madeira balcão 4 folhas, 215 x 180 cm</t>
  </si>
  <si>
    <t>Porta madeira balcão 4 folhas, 215 x 200 cm</t>
  </si>
  <si>
    <t>Porta madeira balcão 4 folhas, 215 x 220 cm</t>
  </si>
  <si>
    <t>Porta madeira balcão 4 folhas, 215 x 240 cm</t>
  </si>
  <si>
    <t>Porta madeira balcão 6 folhas, 210 x 70 cm</t>
  </si>
  <si>
    <t>Porta madeira balcão 6 folhas, 210 x 80 cm</t>
  </si>
  <si>
    <t>Porta madeira balcão 6 folhas, 215 x 140 cm</t>
  </si>
  <si>
    <t>Porta madeira balcão 6 folhas, 215 x 160 cm</t>
  </si>
  <si>
    <t>Porta madeira balcão 6 folhas, 215 x 180 cm</t>
  </si>
  <si>
    <t>Porta madeira balcão 6 folhas, 215 x 200 cm</t>
  </si>
  <si>
    <t>Porta madeira balcão 6 folhas, 215 x 220 cm</t>
  </si>
  <si>
    <t>Porta madeira balcão 6 folhas, 215 x 240 cm</t>
  </si>
  <si>
    <t>Porta madeira colmeia camarão, 210 x 60 cm</t>
  </si>
  <si>
    <t>Porta madeira colmeia camarão, 210 x 70 cm</t>
  </si>
  <si>
    <t>Porta madeira colmeia camarão, 210 x 80 cm</t>
  </si>
  <si>
    <t>Porta madeira colmeia camarão, 210 x 90 cm</t>
  </si>
  <si>
    <t>Porta madeira colmeia, 210 x 100 cm</t>
  </si>
  <si>
    <t>Porta madeira colmeia, 210 x 110 cm</t>
  </si>
  <si>
    <t>Porta madeira colmeia, 210 x 120 cm</t>
  </si>
  <si>
    <t>Porta madeira colmeia, 210 x 60 cm</t>
  </si>
  <si>
    <t>Porta madeira colmeia, 210 x 70 cm</t>
  </si>
  <si>
    <t>Porta madeira colmeia, 210 x 80 cm</t>
  </si>
  <si>
    <t>Porta madeira colmeia, 210 x 90 cm</t>
  </si>
  <si>
    <t>Porta madeira colmeia, 215 x 105 cm</t>
  </si>
  <si>
    <t>Porta madeira colmeia, 215 x 75 cm</t>
  </si>
  <si>
    <t>Porta madeira colmeia, 215 x 85 cm</t>
  </si>
  <si>
    <t>Porta madeira colmeia, 215 x 90 cm</t>
  </si>
  <si>
    <t>Porta madeira de correr 2 folhas, 210 x 120 cm</t>
  </si>
  <si>
    <t>Porta madeira de correr 2 folhas, 210 x 150 cm</t>
  </si>
  <si>
    <t>Porta madeira de correr 3 folhas, 210 x 120 cm</t>
  </si>
  <si>
    <t>Porta madeira de correr 3 folhas, 210 x 140 cm</t>
  </si>
  <si>
    <t>Porta madeira de correr 3 folhas, 210 x 160 cm</t>
  </si>
  <si>
    <t>Porta madeira de correr 4 folhas, 210 x 180 cm</t>
  </si>
  <si>
    <t>Porta madeira de correr 4 folhas, 210 x 200 cm</t>
  </si>
  <si>
    <t>Porta madeira de correr 4 folhas, 210 x 70 cm</t>
  </si>
  <si>
    <t>Porta madeira de correr 4 folhas, 210 x 80 cm</t>
  </si>
  <si>
    <t>Porta madeira de correr 4 folhas, 215 x 140 cm</t>
  </si>
  <si>
    <t>Porta madeira de correr 4 folhas, 215 x 160 cm</t>
  </si>
  <si>
    <t>Porta madeira de correr 4 folhas, 215 x 180 cm</t>
  </si>
  <si>
    <t>Porta madeira de correr 4 folhas, 215 x 200 cm</t>
  </si>
  <si>
    <t>Porta madeira de correr 4 folhas, 215 x 220 cm</t>
  </si>
  <si>
    <t>Porta madeira de correr 4 folhas, 215 x 240 cm</t>
  </si>
  <si>
    <t>Porta madeira de correr 6 folhas, 210 x 180 cm</t>
  </si>
  <si>
    <t>Porta madeira de correr 6 folhas, 210 x 200 cm</t>
  </si>
  <si>
    <t>Porta madeira de correr 6 folhas, 210 x 70 cm</t>
  </si>
  <si>
    <t>Porta madeira de correr 6 folhas, 210 x 80 cm</t>
  </si>
  <si>
    <t>Porta madeira de correr 6 folhas, 215 x 140 cm</t>
  </si>
  <si>
    <t>Porta madeira de correr 6 folhas, 215 x 160 cm</t>
  </si>
  <si>
    <t>Porta madeira de correr 6 folhas, 215 x 180 cm</t>
  </si>
  <si>
    <t>Porta madeira de correr 6 folhas, 215 x 200 cm</t>
  </si>
  <si>
    <t>Porta madeira de correr 6 folhas, 215 x 220 cm</t>
  </si>
  <si>
    <t>Porta madeira de correr 6 folhas, 215 x 240 cm</t>
  </si>
  <si>
    <t>Porta madeira pivotante, 210 x 100 cm</t>
  </si>
  <si>
    <t>Porta madeira pivotante, 210 x 110 cm</t>
  </si>
  <si>
    <t>Porta madeira pivotante, 210 x 120 cm</t>
  </si>
  <si>
    <t>Porta madeira pivotante, 215 x 100 cm</t>
  </si>
  <si>
    <t>Porta madeira pivotante, 215 x 107 cm</t>
  </si>
  <si>
    <t>Porta madeira pivotante, 215 x 140 cm</t>
  </si>
  <si>
    <t>Porta madeira sarrafeada, 210 x 100 cm</t>
  </si>
  <si>
    <t>Porta madeira sarrafeada, 210 x 110 cm</t>
  </si>
  <si>
    <t>Porta madeira sarrafeada, 210 x 120 cm</t>
  </si>
  <si>
    <t>Porta madeira sarrafeada, 210 x 60 cm</t>
  </si>
  <si>
    <t>Porta madeira sarrafeada, 210 x 70 cm</t>
  </si>
  <si>
    <t>Porta madeira sarrafeada, 210 x 80 cm</t>
  </si>
  <si>
    <t>Porta madeira sarrafeada, 210 x 90 cm</t>
  </si>
  <si>
    <t>Porta madeira sarrafeada, 215 x 105 cm</t>
  </si>
  <si>
    <t>Porta madeira sarrafeada, 215 x 75 cm</t>
  </si>
  <si>
    <t>Porta madeira sarrafeada, 215 x 85 cm</t>
  </si>
  <si>
    <t>Porta madeira sarrafeada, 215 x 90 cm</t>
  </si>
  <si>
    <t>Porta PVC colmeia sanfonada, 210 x 60 cm</t>
  </si>
  <si>
    <t>Porta PVC colmeia sanfonada, 210 x 70 cm</t>
  </si>
  <si>
    <t>Porta PVC colmeia sanfonada, 210 x 72 cm</t>
  </si>
  <si>
    <t>Porta PVC colmeia sanfonada, 210 x 85 cm</t>
  </si>
  <si>
    <t>Porta PVC colmeia sanfonada, 210 x 97 cm</t>
  </si>
  <si>
    <t>Porta PVC padrão, 210 x 100 cm</t>
  </si>
  <si>
    <t>Porta PVC padrão, 210 x 80 cm</t>
  </si>
  <si>
    <t>Porta PVC sanfonada, 210 x 100 cm</t>
  </si>
  <si>
    <t>Porta PVC sanfonada, 210 x 110 cm</t>
  </si>
  <si>
    <t>Porta PVC sanfonada, 210 x 120 cm</t>
  </si>
  <si>
    <t>Porta PVC sanfonada, 210 x 130 cm</t>
  </si>
  <si>
    <t>Porta PVC sanfonada, 210 x 60 cm</t>
  </si>
  <si>
    <t>Porta PVC sanfonada, 210 x 70 cm</t>
  </si>
  <si>
    <t>Porta PVC sanfonada, 210 x 80 cm</t>
  </si>
  <si>
    <t>Porta PVC sanfonada, 210 x 90 cm</t>
  </si>
  <si>
    <t>Porta vidro montada, 210 x 120 cm</t>
  </si>
  <si>
    <t>Porta vidro montada, 210 x 160 cm</t>
  </si>
  <si>
    <t>Porta vidro montada, 210 x 200 cm</t>
  </si>
  <si>
    <t>Porta vidro montada, 210 x 250 cm</t>
  </si>
  <si>
    <t>Porta vidro montada, 210 x 300 cm</t>
  </si>
  <si>
    <t>Janela aço abrir basculante, 100 x 100 cm</t>
  </si>
  <si>
    <t>Janela aço abrir basculante, 100 x 150 cm</t>
  </si>
  <si>
    <t>Janela aço abrir basculante, 40 x 60 cm</t>
  </si>
  <si>
    <t>Janela aço abrir basculante, 60 x 100 cm</t>
  </si>
  <si>
    <t>Janela aço abrir basculante, 60 x 120 cm</t>
  </si>
  <si>
    <t>Janela aço abrir basculante, 60 x 150 cm</t>
  </si>
  <si>
    <t>Janela aço abrir basculante, 60 x 60 cm</t>
  </si>
  <si>
    <t>Janela aço abrir basculante, 60 x 80 cm</t>
  </si>
  <si>
    <t>Janela aço abrir basculante, 80 x 80 cm</t>
  </si>
  <si>
    <t>Janela aço abrir maxim-air, 100 x 60 cm</t>
  </si>
  <si>
    <t>Janela aço abrir maxim-air, 120 x 60 cm</t>
  </si>
  <si>
    <t>Janela aço abrir maxim-air, 140 x 60 cm</t>
  </si>
  <si>
    <t>Janela aço abrir maxim-air, 146 x 50 cm</t>
  </si>
  <si>
    <t>Janela aço abrir maxim-air, 40 x 60 cm</t>
  </si>
  <si>
    <t>Janela aço abrir maxim-air, 50 x 100 cm</t>
  </si>
  <si>
    <t>Janela aço abrir maxim-air, 50 x 146 cm</t>
  </si>
  <si>
    <t>Janela aço abrir maxim-air, 50 x 150 cm</t>
  </si>
  <si>
    <t>Janela aço abrir maxim-air, 50 x 50 cm</t>
  </si>
  <si>
    <t>Janela aço abrir maxim-air, 50 x 96 cm</t>
  </si>
  <si>
    <t>Janela aço abrir maxim-air, 60 x 100 cm</t>
  </si>
  <si>
    <t>Janela aço abrir maxim-air, 60 x 60 cm</t>
  </si>
  <si>
    <t>Janela aço abrir maxim-air, 60 x 80 cm</t>
  </si>
  <si>
    <t>Janela aço abrir maxim-air, 96 x 50 cm</t>
  </si>
  <si>
    <t>Janela alumínio abre e tomba, 100 x 150 cm</t>
  </si>
  <si>
    <t>Janela alumínio abre e tomba, 100 x 200 cm</t>
  </si>
  <si>
    <t>Janela alumínio abre e tomba, 120 x 150 cm</t>
  </si>
  <si>
    <t>Janela alumínio abre e tomba, 120 x 200 cm</t>
  </si>
  <si>
    <t>Janela aço de correr lisa, 100 x 120 cm</t>
  </si>
  <si>
    <t>Janela aço de correr lisa, 100 x 150 cm</t>
  </si>
  <si>
    <t>Janela aço de correr lisa, 100 x 200 cm</t>
  </si>
  <si>
    <t>Janela aço de correr lisa, 120 x 150 cm</t>
  </si>
  <si>
    <t>Janela aço de correr lisa, 120 x 200 cm</t>
  </si>
  <si>
    <t>Janela aço de correr veneziana, 100 x 120 cm</t>
  </si>
  <si>
    <t>Janela aço de correr veneziana, 100 x 150 cm</t>
  </si>
  <si>
    <t>Janela aço de correr veneziana, 100 x 200 cm</t>
  </si>
  <si>
    <t>Janela aço de correr veneziana, 120 x 100 cm</t>
  </si>
  <si>
    <t>Janela aço de correr veneziana, 120 x 150 cm</t>
  </si>
  <si>
    <t>Janela aço de correr veneziana, 120 x 200 cm</t>
  </si>
  <si>
    <t>Janela aço pintado abrir basculante, 60 x 60 cm</t>
  </si>
  <si>
    <t>Janela aço pintado abrir basculante, 60 x 80 cm</t>
  </si>
  <si>
    <t>Janela aço pintado abrir maxim-air, 40 x 60 cm</t>
  </si>
  <si>
    <t>Janela aço pintado abrir maxim-air, 60 x 100 cm</t>
  </si>
  <si>
    <t>Janela aço pintado abrir maxim-air, 60 x 60 cm</t>
  </si>
  <si>
    <t>Janela aço pintado abrir maxim-air, 60 x 80 cm</t>
  </si>
  <si>
    <t>Janela aço pintado de correr lisa, 100 x 120 cm</t>
  </si>
  <si>
    <t>Janela aço pintado de correr lisa, 100 x 150 cm</t>
  </si>
  <si>
    <t>Janela aço pintado de correr lisa, 100 x 200 cm</t>
  </si>
  <si>
    <t>Janela aço pintado de correr lisa, 120 x 150 cm</t>
  </si>
  <si>
    <t>Janela aço pintado de correr lisa, 120 x 200 cm</t>
  </si>
  <si>
    <t>Janela aço pintado de correr veneziana, 100 x 120 cm</t>
  </si>
  <si>
    <t>Janela aço pintado de correr veneziana, 100 x 150 cm</t>
  </si>
  <si>
    <t>Janela aço pintado de correr veneziana, 100 x 200 cm</t>
  </si>
  <si>
    <t>Janela aço pintado de correr veneziana, 120 x 150 cm</t>
  </si>
  <si>
    <t>Janela aço pintado de correr veneziana, 120 x 200 cm</t>
  </si>
  <si>
    <t>Janela alumínio abrir basculante, 100 x 120 cm</t>
  </si>
  <si>
    <t>Janela alumínio abrir basculante, 100 x 60 cm</t>
  </si>
  <si>
    <t>Janela alumínio abrir basculante, 100 x 80 cm</t>
  </si>
  <si>
    <t>Janela alumínio abrir basculante, 60 x 60 cm</t>
  </si>
  <si>
    <t>Janela alumínio abrir basculante, 80 x 60 cm</t>
  </si>
  <si>
    <t>Janela alumínio abrir basculante, 80 x 80 cm</t>
  </si>
  <si>
    <t>Janela alumínio abrir maxim-air, 100 x 60 cm</t>
  </si>
  <si>
    <t>Janela alumínio abrir maxim-air, 120 x 120 cm</t>
  </si>
  <si>
    <t>Janela alumínio abrir maxim-air, 120 x 60 cm</t>
  </si>
  <si>
    <t>Janela alumínio abrir maxim-air, 40 x 60 cm</t>
  </si>
  <si>
    <t>Janela alumínio abrir maxim-air, 50 x 50 cm</t>
  </si>
  <si>
    <t>Janela alumínio abrir maxim-air, 60 x 100 cm</t>
  </si>
  <si>
    <t>Janela alumínio abrir maxim-air, 60 x 120 cm</t>
  </si>
  <si>
    <t>Janela alumínio abrir maxim-air, 60 x 60 cm</t>
  </si>
  <si>
    <t>Janela alumínio abrir maxim-air, 60 x 80 cm</t>
  </si>
  <si>
    <t>Janela alumínio abrir maxim-air, 80 x 60 cm</t>
  </si>
  <si>
    <t>Janela alumínio abrir maxim-air, 80 x 80 cm</t>
  </si>
  <si>
    <t>Janela alumínio de correr lisa, 100 x 100 cm</t>
  </si>
  <si>
    <t>Janela alumínio de correr lisa, 100 x 120 cm</t>
  </si>
  <si>
    <t>Janela alumínio de correr lisa, 100 x 150 cm</t>
  </si>
  <si>
    <t>Janela alumínio de correr lisa, 100 x 200 cm</t>
  </si>
  <si>
    <t>Janela alumínio de correr lisa, 120 x 120 cm</t>
  </si>
  <si>
    <t>Janela alumínio de correr lisa, 120 x 150 cm</t>
  </si>
  <si>
    <t>Janela alumínio de correr lisa, 120 x 200 cm</t>
  </si>
  <si>
    <t>Janela alumínio de correr veneziana, 100 x 100 cm</t>
  </si>
  <si>
    <t>Janela alumínio de correr veneziana, 100 x 120 cm</t>
  </si>
  <si>
    <t>Janela alumínio de correr veneziana, 100 x 150 cm</t>
  </si>
  <si>
    <t>Janela alumínio de correr veneziana, 100 x 200 cm</t>
  </si>
  <si>
    <t>Janela alumínio de correr veneziana, 120 x 120 cm</t>
  </si>
  <si>
    <t>Janela alumínio de correr veneziana, 120 x 150 cm</t>
  </si>
  <si>
    <t>Janela alumínio de correr veneziana, 120 x 200 cm</t>
  </si>
  <si>
    <t>Janela madeira abrir, 100 x 120 cm</t>
  </si>
  <si>
    <t>Janela madeira abrir, 100 x 150 cm</t>
  </si>
  <si>
    <t>Janela madeira abrir, 100 x 45 cm</t>
  </si>
  <si>
    <t>Janela madeira abrir, 110 x 160 cm</t>
  </si>
  <si>
    <t>Janela madeira abrir, 120 x 120 cm</t>
  </si>
  <si>
    <t>Janela madeira abrir, 120 x 150 cm</t>
  </si>
  <si>
    <t>Janela madeira abrir, 120 x 45 cm</t>
  </si>
  <si>
    <t>Janela madeira abrir, 160 x 120 cm</t>
  </si>
  <si>
    <t>Janela madeira abrir, 160 x 140 cm</t>
  </si>
  <si>
    <t>Janela madeira de correr, 100 x 120 cm</t>
  </si>
  <si>
    <t>Janela madeira de correr, 100 x 140 cm</t>
  </si>
  <si>
    <t>Janela madeira de correr, 100 x 160 cm</t>
  </si>
  <si>
    <t>Janela madeira de correr, 110 x 140 cm</t>
  </si>
  <si>
    <t>Janela madeira de correr, 110 x 160 cm</t>
  </si>
  <si>
    <t>Janela madeira de correr, 110 x 200 cm</t>
  </si>
  <si>
    <t>Janela madeira de correr, 110 x 240 cm</t>
  </si>
  <si>
    <t>Janela madeira de correr, 120 x 120 cm</t>
  </si>
  <si>
    <t>Janela madeira de correr, 120 x 140 cm</t>
  </si>
  <si>
    <t>Janela madeira de correr, 120 x 160 cm</t>
  </si>
  <si>
    <t>Janela madeira de correr, 120 x 180 cm</t>
  </si>
  <si>
    <t>Janela madeira de correr, 120 x 200 cm</t>
  </si>
  <si>
    <t>Janela madeira de correr, 120 x 240 cm</t>
  </si>
  <si>
    <t>Janela madeira de correr, 130 x 140 cm</t>
  </si>
  <si>
    <t>Janela madeira de correr, 130 x 160 cm</t>
  </si>
  <si>
    <t>Janela madeira de correr, 130 x 200 cm</t>
  </si>
  <si>
    <t>Janela vidro abrir, 60 x 60 cm</t>
  </si>
  <si>
    <t>Quantidade de portas de madeira</t>
  </si>
  <si>
    <t>Quantidade de portas com espuma expansiva</t>
  </si>
  <si>
    <t>Quantidade de janelas</t>
  </si>
  <si>
    <t>Quantidade de portas</t>
  </si>
  <si>
    <t>Lista de materiais por categoria</t>
  </si>
  <si>
    <t>Preço</t>
  </si>
  <si>
    <t>Valor</t>
  </si>
  <si>
    <t>Aço</t>
  </si>
  <si>
    <t>Barra de aço CA-25, 8mm (5/16'')</t>
  </si>
  <si>
    <t>Agregado</t>
  </si>
  <si>
    <t>Bloco de concreto vedação, 9 x 19 x 39 cm</t>
  </si>
  <si>
    <t>Canaleta concreto vedação, 9 x 19 x 39 cm</t>
  </si>
  <si>
    <t>Canaleta concreto vedação, 14 x 19 x 39 cm</t>
  </si>
  <si>
    <t>Canaleta concreto vedação, 19 x 19 x 39 cm</t>
  </si>
  <si>
    <t>Bloco de concreto vedação, 14 x 19 x 39 cm</t>
  </si>
  <si>
    <t>Bloco de concreto vedação, 19 x 19 x 39 cm</t>
  </si>
  <si>
    <t>Concreto usinado</t>
  </si>
  <si>
    <t>Esquadrias</t>
  </si>
  <si>
    <t>Portas medidas variadas</t>
  </si>
  <si>
    <t>Janelas medidas variadas</t>
  </si>
  <si>
    <t>Madeiras</t>
  </si>
  <si>
    <t>Materiais básicos</t>
  </si>
  <si>
    <t>Pisos e revestimentos</t>
  </si>
  <si>
    <t>Azulejos medidas variadas</t>
  </si>
  <si>
    <t>Pastilhas medidas variadas</t>
  </si>
  <si>
    <t>Piso cerâmico medidas variadas</t>
  </si>
  <si>
    <t>Piso cimentício medidas variadas</t>
  </si>
  <si>
    <t>Porcelanato medidas variadas</t>
  </si>
  <si>
    <t>Serviços</t>
  </si>
  <si>
    <t>Telhas</t>
  </si>
  <si>
    <t>Tintas</t>
  </si>
  <si>
    <t>Tinta acrílico acetinado</t>
  </si>
  <si>
    <t>Tinta acrílico fosco</t>
  </si>
  <si>
    <t>Tinta acrílico semi-brilho</t>
  </si>
  <si>
    <t>Tinta acrílico rende mais</t>
  </si>
  <si>
    <t>Tinta látex</t>
  </si>
  <si>
    <t>Canaleta cerâmica, 9 x 19 x 19 cm</t>
  </si>
  <si>
    <t>Canaleta cerâmica, 11,5 x 14 x 29 cm</t>
  </si>
  <si>
    <t>Canaleta cerâmica, 14 x 19 x 29 cm</t>
  </si>
  <si>
    <t>Bloco cerâmico de vedação, 9 x 19 x 19 cm</t>
  </si>
  <si>
    <t>Bloco cerâmico de vedação, 9 x 19 x 29 cm</t>
  </si>
  <si>
    <t>Bloco cerâmico de vedação, 11,5 x 14 x 24 cm</t>
  </si>
  <si>
    <t>Bloco cerâmico de vedação, 11,5 x 19 x 19 cm</t>
  </si>
  <si>
    <t>Bloco cerâmico de vedação, 11,5 x 19 x 29 cm</t>
  </si>
  <si>
    <t>Bloco cerâmico de vedação, 14 x 19 x 19 cm</t>
  </si>
  <si>
    <t>Bloco cerâmico de vedação, 14 x 19 x 29 cm</t>
  </si>
  <si>
    <t>Tijolos</t>
  </si>
  <si>
    <t>Área interna</t>
  </si>
  <si>
    <t>Área externa</t>
  </si>
  <si>
    <t>Área do contrapiso + % perdas</t>
  </si>
  <si>
    <t>Altura dos pontaletes</t>
  </si>
  <si>
    <t>Quantidade de pontaletes por peça</t>
  </si>
  <si>
    <t>Quantidade de pontaletes + % perdas</t>
  </si>
  <si>
    <t>Metragem linear do chapisco:</t>
  </si>
  <si>
    <t>Metragem linear do reboco:</t>
  </si>
  <si>
    <t>Metragem linear do emboço:</t>
  </si>
  <si>
    <t>Vai usar concreto magro:</t>
  </si>
  <si>
    <t>Vai usar fôrmas de madeira:</t>
  </si>
  <si>
    <t>Cálculo da impermeabilização</t>
  </si>
  <si>
    <t>Calçada simples</t>
  </si>
  <si>
    <t>Calçada reforçada</t>
  </si>
  <si>
    <t>Comprimento do contrapiso:</t>
  </si>
  <si>
    <t>Metragem linear do gesso:</t>
  </si>
  <si>
    <t>Valor total</t>
  </si>
  <si>
    <t>Metragem linear da pintura externa:</t>
  </si>
  <si>
    <t>Metragem linear da pintura interna:</t>
  </si>
  <si>
    <t>Espessura do concreto:</t>
  </si>
  <si>
    <t>Argamassa contrapiso</t>
  </si>
  <si>
    <t>Rendimento argamassa contrapiso pronta</t>
  </si>
  <si>
    <t>Preenchimento da laje</t>
  </si>
  <si>
    <t>1 : 2 : 3</t>
  </si>
  <si>
    <t>1 : 2,5 : 3</t>
  </si>
  <si>
    <t>1 : 2 : 4</t>
  </si>
  <si>
    <t>1 : 2,5 : 3,5</t>
  </si>
  <si>
    <t>1 : 4 : 8</t>
  </si>
  <si>
    <t>1 : 3 : 6</t>
  </si>
  <si>
    <t>1 : 4 : 16</t>
  </si>
  <si>
    <t>1 : 12</t>
  </si>
  <si>
    <t>1 : 1 : 12</t>
  </si>
  <si>
    <t>1 : 1,5 : 3</t>
  </si>
  <si>
    <t>1 : 2 : 2,5</t>
  </si>
  <si>
    <t>1 : 6</t>
  </si>
  <si>
    <t>1 : 4 : 18</t>
  </si>
  <si>
    <t>9 x 14 x 19 cm</t>
  </si>
  <si>
    <t>9 x 19 x 24 cm</t>
  </si>
  <si>
    <t>1 : 2,5 : 4</t>
  </si>
  <si>
    <t>1 : 2,5 : 5</t>
  </si>
  <si>
    <t>1 : 3 : 5</t>
  </si>
  <si>
    <t>1 : 1 : 2</t>
  </si>
  <si>
    <t>1 : 0 : 6</t>
  </si>
  <si>
    <t>1 : 0 : 12</t>
  </si>
  <si>
    <t>1 : 0 : 8</t>
  </si>
  <si>
    <t>1 : 0 : 2,5</t>
  </si>
  <si>
    <t>1 : 0 : 3,5</t>
  </si>
  <si>
    <t>1 : 2 : 6</t>
  </si>
  <si>
    <t>Bloco cerâmico de vedação, 9 x 14 x 19 cm</t>
  </si>
  <si>
    <t>Bloco cerâmico de vedação, 9 x 19 x 24 cm</t>
  </si>
  <si>
    <t>Cimento : Areia : Pedra</t>
  </si>
  <si>
    <t>Cimento : Cal : Areia</t>
  </si>
  <si>
    <t>Consumo por m2 de argamassa</t>
  </si>
  <si>
    <t>Traço argamassa bloco de concreto</t>
  </si>
  <si>
    <t>9 x 14 x 29 cm</t>
  </si>
  <si>
    <t>Bloco cerâmico de vedação, 9 x 14 x 29 cm</t>
  </si>
  <si>
    <t>Mão de obra</t>
  </si>
  <si>
    <t>Mestre de obras</t>
  </si>
  <si>
    <t>Pedreiro</t>
  </si>
  <si>
    <t>Ajudante</t>
  </si>
  <si>
    <t>Outros</t>
  </si>
  <si>
    <t>Diária</t>
  </si>
  <si>
    <t>Engenheiro e/ou arquiteto</t>
  </si>
  <si>
    <t>Encarregado</t>
  </si>
  <si>
    <t>Custo total</t>
  </si>
  <si>
    <t>Bloco cerâmico de vedação, 9 x 14 x 24 cm</t>
  </si>
  <si>
    <t>9 x 14 x 24 cm</t>
  </si>
  <si>
    <t>9 x 14 x 14 cm</t>
  </si>
  <si>
    <t>Área do concreto magro</t>
  </si>
  <si>
    <t>Volume do concreto magro (5cm)</t>
  </si>
  <si>
    <t>Volume do concreto magro + % perdas</t>
  </si>
  <si>
    <t>Usinado</t>
  </si>
  <si>
    <t>Com esta poderosa ferramenta você será capaz de quantificar os materiais de 22 etapas da sua obra, sendo elas:</t>
  </si>
  <si>
    <t>Vigas</t>
  </si>
  <si>
    <t>Feito na obra</t>
  </si>
  <si>
    <t>5. Parede com Tijolo Cerâmico</t>
  </si>
  <si>
    <t>6. Parede com Bloco de Concreto</t>
  </si>
  <si>
    <t>7. Coluna ou Pilar</t>
  </si>
  <si>
    <t>8. Viga</t>
  </si>
  <si>
    <t>9. Contrapiso</t>
  </si>
  <si>
    <t>10. Laje</t>
  </si>
  <si>
    <t>11. Chapisco-Emboço-Reboco</t>
  </si>
  <si>
    <t>12. Gesso</t>
  </si>
  <si>
    <t>13. Portas</t>
  </si>
  <si>
    <t>14. Janelas</t>
  </si>
  <si>
    <t>15. Telhado exposto</t>
  </si>
  <si>
    <t>16. Pintura</t>
  </si>
  <si>
    <t>17. Pisos</t>
  </si>
  <si>
    <t>18. Revestimentos</t>
  </si>
  <si>
    <t>19. Muro com Tijolo</t>
  </si>
  <si>
    <t>20. Muro com Bloco</t>
  </si>
  <si>
    <t>21. Calçada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</si>
</sst>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_-;\-* #,##0.0_-;_-* &quot;-&quot;??_-;_-@_-"/>
    <numFmt numFmtId="165" formatCode="_-* #,##0.0000_-;\-* #,##0.0000_-;_-* &quot;-&quot;??_-;_-@_-"/>
    <numFmt numFmtId="166" formatCode="_-* #,##0_-;\-* #,##0_-;_-* &quot;-&quot;??_-;_-@_-"/>
    <numFmt numFmtId="167" formatCode="_-* #,##0.000_-;\-* #,##0.000_-;_-* &quot;-&quot;??_-;_-@_-"/>
    <numFmt numFmtId="168" formatCode="_-* #,##0.0_-;\-* #,##0.0_-;_-* &quot;-&quot;?_-;_-@_-"/>
    <numFmt numFmtId="169" formatCode="0.0000"/>
    <numFmt numFmtId="170" formatCode="_-* #,##0.00000_-;\-* #,##0.00000_-;_-* &quot;-&quot;??_-;_-@_-"/>
    <numFmt numFmtId="171" formatCode="_-* #,##0.000_-;\-* #,##0.000_-;_-* &quot;-&quot;???_-;_-@_-"/>
    <numFmt numFmtId="172" formatCode="_-* #,##0.0000_-;\-* #,##0.0000_-;_-* &quot;-&quot;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9"/>
      <color theme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trike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145">
    <xf numFmtId="0" fontId="0" fillId="0" borderId="0" xfId="0"/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/>
    <xf numFmtId="43" fontId="4" fillId="0" borderId="0" xfId="1" applyFont="1"/>
    <xf numFmtId="0" fontId="5" fillId="0" borderId="0" xfId="0" applyFont="1"/>
    <xf numFmtId="164" fontId="4" fillId="0" borderId="5" xfId="1" applyNumberFormat="1" applyFont="1" applyBorder="1" applyAlignment="1">
      <alignment horizontal="left" indent="1"/>
    </xf>
    <xf numFmtId="0" fontId="4" fillId="0" borderId="5" xfId="0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6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left" indent="1"/>
    </xf>
    <xf numFmtId="0" fontId="0" fillId="6" borderId="0" xfId="0" applyFont="1" applyFill="1"/>
    <xf numFmtId="43" fontId="0" fillId="6" borderId="0" xfId="1" applyFont="1" applyFill="1"/>
    <xf numFmtId="0" fontId="5" fillId="6" borderId="0" xfId="0" applyFont="1" applyFill="1"/>
    <xf numFmtId="0" fontId="4" fillId="6" borderId="0" xfId="0" applyFont="1" applyFill="1"/>
    <xf numFmtId="43" fontId="4" fillId="6" borderId="0" xfId="1" applyFont="1" applyFill="1"/>
    <xf numFmtId="43" fontId="4" fillId="0" borderId="0" xfId="1" applyFont="1" applyAlignment="1"/>
    <xf numFmtId="166" fontId="4" fillId="4" borderId="4" xfId="1" applyNumberFormat="1" applyFont="1" applyFill="1" applyBorder="1" applyProtection="1">
      <protection locked="0"/>
    </xf>
    <xf numFmtId="168" fontId="4" fillId="0" borderId="0" xfId="0" applyNumberFormat="1" applyFont="1"/>
    <xf numFmtId="166" fontId="4" fillId="6" borderId="0" xfId="1" applyNumberFormat="1" applyFont="1" applyFill="1"/>
    <xf numFmtId="9" fontId="4" fillId="6" borderId="0" xfId="3" applyFont="1" applyFill="1"/>
    <xf numFmtId="0" fontId="5" fillId="2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164" fontId="4" fillId="4" borderId="4" xfId="1" applyNumberFormat="1" applyFont="1" applyFill="1" applyBorder="1" applyAlignment="1" applyProtection="1">
      <alignment horizontal="right"/>
      <protection locked="0"/>
    </xf>
    <xf numFmtId="0" fontId="5" fillId="6" borderId="0" xfId="0" quotePrefix="1" applyFont="1" applyFill="1"/>
    <xf numFmtId="0" fontId="4" fillId="6" borderId="0" xfId="0" applyFont="1" applyFill="1" applyAlignment="1">
      <alignment horizontal="left"/>
    </xf>
    <xf numFmtId="164" fontId="4" fillId="0" borderId="0" xfId="0" applyNumberFormat="1" applyFont="1"/>
    <xf numFmtId="164" fontId="4" fillId="4" borderId="4" xfId="1" applyNumberFormat="1" applyFont="1" applyFill="1" applyBorder="1" applyProtection="1">
      <protection locked="0"/>
    </xf>
    <xf numFmtId="0" fontId="4" fillId="6" borderId="0" xfId="0" applyFont="1" applyFill="1" applyAlignment="1">
      <alignment horizontal="left" indent="2"/>
    </xf>
    <xf numFmtId="0" fontId="4" fillId="6" borderId="0" xfId="0" applyFont="1" applyFill="1" applyAlignment="1">
      <alignment horizontal="right"/>
    </xf>
    <xf numFmtId="166" fontId="4" fillId="6" borderId="0" xfId="0" applyNumberFormat="1" applyFont="1" applyFill="1"/>
    <xf numFmtId="164" fontId="4" fillId="6" borderId="0" xfId="1" applyNumberFormat="1" applyFont="1" applyFill="1"/>
    <xf numFmtId="167" fontId="4" fillId="6" borderId="0" xfId="1" applyNumberFormat="1" applyFont="1" applyFill="1"/>
    <xf numFmtId="0" fontId="4" fillId="6" borderId="0" xfId="2" applyFont="1" applyFill="1"/>
    <xf numFmtId="43" fontId="4" fillId="6" borderId="0" xfId="1" applyNumberFormat="1" applyFont="1" applyFill="1"/>
    <xf numFmtId="166" fontId="4" fillId="4" borderId="4" xfId="1" applyNumberFormat="1" applyFont="1" applyFill="1" applyBorder="1" applyAlignment="1" applyProtection="1">
      <alignment horizontal="right"/>
      <protection locked="0"/>
    </xf>
    <xf numFmtId="166" fontId="4" fillId="0" borderId="0" xfId="1" applyNumberFormat="1" applyFont="1"/>
    <xf numFmtId="165" fontId="4" fillId="0" borderId="0" xfId="1" applyNumberFormat="1" applyFont="1"/>
    <xf numFmtId="165" fontId="4" fillId="6" borderId="0" xfId="1" applyNumberFormat="1" applyFont="1" applyFill="1"/>
    <xf numFmtId="0" fontId="12" fillId="0" borderId="0" xfId="0" applyFont="1"/>
    <xf numFmtId="0" fontId="0" fillId="6" borderId="0" xfId="0" applyFill="1"/>
    <xf numFmtId="164" fontId="4" fillId="6" borderId="0" xfId="0" applyNumberFormat="1" applyFont="1" applyFill="1"/>
    <xf numFmtId="2" fontId="4" fillId="6" borderId="0" xfId="0" applyNumberFormat="1" applyFont="1" applyFill="1"/>
    <xf numFmtId="166" fontId="0" fillId="6" borderId="0" xfId="5" applyNumberFormat="1" applyFont="1" applyFill="1"/>
    <xf numFmtId="43" fontId="0" fillId="6" borderId="0" xfId="0" applyNumberFormat="1" applyFont="1" applyFill="1"/>
    <xf numFmtId="0" fontId="5" fillId="6" borderId="0" xfId="0" applyFont="1" applyFill="1" applyAlignment="1"/>
    <xf numFmtId="0" fontId="13" fillId="6" borderId="0" xfId="0" applyFont="1" applyFill="1"/>
    <xf numFmtId="0" fontId="5" fillId="0" borderId="0" xfId="0" quotePrefix="1" applyFont="1"/>
    <xf numFmtId="43" fontId="4" fillId="6" borderId="0" xfId="0" applyNumberFormat="1" applyFont="1" applyFill="1"/>
    <xf numFmtId="166" fontId="4" fillId="4" borderId="6" xfId="1" applyNumberFormat="1" applyFont="1" applyFill="1" applyBorder="1" applyAlignment="1" applyProtection="1">
      <protection locked="0"/>
    </xf>
    <xf numFmtId="0" fontId="2" fillId="0" borderId="0" xfId="0" applyFont="1" applyAlignment="1"/>
    <xf numFmtId="166" fontId="0" fillId="6" borderId="0" xfId="1" applyNumberFormat="1" applyFont="1" applyFill="1"/>
    <xf numFmtId="0" fontId="14" fillId="0" borderId="0" xfId="0" applyFont="1"/>
    <xf numFmtId="0" fontId="14" fillId="6" borderId="0" xfId="0" applyFont="1" applyFill="1"/>
    <xf numFmtId="43" fontId="4" fillId="0" borderId="0" xfId="0" applyNumberFormat="1" applyFont="1"/>
    <xf numFmtId="0" fontId="4" fillId="6" borderId="0" xfId="0" applyFont="1" applyFill="1" applyAlignment="1">
      <alignment horizontal="center"/>
    </xf>
    <xf numFmtId="168" fontId="4" fillId="6" borderId="0" xfId="0" applyNumberFormat="1" applyFont="1" applyFill="1"/>
    <xf numFmtId="169" fontId="4" fillId="6" borderId="0" xfId="0" applyNumberFormat="1" applyFont="1" applyFill="1"/>
    <xf numFmtId="169" fontId="4" fillId="6" borderId="0" xfId="1" applyNumberFormat="1" applyFont="1" applyFill="1"/>
    <xf numFmtId="0" fontId="4" fillId="6" borderId="0" xfId="5" applyFont="1" applyFill="1"/>
    <xf numFmtId="165" fontId="4" fillId="6" borderId="0" xfId="0" applyNumberFormat="1" applyFont="1" applyFill="1"/>
    <xf numFmtId="0" fontId="5" fillId="0" borderId="0" xfId="0" applyFont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/>
    <xf numFmtId="43" fontId="15" fillId="0" borderId="0" xfId="1" applyFont="1" applyAlignment="1"/>
    <xf numFmtId="0" fontId="17" fillId="0" borderId="0" xfId="0" applyFont="1"/>
    <xf numFmtId="0" fontId="5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left" vertical="center" wrapText="1"/>
    </xf>
    <xf numFmtId="0" fontId="4" fillId="0" borderId="8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9" fontId="4" fillId="4" borderId="4" xfId="3" applyFont="1" applyFill="1" applyBorder="1" applyProtection="1">
      <protection locked="0"/>
    </xf>
    <xf numFmtId="0" fontId="10" fillId="0" borderId="0" xfId="0" applyFont="1" applyBorder="1"/>
    <xf numFmtId="0" fontId="0" fillId="0" borderId="0" xfId="0" applyFont="1" applyBorder="1"/>
    <xf numFmtId="0" fontId="8" fillId="0" borderId="0" xfId="4" applyFont="1" applyBorder="1"/>
    <xf numFmtId="43" fontId="4" fillId="4" borderId="4" xfId="1" applyNumberFormat="1" applyFont="1" applyFill="1" applyBorder="1" applyProtection="1">
      <protection locked="0"/>
    </xf>
    <xf numFmtId="0" fontId="5" fillId="6" borderId="0" xfId="0" applyFont="1" applyFill="1" applyAlignment="1">
      <alignment horizontal="center" vertical="center" wrapText="1"/>
    </xf>
    <xf numFmtId="164" fontId="4" fillId="0" borderId="5" xfId="1" applyNumberFormat="1" applyFont="1" applyBorder="1" applyAlignment="1" applyProtection="1">
      <alignment horizontal="left" indent="1"/>
      <protection hidden="1"/>
    </xf>
    <xf numFmtId="0" fontId="4" fillId="0" borderId="5" xfId="0" applyFont="1" applyFill="1" applyBorder="1" applyAlignment="1" applyProtection="1">
      <alignment horizontal="left"/>
      <protection hidden="1"/>
    </xf>
    <xf numFmtId="0" fontId="4" fillId="0" borderId="5" xfId="0" applyFont="1" applyFill="1" applyBorder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left"/>
      <protection hidden="1"/>
    </xf>
    <xf numFmtId="0" fontId="4" fillId="0" borderId="5" xfId="0" applyFont="1" applyBorder="1" applyAlignment="1" applyProtection="1">
      <alignment horizontal="center"/>
      <protection hidden="1"/>
    </xf>
    <xf numFmtId="167" fontId="4" fillId="4" borderId="4" xfId="1" applyNumberFormat="1" applyFont="1" applyFill="1" applyBorder="1" applyProtection="1">
      <protection locked="0"/>
    </xf>
    <xf numFmtId="165" fontId="4" fillId="4" borderId="4" xfId="1" applyNumberFormat="1" applyFont="1" applyFill="1" applyBorder="1" applyProtection="1">
      <protection locked="0"/>
    </xf>
    <xf numFmtId="170" fontId="4" fillId="4" borderId="4" xfId="1" applyNumberFormat="1" applyFont="1" applyFill="1" applyBorder="1" applyProtection="1">
      <protection locked="0"/>
    </xf>
    <xf numFmtId="43" fontId="4" fillId="6" borderId="0" xfId="1" applyFont="1" applyFill="1" applyAlignment="1">
      <alignment vertical="center" wrapText="1"/>
    </xf>
    <xf numFmtId="43" fontId="4" fillId="6" borderId="0" xfId="1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171" fontId="4" fillId="6" borderId="0" xfId="0" applyNumberFormat="1" applyFont="1" applyFill="1"/>
    <xf numFmtId="0" fontId="14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4" fillId="6" borderId="0" xfId="0" applyFont="1" applyFill="1" applyBorder="1"/>
    <xf numFmtId="9" fontId="4" fillId="4" borderId="4" xfId="3" applyFont="1" applyFill="1" applyBorder="1" applyAlignment="1" applyProtection="1">
      <alignment horizontal="center"/>
      <protection locked="0"/>
    </xf>
    <xf numFmtId="43" fontId="4" fillId="4" borderId="5" xfId="1" applyFont="1" applyFill="1" applyBorder="1" applyProtection="1">
      <protection locked="0"/>
    </xf>
    <xf numFmtId="166" fontId="4" fillId="0" borderId="5" xfId="1" applyNumberFormat="1" applyFont="1" applyBorder="1" applyAlignment="1" applyProtection="1">
      <alignment horizontal="left" indent="1"/>
      <protection hidden="1"/>
    </xf>
    <xf numFmtId="43" fontId="4" fillId="0" borderId="5" xfId="1" applyFont="1" applyBorder="1" applyAlignment="1" applyProtection="1">
      <alignment horizontal="left" indent="1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43" fontId="19" fillId="5" borderId="5" xfId="0" applyNumberFormat="1" applyFont="1" applyFill="1" applyBorder="1" applyAlignment="1">
      <alignment horizontal="center"/>
    </xf>
    <xf numFmtId="164" fontId="4" fillId="4" borderId="7" xfId="1" applyNumberFormat="1" applyFont="1" applyFill="1" applyBorder="1" applyAlignment="1" applyProtection="1">
      <alignment horizontal="right"/>
      <protection locked="0"/>
    </xf>
    <xf numFmtId="172" fontId="4" fillId="6" borderId="0" xfId="0" applyNumberFormat="1" applyFont="1" applyFill="1"/>
    <xf numFmtId="166" fontId="4" fillId="4" borderId="5" xfId="1" applyNumberFormat="1" applyFont="1" applyFill="1" applyBorder="1" applyProtection="1">
      <protection locked="0"/>
    </xf>
    <xf numFmtId="43" fontId="5" fillId="2" borderId="5" xfId="1" applyFont="1" applyFill="1" applyBorder="1" applyAlignment="1">
      <alignment horizontal="center"/>
    </xf>
    <xf numFmtId="0" fontId="5" fillId="3" borderId="5" xfId="0" applyFont="1" applyFill="1" applyBorder="1" applyAlignment="1" applyProtection="1">
      <alignment horizontal="left"/>
      <protection hidden="1"/>
    </xf>
    <xf numFmtId="0" fontId="5" fillId="3" borderId="5" xfId="0" applyFont="1" applyFill="1" applyBorder="1" applyAlignment="1" applyProtection="1">
      <alignment horizontal="center"/>
      <protection hidden="1"/>
    </xf>
    <xf numFmtId="0" fontId="5" fillId="3" borderId="5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 applyProtection="1">
      <alignment horizontal="center"/>
      <protection hidden="1"/>
    </xf>
    <xf numFmtId="164" fontId="4" fillId="0" borderId="0" xfId="0" applyNumberFormat="1" applyFont="1" applyProtection="1">
      <protection hidden="1"/>
    </xf>
    <xf numFmtId="164" fontId="5" fillId="2" borderId="5" xfId="0" applyNumberFormat="1" applyFont="1" applyFill="1" applyBorder="1" applyAlignment="1" applyProtection="1">
      <alignment horizontal="center"/>
      <protection hidden="1"/>
    </xf>
    <xf numFmtId="0" fontId="10" fillId="0" borderId="0" xfId="0" applyFont="1" applyBorder="1" applyAlignment="1">
      <alignment horizontal="left" vertical="top" wrapText="1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5" fillId="6" borderId="0" xfId="0" applyFont="1" applyFill="1" applyAlignment="1">
      <alignment horizontal="center"/>
    </xf>
    <xf numFmtId="0" fontId="16" fillId="3" borderId="5" xfId="0" applyFont="1" applyFill="1" applyBorder="1" applyAlignment="1" applyProtection="1">
      <alignment horizontal="left"/>
      <protection hidden="1"/>
    </xf>
    <xf numFmtId="0" fontId="18" fillId="5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left"/>
    </xf>
    <xf numFmtId="0" fontId="18" fillId="5" borderId="5" xfId="0" applyFont="1" applyFill="1" applyBorder="1" applyAlignment="1" applyProtection="1">
      <alignment horizontal="center"/>
      <protection hidden="1"/>
    </xf>
    <xf numFmtId="0" fontId="19" fillId="5" borderId="13" xfId="0" applyFont="1" applyFill="1" applyBorder="1" applyAlignment="1">
      <alignment horizontal="left"/>
    </xf>
    <xf numFmtId="0" fontId="19" fillId="5" borderId="14" xfId="0" applyFont="1" applyFill="1" applyBorder="1" applyAlignment="1">
      <alignment horizontal="left"/>
    </xf>
    <xf numFmtId="0" fontId="19" fillId="5" borderId="15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center"/>
    </xf>
    <xf numFmtId="0" fontId="5" fillId="2" borderId="13" xfId="0" applyFont="1" applyFill="1" applyBorder="1" applyAlignment="1" applyProtection="1">
      <alignment horizontal="left"/>
      <protection hidden="1"/>
    </xf>
    <xf numFmtId="0" fontId="5" fillId="2" borderId="14" xfId="0" applyFont="1" applyFill="1" applyBorder="1" applyAlignment="1" applyProtection="1">
      <alignment horizontal="left"/>
      <protection hidden="1"/>
    </xf>
    <xf numFmtId="0" fontId="5" fillId="2" borderId="15" xfId="0" applyFont="1" applyFill="1" applyBorder="1" applyAlignment="1" applyProtection="1">
      <alignment horizontal="left"/>
      <protection hidden="1"/>
    </xf>
  </cellXfs>
  <cellStyles count="6">
    <cellStyle name="20% - Ênfase1" xfId="5" builtinId="30"/>
    <cellStyle name="Hiperlink" xfId="4" builtinId="8"/>
    <cellStyle name="Normal" xfId="0" builtinId="0"/>
    <cellStyle name="Porcentagem" xfId="3" builtinId="5"/>
    <cellStyle name="Texto de Aviso" xfId="2" builtinId="1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2330823</xdr:colOff>
      <xdr:row>3</xdr:row>
      <xdr:rowOff>94109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2330823" cy="665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2330823</xdr:colOff>
      <xdr:row>3</xdr:row>
      <xdr:rowOff>94109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2330823" cy="6656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2330823</xdr:colOff>
      <xdr:row>3</xdr:row>
      <xdr:rowOff>94109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2330823" cy="6656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2330823</xdr:colOff>
      <xdr:row>3</xdr:row>
      <xdr:rowOff>94109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2330823" cy="665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Construindo Casa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04040"/>
      </a:accent1>
      <a:accent2>
        <a:srgbClr val="EDAE49"/>
      </a:accent2>
      <a:accent3>
        <a:srgbClr val="FF1B1C"/>
      </a:accent3>
      <a:accent4>
        <a:srgbClr val="56A3A6"/>
      </a:accent4>
      <a:accent5>
        <a:srgbClr val="D6A2AD"/>
      </a:accent5>
      <a:accent6>
        <a:srgbClr val="03717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2"/>
  <sheetViews>
    <sheetView showGridLines="0" zoomScale="130" zoomScaleNormal="130" workbookViewId="0">
      <selection activeCell="C20" sqref="C20"/>
    </sheetView>
  </sheetViews>
  <sheetFormatPr defaultColWidth="8.85546875" defaultRowHeight="15" x14ac:dyDescent="0.25"/>
  <cols>
    <col min="1" max="1" width="2" style="7" customWidth="1"/>
    <col min="2" max="2" width="1.85546875" style="7" customWidth="1"/>
    <col min="3" max="3" width="39.140625" style="7" customWidth="1"/>
    <col min="4" max="4" width="23.28515625" style="7" customWidth="1"/>
    <col min="5" max="5" width="1.42578125" style="7" customWidth="1"/>
    <col min="6" max="16384" width="8.85546875" style="7"/>
  </cols>
  <sheetData>
    <row r="1" spans="2:5" ht="21" x14ac:dyDescent="0.35">
      <c r="B1" s="124" t="s">
        <v>625</v>
      </c>
      <c r="C1" s="125"/>
      <c r="D1" s="125"/>
      <c r="E1" s="126"/>
    </row>
    <row r="2" spans="2:5" ht="7.5" customHeight="1" x14ac:dyDescent="0.25">
      <c r="B2" s="75"/>
      <c r="C2" s="76"/>
      <c r="D2" s="76"/>
      <c r="E2" s="77"/>
    </row>
    <row r="3" spans="2:5" ht="39" customHeight="1" x14ac:dyDescent="0.25">
      <c r="B3" s="75"/>
      <c r="C3" s="127" t="s">
        <v>1215</v>
      </c>
      <c r="D3" s="127"/>
      <c r="E3" s="77"/>
    </row>
    <row r="4" spans="2:5" x14ac:dyDescent="0.25">
      <c r="B4" s="75"/>
      <c r="C4" s="82" t="s">
        <v>627</v>
      </c>
      <c r="D4" s="84" t="s">
        <v>626</v>
      </c>
      <c r="E4" s="77"/>
    </row>
    <row r="5" spans="2:5" x14ac:dyDescent="0.25">
      <c r="B5" s="75"/>
      <c r="C5" s="82" t="s">
        <v>628</v>
      </c>
      <c r="D5" s="84" t="s">
        <v>626</v>
      </c>
      <c r="E5" s="77"/>
    </row>
    <row r="6" spans="2:5" x14ac:dyDescent="0.25">
      <c r="B6" s="75"/>
      <c r="C6" s="82" t="s">
        <v>629</v>
      </c>
      <c r="D6" s="84" t="s">
        <v>626</v>
      </c>
      <c r="E6" s="77"/>
    </row>
    <row r="7" spans="2:5" x14ac:dyDescent="0.25">
      <c r="B7" s="75"/>
      <c r="C7" s="82" t="s">
        <v>630</v>
      </c>
      <c r="D7" s="84" t="s">
        <v>626</v>
      </c>
      <c r="E7" s="77"/>
    </row>
    <row r="8" spans="2:5" x14ac:dyDescent="0.25">
      <c r="B8" s="75"/>
      <c r="C8" s="82" t="s">
        <v>1218</v>
      </c>
      <c r="D8" s="84" t="s">
        <v>626</v>
      </c>
      <c r="E8" s="77"/>
    </row>
    <row r="9" spans="2:5" x14ac:dyDescent="0.25">
      <c r="B9" s="75"/>
      <c r="C9" s="82" t="s">
        <v>1219</v>
      </c>
      <c r="D9" s="84" t="s">
        <v>626</v>
      </c>
      <c r="E9" s="77"/>
    </row>
    <row r="10" spans="2:5" x14ac:dyDescent="0.25">
      <c r="B10" s="75"/>
      <c r="C10" s="82" t="s">
        <v>1220</v>
      </c>
      <c r="D10" s="84" t="s">
        <v>626</v>
      </c>
      <c r="E10" s="77"/>
    </row>
    <row r="11" spans="2:5" x14ac:dyDescent="0.25">
      <c r="B11" s="75"/>
      <c r="C11" s="82" t="s">
        <v>1221</v>
      </c>
      <c r="D11" s="84" t="s">
        <v>626</v>
      </c>
      <c r="E11" s="77"/>
    </row>
    <row r="12" spans="2:5" x14ac:dyDescent="0.25">
      <c r="B12" s="75"/>
      <c r="C12" s="82" t="s">
        <v>1222</v>
      </c>
      <c r="D12" s="84" t="s">
        <v>626</v>
      </c>
      <c r="E12" s="77"/>
    </row>
    <row r="13" spans="2:5" x14ac:dyDescent="0.25">
      <c r="B13" s="75"/>
      <c r="C13" s="82" t="s">
        <v>1223</v>
      </c>
      <c r="D13" s="84" t="s">
        <v>626</v>
      </c>
      <c r="E13" s="77"/>
    </row>
    <row r="14" spans="2:5" x14ac:dyDescent="0.25">
      <c r="B14" s="75"/>
      <c r="C14" s="82" t="s">
        <v>1224</v>
      </c>
      <c r="D14" s="84" t="s">
        <v>626</v>
      </c>
      <c r="E14" s="77"/>
    </row>
    <row r="15" spans="2:5" x14ac:dyDescent="0.25">
      <c r="B15" s="75"/>
      <c r="C15" s="82" t="s">
        <v>1225</v>
      </c>
      <c r="D15" s="84" t="s">
        <v>626</v>
      </c>
      <c r="E15" s="77"/>
    </row>
    <row r="16" spans="2:5" x14ac:dyDescent="0.25">
      <c r="B16" s="75"/>
      <c r="C16" s="82" t="s">
        <v>1226</v>
      </c>
      <c r="D16" s="84" t="s">
        <v>626</v>
      </c>
      <c r="E16" s="77"/>
    </row>
    <row r="17" spans="2:5" x14ac:dyDescent="0.25">
      <c r="B17" s="75"/>
      <c r="C17" s="82" t="s">
        <v>1227</v>
      </c>
      <c r="D17" s="84" t="s">
        <v>626</v>
      </c>
      <c r="E17" s="77"/>
    </row>
    <row r="18" spans="2:5" x14ac:dyDescent="0.25">
      <c r="B18" s="75"/>
      <c r="C18" s="82" t="s">
        <v>1228</v>
      </c>
      <c r="D18" s="84" t="s">
        <v>626</v>
      </c>
      <c r="E18" s="77"/>
    </row>
    <row r="19" spans="2:5" x14ac:dyDescent="0.25">
      <c r="B19" s="75"/>
      <c r="C19" s="82" t="s">
        <v>1229</v>
      </c>
      <c r="D19" s="84" t="s">
        <v>626</v>
      </c>
      <c r="E19" s="77"/>
    </row>
    <row r="20" spans="2:5" x14ac:dyDescent="0.25">
      <c r="B20" s="75"/>
      <c r="C20" s="82" t="s">
        <v>1230</v>
      </c>
      <c r="D20" s="84" t="s">
        <v>626</v>
      </c>
      <c r="E20" s="77"/>
    </row>
    <row r="21" spans="2:5" x14ac:dyDescent="0.25">
      <c r="B21" s="75"/>
      <c r="C21" s="82" t="s">
        <v>1231</v>
      </c>
      <c r="D21" s="84" t="s">
        <v>626</v>
      </c>
      <c r="E21" s="77"/>
    </row>
    <row r="22" spans="2:5" x14ac:dyDescent="0.25">
      <c r="B22" s="75"/>
      <c r="C22" s="82" t="s">
        <v>1232</v>
      </c>
      <c r="D22" s="84" t="s">
        <v>626</v>
      </c>
      <c r="E22" s="77"/>
    </row>
    <row r="23" spans="2:5" x14ac:dyDescent="0.25">
      <c r="B23" s="75"/>
      <c r="C23" s="82" t="s">
        <v>1233</v>
      </c>
      <c r="D23" s="84" t="s">
        <v>626</v>
      </c>
      <c r="E23" s="77"/>
    </row>
    <row r="24" spans="2:5" x14ac:dyDescent="0.25">
      <c r="B24" s="75"/>
      <c r="C24" s="82" t="s">
        <v>1234</v>
      </c>
      <c r="D24" s="84" t="s">
        <v>626</v>
      </c>
      <c r="E24" s="77"/>
    </row>
    <row r="25" spans="2:5" ht="7.5" customHeight="1" x14ac:dyDescent="0.25">
      <c r="B25" s="78"/>
      <c r="C25" s="79"/>
      <c r="D25" s="79"/>
      <c r="E25" s="80"/>
    </row>
    <row r="28" spans="2:5" ht="21" x14ac:dyDescent="0.35">
      <c r="B28" s="124" t="s">
        <v>631</v>
      </c>
      <c r="C28" s="125"/>
      <c r="D28" s="125"/>
      <c r="E28" s="126"/>
    </row>
    <row r="29" spans="2:5" ht="7.5" customHeight="1" x14ac:dyDescent="0.25">
      <c r="B29" s="75"/>
      <c r="C29" s="76"/>
      <c r="D29" s="76"/>
      <c r="E29" s="77"/>
    </row>
    <row r="30" spans="2:5" ht="47.25" customHeight="1" x14ac:dyDescent="0.25">
      <c r="B30" s="75"/>
      <c r="C30" s="123" t="s">
        <v>838</v>
      </c>
      <c r="D30" s="123"/>
      <c r="E30" s="77"/>
    </row>
    <row r="31" spans="2:5" ht="15" customHeight="1" x14ac:dyDescent="0.25">
      <c r="B31" s="75"/>
      <c r="C31" s="83" t="s">
        <v>616</v>
      </c>
      <c r="D31" s="104">
        <v>0.05</v>
      </c>
      <c r="E31" s="77"/>
    </row>
    <row r="32" spans="2:5" ht="7.5" customHeight="1" x14ac:dyDescent="0.25">
      <c r="B32" s="78"/>
      <c r="C32" s="79"/>
      <c r="D32" s="79"/>
      <c r="E32" s="80"/>
    </row>
  </sheetData>
  <mergeCells count="4">
    <mergeCell ref="C30:D30"/>
    <mergeCell ref="B28:E28"/>
    <mergeCell ref="B1:E1"/>
    <mergeCell ref="C3:D3"/>
  </mergeCells>
  <hyperlinks>
    <hyperlink ref="D4" location="'1. Gabarito da obra'!A1" display="Ir para calculadora" xr:uid="{00000000-0004-0000-0000-000000000000}"/>
    <hyperlink ref="D5" location="'2. Viga Baldrame'!A1" display="Ir para calculadora" xr:uid="{00000000-0004-0000-0000-000001000000}"/>
    <hyperlink ref="D6" location="'3. Sapata isolada'!A1" display="Ir para calculadora" xr:uid="{00000000-0004-0000-0000-000002000000}"/>
    <hyperlink ref="D7" location="'4. Estaca'!A1" display="Ir para calculadora" xr:uid="{00000000-0004-0000-0000-000003000000}"/>
    <hyperlink ref="D8" location="'6. Paredes com Tijolos'!A1" display="Ir para calculadora" xr:uid="{00000000-0004-0000-0000-000005000000}"/>
    <hyperlink ref="D9" location="'7. Paredes com Blocos'!A1" display="Ir para calculadora" xr:uid="{00000000-0004-0000-0000-000006000000}"/>
    <hyperlink ref="D10" location="'8. Colunas ou Pilares'!A1" display="Ir para calculadora" xr:uid="{00000000-0004-0000-0000-000007000000}"/>
    <hyperlink ref="D11" location="'9. Viga'!A1" display="Ir para calculadora" xr:uid="{00000000-0004-0000-0000-000008000000}"/>
    <hyperlink ref="D12" location="'10. Contrapiso'!A1" display="Ir para calculadora" xr:uid="{00000000-0004-0000-0000-000009000000}"/>
    <hyperlink ref="D13" location="'11. Laje'!A1" display="Ir para calculadora" xr:uid="{00000000-0004-0000-0000-00000A000000}"/>
    <hyperlink ref="D14" location="'12. Chapisco-Emboço-Reboco'!A1" display="Ir para calculadora" xr:uid="{00000000-0004-0000-0000-00000B000000}"/>
    <hyperlink ref="D15" location="'13. Gesso'!A1" display="Ir para calculadora" xr:uid="{00000000-0004-0000-0000-00000C000000}"/>
    <hyperlink ref="D16" location="'14. Portas'!A1" display="Ir para calculadora" xr:uid="{00000000-0004-0000-0000-00000D000000}"/>
    <hyperlink ref="D17" location="'15. Janelas'!A1" display="Ir para calculadora" xr:uid="{00000000-0004-0000-0000-00000E000000}"/>
    <hyperlink ref="D18" location="'16. Telhado exposto'!A1" display="Ir para calculadora" xr:uid="{00000000-0004-0000-0000-00000F000000}"/>
    <hyperlink ref="D19" location="'17. Pintura'!A1" display="Ir para calculadora" xr:uid="{00000000-0004-0000-0000-000010000000}"/>
    <hyperlink ref="D20" location="'18. Pisos'!A1" display="Ir para calculadora" xr:uid="{00000000-0004-0000-0000-000011000000}"/>
    <hyperlink ref="D21" location="'19. Revestimentos'!A1" display="Ir para calculadora" xr:uid="{00000000-0004-0000-0000-000012000000}"/>
    <hyperlink ref="D22" location="'20. Muro com Tijolos'!A1" display="Ir para calculadora" xr:uid="{00000000-0004-0000-0000-000013000000}"/>
    <hyperlink ref="D23" location="'21. Muro com Blocos'!A1" display="Ir para calculadora" xr:uid="{00000000-0004-0000-0000-000014000000}"/>
    <hyperlink ref="D24" location="'22. Calçada'!A1" display="Ir para calculadora" xr:uid="{00000000-0004-0000-0000-000015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50"/>
  <sheetViews>
    <sheetView showGridLines="0" zoomScale="130" zoomScaleNormal="130" workbookViewId="0">
      <selection activeCell="F10" sqref="F10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239</v>
      </c>
      <c r="C2" s="130"/>
      <c r="D2" s="131"/>
    </row>
    <row r="3" spans="1:8" ht="6.75" customHeight="1" x14ac:dyDescent="0.25"/>
    <row r="4" spans="1:8" ht="45.75" customHeight="1" x14ac:dyDescent="0.25">
      <c r="B4" s="128" t="s">
        <v>240</v>
      </c>
      <c r="C4" s="128"/>
      <c r="D4" s="128"/>
    </row>
    <row r="5" spans="1:8" s="5" customFormat="1" ht="18.75" x14ac:dyDescent="0.3">
      <c r="A5" s="7"/>
      <c r="B5" s="132" t="s">
        <v>1143</v>
      </c>
      <c r="C5" s="132"/>
      <c r="D5" s="132"/>
      <c r="E5" s="7"/>
      <c r="F5" s="7"/>
      <c r="H5" s="22"/>
    </row>
    <row r="6" spans="1:8" s="5" customFormat="1" x14ac:dyDescent="0.25">
      <c r="A6" s="7"/>
      <c r="B6" s="7"/>
      <c r="C6" s="7"/>
      <c r="D6" s="7"/>
      <c r="E6" s="7"/>
      <c r="F6" s="7"/>
      <c r="H6" s="22"/>
    </row>
    <row r="7" spans="1:8" x14ac:dyDescent="0.25">
      <c r="B7" s="9" t="s">
        <v>2</v>
      </c>
    </row>
    <row r="9" spans="1:8" x14ac:dyDescent="0.25">
      <c r="B9" s="7" t="s">
        <v>252</v>
      </c>
      <c r="C9" s="33"/>
      <c r="D9" s="7" t="s">
        <v>53</v>
      </c>
    </row>
    <row r="10" spans="1:8" x14ac:dyDescent="0.25">
      <c r="B10" s="7" t="s">
        <v>1157</v>
      </c>
      <c r="C10" s="33"/>
      <c r="D10" s="7" t="s">
        <v>53</v>
      </c>
    </row>
    <row r="11" spans="1:8" x14ac:dyDescent="0.25">
      <c r="B11" s="7" t="s">
        <v>1162</v>
      </c>
      <c r="C11" s="23"/>
      <c r="D11" s="7" t="s">
        <v>56</v>
      </c>
    </row>
    <row r="12" spans="1:8" x14ac:dyDescent="0.25">
      <c r="B12" s="7" t="s">
        <v>225</v>
      </c>
      <c r="C12" s="29"/>
    </row>
    <row r="13" spans="1:8" x14ac:dyDescent="0.25">
      <c r="B13" s="7" t="s">
        <v>57</v>
      </c>
      <c r="C13" s="29"/>
      <c r="D13" s="7" t="s">
        <v>1193</v>
      </c>
    </row>
    <row r="14" spans="1:8" x14ac:dyDescent="0.25">
      <c r="B14" s="7" t="s">
        <v>241</v>
      </c>
      <c r="C14" s="23"/>
      <c r="D14" s="7" t="s">
        <v>56</v>
      </c>
    </row>
    <row r="15" spans="1:8" x14ac:dyDescent="0.25">
      <c r="B15" s="7" t="s">
        <v>286</v>
      </c>
      <c r="C15" s="29"/>
    </row>
    <row r="16" spans="1:8" x14ac:dyDescent="0.25">
      <c r="B16" s="7" t="s">
        <v>291</v>
      </c>
      <c r="C16" s="29"/>
      <c r="D16" s="7" t="s">
        <v>1194</v>
      </c>
    </row>
    <row r="18" spans="2:7" s="20" customFormat="1" hidden="1" outlineLevel="1" x14ac:dyDescent="0.25">
      <c r="B18" s="19" t="s">
        <v>118</v>
      </c>
    </row>
    <row r="19" spans="2:7" s="20" customFormat="1" hidden="1" outlineLevel="1" x14ac:dyDescent="0.25"/>
    <row r="20" spans="2:7" s="20" customFormat="1" hidden="1" outlineLevel="1" x14ac:dyDescent="0.25">
      <c r="B20" s="20" t="s">
        <v>743</v>
      </c>
      <c r="C20" s="21">
        <f>C9*C10</f>
        <v>0</v>
      </c>
      <c r="D20" s="20" t="s">
        <v>643</v>
      </c>
    </row>
    <row r="21" spans="2:7" s="20" customFormat="1" hidden="1" outlineLevel="1" x14ac:dyDescent="0.25">
      <c r="B21" s="20" t="s">
        <v>1145</v>
      </c>
      <c r="C21" s="21">
        <f>C20*(1+'LEIA-ME'!$D$31)</f>
        <v>0</v>
      </c>
      <c r="D21" s="20" t="s">
        <v>643</v>
      </c>
    </row>
    <row r="22" spans="2:7" s="20" customFormat="1" hidden="1" outlineLevel="1" x14ac:dyDescent="0.25">
      <c r="B22" s="20" t="s">
        <v>155</v>
      </c>
      <c r="C22" s="21">
        <f>C20*(C11/100)</f>
        <v>0</v>
      </c>
      <c r="D22" s="20" t="s">
        <v>32</v>
      </c>
    </row>
    <row r="23" spans="2:7" s="20" customFormat="1" hidden="1" outlineLevel="1" x14ac:dyDescent="0.25">
      <c r="B23" s="20" t="s">
        <v>699</v>
      </c>
      <c r="C23" s="21">
        <f>C22*(1+'LEIA-ME'!$D$31)</f>
        <v>0</v>
      </c>
      <c r="D23" s="20" t="s">
        <v>32</v>
      </c>
    </row>
    <row r="24" spans="2:7" s="20" customFormat="1" hidden="1" outlineLevel="1" x14ac:dyDescent="0.25"/>
    <row r="25" spans="2:7" s="20" customFormat="1" hidden="1" outlineLevel="1" x14ac:dyDescent="0.25">
      <c r="B25" s="19" t="s">
        <v>125</v>
      </c>
    </row>
    <row r="26" spans="2:7" s="20" customFormat="1" hidden="1" outlineLevel="1" x14ac:dyDescent="0.25"/>
    <row r="27" spans="2:7" s="20" customFormat="1" hidden="1" outlineLevel="1" x14ac:dyDescent="0.25">
      <c r="C27" s="133" t="s">
        <v>45</v>
      </c>
      <c r="D27" s="133"/>
      <c r="E27" s="133"/>
      <c r="F27" s="133"/>
    </row>
    <row r="28" spans="2:7" s="73" customFormat="1" ht="30" hidden="1" outlineLevel="1" x14ac:dyDescent="0.25">
      <c r="B28" s="72" t="s">
        <v>42</v>
      </c>
      <c r="C28" s="86" t="s">
        <v>41</v>
      </c>
      <c r="D28" s="86" t="s">
        <v>40</v>
      </c>
      <c r="E28" s="86" t="s">
        <v>39</v>
      </c>
      <c r="F28" s="86" t="s">
        <v>38</v>
      </c>
    </row>
    <row r="29" spans="2:7" s="20" customFormat="1" hidden="1" outlineLevel="1" x14ac:dyDescent="0.25">
      <c r="B29" s="30" t="s">
        <v>1171</v>
      </c>
      <c r="C29" s="21">
        <v>4.2</v>
      </c>
      <c r="D29" s="21">
        <v>0.56399999999999995</v>
      </c>
      <c r="E29" s="21">
        <v>0.88200000000000001</v>
      </c>
      <c r="F29" s="25">
        <v>168</v>
      </c>
      <c r="G29" s="20" t="s">
        <v>44</v>
      </c>
    </row>
    <row r="30" spans="2:7" s="20" customFormat="1" hidden="1" outlineLevel="1" x14ac:dyDescent="0.25">
      <c r="B30" s="30" t="s">
        <v>1170</v>
      </c>
      <c r="C30" s="21">
        <v>3.22</v>
      </c>
      <c r="D30" s="21">
        <v>0.58399999999999996</v>
      </c>
      <c r="E30" s="21">
        <v>0.91200000000000003</v>
      </c>
      <c r="F30" s="25">
        <v>194</v>
      </c>
    </row>
    <row r="31" spans="2:7" s="20" customFormat="1" hidden="1" outlineLevel="1" x14ac:dyDescent="0.25"/>
    <row r="32" spans="2:7" s="20" customFormat="1" hidden="1" outlineLevel="1" x14ac:dyDescent="0.25">
      <c r="C32" s="133" t="s">
        <v>43</v>
      </c>
      <c r="D32" s="133"/>
      <c r="E32" s="133"/>
      <c r="F32" s="133"/>
    </row>
    <row r="33" spans="2:7" s="73" customFormat="1" ht="30" hidden="1" outlineLevel="1" x14ac:dyDescent="0.25">
      <c r="B33" s="72" t="s">
        <v>42</v>
      </c>
      <c r="C33" s="86" t="s">
        <v>41</v>
      </c>
      <c r="D33" s="86" t="s">
        <v>40</v>
      </c>
      <c r="E33" s="86" t="s">
        <v>39</v>
      </c>
      <c r="F33" s="86" t="s">
        <v>38</v>
      </c>
    </row>
    <row r="34" spans="2:7" s="20" customFormat="1" hidden="1" outlineLevel="1" x14ac:dyDescent="0.25">
      <c r="B34" s="30" t="str">
        <f>B29</f>
        <v>1 : 3 : 6</v>
      </c>
      <c r="C34" s="21">
        <f t="shared" ref="C34:F35" si="0">C29*$C$23</f>
        <v>0</v>
      </c>
      <c r="D34" s="21">
        <f t="shared" si="0"/>
        <v>0</v>
      </c>
      <c r="E34" s="21">
        <f t="shared" si="0"/>
        <v>0</v>
      </c>
      <c r="F34" s="25">
        <f t="shared" si="0"/>
        <v>0</v>
      </c>
      <c r="G34" s="20" t="s">
        <v>37</v>
      </c>
    </row>
    <row r="35" spans="2:7" s="20" customFormat="1" hidden="1" outlineLevel="1" x14ac:dyDescent="0.25">
      <c r="B35" s="30" t="str">
        <f>B30</f>
        <v>1 : 4 : 8</v>
      </c>
      <c r="C35" s="21">
        <f t="shared" si="0"/>
        <v>0</v>
      </c>
      <c r="D35" s="21">
        <f t="shared" si="0"/>
        <v>0</v>
      </c>
      <c r="E35" s="21">
        <f t="shared" si="0"/>
        <v>0</v>
      </c>
      <c r="F35" s="25">
        <f t="shared" si="0"/>
        <v>0</v>
      </c>
    </row>
    <row r="36" spans="2:7" s="20" customFormat="1" hidden="1" outlineLevel="1" x14ac:dyDescent="0.25">
      <c r="C36" s="38"/>
    </row>
    <row r="37" spans="2:7" s="20" customFormat="1" hidden="1" outlineLevel="1" x14ac:dyDescent="0.25">
      <c r="B37" s="19" t="s">
        <v>293</v>
      </c>
      <c r="C37" s="38"/>
    </row>
    <row r="38" spans="2:7" s="20" customFormat="1" hidden="1" outlineLevel="1" x14ac:dyDescent="0.25">
      <c r="B38" s="19"/>
      <c r="C38" s="38"/>
    </row>
    <row r="39" spans="2:7" s="20" customFormat="1" hidden="1" outlineLevel="1" x14ac:dyDescent="0.25">
      <c r="B39" s="20" t="s">
        <v>1164</v>
      </c>
      <c r="C39" s="33">
        <v>10</v>
      </c>
      <c r="D39" s="20" t="s">
        <v>832</v>
      </c>
    </row>
    <row r="40" spans="2:7" s="20" customFormat="1" hidden="1" outlineLevel="1" x14ac:dyDescent="0.25">
      <c r="B40" s="20" t="s">
        <v>295</v>
      </c>
      <c r="C40" s="37">
        <f>C14/1</f>
        <v>0</v>
      </c>
    </row>
    <row r="41" spans="2:7" s="20" customFormat="1" hidden="1" outlineLevel="1" x14ac:dyDescent="0.25">
      <c r="B41" s="20" t="s">
        <v>294</v>
      </c>
      <c r="C41" s="25">
        <f>C39*C21*C40</f>
        <v>0</v>
      </c>
      <c r="D41" s="20" t="s">
        <v>49</v>
      </c>
    </row>
    <row r="42" spans="2:7" s="20" customFormat="1" hidden="1" outlineLevel="1" x14ac:dyDescent="0.25">
      <c r="B42" s="20" t="s">
        <v>760</v>
      </c>
      <c r="C42" s="23">
        <v>20</v>
      </c>
      <c r="D42" s="20" t="s">
        <v>49</v>
      </c>
    </row>
    <row r="43" spans="2:7" s="20" customFormat="1" hidden="1" outlineLevel="1" x14ac:dyDescent="0.25">
      <c r="B43" s="20" t="s">
        <v>296</v>
      </c>
      <c r="C43" s="37">
        <f>C41/C42</f>
        <v>0</v>
      </c>
      <c r="D43" s="20" t="s">
        <v>764</v>
      </c>
    </row>
    <row r="44" spans="2:7" s="20" customFormat="1" hidden="1" outlineLevel="1" x14ac:dyDescent="0.25"/>
    <row r="45" spans="2:7" s="20" customFormat="1" hidden="1" outlineLevel="1" x14ac:dyDescent="0.25">
      <c r="B45" s="19" t="s">
        <v>288</v>
      </c>
    </row>
    <row r="46" spans="2:7" s="20" customFormat="1" hidden="1" outlineLevel="1" x14ac:dyDescent="0.25"/>
    <row r="47" spans="2:7" s="20" customFormat="1" hidden="1" outlineLevel="1" x14ac:dyDescent="0.25">
      <c r="C47" s="133" t="s">
        <v>168</v>
      </c>
      <c r="D47" s="133"/>
      <c r="E47" s="51"/>
      <c r="F47" s="51"/>
    </row>
    <row r="48" spans="2:7" s="20" customFormat="1" hidden="1" outlineLevel="1" x14ac:dyDescent="0.25">
      <c r="B48" s="19" t="s">
        <v>42</v>
      </c>
      <c r="C48" s="19" t="s">
        <v>41</v>
      </c>
      <c r="D48" s="19" t="s">
        <v>40</v>
      </c>
      <c r="E48" s="52"/>
      <c r="F48" s="52"/>
    </row>
    <row r="49" spans="2:6" s="20" customFormat="1" hidden="1" outlineLevel="1" x14ac:dyDescent="0.25">
      <c r="B49" s="30" t="s">
        <v>1188</v>
      </c>
      <c r="C49" s="40">
        <v>4.2</v>
      </c>
      <c r="D49" s="40">
        <v>1.2</v>
      </c>
      <c r="E49" s="20" t="s">
        <v>284</v>
      </c>
    </row>
    <row r="50" spans="2:6" s="20" customFormat="1" hidden="1" outlineLevel="1" x14ac:dyDescent="0.25">
      <c r="B50" s="30" t="s">
        <v>1189</v>
      </c>
      <c r="C50" s="40">
        <v>5.8333333333333339</v>
      </c>
      <c r="D50" s="40">
        <v>1.1499999999999999</v>
      </c>
    </row>
    <row r="51" spans="2:6" s="20" customFormat="1" hidden="1" outlineLevel="1" x14ac:dyDescent="0.25">
      <c r="B51" s="30" t="s">
        <v>1185</v>
      </c>
      <c r="C51" s="40">
        <v>10</v>
      </c>
      <c r="D51" s="40">
        <v>1.08</v>
      </c>
    </row>
    <row r="52" spans="2:6" s="20" customFormat="1" hidden="1" outlineLevel="1" x14ac:dyDescent="0.25">
      <c r="B52" s="30" t="s">
        <v>1186</v>
      </c>
      <c r="C52" s="40">
        <v>5</v>
      </c>
      <c r="D52" s="40">
        <v>1.08</v>
      </c>
      <c r="E52" s="21"/>
      <c r="F52" s="25"/>
    </row>
    <row r="53" spans="2:6" s="20" customFormat="1" hidden="1" outlineLevel="1" x14ac:dyDescent="0.25"/>
    <row r="54" spans="2:6" s="20" customFormat="1" hidden="1" outlineLevel="1" x14ac:dyDescent="0.25">
      <c r="C54" s="133" t="s">
        <v>43</v>
      </c>
      <c r="D54" s="133"/>
      <c r="E54" s="51"/>
      <c r="F54" s="51"/>
    </row>
    <row r="55" spans="2:6" s="20" customFormat="1" hidden="1" outlineLevel="1" x14ac:dyDescent="0.25">
      <c r="B55" s="19" t="s">
        <v>42</v>
      </c>
      <c r="C55" s="19" t="s">
        <v>41</v>
      </c>
      <c r="D55" s="19" t="s">
        <v>40</v>
      </c>
      <c r="E55" s="52"/>
      <c r="F55" s="52"/>
    </row>
    <row r="56" spans="2:6" s="20" customFormat="1" hidden="1" outlineLevel="1" x14ac:dyDescent="0.25">
      <c r="B56" s="30" t="str">
        <f>B49</f>
        <v>1 : 0 : 2,5</v>
      </c>
      <c r="C56" s="44">
        <f>C49*$C$23</f>
        <v>0</v>
      </c>
      <c r="D56" s="44">
        <f>D49*$C$23</f>
        <v>0</v>
      </c>
      <c r="E56" s="20" t="s">
        <v>37</v>
      </c>
      <c r="F56" s="25"/>
    </row>
    <row r="57" spans="2:6" s="20" customFormat="1" hidden="1" outlineLevel="1" x14ac:dyDescent="0.25">
      <c r="B57" s="30" t="str">
        <f t="shared" ref="B57:B59" si="1">B50</f>
        <v>1 : 0 : 3,5</v>
      </c>
      <c r="C57" s="44">
        <f t="shared" ref="C57:D57" si="2">C50*$C$23</f>
        <v>0</v>
      </c>
      <c r="D57" s="44">
        <f t="shared" si="2"/>
        <v>0</v>
      </c>
      <c r="F57" s="25"/>
    </row>
    <row r="58" spans="2:6" s="20" customFormat="1" hidden="1" outlineLevel="1" x14ac:dyDescent="0.25">
      <c r="B58" s="30" t="str">
        <f t="shared" si="1"/>
        <v>1 : 0 : 6</v>
      </c>
      <c r="C58" s="44">
        <f t="shared" ref="C58:D58" si="3">C51*$C$23</f>
        <v>0</v>
      </c>
      <c r="D58" s="44">
        <f t="shared" si="3"/>
        <v>0</v>
      </c>
      <c r="F58" s="25"/>
    </row>
    <row r="59" spans="2:6" s="20" customFormat="1" hidden="1" outlineLevel="1" x14ac:dyDescent="0.25">
      <c r="B59" s="30" t="str">
        <f t="shared" si="1"/>
        <v>1 : 0 : 12</v>
      </c>
      <c r="C59" s="44">
        <f t="shared" ref="C59:D59" si="4">C52*$C$23</f>
        <v>0</v>
      </c>
      <c r="D59" s="44">
        <f t="shared" si="4"/>
        <v>0</v>
      </c>
      <c r="E59" s="21"/>
      <c r="F59" s="25"/>
    </row>
    <row r="60" spans="2:6" hidden="1" outlineLevel="1" x14ac:dyDescent="0.25"/>
    <row r="61" spans="2:6" collapsed="1" x14ac:dyDescent="0.25">
      <c r="B61" s="27" t="s">
        <v>5</v>
      </c>
      <c r="C61" s="28" t="s">
        <v>46</v>
      </c>
      <c r="D61" s="28" t="s">
        <v>6</v>
      </c>
    </row>
    <row r="62" spans="2:6" ht="17.25" x14ac:dyDescent="0.25">
      <c r="B62" s="88" t="s">
        <v>242</v>
      </c>
      <c r="C62" s="91" t="s">
        <v>80</v>
      </c>
      <c r="D62" s="87">
        <f>IF(C12="Usinado",C23,0)</f>
        <v>0</v>
      </c>
    </row>
    <row r="63" spans="2:6" x14ac:dyDescent="0.25">
      <c r="B63" s="88" t="s">
        <v>36</v>
      </c>
      <c r="C63" s="91" t="s">
        <v>35</v>
      </c>
      <c r="D63" s="87">
        <f>IFERROR(IF(C12="Feito na obra",VLOOKUP($C$13,$B$33:$F$35,2,0),0),0)</f>
        <v>0</v>
      </c>
    </row>
    <row r="64" spans="2:6" ht="17.25" x14ac:dyDescent="0.25">
      <c r="B64" s="88" t="s">
        <v>34</v>
      </c>
      <c r="C64" s="91" t="s">
        <v>80</v>
      </c>
      <c r="D64" s="87">
        <f>IFERROR(IF(C12="Feito na obra",VLOOKUP($C$13,$B$33:$F$35,3,0),0),0)</f>
        <v>0</v>
      </c>
    </row>
    <row r="65" spans="1:8" ht="17.25" x14ac:dyDescent="0.25">
      <c r="B65" s="88" t="s">
        <v>33</v>
      </c>
      <c r="C65" s="91" t="s">
        <v>80</v>
      </c>
      <c r="D65" s="87">
        <f>IFERROR(IF(C12="Feito na obra",VLOOKUP($C$13,$B$33:$F$35,4,0),0),0)</f>
        <v>0</v>
      </c>
    </row>
    <row r="66" spans="1:8" x14ac:dyDescent="0.25">
      <c r="B66" s="88" t="s">
        <v>1163</v>
      </c>
      <c r="C66" s="91" t="s">
        <v>290</v>
      </c>
      <c r="D66" s="87">
        <f>IF(C15="Pronta",C43,0)</f>
        <v>0</v>
      </c>
    </row>
    <row r="67" spans="1:8" x14ac:dyDescent="0.25">
      <c r="B67" s="88" t="s">
        <v>165</v>
      </c>
      <c r="C67" s="91" t="s">
        <v>35</v>
      </c>
      <c r="D67" s="87">
        <f>IFERROR(IF(C15="Pronta",0,VLOOKUP($C$16,$B$55:$D$59,2,0)),0)</f>
        <v>0</v>
      </c>
    </row>
    <row r="68" spans="1:8" ht="17.25" x14ac:dyDescent="0.25">
      <c r="B68" s="88" t="s">
        <v>34</v>
      </c>
      <c r="C68" s="91" t="s">
        <v>80</v>
      </c>
      <c r="D68" s="87">
        <f>IFERROR(IF(C15="Pronta",0,VLOOKUP($C$16,$B$55:$D$59,3,0)),0)</f>
        <v>0</v>
      </c>
    </row>
    <row r="71" spans="1:8" s="5" customFormat="1" ht="18.75" x14ac:dyDescent="0.3">
      <c r="A71" s="7"/>
      <c r="B71" s="132" t="s">
        <v>1144</v>
      </c>
      <c r="C71" s="132"/>
      <c r="D71" s="132"/>
      <c r="E71" s="7"/>
      <c r="F71" s="7"/>
      <c r="H71" s="22"/>
    </row>
    <row r="72" spans="1:8" s="5" customFormat="1" x14ac:dyDescent="0.25">
      <c r="A72" s="7"/>
      <c r="B72" s="7"/>
      <c r="C72" s="7"/>
      <c r="D72" s="7"/>
      <c r="E72" s="7"/>
      <c r="F72" s="7"/>
      <c r="H72" s="22"/>
    </row>
    <row r="73" spans="1:8" x14ac:dyDescent="0.25">
      <c r="B73" s="9" t="s">
        <v>2</v>
      </c>
    </row>
    <row r="75" spans="1:8" x14ac:dyDescent="0.25">
      <c r="B75" s="7" t="s">
        <v>252</v>
      </c>
      <c r="C75" s="33"/>
      <c r="D75" s="7" t="s">
        <v>53</v>
      </c>
    </row>
    <row r="76" spans="1:8" x14ac:dyDescent="0.25">
      <c r="B76" s="7" t="s">
        <v>1157</v>
      </c>
      <c r="C76" s="33"/>
      <c r="D76" s="7" t="s">
        <v>53</v>
      </c>
    </row>
    <row r="77" spans="1:8" x14ac:dyDescent="0.25">
      <c r="B77" s="7" t="s">
        <v>241</v>
      </c>
      <c r="C77" s="23"/>
      <c r="D77" s="7" t="s">
        <v>56</v>
      </c>
    </row>
    <row r="78" spans="1:8" x14ac:dyDescent="0.25">
      <c r="B78" s="7" t="s">
        <v>225</v>
      </c>
      <c r="C78" s="29"/>
    </row>
    <row r="79" spans="1:8" x14ac:dyDescent="0.25">
      <c r="B79" s="7" t="s">
        <v>57</v>
      </c>
      <c r="C79" s="29"/>
      <c r="D79" s="7" t="s">
        <v>1193</v>
      </c>
    </row>
    <row r="80" spans="1:8" x14ac:dyDescent="0.25">
      <c r="B80" s="7" t="s">
        <v>241</v>
      </c>
      <c r="C80" s="23"/>
      <c r="D80" s="7" t="s">
        <v>56</v>
      </c>
    </row>
    <row r="81" spans="2:7" x14ac:dyDescent="0.25">
      <c r="B81" s="7" t="s">
        <v>286</v>
      </c>
      <c r="C81" s="29"/>
    </row>
    <row r="82" spans="2:7" x14ac:dyDescent="0.25">
      <c r="B82" s="7" t="s">
        <v>291</v>
      </c>
      <c r="C82" s="29"/>
      <c r="D82" s="7" t="s">
        <v>1194</v>
      </c>
    </row>
    <row r="83" spans="2:7" x14ac:dyDescent="0.25">
      <c r="B83" s="3" t="s">
        <v>151</v>
      </c>
      <c r="C83" s="41"/>
    </row>
    <row r="85" spans="2:7" s="20" customFormat="1" hidden="1" outlineLevel="1" x14ac:dyDescent="0.25">
      <c r="B85" s="19" t="s">
        <v>118</v>
      </c>
    </row>
    <row r="86" spans="2:7" s="20" customFormat="1" hidden="1" outlineLevel="1" x14ac:dyDescent="0.25"/>
    <row r="87" spans="2:7" s="20" customFormat="1" hidden="1" outlineLevel="1" x14ac:dyDescent="0.25">
      <c r="B87" s="20" t="s">
        <v>743</v>
      </c>
      <c r="C87" s="21">
        <f>C75*C76</f>
        <v>0</v>
      </c>
      <c r="D87" s="20" t="s">
        <v>643</v>
      </c>
    </row>
    <row r="88" spans="2:7" s="20" customFormat="1" hidden="1" outlineLevel="1" x14ac:dyDescent="0.25">
      <c r="B88" s="20" t="s">
        <v>1145</v>
      </c>
      <c r="C88" s="21">
        <f>C87*(1+'LEIA-ME'!$D$31)</f>
        <v>0</v>
      </c>
      <c r="D88" s="20" t="s">
        <v>643</v>
      </c>
    </row>
    <row r="89" spans="2:7" s="20" customFormat="1" hidden="1" outlineLevel="1" x14ac:dyDescent="0.25">
      <c r="B89" s="20" t="s">
        <v>155</v>
      </c>
      <c r="C89" s="21">
        <f>C87*(C77/100)</f>
        <v>0</v>
      </c>
      <c r="D89" s="20" t="s">
        <v>32</v>
      </c>
    </row>
    <row r="90" spans="2:7" s="20" customFormat="1" hidden="1" outlineLevel="1" x14ac:dyDescent="0.25">
      <c r="B90" s="20" t="s">
        <v>699</v>
      </c>
      <c r="C90" s="21">
        <f>C89*(1+'LEIA-ME'!$D$31)</f>
        <v>0</v>
      </c>
      <c r="D90" s="20" t="s">
        <v>32</v>
      </c>
    </row>
    <row r="91" spans="2:7" s="20" customFormat="1" hidden="1" outlineLevel="1" x14ac:dyDescent="0.25"/>
    <row r="92" spans="2:7" s="20" customFormat="1" hidden="1" outlineLevel="1" x14ac:dyDescent="0.25">
      <c r="B92" s="19" t="s">
        <v>125</v>
      </c>
    </row>
    <row r="93" spans="2:7" s="20" customFormat="1" hidden="1" outlineLevel="1" x14ac:dyDescent="0.25"/>
    <row r="94" spans="2:7" s="20" customFormat="1" hidden="1" outlineLevel="1" x14ac:dyDescent="0.25">
      <c r="C94" s="133" t="s">
        <v>45</v>
      </c>
      <c r="D94" s="133"/>
      <c r="E94" s="133"/>
      <c r="F94" s="133"/>
    </row>
    <row r="95" spans="2:7" s="73" customFormat="1" ht="30" hidden="1" outlineLevel="1" x14ac:dyDescent="0.25">
      <c r="B95" s="72" t="s">
        <v>42</v>
      </c>
      <c r="C95" s="86" t="s">
        <v>41</v>
      </c>
      <c r="D95" s="86" t="s">
        <v>40</v>
      </c>
      <c r="E95" s="86" t="s">
        <v>39</v>
      </c>
      <c r="F95" s="86" t="s">
        <v>38</v>
      </c>
    </row>
    <row r="96" spans="2:7" s="20" customFormat="1" hidden="1" outlineLevel="1" x14ac:dyDescent="0.25">
      <c r="B96" s="30" t="s">
        <v>1171</v>
      </c>
      <c r="C96" s="21">
        <v>4.2</v>
      </c>
      <c r="D96" s="21">
        <v>0.56399999999999995</v>
      </c>
      <c r="E96" s="21">
        <v>0.88200000000000001</v>
      </c>
      <c r="F96" s="25">
        <v>168</v>
      </c>
      <c r="G96" s="20" t="s">
        <v>44</v>
      </c>
    </row>
    <row r="97" spans="2:7" s="20" customFormat="1" hidden="1" outlineLevel="1" x14ac:dyDescent="0.25">
      <c r="B97" s="30" t="s">
        <v>1170</v>
      </c>
      <c r="C97" s="21">
        <v>3.22</v>
      </c>
      <c r="D97" s="21">
        <v>0.58399999999999996</v>
      </c>
      <c r="E97" s="21">
        <v>0.91200000000000003</v>
      </c>
      <c r="F97" s="25">
        <v>194</v>
      </c>
    </row>
    <row r="98" spans="2:7" s="20" customFormat="1" hidden="1" outlineLevel="1" x14ac:dyDescent="0.25"/>
    <row r="99" spans="2:7" s="20" customFormat="1" hidden="1" outlineLevel="1" x14ac:dyDescent="0.25">
      <c r="C99" s="133" t="s">
        <v>43</v>
      </c>
      <c r="D99" s="133"/>
      <c r="E99" s="133"/>
      <c r="F99" s="133"/>
    </row>
    <row r="100" spans="2:7" s="73" customFormat="1" ht="30" hidden="1" outlineLevel="1" x14ac:dyDescent="0.25">
      <c r="B100" s="72" t="s">
        <v>42</v>
      </c>
      <c r="C100" s="86" t="s">
        <v>41</v>
      </c>
      <c r="D100" s="86" t="s">
        <v>40</v>
      </c>
      <c r="E100" s="86" t="s">
        <v>39</v>
      </c>
      <c r="F100" s="86" t="s">
        <v>38</v>
      </c>
    </row>
    <row r="101" spans="2:7" s="20" customFormat="1" hidden="1" outlineLevel="1" x14ac:dyDescent="0.25">
      <c r="B101" s="30" t="str">
        <f>B96</f>
        <v>1 : 3 : 6</v>
      </c>
      <c r="C101" s="21">
        <f t="shared" ref="C101:F102" si="5">C96*$C$90</f>
        <v>0</v>
      </c>
      <c r="D101" s="21">
        <f t="shared" si="5"/>
        <v>0</v>
      </c>
      <c r="E101" s="21">
        <f t="shared" si="5"/>
        <v>0</v>
      </c>
      <c r="F101" s="25">
        <f t="shared" si="5"/>
        <v>0</v>
      </c>
      <c r="G101" s="20" t="s">
        <v>37</v>
      </c>
    </row>
    <row r="102" spans="2:7" s="20" customFormat="1" hidden="1" outlineLevel="1" x14ac:dyDescent="0.25">
      <c r="B102" s="30" t="str">
        <f>B97</f>
        <v>1 : 4 : 8</v>
      </c>
      <c r="C102" s="21">
        <f t="shared" si="5"/>
        <v>0</v>
      </c>
      <c r="D102" s="21">
        <f t="shared" si="5"/>
        <v>0</v>
      </c>
      <c r="E102" s="21">
        <f t="shared" si="5"/>
        <v>0</v>
      </c>
      <c r="F102" s="25">
        <f t="shared" si="5"/>
        <v>0</v>
      </c>
    </row>
    <row r="103" spans="2:7" s="20" customFormat="1" hidden="1" outlineLevel="1" x14ac:dyDescent="0.25"/>
    <row r="104" spans="2:7" s="20" customFormat="1" hidden="1" outlineLevel="1" x14ac:dyDescent="0.25">
      <c r="B104" s="19" t="s">
        <v>293</v>
      </c>
      <c r="C104" s="38"/>
    </row>
    <row r="105" spans="2:7" s="20" customFormat="1" hidden="1" outlineLevel="1" x14ac:dyDescent="0.25">
      <c r="B105" s="19"/>
      <c r="C105" s="38"/>
    </row>
    <row r="106" spans="2:7" s="20" customFormat="1" hidden="1" outlineLevel="1" x14ac:dyDescent="0.25">
      <c r="B106" s="20" t="s">
        <v>1164</v>
      </c>
      <c r="C106" s="33">
        <v>10</v>
      </c>
      <c r="D106" s="20" t="s">
        <v>832</v>
      </c>
    </row>
    <row r="107" spans="2:7" s="20" customFormat="1" hidden="1" outlineLevel="1" x14ac:dyDescent="0.25">
      <c r="B107" s="20" t="s">
        <v>295</v>
      </c>
      <c r="C107" s="37">
        <f>C80/1</f>
        <v>0</v>
      </c>
    </row>
    <row r="108" spans="2:7" s="20" customFormat="1" hidden="1" outlineLevel="1" x14ac:dyDescent="0.25">
      <c r="B108" s="20" t="s">
        <v>294</v>
      </c>
      <c r="C108" s="25">
        <f>C106*C88*C107</f>
        <v>0</v>
      </c>
      <c r="D108" s="20" t="s">
        <v>49</v>
      </c>
    </row>
    <row r="109" spans="2:7" s="20" customFormat="1" hidden="1" outlineLevel="1" x14ac:dyDescent="0.25">
      <c r="B109" s="20" t="s">
        <v>760</v>
      </c>
      <c r="C109" s="23">
        <v>20</v>
      </c>
      <c r="D109" s="20" t="s">
        <v>49</v>
      </c>
    </row>
    <row r="110" spans="2:7" s="20" customFormat="1" hidden="1" outlineLevel="1" x14ac:dyDescent="0.25">
      <c r="B110" s="20" t="s">
        <v>296</v>
      </c>
      <c r="C110" s="37">
        <f>C108/C109</f>
        <v>0</v>
      </c>
      <c r="D110" s="20" t="s">
        <v>764</v>
      </c>
    </row>
    <row r="111" spans="2:7" s="20" customFormat="1" hidden="1" outlineLevel="1" x14ac:dyDescent="0.25"/>
    <row r="112" spans="2:7" s="20" customFormat="1" hidden="1" outlineLevel="1" x14ac:dyDescent="0.25">
      <c r="B112" s="19" t="s">
        <v>288</v>
      </c>
    </row>
    <row r="113" spans="2:6" s="20" customFormat="1" hidden="1" outlineLevel="1" x14ac:dyDescent="0.25"/>
    <row r="114" spans="2:6" s="20" customFormat="1" hidden="1" outlineLevel="1" x14ac:dyDescent="0.25">
      <c r="C114" s="133" t="s">
        <v>168</v>
      </c>
      <c r="D114" s="133"/>
      <c r="E114" s="51"/>
      <c r="F114" s="51"/>
    </row>
    <row r="115" spans="2:6" s="20" customFormat="1" hidden="1" outlineLevel="1" x14ac:dyDescent="0.25">
      <c r="B115" s="19" t="s">
        <v>42</v>
      </c>
      <c r="C115" s="19" t="s">
        <v>41</v>
      </c>
      <c r="D115" s="19" t="s">
        <v>40</v>
      </c>
      <c r="E115" s="52"/>
      <c r="F115" s="52"/>
    </row>
    <row r="116" spans="2:6" s="20" customFormat="1" hidden="1" outlineLevel="1" x14ac:dyDescent="0.25">
      <c r="B116" s="30" t="s">
        <v>1188</v>
      </c>
      <c r="C116" s="40">
        <v>4.2</v>
      </c>
      <c r="D116" s="40">
        <v>1.2</v>
      </c>
      <c r="E116" s="20" t="s">
        <v>284</v>
      </c>
    </row>
    <row r="117" spans="2:6" s="20" customFormat="1" hidden="1" outlineLevel="1" x14ac:dyDescent="0.25">
      <c r="B117" s="30" t="s">
        <v>1189</v>
      </c>
      <c r="C117" s="40">
        <v>5.8333333333333339</v>
      </c>
      <c r="D117" s="40">
        <v>1.1499999999999999</v>
      </c>
    </row>
    <row r="118" spans="2:6" s="20" customFormat="1" hidden="1" outlineLevel="1" x14ac:dyDescent="0.25">
      <c r="B118" s="30" t="s">
        <v>1185</v>
      </c>
      <c r="C118" s="40">
        <v>10</v>
      </c>
      <c r="D118" s="40">
        <v>1.08</v>
      </c>
    </row>
    <row r="119" spans="2:6" s="20" customFormat="1" hidden="1" outlineLevel="1" x14ac:dyDescent="0.25">
      <c r="B119" s="30" t="s">
        <v>1186</v>
      </c>
      <c r="C119" s="40">
        <v>5</v>
      </c>
      <c r="D119" s="40">
        <v>1.08</v>
      </c>
      <c r="E119" s="21"/>
      <c r="F119" s="25"/>
    </row>
    <row r="120" spans="2:6" s="20" customFormat="1" hidden="1" outlineLevel="1" x14ac:dyDescent="0.25"/>
    <row r="121" spans="2:6" s="20" customFormat="1" hidden="1" outlineLevel="1" x14ac:dyDescent="0.25">
      <c r="C121" s="133" t="s">
        <v>43</v>
      </c>
      <c r="D121" s="133"/>
      <c r="E121" s="51"/>
      <c r="F121" s="51"/>
    </row>
    <row r="122" spans="2:6" s="20" customFormat="1" hidden="1" outlineLevel="1" x14ac:dyDescent="0.25">
      <c r="B122" s="19" t="s">
        <v>42</v>
      </c>
      <c r="C122" s="19" t="s">
        <v>41</v>
      </c>
      <c r="D122" s="19" t="s">
        <v>40</v>
      </c>
      <c r="E122" s="52"/>
      <c r="F122" s="52"/>
    </row>
    <row r="123" spans="2:6" s="20" customFormat="1" hidden="1" outlineLevel="1" x14ac:dyDescent="0.25">
      <c r="B123" s="30" t="str">
        <f>B116</f>
        <v>1 : 0 : 2,5</v>
      </c>
      <c r="C123" s="44">
        <f>C116*$C$90</f>
        <v>0</v>
      </c>
      <c r="D123" s="44">
        <f>D116*$C$90</f>
        <v>0</v>
      </c>
      <c r="E123" s="20" t="s">
        <v>37</v>
      </c>
      <c r="F123" s="25"/>
    </row>
    <row r="124" spans="2:6" s="20" customFormat="1" hidden="1" outlineLevel="1" x14ac:dyDescent="0.25">
      <c r="B124" s="30" t="str">
        <f t="shared" ref="B124:B126" si="6">B117</f>
        <v>1 : 0 : 3,5</v>
      </c>
      <c r="C124" s="44">
        <f t="shared" ref="C124:D124" si="7">C117*$C$90</f>
        <v>0</v>
      </c>
      <c r="D124" s="44">
        <f t="shared" si="7"/>
        <v>0</v>
      </c>
      <c r="F124" s="25"/>
    </row>
    <row r="125" spans="2:6" s="20" customFormat="1" hidden="1" outlineLevel="1" x14ac:dyDescent="0.25">
      <c r="B125" s="30" t="str">
        <f t="shared" si="6"/>
        <v>1 : 0 : 6</v>
      </c>
      <c r="C125" s="44">
        <f t="shared" ref="C125:D125" si="8">C118*$C$90</f>
        <v>0</v>
      </c>
      <c r="D125" s="44">
        <f t="shared" si="8"/>
        <v>0</v>
      </c>
      <c r="F125" s="25"/>
    </row>
    <row r="126" spans="2:6" s="20" customFormat="1" hidden="1" outlineLevel="1" x14ac:dyDescent="0.25">
      <c r="B126" s="30" t="str">
        <f t="shared" si="6"/>
        <v>1 : 0 : 12</v>
      </c>
      <c r="C126" s="44">
        <f t="shared" ref="C126:D126" si="9">C119*$C$90</f>
        <v>0</v>
      </c>
      <c r="D126" s="44">
        <f t="shared" si="9"/>
        <v>0</v>
      </c>
      <c r="E126" s="21"/>
      <c r="F126" s="25"/>
    </row>
    <row r="127" spans="2:6" s="20" customFormat="1" hidden="1" outlineLevel="1" x14ac:dyDescent="0.25">
      <c r="C127" s="38"/>
    </row>
    <row r="128" spans="2:6" s="20" customFormat="1" hidden="1" outlineLevel="1" x14ac:dyDescent="0.25">
      <c r="B128" s="19" t="s">
        <v>470</v>
      </c>
    </row>
    <row r="129" spans="2:12" s="20" customFormat="1" hidden="1" outlineLevel="1" x14ac:dyDescent="0.25"/>
    <row r="130" spans="2:12" s="20" customFormat="1" hidden="1" outlineLevel="1" x14ac:dyDescent="0.25">
      <c r="B130" s="20" t="s">
        <v>743</v>
      </c>
      <c r="C130" s="21">
        <f>C75*C76</f>
        <v>0</v>
      </c>
      <c r="D130" s="20" t="s">
        <v>643</v>
      </c>
      <c r="K130" s="20" t="s">
        <v>297</v>
      </c>
      <c r="L130" s="20" t="s">
        <v>382</v>
      </c>
    </row>
    <row r="131" spans="2:12" s="20" customFormat="1" hidden="1" outlineLevel="1" x14ac:dyDescent="0.25">
      <c r="B131" s="20" t="s">
        <v>1145</v>
      </c>
      <c r="C131" s="21">
        <f>C130*(1+'LEIA-ME'!$D$31)</f>
        <v>0</v>
      </c>
      <c r="D131" s="20" t="s">
        <v>643</v>
      </c>
      <c r="K131" s="20" t="s">
        <v>144</v>
      </c>
      <c r="L131" s="20" t="s">
        <v>148</v>
      </c>
    </row>
    <row r="132" spans="2:12" s="20" customFormat="1" hidden="1" outlineLevel="1" x14ac:dyDescent="0.25">
      <c r="B132" s="20" t="s">
        <v>152</v>
      </c>
      <c r="C132" s="33">
        <v>5</v>
      </c>
      <c r="D132" s="20" t="s">
        <v>643</v>
      </c>
      <c r="K132" s="20" t="s">
        <v>145</v>
      </c>
      <c r="L132" s="20" t="s">
        <v>149</v>
      </c>
    </row>
    <row r="133" spans="2:12" s="20" customFormat="1" hidden="1" outlineLevel="1" x14ac:dyDescent="0.25">
      <c r="B133" s="20" t="s">
        <v>153</v>
      </c>
      <c r="C133" s="21">
        <f>C131/C132</f>
        <v>0</v>
      </c>
      <c r="D133" s="20" t="s">
        <v>644</v>
      </c>
      <c r="K133" s="20" t="s">
        <v>146</v>
      </c>
      <c r="L133" s="20" t="s">
        <v>150</v>
      </c>
    </row>
    <row r="134" spans="2:12" s="20" customFormat="1" hidden="1" outlineLevel="1" x14ac:dyDescent="0.25">
      <c r="B134" s="30"/>
      <c r="C134" s="21"/>
      <c r="D134" s="21"/>
      <c r="E134" s="21"/>
      <c r="F134" s="25"/>
    </row>
    <row r="135" spans="2:12" s="20" customFormat="1" hidden="1" outlineLevel="1" x14ac:dyDescent="0.25">
      <c r="B135" s="19" t="s">
        <v>226</v>
      </c>
    </row>
    <row r="136" spans="2:12" s="20" customFormat="1" hidden="1" outlineLevel="1" x14ac:dyDescent="0.25">
      <c r="C136" s="21"/>
    </row>
    <row r="137" spans="2:12" s="20" customFormat="1" hidden="1" outlineLevel="1" x14ac:dyDescent="0.25">
      <c r="B137" s="20" t="s">
        <v>60</v>
      </c>
      <c r="C137" s="85">
        <v>2</v>
      </c>
      <c r="D137" s="20" t="s">
        <v>56</v>
      </c>
    </row>
    <row r="138" spans="2:12" s="20" customFormat="1" hidden="1" outlineLevel="1" x14ac:dyDescent="0.25">
      <c r="B138" s="20" t="s">
        <v>59</v>
      </c>
      <c r="C138" s="21">
        <f>C131*((C137/100))</f>
        <v>0</v>
      </c>
      <c r="D138" s="20" t="s">
        <v>32</v>
      </c>
    </row>
    <row r="139" spans="2:12" s="20" customFormat="1" hidden="1" outlineLevel="1" x14ac:dyDescent="0.25">
      <c r="B139" s="20" t="s">
        <v>718</v>
      </c>
      <c r="C139" s="21">
        <f>C138*(1+'LEIA-ME'!$D$31)</f>
        <v>0</v>
      </c>
      <c r="D139" s="20" t="s">
        <v>32</v>
      </c>
    </row>
    <row r="140" spans="2:12" hidden="1" outlineLevel="1" x14ac:dyDescent="0.25"/>
    <row r="141" spans="2:12" collapsed="1" x14ac:dyDescent="0.25">
      <c r="B141" s="27" t="s">
        <v>5</v>
      </c>
      <c r="C141" s="28" t="s">
        <v>46</v>
      </c>
      <c r="D141" s="28" t="s">
        <v>6</v>
      </c>
    </row>
    <row r="142" spans="2:12" ht="17.25" x14ac:dyDescent="0.25">
      <c r="B142" s="88" t="s">
        <v>242</v>
      </c>
      <c r="C142" s="91" t="s">
        <v>80</v>
      </c>
      <c r="D142" s="87">
        <f>IF(C78="Usinado",C90,0)</f>
        <v>0</v>
      </c>
    </row>
    <row r="143" spans="2:12" x14ac:dyDescent="0.25">
      <c r="B143" s="88" t="s">
        <v>36</v>
      </c>
      <c r="C143" s="91" t="s">
        <v>35</v>
      </c>
      <c r="D143" s="87">
        <f>IFERROR(IF(C78="Feito na obra",VLOOKUP($C$79,$B$100:$F$102,2,0),0),0)</f>
        <v>0</v>
      </c>
    </row>
    <row r="144" spans="2:12" ht="17.25" x14ac:dyDescent="0.25">
      <c r="B144" s="88" t="s">
        <v>34</v>
      </c>
      <c r="C144" s="91" t="s">
        <v>80</v>
      </c>
      <c r="D144" s="87">
        <f>IFERROR(IF(C78="Feito na obra",VLOOKUP($C$79,$B$100:$F$102,3,0),0),0)</f>
        <v>0</v>
      </c>
    </row>
    <row r="145" spans="2:4" ht="17.25" x14ac:dyDescent="0.25">
      <c r="B145" s="88" t="s">
        <v>33</v>
      </c>
      <c r="C145" s="91" t="s">
        <v>80</v>
      </c>
      <c r="D145" s="87">
        <f>IFERROR(IF(C78="Feito na obra",VLOOKUP($C$79,$B$100:$F$102,4,0),0),0)</f>
        <v>0</v>
      </c>
    </row>
    <row r="146" spans="2:4" x14ac:dyDescent="0.25">
      <c r="B146" s="88" t="s">
        <v>1163</v>
      </c>
      <c r="C146" s="91" t="s">
        <v>290</v>
      </c>
      <c r="D146" s="87">
        <f>IF(C81="Pronta",C110,0)</f>
        <v>0</v>
      </c>
    </row>
    <row r="147" spans="2:4" x14ac:dyDescent="0.25">
      <c r="B147" s="88" t="s">
        <v>165</v>
      </c>
      <c r="C147" s="91" t="s">
        <v>35</v>
      </c>
      <c r="D147" s="87">
        <f>IFERROR(IF(C81="Pronta",0,VLOOKUP($C$82,$B$122:$D$126,2,0)),0)</f>
        <v>0</v>
      </c>
    </row>
    <row r="148" spans="2:4" ht="17.25" x14ac:dyDescent="0.25">
      <c r="B148" s="88" t="s">
        <v>34</v>
      </c>
      <c r="C148" s="91" t="s">
        <v>80</v>
      </c>
      <c r="D148" s="87">
        <f>IFERROR(IF(C81="Pronta",0,VLOOKUP($C$82,$B$122:$D$126,3,0)),0)</f>
        <v>0</v>
      </c>
    </row>
    <row r="149" spans="2:4" x14ac:dyDescent="0.25">
      <c r="B149" s="88" t="str">
        <f>IF(C83="","",VLOOKUP(C83,K131:L133,2,0))</f>
        <v/>
      </c>
      <c r="C149" s="91" t="str">
        <f>IF(C83="","","Peça 2 x 3 m")</f>
        <v/>
      </c>
      <c r="D149" s="87">
        <f>C133</f>
        <v>0</v>
      </c>
    </row>
    <row r="150" spans="2:4" ht="17.25" x14ac:dyDescent="0.25">
      <c r="B150" s="88" t="s">
        <v>61</v>
      </c>
      <c r="C150" s="91" t="s">
        <v>80</v>
      </c>
      <c r="D150" s="87">
        <f>C139</f>
        <v>0</v>
      </c>
    </row>
  </sheetData>
  <mergeCells count="12">
    <mergeCell ref="C32:F32"/>
    <mergeCell ref="C27:F27"/>
    <mergeCell ref="B2:D2"/>
    <mergeCell ref="B4:D4"/>
    <mergeCell ref="B5:D5"/>
    <mergeCell ref="C121:D121"/>
    <mergeCell ref="C114:D114"/>
    <mergeCell ref="C47:D47"/>
    <mergeCell ref="C54:D54"/>
    <mergeCell ref="C99:F99"/>
    <mergeCell ref="B71:D71"/>
    <mergeCell ref="C94:F94"/>
  </mergeCells>
  <dataValidations count="6">
    <dataValidation type="list" allowBlank="1" showInputMessage="1" showErrorMessage="1" sqref="C12 C78" xr:uid="{00000000-0002-0000-0A00-000000000000}">
      <formula1>"Usinado,Feito na obra"</formula1>
    </dataValidation>
    <dataValidation type="list" allowBlank="1" showInputMessage="1" showErrorMessage="1" sqref="C13" xr:uid="{00000000-0002-0000-0A00-000001000000}">
      <formula1>$B$29:$B$30</formula1>
    </dataValidation>
    <dataValidation type="list" allowBlank="1" showInputMessage="1" showErrorMessage="1" sqref="C79" xr:uid="{00000000-0002-0000-0A00-000002000000}">
      <formula1>$B$96:$B$97</formula1>
    </dataValidation>
    <dataValidation type="list" allowBlank="1" showInputMessage="1" showErrorMessage="1" sqref="C83" xr:uid="{00000000-0002-0000-0A00-000003000000}">
      <formula1>$K$131:$K$133</formula1>
    </dataValidation>
    <dataValidation type="list" allowBlank="1" showInputMessage="1" showErrorMessage="1" sqref="C15 C81" xr:uid="{00000000-0002-0000-0A00-000004000000}">
      <formula1>"Pronta,Feita na obra"</formula1>
    </dataValidation>
    <dataValidation type="list" allowBlank="1" showInputMessage="1" showErrorMessage="1" sqref="C16 C82" xr:uid="{00000000-0002-0000-0A00-000005000000}">
      <formula1>$B$49:$B$52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40"/>
  <sheetViews>
    <sheetView showGridLines="0" zoomScale="130" zoomScaleNormal="130" workbookViewId="0">
      <selection activeCell="H13" sqref="H13"/>
    </sheetView>
  </sheetViews>
  <sheetFormatPr defaultColWidth="8.85546875" defaultRowHeight="15" outlineLevelRow="1" x14ac:dyDescent="0.25"/>
  <cols>
    <col min="1" max="1" width="2" style="7" customWidth="1"/>
    <col min="2" max="2" width="36.85546875" style="7" customWidth="1"/>
    <col min="3" max="3" width="18.42578125" style="7" customWidth="1"/>
    <col min="4" max="4" width="12.5703125" style="7" customWidth="1"/>
    <col min="5" max="16384" width="8.85546875" style="7"/>
  </cols>
  <sheetData>
    <row r="1" spans="1:13" ht="15.75" thickBot="1" x14ac:dyDescent="0.3"/>
    <row r="2" spans="1:13" ht="21.75" thickBot="1" x14ac:dyDescent="0.4">
      <c r="B2" s="129" t="s">
        <v>243</v>
      </c>
      <c r="C2" s="130"/>
      <c r="D2" s="131"/>
    </row>
    <row r="3" spans="1:13" ht="8.25" customHeight="1" x14ac:dyDescent="0.25"/>
    <row r="4" spans="1:13" ht="45.75" customHeight="1" x14ac:dyDescent="0.25">
      <c r="B4" s="128" t="s">
        <v>244</v>
      </c>
      <c r="C4" s="128"/>
      <c r="D4" s="128"/>
    </row>
    <row r="5" spans="1:13" s="5" customFormat="1" ht="18.75" x14ac:dyDescent="0.3">
      <c r="A5" s="7"/>
      <c r="B5" s="132" t="s">
        <v>556</v>
      </c>
      <c r="C5" s="132"/>
      <c r="D5" s="132"/>
      <c r="E5" s="7"/>
      <c r="F5" s="7"/>
      <c r="H5" s="22"/>
    </row>
    <row r="6" spans="1:13" s="5" customFormat="1" x14ac:dyDescent="0.25">
      <c r="A6" s="7"/>
      <c r="B6" s="7"/>
      <c r="C6" s="7"/>
      <c r="D6" s="7"/>
      <c r="E6" s="7"/>
      <c r="F6" s="7"/>
      <c r="H6" s="22"/>
    </row>
    <row r="7" spans="1:13" x14ac:dyDescent="0.25">
      <c r="B7" s="9" t="s">
        <v>2</v>
      </c>
    </row>
    <row r="9" spans="1:13" x14ac:dyDescent="0.25">
      <c r="B9" s="7" t="s">
        <v>253</v>
      </c>
      <c r="C9" s="33"/>
      <c r="D9" s="7" t="s">
        <v>53</v>
      </c>
    </row>
    <row r="10" spans="1:13" x14ac:dyDescent="0.25">
      <c r="B10" s="7" t="s">
        <v>254</v>
      </c>
      <c r="C10" s="33"/>
      <c r="D10" s="7" t="s">
        <v>53</v>
      </c>
    </row>
    <row r="11" spans="1:13" x14ac:dyDescent="0.25">
      <c r="B11" s="7" t="s">
        <v>255</v>
      </c>
      <c r="C11" s="23"/>
      <c r="D11" s="7" t="s">
        <v>56</v>
      </c>
    </row>
    <row r="12" spans="1:13" x14ac:dyDescent="0.25">
      <c r="B12" s="7" t="s">
        <v>225</v>
      </c>
      <c r="C12" s="29"/>
    </row>
    <row r="13" spans="1:13" x14ac:dyDescent="0.25">
      <c r="B13" s="7" t="s">
        <v>57</v>
      </c>
      <c r="C13" s="29"/>
      <c r="D13" s="7" t="s">
        <v>1193</v>
      </c>
    </row>
    <row r="15" spans="1:13" s="20" customFormat="1" hidden="1" outlineLevel="1" x14ac:dyDescent="0.25">
      <c r="B15" s="19" t="s">
        <v>118</v>
      </c>
      <c r="M15" s="31"/>
    </row>
    <row r="16" spans="1:13" s="20" customFormat="1" hidden="1" outlineLevel="1" x14ac:dyDescent="0.25">
      <c r="M16" s="31"/>
    </row>
    <row r="17" spans="2:13" s="20" customFormat="1" hidden="1" outlineLevel="1" x14ac:dyDescent="0.25">
      <c r="B17" s="20" t="s">
        <v>744</v>
      </c>
      <c r="C17" s="21">
        <f>(C9*C10)</f>
        <v>0</v>
      </c>
      <c r="D17" s="20" t="s">
        <v>643</v>
      </c>
      <c r="M17" s="31"/>
    </row>
    <row r="18" spans="2:13" s="20" customFormat="1" hidden="1" outlineLevel="1" x14ac:dyDescent="0.25">
      <c r="B18" s="20" t="s">
        <v>745</v>
      </c>
      <c r="C18" s="21">
        <f>C17*(C11/100)</f>
        <v>0</v>
      </c>
      <c r="D18" s="20" t="s">
        <v>32</v>
      </c>
      <c r="M18" s="31"/>
    </row>
    <row r="19" spans="2:13" s="20" customFormat="1" hidden="1" outlineLevel="1" x14ac:dyDescent="0.25">
      <c r="B19" s="20" t="s">
        <v>747</v>
      </c>
      <c r="C19" s="81">
        <v>0.2</v>
      </c>
      <c r="M19" s="31"/>
    </row>
    <row r="20" spans="2:13" s="20" customFormat="1" hidden="1" outlineLevel="1" x14ac:dyDescent="0.25">
      <c r="B20" s="20" t="s">
        <v>746</v>
      </c>
      <c r="C20" s="21">
        <f>C18*C19</f>
        <v>0</v>
      </c>
      <c r="D20" s="20" t="s">
        <v>32</v>
      </c>
      <c r="M20" s="31"/>
    </row>
    <row r="21" spans="2:13" s="20" customFormat="1" hidden="1" outlineLevel="1" x14ac:dyDescent="0.25">
      <c r="B21" s="20" t="s">
        <v>701</v>
      </c>
      <c r="C21" s="21">
        <f>C18+C20</f>
        <v>0</v>
      </c>
      <c r="D21" s="20" t="s">
        <v>32</v>
      </c>
      <c r="M21" s="31"/>
    </row>
    <row r="22" spans="2:13" s="20" customFormat="1" hidden="1" outlineLevel="1" x14ac:dyDescent="0.25">
      <c r="B22" s="20" t="s">
        <v>702</v>
      </c>
      <c r="C22" s="21">
        <f>C21*(1+'LEIA-ME'!$D$31)</f>
        <v>0</v>
      </c>
      <c r="D22" s="20" t="s">
        <v>32</v>
      </c>
      <c r="M22" s="31"/>
    </row>
    <row r="23" spans="2:13" s="20" customFormat="1" hidden="1" outlineLevel="1" x14ac:dyDescent="0.25">
      <c r="C23" s="21"/>
      <c r="M23" s="31"/>
    </row>
    <row r="24" spans="2:13" s="20" customFormat="1" hidden="1" outlineLevel="1" x14ac:dyDescent="0.25">
      <c r="B24" s="19" t="s">
        <v>125</v>
      </c>
      <c r="M24" s="31"/>
    </row>
    <row r="25" spans="2:13" s="20" customFormat="1" hidden="1" outlineLevel="1" x14ac:dyDescent="0.25"/>
    <row r="26" spans="2:13" s="20" customFormat="1" hidden="1" outlineLevel="1" x14ac:dyDescent="0.25">
      <c r="C26" s="133" t="s">
        <v>45</v>
      </c>
      <c r="D26" s="133"/>
      <c r="E26" s="133"/>
      <c r="F26" s="133"/>
    </row>
    <row r="27" spans="2:13" s="73" customFormat="1" ht="30" hidden="1" outlineLevel="1" x14ac:dyDescent="0.25">
      <c r="B27" s="72" t="s">
        <v>42</v>
      </c>
      <c r="C27" s="86" t="s">
        <v>41</v>
      </c>
      <c r="D27" s="86" t="s">
        <v>40</v>
      </c>
      <c r="E27" s="86" t="s">
        <v>39</v>
      </c>
      <c r="F27" s="86" t="s">
        <v>38</v>
      </c>
    </row>
    <row r="28" spans="2:13" s="20" customFormat="1" hidden="1" outlineLevel="1" x14ac:dyDescent="0.25">
      <c r="B28" s="30" t="s">
        <v>1184</v>
      </c>
      <c r="C28" s="21">
        <v>10.3</v>
      </c>
      <c r="D28" s="21">
        <v>0.46506601466992664</v>
      </c>
      <c r="E28" s="21">
        <v>0.72599999999999987</v>
      </c>
      <c r="F28" s="25">
        <v>226</v>
      </c>
      <c r="G28" s="20" t="s">
        <v>44</v>
      </c>
    </row>
    <row r="29" spans="2:13" s="20" customFormat="1" hidden="1" outlineLevel="1" x14ac:dyDescent="0.25">
      <c r="B29" s="30" t="s">
        <v>1175</v>
      </c>
      <c r="C29" s="21">
        <v>7.7</v>
      </c>
      <c r="D29" s="21">
        <v>0.52400000000000002</v>
      </c>
      <c r="E29" s="21">
        <v>0.81799999999999995</v>
      </c>
      <c r="F29" s="25">
        <v>189</v>
      </c>
    </row>
    <row r="30" spans="2:13" s="20" customFormat="1" hidden="1" outlineLevel="1" x14ac:dyDescent="0.25">
      <c r="B30" s="30" t="s">
        <v>1176</v>
      </c>
      <c r="C30" s="21">
        <v>7.5</v>
      </c>
      <c r="D30" s="21">
        <v>0.67645965770171146</v>
      </c>
      <c r="E30" s="21">
        <v>0.65999999999999992</v>
      </c>
      <c r="F30" s="25">
        <v>206</v>
      </c>
    </row>
    <row r="31" spans="2:13" s="20" customFormat="1" hidden="1" outlineLevel="1" x14ac:dyDescent="0.25"/>
    <row r="32" spans="2:13" s="20" customFormat="1" hidden="1" outlineLevel="1" x14ac:dyDescent="0.25">
      <c r="C32" s="133" t="s">
        <v>43</v>
      </c>
      <c r="D32" s="133"/>
      <c r="E32" s="133"/>
      <c r="F32" s="133"/>
    </row>
    <row r="33" spans="1:13" s="73" customFormat="1" ht="30" hidden="1" outlineLevel="1" x14ac:dyDescent="0.25">
      <c r="B33" s="72" t="s">
        <v>42</v>
      </c>
      <c r="C33" s="86" t="s">
        <v>41</v>
      </c>
      <c r="D33" s="86" t="s">
        <v>40</v>
      </c>
      <c r="E33" s="86" t="s">
        <v>39</v>
      </c>
      <c r="F33" s="86" t="s">
        <v>38</v>
      </c>
    </row>
    <row r="34" spans="1:13" s="20" customFormat="1" hidden="1" outlineLevel="1" x14ac:dyDescent="0.25">
      <c r="B34" s="30" t="str">
        <f>B28</f>
        <v>1 : 1 : 2</v>
      </c>
      <c r="C34" s="21">
        <f>C28*$C$22</f>
        <v>0</v>
      </c>
      <c r="D34" s="21">
        <f>D28*$C$22</f>
        <v>0</v>
      </c>
      <c r="E34" s="21">
        <f>E28*$C$22</f>
        <v>0</v>
      </c>
      <c r="F34" s="25">
        <f>F28*$C$22</f>
        <v>0</v>
      </c>
      <c r="G34" s="20" t="s">
        <v>37</v>
      </c>
    </row>
    <row r="35" spans="1:13" s="20" customFormat="1" hidden="1" outlineLevel="1" x14ac:dyDescent="0.25">
      <c r="B35" s="30" t="str">
        <f t="shared" ref="B35:B36" si="0">B29</f>
        <v>1 : 1,5 : 3</v>
      </c>
      <c r="C35" s="21">
        <f t="shared" ref="C35:F35" si="1">C29*$C$22</f>
        <v>0</v>
      </c>
      <c r="D35" s="21">
        <f t="shared" si="1"/>
        <v>0</v>
      </c>
      <c r="E35" s="21">
        <f t="shared" si="1"/>
        <v>0</v>
      </c>
      <c r="F35" s="25">
        <f t="shared" si="1"/>
        <v>0</v>
      </c>
    </row>
    <row r="36" spans="1:13" s="20" customFormat="1" hidden="1" outlineLevel="1" x14ac:dyDescent="0.25">
      <c r="B36" s="30" t="str">
        <f t="shared" si="0"/>
        <v>1 : 2 : 2,5</v>
      </c>
      <c r="C36" s="21">
        <f t="shared" ref="C36:F36" si="2">C30*$C$22</f>
        <v>0</v>
      </c>
      <c r="D36" s="21">
        <f t="shared" si="2"/>
        <v>0</v>
      </c>
      <c r="E36" s="21">
        <f t="shared" si="2"/>
        <v>0</v>
      </c>
      <c r="F36" s="25">
        <f t="shared" si="2"/>
        <v>0</v>
      </c>
    </row>
    <row r="37" spans="1:13" hidden="1" outlineLevel="1" x14ac:dyDescent="0.25">
      <c r="M37" s="4"/>
    </row>
    <row r="38" spans="1:13" collapsed="1" x14ac:dyDescent="0.25">
      <c r="B38" s="27" t="s">
        <v>5</v>
      </c>
      <c r="C38" s="28" t="s">
        <v>46</v>
      </c>
      <c r="D38" s="28" t="s">
        <v>6</v>
      </c>
    </row>
    <row r="39" spans="1:13" ht="17.25" x14ac:dyDescent="0.25">
      <c r="B39" s="88" t="s">
        <v>256</v>
      </c>
      <c r="C39" s="91" t="s">
        <v>80</v>
      </c>
      <c r="D39" s="87">
        <f>IF(C12="Usinado",C22,0)</f>
        <v>0</v>
      </c>
    </row>
    <row r="40" spans="1:13" x14ac:dyDescent="0.25">
      <c r="B40" s="88" t="s">
        <v>36</v>
      </c>
      <c r="C40" s="91" t="s">
        <v>35</v>
      </c>
      <c r="D40" s="87">
        <f>IFERROR(IF(C12="Feito na obra",VLOOKUP($C$13,$B$33:$F$36,2,0),0),0)</f>
        <v>0</v>
      </c>
    </row>
    <row r="41" spans="1:13" ht="17.25" x14ac:dyDescent="0.25">
      <c r="B41" s="88" t="s">
        <v>34</v>
      </c>
      <c r="C41" s="91" t="s">
        <v>80</v>
      </c>
      <c r="D41" s="87">
        <f>IFERROR(IF(C12="Feito na obra",VLOOKUP($C$13,$B$33:$F$36,3,0),0),0)</f>
        <v>0</v>
      </c>
    </row>
    <row r="42" spans="1:13" ht="17.25" x14ac:dyDescent="0.25">
      <c r="B42" s="88" t="s">
        <v>33</v>
      </c>
      <c r="C42" s="91" t="s">
        <v>80</v>
      </c>
      <c r="D42" s="87">
        <f>IFERROR(IF(C12="Feito na obra",VLOOKUP($C$13,$B$33:$F$36,4,0),0),0)</f>
        <v>0</v>
      </c>
    </row>
    <row r="45" spans="1:13" s="5" customFormat="1" ht="18.75" x14ac:dyDescent="0.3">
      <c r="A45" s="7"/>
      <c r="B45" s="132" t="s">
        <v>1165</v>
      </c>
      <c r="C45" s="132"/>
      <c r="D45" s="132"/>
      <c r="E45" s="7"/>
      <c r="F45" s="7"/>
      <c r="H45" s="22"/>
    </row>
    <row r="46" spans="1:13" s="5" customFormat="1" x14ac:dyDescent="0.25">
      <c r="A46" s="7"/>
      <c r="B46" s="7"/>
      <c r="C46" s="7"/>
      <c r="D46" s="7"/>
      <c r="E46" s="7"/>
      <c r="F46" s="7"/>
      <c r="H46" s="22"/>
    </row>
    <row r="47" spans="1:13" x14ac:dyDescent="0.25">
      <c r="B47" s="9" t="s">
        <v>2</v>
      </c>
    </row>
    <row r="49" spans="2:13" x14ac:dyDescent="0.25">
      <c r="B49" s="7" t="s">
        <v>257</v>
      </c>
      <c r="C49" s="29"/>
      <c r="M49" s="4"/>
    </row>
    <row r="50" spans="2:13" x14ac:dyDescent="0.25">
      <c r="B50" s="7" t="s">
        <v>258</v>
      </c>
      <c r="C50" s="29"/>
      <c r="M50" s="4"/>
    </row>
    <row r="51" spans="2:13" x14ac:dyDescent="0.25">
      <c r="M51" s="4"/>
    </row>
    <row r="52" spans="2:13" s="20" customFormat="1" hidden="1" outlineLevel="1" x14ac:dyDescent="0.25">
      <c r="B52" s="19" t="s">
        <v>259</v>
      </c>
      <c r="H52" s="20" t="s">
        <v>748</v>
      </c>
      <c r="I52" s="20" t="s">
        <v>749</v>
      </c>
      <c r="M52" s="31"/>
    </row>
    <row r="53" spans="2:13" s="20" customFormat="1" hidden="1" outlineLevel="1" x14ac:dyDescent="0.25">
      <c r="B53" s="19"/>
      <c r="H53" s="20" t="s">
        <v>250</v>
      </c>
      <c r="I53" s="20" t="s">
        <v>249</v>
      </c>
      <c r="M53" s="31"/>
    </row>
    <row r="54" spans="2:13" s="20" customFormat="1" hidden="1" outlineLevel="1" x14ac:dyDescent="0.25">
      <c r="B54" s="20" t="s">
        <v>750</v>
      </c>
      <c r="C54" s="20" t="s">
        <v>382</v>
      </c>
      <c r="H54" s="20" t="s">
        <v>247</v>
      </c>
      <c r="I54" s="20" t="s">
        <v>248</v>
      </c>
      <c r="M54" s="31"/>
    </row>
    <row r="55" spans="2:13" s="20" customFormat="1" hidden="1" outlineLevel="1" x14ac:dyDescent="0.25">
      <c r="B55" s="20" t="s">
        <v>260</v>
      </c>
      <c r="C55" s="20" t="s">
        <v>266</v>
      </c>
      <c r="I55" s="20" t="s">
        <v>246</v>
      </c>
      <c r="M55" s="31"/>
    </row>
    <row r="56" spans="2:13" s="20" customFormat="1" hidden="1" outlineLevel="1" x14ac:dyDescent="0.25">
      <c r="B56" s="20" t="s">
        <v>261</v>
      </c>
      <c r="C56" s="20" t="s">
        <v>267</v>
      </c>
      <c r="M56" s="31"/>
    </row>
    <row r="57" spans="2:13" s="20" customFormat="1" hidden="1" outlineLevel="1" x14ac:dyDescent="0.25">
      <c r="B57" s="20" t="s">
        <v>262</v>
      </c>
      <c r="C57" s="20" t="s">
        <v>251</v>
      </c>
      <c r="M57" s="31"/>
    </row>
    <row r="58" spans="2:13" s="20" customFormat="1" hidden="1" outlineLevel="1" x14ac:dyDescent="0.25">
      <c r="B58" s="20" t="s">
        <v>263</v>
      </c>
      <c r="C58" s="20" t="s">
        <v>268</v>
      </c>
      <c r="M58" s="31"/>
    </row>
    <row r="59" spans="2:13" s="20" customFormat="1" hidden="1" outlineLevel="1" x14ac:dyDescent="0.25">
      <c r="B59" s="20" t="s">
        <v>264</v>
      </c>
      <c r="C59" s="20" t="s">
        <v>269</v>
      </c>
      <c r="M59" s="31"/>
    </row>
    <row r="60" spans="2:13" s="20" customFormat="1" hidden="1" outlineLevel="1" x14ac:dyDescent="0.25">
      <c r="B60" s="20" t="s">
        <v>265</v>
      </c>
      <c r="C60" s="20" t="s">
        <v>469</v>
      </c>
      <c r="M60" s="31"/>
    </row>
    <row r="61" spans="2:13" hidden="1" outlineLevel="1" x14ac:dyDescent="0.25">
      <c r="M61" s="4"/>
    </row>
    <row r="62" spans="2:13" collapsed="1" x14ac:dyDescent="0.25">
      <c r="B62" s="27" t="s">
        <v>5</v>
      </c>
      <c r="C62" s="28" t="s">
        <v>46</v>
      </c>
      <c r="D62" s="28" t="s">
        <v>6</v>
      </c>
    </row>
    <row r="63" spans="2:13" x14ac:dyDescent="0.25">
      <c r="B63" s="88" t="str">
        <f>IF(OR(C49="",C50=""),"",VLOOKUP(C49&amp;"."&amp;C50,B55:C60,2,0))</f>
        <v/>
      </c>
      <c r="C63" s="91" t="s">
        <v>298</v>
      </c>
      <c r="D63" s="87">
        <f>C17</f>
        <v>0</v>
      </c>
      <c r="M63" s="4"/>
    </row>
    <row r="64" spans="2:13" x14ac:dyDescent="0.25">
      <c r="M64" s="4"/>
    </row>
    <row r="65" spans="1:13" x14ac:dyDescent="0.25">
      <c r="M65" s="4"/>
    </row>
    <row r="66" spans="1:13" s="5" customFormat="1" ht="18.75" x14ac:dyDescent="0.3">
      <c r="A66" s="7"/>
      <c r="B66" s="132" t="s">
        <v>557</v>
      </c>
      <c r="C66" s="132"/>
      <c r="D66" s="132"/>
      <c r="E66" s="7"/>
      <c r="F66" s="7"/>
      <c r="H66" s="22"/>
    </row>
    <row r="67" spans="1:13" s="5" customFormat="1" x14ac:dyDescent="0.25">
      <c r="A67" s="7"/>
      <c r="B67" s="7"/>
      <c r="C67" s="7"/>
      <c r="D67" s="7"/>
      <c r="E67" s="7"/>
      <c r="F67" s="7"/>
      <c r="H67" s="22"/>
    </row>
    <row r="68" spans="1:13" x14ac:dyDescent="0.25">
      <c r="B68" s="9" t="s">
        <v>2</v>
      </c>
    </row>
    <row r="70" spans="1:13" x14ac:dyDescent="0.25">
      <c r="B70" s="3" t="s">
        <v>151</v>
      </c>
      <c r="C70" s="41"/>
    </row>
    <row r="73" spans="1:13" s="20" customFormat="1" hidden="1" outlineLevel="1" x14ac:dyDescent="0.25">
      <c r="B73" s="19" t="s">
        <v>470</v>
      </c>
      <c r="K73" s="20" t="s">
        <v>297</v>
      </c>
      <c r="L73" s="20" t="s">
        <v>382</v>
      </c>
    </row>
    <row r="74" spans="1:13" s="20" customFormat="1" hidden="1" outlineLevel="1" x14ac:dyDescent="0.25">
      <c r="K74" s="20" t="s">
        <v>144</v>
      </c>
      <c r="L74" s="20" t="s">
        <v>148</v>
      </c>
    </row>
    <row r="75" spans="1:13" s="20" customFormat="1" hidden="1" outlineLevel="1" x14ac:dyDescent="0.25">
      <c r="B75" s="20" t="s">
        <v>744</v>
      </c>
      <c r="C75" s="21">
        <f>C17</f>
        <v>0</v>
      </c>
      <c r="D75" s="20" t="s">
        <v>643</v>
      </c>
      <c r="K75" s="20" t="s">
        <v>145</v>
      </c>
      <c r="L75" s="20" t="s">
        <v>149</v>
      </c>
    </row>
    <row r="76" spans="1:13" s="20" customFormat="1" hidden="1" outlineLevel="1" x14ac:dyDescent="0.25">
      <c r="B76" s="20" t="s">
        <v>751</v>
      </c>
      <c r="C76" s="21">
        <f>C75*(1+'LEIA-ME'!$D$31)</f>
        <v>0</v>
      </c>
      <c r="D76" s="20" t="s">
        <v>643</v>
      </c>
      <c r="K76" s="20" t="s">
        <v>146</v>
      </c>
      <c r="L76" s="20" t="s">
        <v>150</v>
      </c>
    </row>
    <row r="77" spans="1:13" s="20" customFormat="1" hidden="1" outlineLevel="1" x14ac:dyDescent="0.25">
      <c r="B77" s="20" t="s">
        <v>152</v>
      </c>
      <c r="C77" s="33">
        <v>5</v>
      </c>
      <c r="D77" s="20" t="s">
        <v>643</v>
      </c>
    </row>
    <row r="78" spans="1:13" s="20" customFormat="1" hidden="1" outlineLevel="1" x14ac:dyDescent="0.25">
      <c r="B78" s="20" t="s">
        <v>153</v>
      </c>
      <c r="C78" s="21">
        <f>C76/C77</f>
        <v>0</v>
      </c>
      <c r="D78" s="20" t="s">
        <v>644</v>
      </c>
    </row>
    <row r="79" spans="1:13" s="20" customFormat="1" hidden="1" outlineLevel="1" x14ac:dyDescent="0.25"/>
    <row r="80" spans="1:13" s="20" customFormat="1" hidden="1" outlineLevel="1" x14ac:dyDescent="0.25">
      <c r="B80" s="19" t="s">
        <v>73</v>
      </c>
    </row>
    <row r="81" spans="1:13" s="20" customFormat="1" hidden="1" outlineLevel="1" x14ac:dyDescent="0.25"/>
    <row r="82" spans="1:13" s="20" customFormat="1" hidden="1" outlineLevel="1" x14ac:dyDescent="0.25">
      <c r="B82" s="20" t="s">
        <v>666</v>
      </c>
      <c r="C82" s="85">
        <v>0.02</v>
      </c>
      <c r="D82" s="20" t="s">
        <v>720</v>
      </c>
    </row>
    <row r="83" spans="1:13" s="20" customFormat="1" hidden="1" outlineLevel="1" x14ac:dyDescent="0.25">
      <c r="B83" s="20" t="s">
        <v>615</v>
      </c>
      <c r="C83" s="21">
        <f>C76*C82*(1+'LEIA-ME'!$D$31)</f>
        <v>0</v>
      </c>
      <c r="D83" s="20" t="s">
        <v>49</v>
      </c>
    </row>
    <row r="84" spans="1:13" s="20" customFormat="1" hidden="1" outlineLevel="1" x14ac:dyDescent="0.25">
      <c r="B84" s="20" t="s">
        <v>668</v>
      </c>
      <c r="C84" s="23">
        <v>5</v>
      </c>
      <c r="D84" s="20" t="s">
        <v>667</v>
      </c>
    </row>
    <row r="85" spans="1:13" s="20" customFormat="1" hidden="1" outlineLevel="1" x14ac:dyDescent="0.25">
      <c r="B85" s="20" t="s">
        <v>622</v>
      </c>
      <c r="C85" s="25">
        <f>C76*C84*(1+'LEIA-ME'!$D$31)</f>
        <v>0</v>
      </c>
      <c r="D85" s="20" t="s">
        <v>644</v>
      </c>
    </row>
    <row r="86" spans="1:13" hidden="1" outlineLevel="1" x14ac:dyDescent="0.25"/>
    <row r="87" spans="1:13" collapsed="1" x14ac:dyDescent="0.25">
      <c r="B87" s="27" t="s">
        <v>5</v>
      </c>
      <c r="C87" s="28" t="s">
        <v>46</v>
      </c>
      <c r="D87" s="28" t="s">
        <v>6</v>
      </c>
    </row>
    <row r="88" spans="1:13" x14ac:dyDescent="0.25">
      <c r="B88" s="88" t="str">
        <f>IF(C70="","",VLOOKUP(C70,K74:L76,2,0))</f>
        <v/>
      </c>
      <c r="C88" s="91" t="s">
        <v>147</v>
      </c>
      <c r="D88" s="87">
        <f>C78</f>
        <v>0</v>
      </c>
    </row>
    <row r="89" spans="1:13" x14ac:dyDescent="0.25">
      <c r="B89" s="88" t="s">
        <v>74</v>
      </c>
      <c r="C89" s="91" t="s">
        <v>641</v>
      </c>
      <c r="D89" s="87">
        <f>C83</f>
        <v>0</v>
      </c>
    </row>
    <row r="90" spans="1:13" x14ac:dyDescent="0.25">
      <c r="B90" s="88" t="s">
        <v>231</v>
      </c>
      <c r="C90" s="91" t="s">
        <v>50</v>
      </c>
      <c r="D90" s="87">
        <f>C85</f>
        <v>0</v>
      </c>
    </row>
    <row r="92" spans="1:13" x14ac:dyDescent="0.25">
      <c r="M92" s="4"/>
    </row>
    <row r="93" spans="1:13" s="5" customFormat="1" ht="18.75" x14ac:dyDescent="0.3">
      <c r="A93" s="7"/>
      <c r="B93" s="132" t="s">
        <v>558</v>
      </c>
      <c r="C93" s="132"/>
      <c r="D93" s="132"/>
      <c r="E93" s="7"/>
      <c r="F93" s="7"/>
      <c r="H93" s="22"/>
    </row>
    <row r="95" spans="1:13" s="20" customFormat="1" hidden="1" outlineLevel="1" x14ac:dyDescent="0.25">
      <c r="B95" s="19" t="s">
        <v>120</v>
      </c>
    </row>
    <row r="96" spans="1:13" s="20" customFormat="1" hidden="1" outlineLevel="1" x14ac:dyDescent="0.25"/>
    <row r="97" spans="2:4" s="20" customFormat="1" hidden="1" outlineLevel="1" x14ac:dyDescent="0.25">
      <c r="B97" s="20" t="s">
        <v>752</v>
      </c>
      <c r="C97" s="21">
        <f>C9*2+C10*2</f>
        <v>0</v>
      </c>
      <c r="D97" s="20" t="s">
        <v>53</v>
      </c>
    </row>
    <row r="98" spans="2:4" s="20" customFormat="1" hidden="1" outlineLevel="1" x14ac:dyDescent="0.25">
      <c r="B98" s="20" t="s">
        <v>753</v>
      </c>
      <c r="C98" s="21">
        <f>C97*(1+'LEIA-ME'!$D$31)</f>
        <v>0</v>
      </c>
      <c r="D98" s="20" t="s">
        <v>53</v>
      </c>
    </row>
    <row r="99" spans="2:4" s="20" customFormat="1" hidden="1" outlineLevel="1" x14ac:dyDescent="0.25">
      <c r="B99" s="20" t="s">
        <v>649</v>
      </c>
      <c r="C99" s="33">
        <v>3</v>
      </c>
      <c r="D99" s="20" t="s">
        <v>53</v>
      </c>
    </row>
    <row r="100" spans="2:4" s="20" customFormat="1" hidden="1" outlineLevel="1" x14ac:dyDescent="0.25">
      <c r="B100" s="20" t="s">
        <v>229</v>
      </c>
      <c r="C100" s="37">
        <f>C98/C99</f>
        <v>0</v>
      </c>
      <c r="D100" s="20" t="s">
        <v>644</v>
      </c>
    </row>
    <row r="101" spans="2:4" s="20" customFormat="1" hidden="1" outlineLevel="1" x14ac:dyDescent="0.25"/>
    <row r="102" spans="2:4" s="20" customFormat="1" hidden="1" outlineLevel="1" x14ac:dyDescent="0.25">
      <c r="B102" s="19" t="s">
        <v>121</v>
      </c>
    </row>
    <row r="103" spans="2:4" s="20" customFormat="1" hidden="1" outlineLevel="1" x14ac:dyDescent="0.25"/>
    <row r="104" spans="2:4" s="20" customFormat="1" hidden="1" outlineLevel="1" x14ac:dyDescent="0.25">
      <c r="B104" s="20" t="s">
        <v>229</v>
      </c>
      <c r="C104" s="37">
        <f>C100</f>
        <v>0</v>
      </c>
      <c r="D104" s="39" t="s">
        <v>644</v>
      </c>
    </row>
    <row r="105" spans="2:4" s="20" customFormat="1" hidden="1" outlineLevel="1" x14ac:dyDescent="0.25">
      <c r="B105" s="20" t="s">
        <v>721</v>
      </c>
      <c r="C105" s="23">
        <v>40</v>
      </c>
      <c r="D105" s="39" t="s">
        <v>56</v>
      </c>
    </row>
    <row r="106" spans="2:4" s="20" customFormat="1" hidden="1" outlineLevel="1" x14ac:dyDescent="0.25">
      <c r="B106" s="20" t="s">
        <v>674</v>
      </c>
      <c r="C106" s="33">
        <v>3</v>
      </c>
      <c r="D106" s="20" t="s">
        <v>53</v>
      </c>
    </row>
    <row r="107" spans="2:4" s="20" customFormat="1" hidden="1" outlineLevel="1" x14ac:dyDescent="0.25">
      <c r="B107" s="20" t="s">
        <v>836</v>
      </c>
      <c r="C107" s="37">
        <f>C106/(C105/100)</f>
        <v>7.5</v>
      </c>
      <c r="D107" s="39" t="s">
        <v>644</v>
      </c>
    </row>
    <row r="108" spans="2:4" s="20" customFormat="1" hidden="1" outlineLevel="1" x14ac:dyDescent="0.25">
      <c r="B108" s="20" t="s">
        <v>232</v>
      </c>
      <c r="C108" s="37">
        <f>C104*C107</f>
        <v>0</v>
      </c>
      <c r="D108" s="39" t="s">
        <v>644</v>
      </c>
    </row>
    <row r="109" spans="2:4" s="20" customFormat="1" hidden="1" outlineLevel="1" x14ac:dyDescent="0.25">
      <c r="B109" s="20" t="s">
        <v>713</v>
      </c>
      <c r="C109" s="23">
        <v>20</v>
      </c>
      <c r="D109" s="39" t="s">
        <v>56</v>
      </c>
    </row>
    <row r="110" spans="2:4" s="20" customFormat="1" hidden="1" outlineLevel="1" x14ac:dyDescent="0.25">
      <c r="B110" s="20" t="s">
        <v>17</v>
      </c>
      <c r="C110" s="37">
        <f>C108*(C109/100)</f>
        <v>0</v>
      </c>
      <c r="D110" s="20" t="s">
        <v>53</v>
      </c>
    </row>
    <row r="111" spans="2:4" s="20" customFormat="1" hidden="1" outlineLevel="1" x14ac:dyDescent="0.25">
      <c r="B111" s="20" t="s">
        <v>673</v>
      </c>
      <c r="C111" s="37">
        <f>C110*(1+'LEIA-ME'!$D$31)</f>
        <v>0</v>
      </c>
      <c r="D111" s="20" t="s">
        <v>53</v>
      </c>
    </row>
    <row r="112" spans="2:4" s="20" customFormat="1" hidden="1" outlineLevel="1" x14ac:dyDescent="0.25">
      <c r="B112" s="20" t="s">
        <v>232</v>
      </c>
      <c r="C112" s="37">
        <f>C111/3</f>
        <v>0</v>
      </c>
      <c r="D112" s="20" t="s">
        <v>644</v>
      </c>
    </row>
    <row r="113" spans="1:13" s="20" customFormat="1" hidden="1" outlineLevel="1" x14ac:dyDescent="0.25"/>
    <row r="114" spans="1:13" s="20" customFormat="1" hidden="1" outlineLevel="1" x14ac:dyDescent="0.25">
      <c r="B114" s="19" t="s">
        <v>122</v>
      </c>
    </row>
    <row r="115" spans="1:13" s="20" customFormat="1" hidden="1" outlineLevel="1" x14ac:dyDescent="0.25"/>
    <row r="116" spans="1:13" s="20" customFormat="1" hidden="1" outlineLevel="1" x14ac:dyDescent="0.25">
      <c r="B116" s="20" t="s">
        <v>16</v>
      </c>
      <c r="C116" s="92">
        <v>0.20250000000000001</v>
      </c>
      <c r="D116" s="39" t="s">
        <v>829</v>
      </c>
    </row>
    <row r="117" spans="1:13" s="20" customFormat="1" hidden="1" outlineLevel="1" x14ac:dyDescent="0.25">
      <c r="B117" s="20" t="s">
        <v>75</v>
      </c>
      <c r="C117" s="40">
        <f>$C$100*C116</f>
        <v>0</v>
      </c>
      <c r="D117" s="20" t="s">
        <v>49</v>
      </c>
    </row>
    <row r="118" spans="1:13" hidden="1" outlineLevel="1" x14ac:dyDescent="0.25"/>
    <row r="119" spans="1:13" collapsed="1" x14ac:dyDescent="0.25">
      <c r="B119" s="27" t="s">
        <v>5</v>
      </c>
      <c r="C119" s="28" t="s">
        <v>46</v>
      </c>
      <c r="D119" s="28" t="s">
        <v>6</v>
      </c>
    </row>
    <row r="120" spans="1:13" x14ac:dyDescent="0.25">
      <c r="B120" s="88" t="s">
        <v>77</v>
      </c>
      <c r="C120" s="91" t="s">
        <v>612</v>
      </c>
      <c r="D120" s="87">
        <f>C100</f>
        <v>0</v>
      </c>
    </row>
    <row r="121" spans="1:13" x14ac:dyDescent="0.25">
      <c r="B121" s="88" t="s">
        <v>76</v>
      </c>
      <c r="C121" s="91" t="s">
        <v>612</v>
      </c>
      <c r="D121" s="87">
        <f>C112</f>
        <v>0</v>
      </c>
    </row>
    <row r="122" spans="1:13" x14ac:dyDescent="0.25">
      <c r="B122" s="88" t="s">
        <v>636</v>
      </c>
      <c r="C122" s="91" t="s">
        <v>49</v>
      </c>
      <c r="D122" s="87">
        <f>C117</f>
        <v>0</v>
      </c>
    </row>
    <row r="124" spans="1:13" x14ac:dyDescent="0.25">
      <c r="M124" s="4"/>
    </row>
    <row r="125" spans="1:13" s="5" customFormat="1" ht="18.75" x14ac:dyDescent="0.3">
      <c r="A125" s="7"/>
      <c r="B125" s="132" t="s">
        <v>559</v>
      </c>
      <c r="C125" s="132"/>
      <c r="D125" s="132"/>
      <c r="E125" s="7"/>
      <c r="F125" s="7"/>
      <c r="H125" s="22"/>
    </row>
    <row r="127" spans="1:13" s="20" customFormat="1" hidden="1" outlineLevel="1" x14ac:dyDescent="0.25">
      <c r="B127" s="19" t="s">
        <v>472</v>
      </c>
    </row>
    <row r="128" spans="1:13" s="20" customFormat="1" hidden="1" outlineLevel="1" x14ac:dyDescent="0.25"/>
    <row r="129" spans="2:4" s="20" customFormat="1" hidden="1" outlineLevel="1" x14ac:dyDescent="0.25">
      <c r="B129" s="20" t="s">
        <v>756</v>
      </c>
      <c r="C129" s="23">
        <v>1</v>
      </c>
      <c r="D129" s="39" t="s">
        <v>834</v>
      </c>
    </row>
    <row r="130" spans="2:4" s="20" customFormat="1" hidden="1" outlineLevel="1" x14ac:dyDescent="0.25">
      <c r="B130" s="20" t="s">
        <v>754</v>
      </c>
      <c r="C130" s="21">
        <f>C17/C129</f>
        <v>0</v>
      </c>
      <c r="D130" s="20" t="s">
        <v>245</v>
      </c>
    </row>
    <row r="131" spans="2:4" s="20" customFormat="1" hidden="1" outlineLevel="1" x14ac:dyDescent="0.25"/>
    <row r="132" spans="2:4" s="20" customFormat="1" hidden="1" outlineLevel="1" x14ac:dyDescent="0.25">
      <c r="B132" s="19" t="s">
        <v>120</v>
      </c>
    </row>
    <row r="133" spans="2:4" s="20" customFormat="1" hidden="1" outlineLevel="1" x14ac:dyDescent="0.25"/>
    <row r="134" spans="2:4" s="20" customFormat="1" hidden="1" outlineLevel="1" x14ac:dyDescent="0.25">
      <c r="B134" s="20" t="s">
        <v>711</v>
      </c>
      <c r="C134" s="93">
        <v>0.29859999999999998</v>
      </c>
      <c r="D134" s="39" t="s">
        <v>835</v>
      </c>
    </row>
    <row r="135" spans="2:4" s="20" customFormat="1" hidden="1" outlineLevel="1" x14ac:dyDescent="0.25">
      <c r="B135" s="20" t="s">
        <v>229</v>
      </c>
      <c r="C135" s="40">
        <f>C134*C17+ 0.1714</f>
        <v>0.1714</v>
      </c>
      <c r="D135" s="39" t="s">
        <v>644</v>
      </c>
    </row>
    <row r="136" spans="2:4" s="20" customFormat="1" hidden="1" outlineLevel="1" x14ac:dyDescent="0.25">
      <c r="B136" s="20" t="s">
        <v>755</v>
      </c>
      <c r="C136" s="40">
        <f>C135*(1+'LEIA-ME'!$D$31)</f>
        <v>0.17996999999999999</v>
      </c>
      <c r="D136" s="39" t="s">
        <v>644</v>
      </c>
    </row>
    <row r="137" spans="2:4" hidden="1" outlineLevel="1" x14ac:dyDescent="0.25"/>
    <row r="138" spans="2:4" collapsed="1" x14ac:dyDescent="0.25">
      <c r="B138" s="27" t="s">
        <v>5</v>
      </c>
      <c r="C138" s="28" t="s">
        <v>46</v>
      </c>
      <c r="D138" s="28" t="s">
        <v>6</v>
      </c>
    </row>
    <row r="139" spans="2:4" x14ac:dyDescent="0.25">
      <c r="B139" s="88" t="s">
        <v>270</v>
      </c>
      <c r="C139" s="91" t="s">
        <v>612</v>
      </c>
      <c r="D139" s="87">
        <f>C130</f>
        <v>0</v>
      </c>
    </row>
    <row r="140" spans="2:4" x14ac:dyDescent="0.25">
      <c r="B140" s="88" t="s">
        <v>77</v>
      </c>
      <c r="C140" s="91" t="s">
        <v>612</v>
      </c>
      <c r="D140" s="87">
        <f>IF(OR(C9="",C10=""),0,C136)</f>
        <v>0</v>
      </c>
    </row>
  </sheetData>
  <mergeCells count="9">
    <mergeCell ref="B45:D45"/>
    <mergeCell ref="B66:D66"/>
    <mergeCell ref="B93:D93"/>
    <mergeCell ref="B125:D125"/>
    <mergeCell ref="B2:D2"/>
    <mergeCell ref="B4:D4"/>
    <mergeCell ref="B5:D5"/>
    <mergeCell ref="C32:F32"/>
    <mergeCell ref="C26:F26"/>
  </mergeCells>
  <dataValidations disablePrompts="1" count="5">
    <dataValidation type="list" allowBlank="1" showInputMessage="1" showErrorMessage="1" sqref="C12" xr:uid="{00000000-0002-0000-0B00-000000000000}">
      <formula1>"Usinado,Feito na obra"</formula1>
    </dataValidation>
    <dataValidation type="list" allowBlank="1" showInputMessage="1" showErrorMessage="1" sqref="C13" xr:uid="{00000000-0002-0000-0B00-000001000000}">
      <formula1>$B$28:$B$30</formula1>
    </dataValidation>
    <dataValidation type="list" allowBlank="1" showInputMessage="1" showErrorMessage="1" sqref="C50" xr:uid="{00000000-0002-0000-0B00-000002000000}">
      <formula1>$I$53:$I$55</formula1>
    </dataValidation>
    <dataValidation type="list" allowBlank="1" showInputMessage="1" showErrorMessage="1" sqref="C49" xr:uid="{00000000-0002-0000-0B00-000003000000}">
      <formula1>$H$53:$H$54</formula1>
    </dataValidation>
    <dataValidation type="list" allowBlank="1" showInputMessage="1" showErrorMessage="1" sqref="C70" xr:uid="{00000000-0002-0000-0B00-000004000000}">
      <formula1>$K$74:$K$76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69"/>
  <sheetViews>
    <sheetView showGridLines="0" zoomScale="130" zoomScaleNormal="130" workbookViewId="0">
      <selection activeCell="D9" sqref="D9"/>
    </sheetView>
  </sheetViews>
  <sheetFormatPr defaultColWidth="8.85546875" defaultRowHeight="15" outlineLevelRow="1" x14ac:dyDescent="0.25"/>
  <cols>
    <col min="1" max="1" width="2" style="7" customWidth="1"/>
    <col min="2" max="2" width="37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279</v>
      </c>
      <c r="C2" s="130"/>
      <c r="D2" s="131"/>
    </row>
    <row r="4" spans="1:8" ht="45.75" customHeight="1" x14ac:dyDescent="0.25">
      <c r="B4" s="128" t="s">
        <v>497</v>
      </c>
      <c r="C4" s="128"/>
      <c r="D4" s="128"/>
    </row>
    <row r="5" spans="1:8" s="5" customFormat="1" ht="18.75" x14ac:dyDescent="0.3">
      <c r="A5" s="7"/>
      <c r="B5" s="132" t="s">
        <v>560</v>
      </c>
      <c r="C5" s="132"/>
      <c r="D5" s="132"/>
      <c r="E5" s="7"/>
      <c r="F5" s="7"/>
      <c r="H5" s="22"/>
    </row>
    <row r="6" spans="1:8" s="5" customFormat="1" x14ac:dyDescent="0.25">
      <c r="A6" s="7"/>
      <c r="B6" s="45" t="s">
        <v>203</v>
      </c>
      <c r="C6" s="7"/>
      <c r="D6" s="7"/>
      <c r="E6" s="7"/>
      <c r="F6" s="7"/>
      <c r="H6" s="22"/>
    </row>
    <row r="7" spans="1:8" s="5" customFormat="1" x14ac:dyDescent="0.25">
      <c r="A7" s="7"/>
      <c r="B7" s="7"/>
      <c r="C7" s="7"/>
      <c r="D7" s="7"/>
      <c r="E7" s="7"/>
      <c r="F7" s="7"/>
      <c r="H7" s="22"/>
    </row>
    <row r="8" spans="1:8" x14ac:dyDescent="0.25">
      <c r="B8" s="9" t="s">
        <v>2</v>
      </c>
    </row>
    <row r="10" spans="1:8" x14ac:dyDescent="0.25">
      <c r="B10" s="7" t="s">
        <v>1149</v>
      </c>
      <c r="C10" s="33"/>
      <c r="D10" s="7" t="s">
        <v>53</v>
      </c>
    </row>
    <row r="11" spans="1:8" x14ac:dyDescent="0.25">
      <c r="B11" s="7" t="s">
        <v>197</v>
      </c>
      <c r="C11" s="33"/>
      <c r="D11" s="7" t="s">
        <v>53</v>
      </c>
    </row>
    <row r="12" spans="1:8" x14ac:dyDescent="0.25">
      <c r="B12" s="7" t="s">
        <v>286</v>
      </c>
      <c r="C12" s="29"/>
    </row>
    <row r="13" spans="1:8" x14ac:dyDescent="0.25">
      <c r="B13" s="7" t="s">
        <v>291</v>
      </c>
      <c r="C13" s="29"/>
      <c r="D13" s="7" t="s">
        <v>1194</v>
      </c>
    </row>
    <row r="14" spans="1:8" x14ac:dyDescent="0.25">
      <c r="B14" s="7" t="s">
        <v>287</v>
      </c>
      <c r="C14" s="29"/>
    </row>
    <row r="16" spans="1:8" s="20" customFormat="1" hidden="1" outlineLevel="1" x14ac:dyDescent="0.25">
      <c r="B16" s="19" t="s">
        <v>602</v>
      </c>
    </row>
    <row r="17" spans="2:4" s="20" customFormat="1" hidden="1" outlineLevel="1" x14ac:dyDescent="0.25"/>
    <row r="18" spans="2:4" s="20" customFormat="1" hidden="1" outlineLevel="1" x14ac:dyDescent="0.25">
      <c r="B18" s="20" t="s">
        <v>761</v>
      </c>
      <c r="C18" s="33">
        <v>0.5</v>
      </c>
      <c r="D18" s="20" t="s">
        <v>56</v>
      </c>
    </row>
    <row r="19" spans="2:4" s="20" customFormat="1" hidden="1" outlineLevel="1" x14ac:dyDescent="0.25">
      <c r="C19" s="38"/>
    </row>
    <row r="20" spans="2:4" s="20" customFormat="1" hidden="1" outlineLevel="1" x14ac:dyDescent="0.25">
      <c r="B20" s="20" t="s">
        <v>817</v>
      </c>
      <c r="C20" s="40">
        <f>C10*C11</f>
        <v>0</v>
      </c>
      <c r="D20" s="20" t="s">
        <v>643</v>
      </c>
    </row>
    <row r="21" spans="2:4" s="20" customFormat="1" hidden="1" outlineLevel="1" x14ac:dyDescent="0.25">
      <c r="B21" s="20" t="s">
        <v>180</v>
      </c>
      <c r="C21" s="40">
        <f>SUM('13. Portas'!$K$26:$K$191)*2</f>
        <v>0</v>
      </c>
      <c r="D21" s="20" t="s">
        <v>643</v>
      </c>
    </row>
    <row r="22" spans="2:4" s="20" customFormat="1" hidden="1" outlineLevel="1" x14ac:dyDescent="0.25">
      <c r="B22" s="20" t="s">
        <v>179</v>
      </c>
      <c r="C22" s="40">
        <f>SUM('14. Janelas'!$G$24:$G$161)</f>
        <v>0</v>
      </c>
      <c r="D22" s="20" t="s">
        <v>643</v>
      </c>
    </row>
    <row r="23" spans="2:4" s="20" customFormat="1" hidden="1" outlineLevel="1" x14ac:dyDescent="0.25">
      <c r="B23" s="20" t="s">
        <v>818</v>
      </c>
      <c r="C23" s="40">
        <f>C20-C21-C22</f>
        <v>0</v>
      </c>
      <c r="D23" s="20" t="s">
        <v>643</v>
      </c>
    </row>
    <row r="24" spans="2:4" s="20" customFormat="1" hidden="1" outlineLevel="1" x14ac:dyDescent="0.25">
      <c r="B24" s="20" t="s">
        <v>819</v>
      </c>
      <c r="C24" s="40">
        <f>C23*(1+'LEIA-ME'!$D$31)</f>
        <v>0</v>
      </c>
      <c r="D24" s="20" t="s">
        <v>643</v>
      </c>
    </row>
    <row r="25" spans="2:4" s="20" customFormat="1" hidden="1" outlineLevel="1" x14ac:dyDescent="0.25">
      <c r="B25" s="20" t="s">
        <v>759</v>
      </c>
      <c r="C25" s="40">
        <f>C24*(C18/100)</f>
        <v>0</v>
      </c>
      <c r="D25" s="20" t="s">
        <v>32</v>
      </c>
    </row>
    <row r="26" spans="2:4" s="20" customFormat="1" hidden="1" outlineLevel="1" x14ac:dyDescent="0.25">
      <c r="C26" s="38"/>
    </row>
    <row r="27" spans="2:4" s="20" customFormat="1" hidden="1" outlineLevel="1" x14ac:dyDescent="0.25">
      <c r="B27" s="19" t="s">
        <v>293</v>
      </c>
      <c r="C27" s="38"/>
    </row>
    <row r="28" spans="2:4" s="20" customFormat="1" hidden="1" outlineLevel="1" x14ac:dyDescent="0.25">
      <c r="B28" s="19"/>
      <c r="C28" s="38"/>
    </row>
    <row r="29" spans="2:4" s="20" customFormat="1" hidden="1" outlineLevel="1" x14ac:dyDescent="0.25">
      <c r="B29" s="20" t="s">
        <v>767</v>
      </c>
      <c r="C29" s="33">
        <v>10</v>
      </c>
      <c r="D29" s="20" t="s">
        <v>832</v>
      </c>
    </row>
    <row r="30" spans="2:4" s="20" customFormat="1" hidden="1" outlineLevel="1" x14ac:dyDescent="0.25">
      <c r="B30" s="20" t="s">
        <v>295</v>
      </c>
      <c r="C30" s="37">
        <f>C18/1</f>
        <v>0.5</v>
      </c>
    </row>
    <row r="31" spans="2:4" s="20" customFormat="1" hidden="1" outlineLevel="1" x14ac:dyDescent="0.25">
      <c r="B31" s="20" t="s">
        <v>294</v>
      </c>
      <c r="C31" s="25">
        <f>C29*C24*C30</f>
        <v>0</v>
      </c>
      <c r="D31" s="20" t="s">
        <v>49</v>
      </c>
    </row>
    <row r="32" spans="2:4" s="20" customFormat="1" hidden="1" outlineLevel="1" x14ac:dyDescent="0.25">
      <c r="B32" s="20" t="s">
        <v>760</v>
      </c>
      <c r="C32" s="23">
        <v>20</v>
      </c>
      <c r="D32" s="20" t="s">
        <v>49</v>
      </c>
    </row>
    <row r="33" spans="2:6" s="20" customFormat="1" hidden="1" outlineLevel="1" x14ac:dyDescent="0.25">
      <c r="B33" s="20" t="s">
        <v>296</v>
      </c>
      <c r="C33" s="37">
        <f>C31/C32</f>
        <v>0</v>
      </c>
      <c r="D33" s="20" t="s">
        <v>764</v>
      </c>
    </row>
    <row r="34" spans="2:6" s="20" customFormat="1" hidden="1" outlineLevel="1" x14ac:dyDescent="0.25"/>
    <row r="35" spans="2:6" s="20" customFormat="1" hidden="1" outlineLevel="1" x14ac:dyDescent="0.25">
      <c r="B35" s="19" t="s">
        <v>288</v>
      </c>
    </row>
    <row r="36" spans="2:6" s="20" customFormat="1" hidden="1" outlineLevel="1" x14ac:dyDescent="0.25"/>
    <row r="37" spans="2:6" s="20" customFormat="1" hidden="1" outlineLevel="1" x14ac:dyDescent="0.25">
      <c r="C37" s="133" t="s">
        <v>168</v>
      </c>
      <c r="D37" s="133"/>
      <c r="E37" s="51"/>
      <c r="F37" s="51"/>
    </row>
    <row r="38" spans="2:6" s="20" customFormat="1" hidden="1" outlineLevel="1" x14ac:dyDescent="0.25">
      <c r="B38" s="19" t="s">
        <v>42</v>
      </c>
      <c r="C38" s="19" t="s">
        <v>41</v>
      </c>
      <c r="D38" s="19" t="s">
        <v>40</v>
      </c>
      <c r="E38" s="52"/>
      <c r="F38" s="52"/>
    </row>
    <row r="39" spans="2:6" s="20" customFormat="1" hidden="1" outlineLevel="1" x14ac:dyDescent="0.25">
      <c r="B39" s="30" t="s">
        <v>1188</v>
      </c>
      <c r="C39" s="40">
        <v>4.2</v>
      </c>
      <c r="D39" s="40">
        <v>1.2</v>
      </c>
    </row>
    <row r="40" spans="2:6" s="20" customFormat="1" hidden="1" outlineLevel="1" x14ac:dyDescent="0.25">
      <c r="B40" s="30" t="s">
        <v>1185</v>
      </c>
      <c r="C40" s="40">
        <v>10</v>
      </c>
      <c r="D40" s="40">
        <v>1.08</v>
      </c>
    </row>
    <row r="41" spans="2:6" s="20" customFormat="1" hidden="1" outlineLevel="1" x14ac:dyDescent="0.25">
      <c r="B41" s="30" t="s">
        <v>1187</v>
      </c>
      <c r="C41" s="40">
        <v>7.4</v>
      </c>
      <c r="D41" s="40">
        <v>1.1000000000000001</v>
      </c>
      <c r="E41" s="21"/>
      <c r="F41" s="25"/>
    </row>
    <row r="42" spans="2:6" s="20" customFormat="1" hidden="1" outlineLevel="1" x14ac:dyDescent="0.25"/>
    <row r="43" spans="2:6" s="20" customFormat="1" hidden="1" outlineLevel="1" x14ac:dyDescent="0.25">
      <c r="C43" s="133" t="s">
        <v>43</v>
      </c>
      <c r="D43" s="133"/>
      <c r="E43" s="51"/>
      <c r="F43" s="51"/>
    </row>
    <row r="44" spans="2:6" s="20" customFormat="1" hidden="1" outlineLevel="1" x14ac:dyDescent="0.25">
      <c r="B44" s="19" t="s">
        <v>42</v>
      </c>
      <c r="C44" s="19" t="s">
        <v>41</v>
      </c>
      <c r="D44" s="19" t="s">
        <v>40</v>
      </c>
      <c r="E44" s="52"/>
      <c r="F44" s="52"/>
    </row>
    <row r="45" spans="2:6" s="20" customFormat="1" hidden="1" outlineLevel="1" x14ac:dyDescent="0.25">
      <c r="B45" s="30" t="str">
        <f>B39</f>
        <v>1 : 0 : 2,5</v>
      </c>
      <c r="C45" s="44">
        <f>C39*$C$25</f>
        <v>0</v>
      </c>
      <c r="D45" s="44">
        <f>D39*$C$25</f>
        <v>0</v>
      </c>
      <c r="E45" s="20" t="s">
        <v>37</v>
      </c>
      <c r="F45" s="25"/>
    </row>
    <row r="46" spans="2:6" s="20" customFormat="1" hidden="1" outlineLevel="1" x14ac:dyDescent="0.25">
      <c r="B46" s="30" t="str">
        <f t="shared" ref="B46:B47" si="0">B40</f>
        <v>1 : 0 : 6</v>
      </c>
      <c r="C46" s="44">
        <f t="shared" ref="C46:D46" si="1">C40*$C$25</f>
        <v>0</v>
      </c>
      <c r="D46" s="44">
        <f t="shared" si="1"/>
        <v>0</v>
      </c>
      <c r="F46" s="25"/>
    </row>
    <row r="47" spans="2:6" s="20" customFormat="1" hidden="1" outlineLevel="1" x14ac:dyDescent="0.25">
      <c r="B47" s="30" t="str">
        <f t="shared" si="0"/>
        <v>1 : 0 : 8</v>
      </c>
      <c r="C47" s="44">
        <f t="shared" ref="C47:D47" si="2">C41*$C$25</f>
        <v>0</v>
      </c>
      <c r="D47" s="44">
        <f t="shared" si="2"/>
        <v>0</v>
      </c>
      <c r="E47" s="21"/>
      <c r="F47" s="25"/>
    </row>
    <row r="48" spans="2:6" s="20" customFormat="1" hidden="1" outlineLevel="1" x14ac:dyDescent="0.25"/>
    <row r="49" spans="2:6" s="20" customFormat="1" hidden="1" outlineLevel="1" x14ac:dyDescent="0.25">
      <c r="B49" s="19" t="s">
        <v>289</v>
      </c>
    </row>
    <row r="50" spans="2:6" s="20" customFormat="1" hidden="1" outlineLevel="1" x14ac:dyDescent="0.25"/>
    <row r="51" spans="2:6" s="20" customFormat="1" hidden="1" outlineLevel="1" x14ac:dyDescent="0.25">
      <c r="C51" s="133" t="s">
        <v>1195</v>
      </c>
      <c r="D51" s="133"/>
      <c r="E51" s="133"/>
      <c r="F51" s="133"/>
    </row>
    <row r="52" spans="2:6" s="20" customFormat="1" hidden="1" outlineLevel="1" x14ac:dyDescent="0.25">
      <c r="B52" s="19" t="s">
        <v>42</v>
      </c>
      <c r="C52" s="19" t="s">
        <v>41</v>
      </c>
      <c r="D52" s="19" t="s">
        <v>283</v>
      </c>
      <c r="E52" s="19" t="s">
        <v>40</v>
      </c>
      <c r="F52" s="19"/>
    </row>
    <row r="53" spans="2:6" s="20" customFormat="1" hidden="1" outlineLevel="1" x14ac:dyDescent="0.25">
      <c r="B53" s="30" t="s">
        <v>1188</v>
      </c>
      <c r="C53" s="40">
        <v>4.0999999999999996</v>
      </c>
      <c r="D53" s="40">
        <v>0.45</v>
      </c>
      <c r="E53" s="40">
        <v>1.2</v>
      </c>
      <c r="F53" s="20" t="s">
        <v>167</v>
      </c>
    </row>
    <row r="54" spans="2:6" s="20" customFormat="1" hidden="1" outlineLevel="1" x14ac:dyDescent="0.25">
      <c r="B54" s="30" t="s">
        <v>1185</v>
      </c>
      <c r="C54" s="40">
        <v>9.8000000000000007</v>
      </c>
      <c r="D54" s="40">
        <v>0.45</v>
      </c>
      <c r="E54" s="40">
        <v>1.1000000000000001</v>
      </c>
    </row>
    <row r="55" spans="2:6" s="20" customFormat="1" hidden="1" outlineLevel="1" x14ac:dyDescent="0.25">
      <c r="B55" s="30" t="s">
        <v>1187</v>
      </c>
      <c r="C55" s="40">
        <v>7.4</v>
      </c>
      <c r="D55" s="40">
        <v>0.45</v>
      </c>
      <c r="E55" s="40">
        <v>1.1000000000000001</v>
      </c>
    </row>
    <row r="56" spans="2:6" s="20" customFormat="1" hidden="1" outlineLevel="1" x14ac:dyDescent="0.25"/>
    <row r="57" spans="2:6" s="20" customFormat="1" hidden="1" outlineLevel="1" x14ac:dyDescent="0.25">
      <c r="C57" s="133" t="s">
        <v>43</v>
      </c>
      <c r="D57" s="133"/>
      <c r="E57" s="133"/>
      <c r="F57" s="133"/>
    </row>
    <row r="58" spans="2:6" s="20" customFormat="1" hidden="1" outlineLevel="1" x14ac:dyDescent="0.25">
      <c r="B58" s="19" t="s">
        <v>42</v>
      </c>
      <c r="C58" s="19" t="s">
        <v>41</v>
      </c>
      <c r="D58" s="19" t="s">
        <v>283</v>
      </c>
      <c r="E58" s="19" t="s">
        <v>40</v>
      </c>
      <c r="F58" s="19"/>
    </row>
    <row r="59" spans="2:6" s="20" customFormat="1" hidden="1" outlineLevel="1" x14ac:dyDescent="0.25">
      <c r="B59" s="30" t="str">
        <f>B53</f>
        <v>1 : 0 : 2,5</v>
      </c>
      <c r="C59" s="44">
        <f>C53*$C$25</f>
        <v>0</v>
      </c>
      <c r="D59" s="44">
        <f>D53*$C$24</f>
        <v>0</v>
      </c>
      <c r="E59" s="44">
        <f t="shared" ref="E59:E61" si="3">E53*$C$25</f>
        <v>0</v>
      </c>
      <c r="F59" s="20" t="s">
        <v>37</v>
      </c>
    </row>
    <row r="60" spans="2:6" s="20" customFormat="1" hidden="1" outlineLevel="1" x14ac:dyDescent="0.25">
      <c r="B60" s="30" t="str">
        <f t="shared" ref="B60:B61" si="4">B54</f>
        <v>1 : 0 : 6</v>
      </c>
      <c r="C60" s="44">
        <f t="shared" ref="C60:C61" si="5">C54*$C$25</f>
        <v>0</v>
      </c>
      <c r="D60" s="44">
        <f t="shared" ref="D60:D61" si="6">D54*$C$24</f>
        <v>0</v>
      </c>
      <c r="E60" s="44">
        <f t="shared" si="3"/>
        <v>0</v>
      </c>
    </row>
    <row r="61" spans="2:6" s="20" customFormat="1" hidden="1" outlineLevel="1" x14ac:dyDescent="0.25">
      <c r="B61" s="30" t="str">
        <f t="shared" si="4"/>
        <v>1 : 0 : 8</v>
      </c>
      <c r="C61" s="44">
        <f t="shared" si="5"/>
        <v>0</v>
      </c>
      <c r="D61" s="44">
        <f t="shared" si="6"/>
        <v>0</v>
      </c>
      <c r="E61" s="44">
        <f t="shared" si="3"/>
        <v>0</v>
      </c>
    </row>
    <row r="62" spans="2:6" hidden="1" outlineLevel="1" x14ac:dyDescent="0.25"/>
    <row r="63" spans="2:6" collapsed="1" x14ac:dyDescent="0.25">
      <c r="B63" s="27" t="s">
        <v>5</v>
      </c>
      <c r="C63" s="28" t="s">
        <v>46</v>
      </c>
      <c r="D63" s="28" t="s">
        <v>6</v>
      </c>
    </row>
    <row r="64" spans="2:6" x14ac:dyDescent="0.25">
      <c r="B64" s="88" t="s">
        <v>285</v>
      </c>
      <c r="C64" s="91" t="s">
        <v>290</v>
      </c>
      <c r="D64" s="87">
        <f>IF(C12="Pronta",C33,0)</f>
        <v>0</v>
      </c>
    </row>
    <row r="65" spans="1:8" x14ac:dyDescent="0.25">
      <c r="B65" s="88" t="s">
        <v>165</v>
      </c>
      <c r="C65" s="91" t="s">
        <v>35</v>
      </c>
      <c r="D65" s="87">
        <f>IFERROR(IF(C12="Pronta",0,IF(C14="Não",VLOOKUP($C$13,$B$44:$D$47,2,0),VLOOKUP($C$13,$B$58:$E$61,2,0))),0)</f>
        <v>0</v>
      </c>
    </row>
    <row r="66" spans="1:8" ht="17.25" x14ac:dyDescent="0.25">
      <c r="B66" s="88" t="s">
        <v>34</v>
      </c>
      <c r="C66" s="91" t="s">
        <v>80</v>
      </c>
      <c r="D66" s="87">
        <f>IFERROR(IF(C12="Pronta",0,IF(C14="Não",VLOOKUP($C$13,$B$44:$D$47,3,0),VLOOKUP($C$13,$B$58:$E$61,4,0))),0)</f>
        <v>0</v>
      </c>
    </row>
    <row r="67" spans="1:8" x14ac:dyDescent="0.25">
      <c r="B67" s="88" t="s">
        <v>281</v>
      </c>
      <c r="C67" s="91" t="s">
        <v>79</v>
      </c>
      <c r="D67" s="87">
        <f>IF(C12="Pronta",0,IF(C14="Sim",VLOOKUP($C$13,$B$58:$E$61,3,0),0))</f>
        <v>0</v>
      </c>
    </row>
    <row r="70" spans="1:8" s="5" customFormat="1" ht="18.75" x14ac:dyDescent="0.3">
      <c r="A70" s="7"/>
      <c r="B70" s="132" t="s">
        <v>561</v>
      </c>
      <c r="C70" s="132"/>
      <c r="D70" s="132"/>
      <c r="E70" s="7"/>
      <c r="F70" s="7"/>
      <c r="H70" s="22"/>
    </row>
    <row r="71" spans="1:8" s="5" customFormat="1" x14ac:dyDescent="0.25">
      <c r="A71" s="7"/>
      <c r="B71" s="45" t="s">
        <v>203</v>
      </c>
      <c r="C71" s="7"/>
      <c r="D71" s="7"/>
      <c r="E71" s="7"/>
      <c r="F71" s="7"/>
      <c r="H71" s="22"/>
    </row>
    <row r="72" spans="1:8" s="5" customFormat="1" x14ac:dyDescent="0.25">
      <c r="A72" s="7"/>
      <c r="B72" s="7"/>
      <c r="C72" s="7"/>
      <c r="D72" s="7"/>
      <c r="E72" s="7"/>
      <c r="F72" s="7"/>
      <c r="H72" s="22"/>
    </row>
    <row r="73" spans="1:8" x14ac:dyDescent="0.25">
      <c r="B73" s="9" t="s">
        <v>2</v>
      </c>
    </row>
    <row r="75" spans="1:8" x14ac:dyDescent="0.25">
      <c r="B75" s="7" t="s">
        <v>1151</v>
      </c>
      <c r="C75" s="33"/>
      <c r="D75" s="7" t="s">
        <v>53</v>
      </c>
    </row>
    <row r="76" spans="1:8" x14ac:dyDescent="0.25">
      <c r="B76" s="7" t="s">
        <v>197</v>
      </c>
      <c r="C76" s="33"/>
      <c r="D76" s="7" t="s">
        <v>53</v>
      </c>
    </row>
    <row r="77" spans="1:8" x14ac:dyDescent="0.25">
      <c r="B77" s="7" t="s">
        <v>286</v>
      </c>
      <c r="C77" s="29"/>
    </row>
    <row r="78" spans="1:8" x14ac:dyDescent="0.25">
      <c r="B78" s="7" t="s">
        <v>291</v>
      </c>
      <c r="C78" s="29"/>
      <c r="D78" s="7" t="s">
        <v>1194</v>
      </c>
    </row>
    <row r="79" spans="1:8" x14ac:dyDescent="0.25">
      <c r="B79" s="7" t="s">
        <v>287</v>
      </c>
      <c r="C79" s="29"/>
    </row>
    <row r="81" spans="2:6" s="20" customFormat="1" hidden="1" outlineLevel="1" x14ac:dyDescent="0.25">
      <c r="B81" s="19" t="s">
        <v>603</v>
      </c>
    </row>
    <row r="82" spans="2:6" s="20" customFormat="1" hidden="1" outlineLevel="1" x14ac:dyDescent="0.25"/>
    <row r="83" spans="2:6" s="20" customFormat="1" hidden="1" outlineLevel="1" x14ac:dyDescent="0.25">
      <c r="B83" s="20" t="s">
        <v>762</v>
      </c>
      <c r="C83" s="33">
        <v>2.5</v>
      </c>
      <c r="D83" s="20" t="s">
        <v>56</v>
      </c>
    </row>
    <row r="84" spans="2:6" s="20" customFormat="1" hidden="1" outlineLevel="1" x14ac:dyDescent="0.25"/>
    <row r="85" spans="2:6" s="20" customFormat="1" hidden="1" outlineLevel="1" x14ac:dyDescent="0.25">
      <c r="B85" s="20" t="s">
        <v>821</v>
      </c>
      <c r="C85" s="40">
        <f>C75*C76</f>
        <v>0</v>
      </c>
      <c r="D85" s="20" t="s">
        <v>643</v>
      </c>
    </row>
    <row r="86" spans="2:6" s="20" customFormat="1" hidden="1" outlineLevel="1" x14ac:dyDescent="0.25">
      <c r="B86" s="20" t="s">
        <v>180</v>
      </c>
      <c r="C86" s="40">
        <f>SUM('13. Portas'!$K$26:$K$191)*2</f>
        <v>0</v>
      </c>
      <c r="D86" s="20" t="s">
        <v>643</v>
      </c>
    </row>
    <row r="87" spans="2:6" s="20" customFormat="1" hidden="1" outlineLevel="1" x14ac:dyDescent="0.25">
      <c r="B87" s="20" t="s">
        <v>179</v>
      </c>
      <c r="C87" s="40">
        <f>SUM('14. Janelas'!$G$24:$G$161)</f>
        <v>0</v>
      </c>
      <c r="D87" s="20" t="s">
        <v>643</v>
      </c>
    </row>
    <row r="88" spans="2:6" s="20" customFormat="1" hidden="1" outlineLevel="1" x14ac:dyDescent="0.25">
      <c r="B88" s="20" t="s">
        <v>822</v>
      </c>
      <c r="C88" s="40">
        <f>C85-C86-C87</f>
        <v>0</v>
      </c>
      <c r="D88" s="20" t="s">
        <v>643</v>
      </c>
    </row>
    <row r="89" spans="2:6" s="20" customFormat="1" hidden="1" outlineLevel="1" x14ac:dyDescent="0.25">
      <c r="B89" s="20" t="s">
        <v>823</v>
      </c>
      <c r="C89" s="40">
        <f>C88*(1+'LEIA-ME'!$D$31)</f>
        <v>0</v>
      </c>
      <c r="D89" s="20" t="s">
        <v>643</v>
      </c>
    </row>
    <row r="90" spans="2:6" s="20" customFormat="1" hidden="1" outlineLevel="1" x14ac:dyDescent="0.25">
      <c r="B90" s="20" t="s">
        <v>763</v>
      </c>
      <c r="C90" s="40">
        <f>C89*(C83/100)</f>
        <v>0</v>
      </c>
      <c r="D90" s="20" t="s">
        <v>32</v>
      </c>
    </row>
    <row r="91" spans="2:6" s="20" customFormat="1" hidden="1" outlineLevel="1" x14ac:dyDescent="0.25"/>
    <row r="92" spans="2:6" s="20" customFormat="1" hidden="1" outlineLevel="1" x14ac:dyDescent="0.25">
      <c r="B92" s="19" t="s">
        <v>293</v>
      </c>
      <c r="C92" s="38"/>
    </row>
    <row r="93" spans="2:6" s="20" customFormat="1" hidden="1" outlineLevel="1" x14ac:dyDescent="0.25">
      <c r="B93" s="19"/>
      <c r="C93" s="38"/>
    </row>
    <row r="94" spans="2:6" s="20" customFormat="1" hidden="1" outlineLevel="1" x14ac:dyDescent="0.25">
      <c r="B94" s="20" t="s">
        <v>811</v>
      </c>
      <c r="C94" s="33">
        <v>10</v>
      </c>
      <c r="D94" s="20" t="s">
        <v>832</v>
      </c>
    </row>
    <row r="95" spans="2:6" s="20" customFormat="1" hidden="1" outlineLevel="1" x14ac:dyDescent="0.25">
      <c r="B95" s="20" t="s">
        <v>295</v>
      </c>
      <c r="C95" s="37">
        <f>C83/1</f>
        <v>2.5</v>
      </c>
      <c r="F95" s="62"/>
    </row>
    <row r="96" spans="2:6" s="20" customFormat="1" hidden="1" outlineLevel="1" x14ac:dyDescent="0.25">
      <c r="B96" s="20" t="s">
        <v>294</v>
      </c>
      <c r="C96" s="25">
        <f>C94*C89*C95</f>
        <v>0</v>
      </c>
      <c r="D96" s="20" t="s">
        <v>49</v>
      </c>
    </row>
    <row r="97" spans="2:6" s="20" customFormat="1" hidden="1" outlineLevel="1" x14ac:dyDescent="0.25">
      <c r="B97" s="20" t="s">
        <v>760</v>
      </c>
      <c r="C97" s="23">
        <v>20</v>
      </c>
      <c r="D97" s="20" t="s">
        <v>49</v>
      </c>
    </row>
    <row r="98" spans="2:6" s="20" customFormat="1" hidden="1" outlineLevel="1" x14ac:dyDescent="0.25">
      <c r="B98" s="20" t="s">
        <v>296</v>
      </c>
      <c r="C98" s="37">
        <f>C96/C97</f>
        <v>0</v>
      </c>
      <c r="D98" s="20" t="s">
        <v>764</v>
      </c>
    </row>
    <row r="99" spans="2:6" s="20" customFormat="1" hidden="1" outlineLevel="1" x14ac:dyDescent="0.25"/>
    <row r="100" spans="2:6" s="20" customFormat="1" hidden="1" outlineLevel="1" x14ac:dyDescent="0.25">
      <c r="B100" s="19" t="s">
        <v>288</v>
      </c>
    </row>
    <row r="101" spans="2:6" s="20" customFormat="1" hidden="1" outlineLevel="1" x14ac:dyDescent="0.25"/>
    <row r="102" spans="2:6" s="20" customFormat="1" hidden="1" outlineLevel="1" x14ac:dyDescent="0.25">
      <c r="C102" s="133" t="s">
        <v>168</v>
      </c>
      <c r="D102" s="133"/>
      <c r="E102" s="133"/>
      <c r="F102" s="133"/>
    </row>
    <row r="103" spans="2:6" s="20" customFormat="1" hidden="1" outlineLevel="1" x14ac:dyDescent="0.25">
      <c r="B103" s="19" t="s">
        <v>42</v>
      </c>
      <c r="C103" s="19" t="s">
        <v>41</v>
      </c>
      <c r="D103" s="19" t="s">
        <v>170</v>
      </c>
      <c r="E103" s="19" t="s">
        <v>40</v>
      </c>
      <c r="F103" s="19"/>
    </row>
    <row r="104" spans="2:6" s="20" customFormat="1" hidden="1" outlineLevel="1" x14ac:dyDescent="0.25">
      <c r="B104" s="30" t="s">
        <v>1190</v>
      </c>
      <c r="C104" s="40">
        <v>6.4799999999999995</v>
      </c>
      <c r="D104" s="40">
        <v>7.6581818181818182</v>
      </c>
      <c r="E104" s="40">
        <v>1.08</v>
      </c>
      <c r="F104" s="20" t="s">
        <v>167</v>
      </c>
    </row>
    <row r="105" spans="2:6" s="20" customFormat="1" hidden="1" outlineLevel="1" x14ac:dyDescent="0.25">
      <c r="B105" s="30" t="s">
        <v>1172</v>
      </c>
      <c r="C105" s="40">
        <v>3.65</v>
      </c>
      <c r="D105" s="40">
        <v>9</v>
      </c>
      <c r="E105" s="40">
        <v>1.4</v>
      </c>
    </row>
    <row r="106" spans="2:6" s="20" customFormat="1" hidden="1" outlineLevel="1" x14ac:dyDescent="0.25">
      <c r="B106" s="30" t="s">
        <v>1178</v>
      </c>
      <c r="C106" s="40">
        <v>3.3</v>
      </c>
      <c r="D106" s="40">
        <v>7.8</v>
      </c>
      <c r="E106" s="40">
        <v>1.1000000000000001</v>
      </c>
    </row>
    <row r="107" spans="2:6" s="20" customFormat="1" hidden="1" outlineLevel="1" x14ac:dyDescent="0.25">
      <c r="B107" s="30" t="s">
        <v>1174</v>
      </c>
      <c r="C107" s="40">
        <v>4.9000000000000004</v>
      </c>
      <c r="D107" s="40">
        <v>2.9</v>
      </c>
      <c r="E107" s="40">
        <v>1.1000000000000001</v>
      </c>
    </row>
    <row r="108" spans="2:6" s="20" customFormat="1" hidden="1" outlineLevel="1" x14ac:dyDescent="0.25"/>
    <row r="109" spans="2:6" s="20" customFormat="1" hidden="1" outlineLevel="1" x14ac:dyDescent="0.25">
      <c r="C109" s="133" t="s">
        <v>43</v>
      </c>
      <c r="D109" s="133"/>
      <c r="E109" s="133"/>
      <c r="F109" s="133"/>
    </row>
    <row r="110" spans="2:6" s="20" customFormat="1" hidden="1" outlineLevel="1" x14ac:dyDescent="0.25">
      <c r="B110" s="19" t="s">
        <v>42</v>
      </c>
      <c r="C110" s="19" t="s">
        <v>41</v>
      </c>
      <c r="D110" s="19" t="s">
        <v>170</v>
      </c>
      <c r="E110" s="19" t="s">
        <v>40</v>
      </c>
      <c r="F110" s="19"/>
    </row>
    <row r="111" spans="2:6" s="20" customFormat="1" hidden="1" outlineLevel="1" x14ac:dyDescent="0.25">
      <c r="B111" s="30" t="str">
        <f>B104</f>
        <v>1 : 2 : 6</v>
      </c>
      <c r="C111" s="44">
        <f>C104*$C$90</f>
        <v>0</v>
      </c>
      <c r="D111" s="44">
        <f t="shared" ref="D111:E111" si="7">D104*$C$90</f>
        <v>0</v>
      </c>
      <c r="E111" s="44">
        <f t="shared" si="7"/>
        <v>0</v>
      </c>
      <c r="F111" s="20" t="s">
        <v>37</v>
      </c>
    </row>
    <row r="112" spans="2:6" s="20" customFormat="1" hidden="1" outlineLevel="1" x14ac:dyDescent="0.25">
      <c r="B112" s="30" t="str">
        <f t="shared" ref="B112:B114" si="8">B105</f>
        <v>1 : 4 : 16</v>
      </c>
      <c r="C112" s="44">
        <f t="shared" ref="C112:E112" si="9">C105*$C$90</f>
        <v>0</v>
      </c>
      <c r="D112" s="44">
        <f t="shared" si="9"/>
        <v>0</v>
      </c>
      <c r="E112" s="44">
        <f t="shared" si="9"/>
        <v>0</v>
      </c>
    </row>
    <row r="113" spans="2:6" s="20" customFormat="1" hidden="1" outlineLevel="1" x14ac:dyDescent="0.25">
      <c r="B113" s="30" t="str">
        <f t="shared" si="8"/>
        <v>1 : 4 : 18</v>
      </c>
      <c r="C113" s="44">
        <f t="shared" ref="C113:E113" si="10">C106*$C$90</f>
        <v>0</v>
      </c>
      <c r="D113" s="44">
        <f t="shared" si="10"/>
        <v>0</v>
      </c>
      <c r="E113" s="44">
        <f t="shared" si="10"/>
        <v>0</v>
      </c>
    </row>
    <row r="114" spans="2:6" s="20" customFormat="1" hidden="1" outlineLevel="1" x14ac:dyDescent="0.25">
      <c r="B114" s="30" t="str">
        <f t="shared" si="8"/>
        <v>1 : 1 : 12</v>
      </c>
      <c r="C114" s="44">
        <f t="shared" ref="C114:E114" si="11">C107*$C$90</f>
        <v>0</v>
      </c>
      <c r="D114" s="44">
        <f t="shared" si="11"/>
        <v>0</v>
      </c>
      <c r="E114" s="44">
        <f t="shared" si="11"/>
        <v>0</v>
      </c>
    </row>
    <row r="115" spans="2:6" s="20" customFormat="1" hidden="1" outlineLevel="1" x14ac:dyDescent="0.25"/>
    <row r="116" spans="2:6" s="20" customFormat="1" hidden="1" outlineLevel="1" x14ac:dyDescent="0.25">
      <c r="B116" s="19" t="s">
        <v>289</v>
      </c>
    </row>
    <row r="117" spans="2:6" s="20" customFormat="1" hidden="1" outlineLevel="1" x14ac:dyDescent="0.25"/>
    <row r="118" spans="2:6" s="20" customFormat="1" hidden="1" outlineLevel="1" x14ac:dyDescent="0.25">
      <c r="C118" s="133" t="s">
        <v>1195</v>
      </c>
      <c r="D118" s="133"/>
      <c r="E118" s="133"/>
      <c r="F118" s="133"/>
    </row>
    <row r="119" spans="2:6" s="20" customFormat="1" hidden="1" outlineLevel="1" x14ac:dyDescent="0.25">
      <c r="B119" s="19" t="s">
        <v>42</v>
      </c>
      <c r="C119" s="19" t="s">
        <v>41</v>
      </c>
      <c r="D119" s="19" t="s">
        <v>166</v>
      </c>
      <c r="E119" s="19" t="s">
        <v>40</v>
      </c>
      <c r="F119" s="19"/>
    </row>
    <row r="120" spans="2:6" s="20" customFormat="1" hidden="1" outlineLevel="1" x14ac:dyDescent="0.25">
      <c r="B120" s="30" t="s">
        <v>1177</v>
      </c>
      <c r="C120" s="44">
        <v>9.8000000000000007</v>
      </c>
      <c r="D120" s="44">
        <v>0.45</v>
      </c>
      <c r="E120" s="44">
        <v>1.1000000000000001</v>
      </c>
    </row>
    <row r="121" spans="2:6" s="20" customFormat="1" hidden="1" outlineLevel="1" x14ac:dyDescent="0.25"/>
    <row r="122" spans="2:6" s="20" customFormat="1" hidden="1" outlineLevel="1" x14ac:dyDescent="0.25">
      <c r="C122" s="133" t="s">
        <v>43</v>
      </c>
      <c r="D122" s="133"/>
      <c r="E122" s="133"/>
      <c r="F122" s="133"/>
    </row>
    <row r="123" spans="2:6" s="20" customFormat="1" hidden="1" outlineLevel="1" x14ac:dyDescent="0.25">
      <c r="B123" s="19" t="s">
        <v>42</v>
      </c>
      <c r="C123" s="19" t="s">
        <v>41</v>
      </c>
      <c r="D123" s="19" t="s">
        <v>166</v>
      </c>
      <c r="E123" s="19" t="s">
        <v>40</v>
      </c>
      <c r="F123" s="19"/>
    </row>
    <row r="124" spans="2:6" s="20" customFormat="1" hidden="1" outlineLevel="1" x14ac:dyDescent="0.25">
      <c r="B124" s="30" t="str">
        <f>B120</f>
        <v>1 : 6</v>
      </c>
      <c r="C124" s="44">
        <f>C120*$C$90</f>
        <v>0</v>
      </c>
      <c r="D124" s="44">
        <f>C124*D120</f>
        <v>0</v>
      </c>
      <c r="E124" s="44">
        <f>E120*$C$90</f>
        <v>0</v>
      </c>
    </row>
    <row r="125" spans="2:6" hidden="1" outlineLevel="1" x14ac:dyDescent="0.25"/>
    <row r="126" spans="2:6" collapsed="1" x14ac:dyDescent="0.25">
      <c r="B126" s="27" t="s">
        <v>5</v>
      </c>
      <c r="C126" s="28" t="s">
        <v>46</v>
      </c>
      <c r="D126" s="28" t="s">
        <v>6</v>
      </c>
    </row>
    <row r="127" spans="2:6" x14ac:dyDescent="0.25">
      <c r="B127" s="88" t="s">
        <v>292</v>
      </c>
      <c r="C127" s="91" t="s">
        <v>290</v>
      </c>
      <c r="D127" s="87">
        <f>IF(C77="Pronta",C98,0)</f>
        <v>0</v>
      </c>
    </row>
    <row r="128" spans="2:6" x14ac:dyDescent="0.25">
      <c r="B128" s="88" t="s">
        <v>165</v>
      </c>
      <c r="C128" s="91" t="s">
        <v>35</v>
      </c>
      <c r="D128" s="87">
        <f>IF(C77="Pronta",0,IF(C79="Não",VLOOKUP($C$78,$B$111:$E$114,2,0),C124))</f>
        <v>0</v>
      </c>
    </row>
    <row r="129" spans="1:8" ht="17.25" x14ac:dyDescent="0.25">
      <c r="B129" s="88" t="s">
        <v>34</v>
      </c>
      <c r="C129" s="91" t="s">
        <v>80</v>
      </c>
      <c r="D129" s="87">
        <f>IF(C77="Pronta",0,IF(C79="Não",VLOOKUP($C$78,$B$111:$E$114,4,0),E124))</f>
        <v>0</v>
      </c>
    </row>
    <row r="130" spans="1:8" x14ac:dyDescent="0.25">
      <c r="B130" s="88" t="s">
        <v>205</v>
      </c>
      <c r="C130" s="91" t="s">
        <v>290</v>
      </c>
      <c r="D130" s="87">
        <f>IF(C77="Pronta",0,IF(C79="Não",VLOOKUP($C$78,$B$111:$E$114,3,0),0))</f>
        <v>0</v>
      </c>
    </row>
    <row r="131" spans="1:8" x14ac:dyDescent="0.25">
      <c r="B131" s="88" t="s">
        <v>281</v>
      </c>
      <c r="C131" s="91" t="s">
        <v>79</v>
      </c>
      <c r="D131" s="87">
        <f>IF(C77="Pronta",0,IF(C79="Sim",D124,0))</f>
        <v>0</v>
      </c>
    </row>
    <row r="134" spans="1:8" s="5" customFormat="1" ht="18.75" x14ac:dyDescent="0.3">
      <c r="A134" s="7"/>
      <c r="B134" s="132" t="s">
        <v>562</v>
      </c>
      <c r="C134" s="132"/>
      <c r="D134" s="132"/>
      <c r="E134" s="7"/>
      <c r="F134" s="7"/>
      <c r="H134" s="22"/>
    </row>
    <row r="135" spans="1:8" s="5" customFormat="1" x14ac:dyDescent="0.25">
      <c r="A135" s="7"/>
      <c r="B135" s="45" t="s">
        <v>203</v>
      </c>
      <c r="C135" s="7"/>
      <c r="D135" s="7"/>
      <c r="E135" s="7"/>
      <c r="F135" s="7"/>
      <c r="H135" s="22"/>
    </row>
    <row r="136" spans="1:8" s="5" customFormat="1" x14ac:dyDescent="0.25">
      <c r="A136" s="7"/>
      <c r="B136" s="7"/>
      <c r="C136" s="7"/>
      <c r="D136" s="7"/>
      <c r="E136" s="7"/>
      <c r="F136" s="7"/>
      <c r="H136" s="22"/>
    </row>
    <row r="137" spans="1:8" x14ac:dyDescent="0.25">
      <c r="B137" s="9" t="s">
        <v>2</v>
      </c>
    </row>
    <row r="139" spans="1:8" x14ac:dyDescent="0.25">
      <c r="B139" s="7" t="s">
        <v>1150</v>
      </c>
      <c r="C139" s="33"/>
      <c r="D139" s="7" t="s">
        <v>53</v>
      </c>
    </row>
    <row r="140" spans="1:8" x14ac:dyDescent="0.25">
      <c r="B140" s="7" t="s">
        <v>197</v>
      </c>
      <c r="C140" s="33"/>
      <c r="D140" s="7" t="s">
        <v>53</v>
      </c>
    </row>
    <row r="141" spans="1:8" x14ac:dyDescent="0.25">
      <c r="B141" s="7" t="s">
        <v>286</v>
      </c>
      <c r="C141" s="29"/>
    </row>
    <row r="142" spans="1:8" x14ac:dyDescent="0.25">
      <c r="B142" s="7" t="s">
        <v>291</v>
      </c>
      <c r="C142" s="29"/>
      <c r="D142" s="7" t="s">
        <v>1194</v>
      </c>
    </row>
    <row r="143" spans="1:8" x14ac:dyDescent="0.25">
      <c r="B143" s="7" t="s">
        <v>287</v>
      </c>
      <c r="C143" s="29"/>
    </row>
    <row r="145" spans="2:4" s="20" customFormat="1" hidden="1" outlineLevel="1" x14ac:dyDescent="0.25">
      <c r="B145" s="19" t="s">
        <v>604</v>
      </c>
    </row>
    <row r="146" spans="2:4" s="20" customFormat="1" hidden="1" outlineLevel="1" x14ac:dyDescent="0.25"/>
    <row r="147" spans="2:4" s="20" customFormat="1" hidden="1" outlineLevel="1" x14ac:dyDescent="0.25">
      <c r="B147" s="20" t="s">
        <v>765</v>
      </c>
      <c r="C147" s="33">
        <v>2.5</v>
      </c>
      <c r="D147" s="20" t="s">
        <v>56</v>
      </c>
    </row>
    <row r="148" spans="2:4" s="20" customFormat="1" hidden="1" outlineLevel="1" x14ac:dyDescent="0.25"/>
    <row r="149" spans="2:4" s="20" customFormat="1" hidden="1" outlineLevel="1" x14ac:dyDescent="0.25">
      <c r="B149" s="20" t="s">
        <v>813</v>
      </c>
      <c r="C149" s="40">
        <f>C139*C140</f>
        <v>0</v>
      </c>
      <c r="D149" s="20" t="s">
        <v>643</v>
      </c>
    </row>
    <row r="150" spans="2:4" s="20" customFormat="1" hidden="1" outlineLevel="1" x14ac:dyDescent="0.25">
      <c r="B150" s="20" t="s">
        <v>180</v>
      </c>
      <c r="C150" s="40">
        <f>SUM('13. Portas'!$K$26:$K$191)*2</f>
        <v>0</v>
      </c>
      <c r="D150" s="20" t="s">
        <v>643</v>
      </c>
    </row>
    <row r="151" spans="2:4" s="20" customFormat="1" hidden="1" outlineLevel="1" x14ac:dyDescent="0.25">
      <c r="B151" s="20" t="s">
        <v>179</v>
      </c>
      <c r="C151" s="40">
        <f>SUM('14. Janelas'!$G$24:$G$161)</f>
        <v>0</v>
      </c>
      <c r="D151" s="20" t="s">
        <v>643</v>
      </c>
    </row>
    <row r="152" spans="2:4" s="20" customFormat="1" hidden="1" outlineLevel="1" x14ac:dyDescent="0.25">
      <c r="B152" s="20" t="s">
        <v>814</v>
      </c>
      <c r="C152" s="40">
        <f>C149-C150-C151</f>
        <v>0</v>
      </c>
      <c r="D152" s="20" t="s">
        <v>643</v>
      </c>
    </row>
    <row r="153" spans="2:4" s="20" customFormat="1" hidden="1" outlineLevel="1" x14ac:dyDescent="0.25">
      <c r="B153" s="20" t="s">
        <v>815</v>
      </c>
      <c r="C153" s="40">
        <f>C152*(1+'LEIA-ME'!$D$31)</f>
        <v>0</v>
      </c>
      <c r="D153" s="20" t="s">
        <v>643</v>
      </c>
    </row>
    <row r="154" spans="2:4" s="20" customFormat="1" hidden="1" outlineLevel="1" x14ac:dyDescent="0.25">
      <c r="B154" s="20" t="s">
        <v>766</v>
      </c>
      <c r="C154" s="40">
        <f>C153*(C147/100)</f>
        <v>0</v>
      </c>
      <c r="D154" s="20" t="s">
        <v>32</v>
      </c>
    </row>
    <row r="155" spans="2:4" s="20" customFormat="1" hidden="1" outlineLevel="1" x14ac:dyDescent="0.25"/>
    <row r="156" spans="2:4" s="20" customFormat="1" hidden="1" outlineLevel="1" x14ac:dyDescent="0.25">
      <c r="B156" s="19" t="s">
        <v>293</v>
      </c>
      <c r="C156" s="38"/>
    </row>
    <row r="157" spans="2:4" s="20" customFormat="1" hidden="1" outlineLevel="1" x14ac:dyDescent="0.25">
      <c r="B157" s="19"/>
      <c r="C157" s="38"/>
    </row>
    <row r="158" spans="2:4" s="20" customFormat="1" hidden="1" outlineLevel="1" x14ac:dyDescent="0.25">
      <c r="B158" s="20" t="s">
        <v>812</v>
      </c>
      <c r="C158" s="33">
        <v>10</v>
      </c>
      <c r="D158" s="20" t="s">
        <v>832</v>
      </c>
    </row>
    <row r="159" spans="2:4" s="20" customFormat="1" hidden="1" outlineLevel="1" x14ac:dyDescent="0.25">
      <c r="B159" s="20" t="s">
        <v>295</v>
      </c>
      <c r="C159" s="37">
        <f>C147/1</f>
        <v>2.5</v>
      </c>
    </row>
    <row r="160" spans="2:4" s="20" customFormat="1" hidden="1" outlineLevel="1" x14ac:dyDescent="0.25">
      <c r="B160" s="20" t="s">
        <v>294</v>
      </c>
      <c r="C160" s="25">
        <f>C158*C153*C159</f>
        <v>0</v>
      </c>
      <c r="D160" s="20" t="s">
        <v>49</v>
      </c>
    </row>
    <row r="161" spans="2:6" s="20" customFormat="1" hidden="1" outlineLevel="1" x14ac:dyDescent="0.25">
      <c r="B161" s="20" t="s">
        <v>760</v>
      </c>
      <c r="C161" s="23">
        <v>20</v>
      </c>
      <c r="D161" s="20" t="s">
        <v>49</v>
      </c>
    </row>
    <row r="162" spans="2:6" s="20" customFormat="1" hidden="1" outlineLevel="1" x14ac:dyDescent="0.25">
      <c r="B162" s="20" t="s">
        <v>296</v>
      </c>
      <c r="C162" s="37">
        <f>C160/C161</f>
        <v>0</v>
      </c>
      <c r="D162" s="20" t="s">
        <v>764</v>
      </c>
    </row>
    <row r="163" spans="2:6" s="20" customFormat="1" hidden="1" outlineLevel="1" x14ac:dyDescent="0.25"/>
    <row r="164" spans="2:6" s="20" customFormat="1" hidden="1" outlineLevel="1" x14ac:dyDescent="0.25">
      <c r="B164" s="19" t="s">
        <v>288</v>
      </c>
    </row>
    <row r="165" spans="2:6" s="20" customFormat="1" hidden="1" outlineLevel="1" x14ac:dyDescent="0.25"/>
    <row r="166" spans="2:6" s="20" customFormat="1" hidden="1" outlineLevel="1" x14ac:dyDescent="0.25">
      <c r="C166" s="133" t="s">
        <v>168</v>
      </c>
      <c r="D166" s="133"/>
      <c r="E166" s="133"/>
      <c r="F166" s="133"/>
    </row>
    <row r="167" spans="2:6" s="20" customFormat="1" hidden="1" outlineLevel="1" x14ac:dyDescent="0.25">
      <c r="B167" s="19" t="s">
        <v>42</v>
      </c>
      <c r="C167" s="19" t="s">
        <v>41</v>
      </c>
      <c r="D167" s="19" t="s">
        <v>170</v>
      </c>
      <c r="E167" s="19" t="s">
        <v>40</v>
      </c>
      <c r="F167" s="19"/>
    </row>
    <row r="168" spans="2:6" s="20" customFormat="1" hidden="1" outlineLevel="1" x14ac:dyDescent="0.25">
      <c r="B168" s="30" t="s">
        <v>1190</v>
      </c>
      <c r="C168" s="44">
        <v>6.4799999999999995</v>
      </c>
      <c r="D168" s="44">
        <v>7.6581818181818182</v>
      </c>
      <c r="E168" s="44">
        <v>1.08</v>
      </c>
      <c r="F168" s="20" t="s">
        <v>167</v>
      </c>
    </row>
    <row r="169" spans="2:6" s="20" customFormat="1" hidden="1" outlineLevel="1" x14ac:dyDescent="0.25">
      <c r="B169" s="30" t="s">
        <v>1172</v>
      </c>
      <c r="C169" s="44">
        <v>3.65</v>
      </c>
      <c r="D169" s="44">
        <v>9</v>
      </c>
      <c r="E169" s="44">
        <v>1.4</v>
      </c>
    </row>
    <row r="170" spans="2:6" s="20" customFormat="1" hidden="1" outlineLevel="1" x14ac:dyDescent="0.25">
      <c r="B170" s="30" t="s">
        <v>1178</v>
      </c>
      <c r="C170" s="44">
        <v>3.3</v>
      </c>
      <c r="D170" s="44">
        <v>7.8</v>
      </c>
      <c r="E170" s="44">
        <v>1.1000000000000001</v>
      </c>
    </row>
    <row r="171" spans="2:6" s="20" customFormat="1" hidden="1" outlineLevel="1" x14ac:dyDescent="0.25">
      <c r="B171" s="30" t="s">
        <v>1174</v>
      </c>
      <c r="C171" s="44">
        <v>4.9000000000000004</v>
      </c>
      <c r="D171" s="44">
        <v>2.9</v>
      </c>
      <c r="E171" s="44">
        <v>1.1000000000000001</v>
      </c>
    </row>
    <row r="172" spans="2:6" s="20" customFormat="1" hidden="1" outlineLevel="1" x14ac:dyDescent="0.25"/>
    <row r="173" spans="2:6" s="20" customFormat="1" hidden="1" outlineLevel="1" x14ac:dyDescent="0.25">
      <c r="C173" s="133" t="s">
        <v>43</v>
      </c>
      <c r="D173" s="133"/>
      <c r="E173" s="133"/>
      <c r="F173" s="133"/>
    </row>
    <row r="174" spans="2:6" s="20" customFormat="1" hidden="1" outlineLevel="1" x14ac:dyDescent="0.25">
      <c r="B174" s="19" t="s">
        <v>42</v>
      </c>
      <c r="C174" s="19" t="s">
        <v>41</v>
      </c>
      <c r="D174" s="19" t="s">
        <v>170</v>
      </c>
      <c r="E174" s="19" t="s">
        <v>40</v>
      </c>
      <c r="F174" s="19"/>
    </row>
    <row r="175" spans="2:6" s="20" customFormat="1" hidden="1" outlineLevel="1" x14ac:dyDescent="0.25">
      <c r="B175" s="30" t="str">
        <f>B168</f>
        <v>1 : 2 : 6</v>
      </c>
      <c r="C175" s="44">
        <f>C168*$C$154</f>
        <v>0</v>
      </c>
      <c r="D175" s="44">
        <f t="shared" ref="D175:E175" si="12">D168*$C$154</f>
        <v>0</v>
      </c>
      <c r="E175" s="44">
        <f t="shared" si="12"/>
        <v>0</v>
      </c>
      <c r="F175" s="20" t="s">
        <v>37</v>
      </c>
    </row>
    <row r="176" spans="2:6" s="20" customFormat="1" hidden="1" outlineLevel="1" x14ac:dyDescent="0.25">
      <c r="B176" s="30" t="str">
        <f t="shared" ref="B176:B178" si="13">B169</f>
        <v>1 : 4 : 16</v>
      </c>
      <c r="C176" s="44">
        <f t="shared" ref="C176:E176" si="14">C169*$C$154</f>
        <v>0</v>
      </c>
      <c r="D176" s="44">
        <f t="shared" si="14"/>
        <v>0</v>
      </c>
      <c r="E176" s="44">
        <f t="shared" si="14"/>
        <v>0</v>
      </c>
    </row>
    <row r="177" spans="2:6" s="20" customFormat="1" hidden="1" outlineLevel="1" x14ac:dyDescent="0.25">
      <c r="B177" s="30" t="str">
        <f t="shared" si="13"/>
        <v>1 : 4 : 18</v>
      </c>
      <c r="C177" s="44">
        <f t="shared" ref="C177:E177" si="15">C170*$C$154</f>
        <v>0</v>
      </c>
      <c r="D177" s="44">
        <f t="shared" si="15"/>
        <v>0</v>
      </c>
      <c r="E177" s="44">
        <f t="shared" si="15"/>
        <v>0</v>
      </c>
    </row>
    <row r="178" spans="2:6" s="20" customFormat="1" hidden="1" outlineLevel="1" x14ac:dyDescent="0.25">
      <c r="B178" s="30" t="str">
        <f t="shared" si="13"/>
        <v>1 : 1 : 12</v>
      </c>
      <c r="C178" s="44">
        <f t="shared" ref="C178:E178" si="16">C171*$C$154</f>
        <v>0</v>
      </c>
      <c r="D178" s="44">
        <f t="shared" si="16"/>
        <v>0</v>
      </c>
      <c r="E178" s="44">
        <f t="shared" si="16"/>
        <v>0</v>
      </c>
    </row>
    <row r="179" spans="2:6" s="20" customFormat="1" hidden="1" outlineLevel="1" x14ac:dyDescent="0.25"/>
    <row r="180" spans="2:6" s="20" customFormat="1" hidden="1" outlineLevel="1" x14ac:dyDescent="0.25">
      <c r="B180" s="19" t="s">
        <v>289</v>
      </c>
    </row>
    <row r="181" spans="2:6" s="20" customFormat="1" hidden="1" outlineLevel="1" x14ac:dyDescent="0.25"/>
    <row r="182" spans="2:6" s="20" customFormat="1" hidden="1" outlineLevel="1" x14ac:dyDescent="0.25">
      <c r="C182" s="133" t="s">
        <v>1195</v>
      </c>
      <c r="D182" s="133"/>
      <c r="E182" s="133"/>
      <c r="F182" s="133"/>
    </row>
    <row r="183" spans="2:6" s="20" customFormat="1" hidden="1" outlineLevel="1" x14ac:dyDescent="0.25">
      <c r="B183" s="19" t="s">
        <v>42</v>
      </c>
      <c r="C183" s="19" t="s">
        <v>41</v>
      </c>
      <c r="D183" s="19" t="s">
        <v>166</v>
      </c>
      <c r="E183" s="19" t="s">
        <v>40</v>
      </c>
      <c r="F183" s="19"/>
    </row>
    <row r="184" spans="2:6" s="20" customFormat="1" hidden="1" outlineLevel="1" x14ac:dyDescent="0.25">
      <c r="B184" s="30" t="s">
        <v>1177</v>
      </c>
      <c r="C184" s="44">
        <v>9.8000000000000007</v>
      </c>
      <c r="D184" s="44">
        <v>0.45</v>
      </c>
      <c r="E184" s="44">
        <v>1.1000000000000001</v>
      </c>
    </row>
    <row r="185" spans="2:6" s="20" customFormat="1" hidden="1" outlineLevel="1" x14ac:dyDescent="0.25"/>
    <row r="186" spans="2:6" s="20" customFormat="1" hidden="1" outlineLevel="1" x14ac:dyDescent="0.25">
      <c r="C186" s="133" t="s">
        <v>43</v>
      </c>
      <c r="D186" s="133"/>
      <c r="E186" s="133"/>
      <c r="F186" s="133"/>
    </row>
    <row r="187" spans="2:6" s="20" customFormat="1" hidden="1" outlineLevel="1" x14ac:dyDescent="0.25">
      <c r="B187" s="19" t="s">
        <v>42</v>
      </c>
      <c r="C187" s="19" t="s">
        <v>41</v>
      </c>
      <c r="D187" s="19" t="s">
        <v>166</v>
      </c>
      <c r="E187" s="19" t="s">
        <v>40</v>
      </c>
      <c r="F187" s="19"/>
    </row>
    <row r="188" spans="2:6" s="20" customFormat="1" hidden="1" outlineLevel="1" x14ac:dyDescent="0.25">
      <c r="B188" s="30" t="str">
        <f>B184</f>
        <v>1 : 6</v>
      </c>
      <c r="C188" s="44">
        <f>C184*$C$154</f>
        <v>0</v>
      </c>
      <c r="D188" s="44">
        <f>C188*D184</f>
        <v>0</v>
      </c>
      <c r="E188" s="44">
        <f>E184*$C$154</f>
        <v>0</v>
      </c>
    </row>
    <row r="189" spans="2:6" hidden="1" outlineLevel="1" x14ac:dyDescent="0.25"/>
    <row r="190" spans="2:6" collapsed="1" x14ac:dyDescent="0.25">
      <c r="B190" s="27" t="s">
        <v>5</v>
      </c>
      <c r="C190" s="28" t="s">
        <v>46</v>
      </c>
      <c r="D190" s="28" t="s">
        <v>6</v>
      </c>
    </row>
    <row r="191" spans="2:6" x14ac:dyDescent="0.25">
      <c r="B191" s="88" t="s">
        <v>282</v>
      </c>
      <c r="C191" s="91" t="s">
        <v>290</v>
      </c>
      <c r="D191" s="87">
        <f>IF(C141="Pronta",C162,0)</f>
        <v>0</v>
      </c>
    </row>
    <row r="192" spans="2:6" x14ac:dyDescent="0.25">
      <c r="B192" s="88" t="s">
        <v>165</v>
      </c>
      <c r="C192" s="91" t="s">
        <v>35</v>
      </c>
      <c r="D192" s="87">
        <f>IF(C141="Pronta",0,IF(C143="Não",VLOOKUP($C$142,$B$175:$E$178,2,0),C188))</f>
        <v>0</v>
      </c>
    </row>
    <row r="193" spans="1:8" ht="17.25" x14ac:dyDescent="0.25">
      <c r="B193" s="88" t="s">
        <v>34</v>
      </c>
      <c r="C193" s="91" t="s">
        <v>80</v>
      </c>
      <c r="D193" s="87">
        <f>IF(C141="Pronta",0,IF(C143="Não",VLOOKUP($C$142,$B$175:$E$178,4,0),E188))</f>
        <v>0</v>
      </c>
    </row>
    <row r="194" spans="1:8" x14ac:dyDescent="0.25">
      <c r="B194" s="88" t="s">
        <v>205</v>
      </c>
      <c r="C194" s="91" t="s">
        <v>290</v>
      </c>
      <c r="D194" s="87">
        <f>IF(C141="Pronta",0,IF(C143="Não",VLOOKUP($C$142,$B$175:$E$178,3,0),0))</f>
        <v>0</v>
      </c>
    </row>
    <row r="195" spans="1:8" x14ac:dyDescent="0.25">
      <c r="B195" s="88" t="s">
        <v>281</v>
      </c>
      <c r="C195" s="91" t="s">
        <v>79</v>
      </c>
      <c r="D195" s="87">
        <f>IF(C141="Pronta",0,IF(C143="Sim",D188,0))</f>
        <v>0</v>
      </c>
    </row>
    <row r="198" spans="1:8" s="5" customFormat="1" ht="18.75" x14ac:dyDescent="0.3">
      <c r="A198" s="7"/>
      <c r="B198" s="132" t="s">
        <v>563</v>
      </c>
      <c r="C198" s="132"/>
      <c r="D198" s="132"/>
      <c r="E198" s="7"/>
      <c r="F198" s="7"/>
      <c r="H198" s="22"/>
    </row>
    <row r="199" spans="1:8" s="5" customFormat="1" x14ac:dyDescent="0.25">
      <c r="A199" s="7"/>
      <c r="B199" s="45" t="s">
        <v>203</v>
      </c>
      <c r="C199" s="7"/>
      <c r="D199" s="7"/>
      <c r="E199" s="7"/>
      <c r="F199" s="7"/>
      <c r="H199" s="22"/>
    </row>
    <row r="200" spans="1:8" s="5" customFormat="1" x14ac:dyDescent="0.25">
      <c r="A200" s="7"/>
      <c r="B200" s="7"/>
      <c r="C200" s="7"/>
      <c r="D200" s="7"/>
      <c r="E200" s="7"/>
      <c r="F200" s="7"/>
      <c r="H200" s="22"/>
    </row>
    <row r="201" spans="1:8" x14ac:dyDescent="0.25">
      <c r="B201" s="9" t="s">
        <v>2</v>
      </c>
    </row>
    <row r="203" spans="1:8" x14ac:dyDescent="0.25">
      <c r="B203" s="7" t="s">
        <v>1149</v>
      </c>
      <c r="C203" s="33"/>
      <c r="D203" s="7" t="s">
        <v>53</v>
      </c>
    </row>
    <row r="204" spans="1:8" x14ac:dyDescent="0.25">
      <c r="B204" s="7" t="s">
        <v>197</v>
      </c>
      <c r="C204" s="33"/>
      <c r="D204" s="7" t="s">
        <v>53</v>
      </c>
    </row>
    <row r="205" spans="1:8" x14ac:dyDescent="0.25">
      <c r="B205" s="7" t="s">
        <v>286</v>
      </c>
      <c r="C205" s="29"/>
    </row>
    <row r="206" spans="1:8" x14ac:dyDescent="0.25">
      <c r="B206" s="7" t="s">
        <v>291</v>
      </c>
      <c r="C206" s="29"/>
      <c r="D206" s="7" t="s">
        <v>1194</v>
      </c>
    </row>
    <row r="207" spans="1:8" x14ac:dyDescent="0.25">
      <c r="B207" s="7" t="s">
        <v>287</v>
      </c>
      <c r="C207" s="29"/>
    </row>
    <row r="209" spans="2:4" s="20" customFormat="1" hidden="1" outlineLevel="1" x14ac:dyDescent="0.25">
      <c r="B209" s="19" t="s">
        <v>602</v>
      </c>
    </row>
    <row r="210" spans="2:4" s="20" customFormat="1" hidden="1" outlineLevel="1" x14ac:dyDescent="0.25"/>
    <row r="211" spans="2:4" s="20" customFormat="1" hidden="1" outlineLevel="1" x14ac:dyDescent="0.25">
      <c r="B211" s="20" t="s">
        <v>761</v>
      </c>
      <c r="C211" s="33">
        <v>0.5</v>
      </c>
      <c r="D211" s="20" t="s">
        <v>56</v>
      </c>
    </row>
    <row r="212" spans="2:4" s="20" customFormat="1" hidden="1" outlineLevel="1" x14ac:dyDescent="0.25">
      <c r="C212" s="38"/>
    </row>
    <row r="213" spans="2:4" s="20" customFormat="1" hidden="1" outlineLevel="1" x14ac:dyDescent="0.25">
      <c r="B213" s="20" t="s">
        <v>817</v>
      </c>
      <c r="C213" s="40">
        <f>C203*C204</f>
        <v>0</v>
      </c>
      <c r="D213" s="20" t="s">
        <v>643</v>
      </c>
    </row>
    <row r="214" spans="2:4" s="20" customFormat="1" hidden="1" outlineLevel="1" x14ac:dyDescent="0.25">
      <c r="B214" s="20" t="s">
        <v>180</v>
      </c>
      <c r="C214" s="40">
        <f>SUM('13. Portas'!$M$26:$M$191)</f>
        <v>0</v>
      </c>
      <c r="D214" s="20" t="s">
        <v>643</v>
      </c>
    </row>
    <row r="215" spans="2:4" s="20" customFormat="1" hidden="1" outlineLevel="1" x14ac:dyDescent="0.25">
      <c r="B215" s="20" t="s">
        <v>179</v>
      </c>
      <c r="C215" s="40">
        <f>SUM('14. Janelas'!$G$24:$G$161)</f>
        <v>0</v>
      </c>
      <c r="D215" s="20" t="s">
        <v>643</v>
      </c>
    </row>
    <row r="216" spans="2:4" s="20" customFormat="1" hidden="1" outlineLevel="1" x14ac:dyDescent="0.25">
      <c r="B216" s="20" t="s">
        <v>818</v>
      </c>
      <c r="C216" s="40">
        <f>C213-C214-C215</f>
        <v>0</v>
      </c>
      <c r="D216" s="20" t="s">
        <v>643</v>
      </c>
    </row>
    <row r="217" spans="2:4" s="20" customFormat="1" hidden="1" outlineLevel="1" x14ac:dyDescent="0.25">
      <c r="B217" s="20" t="s">
        <v>819</v>
      </c>
      <c r="C217" s="40">
        <f>C216*(1+'LEIA-ME'!$D$31)</f>
        <v>0</v>
      </c>
      <c r="D217" s="20" t="s">
        <v>643</v>
      </c>
    </row>
    <row r="218" spans="2:4" s="20" customFormat="1" hidden="1" outlineLevel="1" x14ac:dyDescent="0.25">
      <c r="B218" s="20" t="s">
        <v>759</v>
      </c>
      <c r="C218" s="40">
        <f>C217*(C211/100)</f>
        <v>0</v>
      </c>
      <c r="D218" s="20" t="s">
        <v>32</v>
      </c>
    </row>
    <row r="219" spans="2:4" s="20" customFormat="1" hidden="1" outlineLevel="1" x14ac:dyDescent="0.25">
      <c r="C219" s="38"/>
    </row>
    <row r="220" spans="2:4" s="20" customFormat="1" hidden="1" outlineLevel="1" x14ac:dyDescent="0.25">
      <c r="B220" s="19" t="s">
        <v>293</v>
      </c>
      <c r="C220" s="38"/>
    </row>
    <row r="221" spans="2:4" s="20" customFormat="1" hidden="1" outlineLevel="1" x14ac:dyDescent="0.25">
      <c r="B221" s="19"/>
      <c r="C221" s="38"/>
    </row>
    <row r="222" spans="2:4" s="20" customFormat="1" hidden="1" outlineLevel="1" x14ac:dyDescent="0.25">
      <c r="B222" s="20" t="s">
        <v>767</v>
      </c>
      <c r="C222" s="33">
        <v>10</v>
      </c>
      <c r="D222" s="20" t="s">
        <v>832</v>
      </c>
    </row>
    <row r="223" spans="2:4" s="20" customFormat="1" hidden="1" outlineLevel="1" x14ac:dyDescent="0.25">
      <c r="B223" s="20" t="s">
        <v>295</v>
      </c>
      <c r="C223" s="37">
        <f>C211/1</f>
        <v>0.5</v>
      </c>
    </row>
    <row r="224" spans="2:4" s="20" customFormat="1" hidden="1" outlineLevel="1" x14ac:dyDescent="0.25">
      <c r="B224" s="20" t="s">
        <v>294</v>
      </c>
      <c r="C224" s="25">
        <f>C222*C217*C223</f>
        <v>0</v>
      </c>
      <c r="D224" s="20" t="s">
        <v>49</v>
      </c>
    </row>
    <row r="225" spans="2:6" s="20" customFormat="1" hidden="1" outlineLevel="1" x14ac:dyDescent="0.25">
      <c r="B225" s="20" t="s">
        <v>760</v>
      </c>
      <c r="C225" s="23">
        <v>20</v>
      </c>
      <c r="D225" s="20" t="s">
        <v>49</v>
      </c>
    </row>
    <row r="226" spans="2:6" s="20" customFormat="1" hidden="1" outlineLevel="1" x14ac:dyDescent="0.25">
      <c r="B226" s="20" t="s">
        <v>296</v>
      </c>
      <c r="C226" s="37">
        <f>C224/20</f>
        <v>0</v>
      </c>
      <c r="D226" s="20" t="s">
        <v>764</v>
      </c>
    </row>
    <row r="227" spans="2:6" s="20" customFormat="1" hidden="1" outlineLevel="1" x14ac:dyDescent="0.25"/>
    <row r="228" spans="2:6" s="20" customFormat="1" hidden="1" outlineLevel="1" x14ac:dyDescent="0.25">
      <c r="B228" s="19" t="s">
        <v>288</v>
      </c>
    </row>
    <row r="229" spans="2:6" s="20" customFormat="1" hidden="1" outlineLevel="1" x14ac:dyDescent="0.25"/>
    <row r="230" spans="2:6" s="20" customFormat="1" hidden="1" outlineLevel="1" x14ac:dyDescent="0.25">
      <c r="C230" s="133" t="s">
        <v>168</v>
      </c>
      <c r="D230" s="133"/>
      <c r="E230" s="51"/>
      <c r="F230" s="51"/>
    </row>
    <row r="231" spans="2:6" s="20" customFormat="1" hidden="1" outlineLevel="1" x14ac:dyDescent="0.25">
      <c r="B231" s="19" t="s">
        <v>42</v>
      </c>
      <c r="C231" s="19" t="s">
        <v>41</v>
      </c>
      <c r="D231" s="19" t="s">
        <v>40</v>
      </c>
      <c r="E231" s="52"/>
      <c r="F231" s="52"/>
    </row>
    <row r="232" spans="2:6" s="20" customFormat="1" hidden="1" outlineLevel="1" x14ac:dyDescent="0.25">
      <c r="B232" s="30" t="s">
        <v>1188</v>
      </c>
      <c r="C232" s="40">
        <v>4.2</v>
      </c>
      <c r="D232" s="40">
        <v>1.2</v>
      </c>
      <c r="E232" s="20" t="s">
        <v>284</v>
      </c>
    </row>
    <row r="233" spans="2:6" s="20" customFormat="1" hidden="1" outlineLevel="1" x14ac:dyDescent="0.25">
      <c r="B233" s="30" t="s">
        <v>1185</v>
      </c>
      <c r="C233" s="40">
        <v>10</v>
      </c>
      <c r="D233" s="40">
        <v>1.08</v>
      </c>
    </row>
    <row r="234" spans="2:6" s="20" customFormat="1" hidden="1" outlineLevel="1" x14ac:dyDescent="0.25">
      <c r="B234" s="30" t="s">
        <v>1187</v>
      </c>
      <c r="C234" s="40">
        <v>7.4</v>
      </c>
      <c r="D234" s="40">
        <v>1.1000000000000001</v>
      </c>
      <c r="E234" s="21"/>
      <c r="F234" s="25"/>
    </row>
    <row r="235" spans="2:6" s="20" customFormat="1" hidden="1" outlineLevel="1" x14ac:dyDescent="0.25"/>
    <row r="236" spans="2:6" s="20" customFormat="1" hidden="1" outlineLevel="1" x14ac:dyDescent="0.25">
      <c r="C236" s="133" t="s">
        <v>43</v>
      </c>
      <c r="D236" s="133"/>
      <c r="E236" s="51"/>
      <c r="F236" s="51"/>
    </row>
    <row r="237" spans="2:6" s="20" customFormat="1" hidden="1" outlineLevel="1" x14ac:dyDescent="0.25">
      <c r="B237" s="19" t="s">
        <v>42</v>
      </c>
      <c r="C237" s="19" t="s">
        <v>41</v>
      </c>
      <c r="D237" s="19" t="s">
        <v>40</v>
      </c>
      <c r="E237" s="52"/>
      <c r="F237" s="52"/>
    </row>
    <row r="238" spans="2:6" s="20" customFormat="1" hidden="1" outlineLevel="1" x14ac:dyDescent="0.25">
      <c r="B238" s="30" t="str">
        <f>B232</f>
        <v>1 : 0 : 2,5</v>
      </c>
      <c r="C238" s="44">
        <f>C232*$C$218</f>
        <v>0</v>
      </c>
      <c r="D238" s="44">
        <f>D232*$C$218</f>
        <v>0</v>
      </c>
      <c r="E238" s="20" t="s">
        <v>37</v>
      </c>
      <c r="F238" s="25"/>
    </row>
    <row r="239" spans="2:6" s="20" customFormat="1" hidden="1" outlineLevel="1" x14ac:dyDescent="0.25">
      <c r="B239" s="30" t="str">
        <f t="shared" ref="B239:B240" si="17">B233</f>
        <v>1 : 0 : 6</v>
      </c>
      <c r="C239" s="44">
        <f t="shared" ref="C239:D239" si="18">C233*$C$218</f>
        <v>0</v>
      </c>
      <c r="D239" s="44">
        <f t="shared" si="18"/>
        <v>0</v>
      </c>
      <c r="F239" s="25"/>
    </row>
    <row r="240" spans="2:6" s="20" customFormat="1" hidden="1" outlineLevel="1" x14ac:dyDescent="0.25">
      <c r="B240" s="30" t="str">
        <f t="shared" si="17"/>
        <v>1 : 0 : 8</v>
      </c>
      <c r="C240" s="44">
        <f t="shared" ref="C240:D240" si="19">C234*$C$218</f>
        <v>0</v>
      </c>
      <c r="D240" s="44">
        <f t="shared" si="19"/>
        <v>0</v>
      </c>
      <c r="E240" s="21"/>
      <c r="F240" s="25"/>
    </row>
    <row r="241" spans="2:6" s="20" customFormat="1" hidden="1" outlineLevel="1" x14ac:dyDescent="0.25"/>
    <row r="242" spans="2:6" s="20" customFormat="1" hidden="1" outlineLevel="1" x14ac:dyDescent="0.25">
      <c r="B242" s="19" t="s">
        <v>289</v>
      </c>
    </row>
    <row r="243" spans="2:6" s="20" customFormat="1" hidden="1" outlineLevel="1" x14ac:dyDescent="0.25"/>
    <row r="244" spans="2:6" s="20" customFormat="1" hidden="1" outlineLevel="1" x14ac:dyDescent="0.25">
      <c r="C244" s="133" t="s">
        <v>1195</v>
      </c>
      <c r="D244" s="133"/>
      <c r="E244" s="133"/>
      <c r="F244" s="133"/>
    </row>
    <row r="245" spans="2:6" s="20" customFormat="1" hidden="1" outlineLevel="1" x14ac:dyDescent="0.25">
      <c r="B245" s="19" t="s">
        <v>42</v>
      </c>
      <c r="C245" s="19" t="s">
        <v>41</v>
      </c>
      <c r="D245" s="19" t="s">
        <v>283</v>
      </c>
      <c r="E245" s="19" t="s">
        <v>40</v>
      </c>
      <c r="F245" s="19"/>
    </row>
    <row r="246" spans="2:6" s="20" customFormat="1" hidden="1" outlineLevel="1" x14ac:dyDescent="0.25">
      <c r="B246" s="30" t="s">
        <v>1188</v>
      </c>
      <c r="C246" s="40">
        <v>4.0999999999999996</v>
      </c>
      <c r="D246" s="40">
        <v>0.45</v>
      </c>
      <c r="E246" s="40">
        <v>1.2</v>
      </c>
      <c r="F246" s="20" t="s">
        <v>167</v>
      </c>
    </row>
    <row r="247" spans="2:6" s="20" customFormat="1" hidden="1" outlineLevel="1" x14ac:dyDescent="0.25">
      <c r="B247" s="30" t="s">
        <v>1185</v>
      </c>
      <c r="C247" s="40">
        <v>9.8000000000000007</v>
      </c>
      <c r="D247" s="40">
        <v>0.45</v>
      </c>
      <c r="E247" s="40">
        <v>1.1000000000000001</v>
      </c>
    </row>
    <row r="248" spans="2:6" s="20" customFormat="1" hidden="1" outlineLevel="1" x14ac:dyDescent="0.25">
      <c r="B248" s="30" t="s">
        <v>1187</v>
      </c>
      <c r="C248" s="40">
        <v>7.4</v>
      </c>
      <c r="D248" s="40">
        <v>0.45</v>
      </c>
      <c r="E248" s="40">
        <v>1.1000000000000001</v>
      </c>
    </row>
    <row r="249" spans="2:6" s="20" customFormat="1" hidden="1" outlineLevel="1" x14ac:dyDescent="0.25"/>
    <row r="250" spans="2:6" s="20" customFormat="1" hidden="1" outlineLevel="1" x14ac:dyDescent="0.25">
      <c r="C250" s="133" t="s">
        <v>43</v>
      </c>
      <c r="D250" s="133"/>
      <c r="E250" s="133"/>
      <c r="F250" s="133"/>
    </row>
    <row r="251" spans="2:6" s="20" customFormat="1" hidden="1" outlineLevel="1" x14ac:dyDescent="0.25">
      <c r="B251" s="19" t="s">
        <v>42</v>
      </c>
      <c r="C251" s="19" t="s">
        <v>41</v>
      </c>
      <c r="D251" s="19" t="s">
        <v>283</v>
      </c>
      <c r="E251" s="19" t="s">
        <v>40</v>
      </c>
      <c r="F251" s="19"/>
    </row>
    <row r="252" spans="2:6" s="20" customFormat="1" hidden="1" outlineLevel="1" x14ac:dyDescent="0.25">
      <c r="B252" s="30" t="str">
        <f>B246</f>
        <v>1 : 0 : 2,5</v>
      </c>
      <c r="C252" s="44">
        <f>C246*$C$218</f>
        <v>0</v>
      </c>
      <c r="D252" s="44">
        <f>D246*$C$217</f>
        <v>0</v>
      </c>
      <c r="E252" s="44">
        <f>E246*$C$218</f>
        <v>0</v>
      </c>
      <c r="F252" s="20" t="s">
        <v>37</v>
      </c>
    </row>
    <row r="253" spans="2:6" s="20" customFormat="1" hidden="1" outlineLevel="1" x14ac:dyDescent="0.25">
      <c r="B253" s="30" t="str">
        <f t="shared" ref="B253:B254" si="20">B247</f>
        <v>1 : 0 : 6</v>
      </c>
      <c r="C253" s="44">
        <f t="shared" ref="C253:C254" si="21">C247*$C$218</f>
        <v>0</v>
      </c>
      <c r="D253" s="44">
        <f t="shared" ref="D253:D254" si="22">D247*$C$217</f>
        <v>0</v>
      </c>
      <c r="E253" s="44">
        <f t="shared" ref="E253:E254" si="23">E247*$C$218</f>
        <v>0</v>
      </c>
    </row>
    <row r="254" spans="2:6" s="20" customFormat="1" hidden="1" outlineLevel="1" x14ac:dyDescent="0.25">
      <c r="B254" s="30" t="str">
        <f t="shared" si="20"/>
        <v>1 : 0 : 8</v>
      </c>
      <c r="C254" s="44">
        <f t="shared" si="21"/>
        <v>0</v>
      </c>
      <c r="D254" s="44">
        <f t="shared" si="22"/>
        <v>0</v>
      </c>
      <c r="E254" s="44">
        <f t="shared" si="23"/>
        <v>0</v>
      </c>
    </row>
    <row r="255" spans="2:6" collapsed="1" x14ac:dyDescent="0.25"/>
    <row r="256" spans="2:6" x14ac:dyDescent="0.25">
      <c r="B256" s="27" t="s">
        <v>5</v>
      </c>
      <c r="C256" s="28" t="s">
        <v>46</v>
      </c>
      <c r="D256" s="28" t="s">
        <v>6</v>
      </c>
    </row>
    <row r="257" spans="1:8" x14ac:dyDescent="0.25">
      <c r="B257" s="88" t="s">
        <v>285</v>
      </c>
      <c r="C257" s="91" t="s">
        <v>290</v>
      </c>
      <c r="D257" s="87">
        <f>IF(C205="Pronta",C226,0)</f>
        <v>0</v>
      </c>
    </row>
    <row r="258" spans="1:8" x14ac:dyDescent="0.25">
      <c r="B258" s="88" t="s">
        <v>165</v>
      </c>
      <c r="C258" s="91" t="s">
        <v>35</v>
      </c>
      <c r="D258" s="87">
        <f>IFERROR(IF(C205="Pronta",0,IF(C207="Não",VLOOKUP($C$206,$B$237:$D$240,2,0),VLOOKUP($C$206,$B$251:$E$254,2,0))),0)</f>
        <v>0</v>
      </c>
    </row>
    <row r="259" spans="1:8" ht="17.25" x14ac:dyDescent="0.25">
      <c r="B259" s="88" t="s">
        <v>34</v>
      </c>
      <c r="C259" s="91" t="s">
        <v>80</v>
      </c>
      <c r="D259" s="87">
        <f>IFERROR(IF(C205="Pronta",0,IF(C207="Não",VLOOKUP($C$206,$B$237:$D$240,3,0),VLOOKUP($C$206,$B$251:$E$254,4,0))),0)</f>
        <v>0</v>
      </c>
    </row>
    <row r="260" spans="1:8" x14ac:dyDescent="0.25">
      <c r="B260" s="88" t="s">
        <v>281</v>
      </c>
      <c r="C260" s="91" t="s">
        <v>79</v>
      </c>
      <c r="D260" s="87">
        <f>IF(C205="Pronta",0,IF(C207="Sim",VLOOKUP($C$206,$B$251:$E$254,3,0),0))</f>
        <v>0</v>
      </c>
    </row>
    <row r="263" spans="1:8" s="5" customFormat="1" ht="18.75" x14ac:dyDescent="0.3">
      <c r="A263" s="7"/>
      <c r="B263" s="132" t="s">
        <v>564</v>
      </c>
      <c r="C263" s="132"/>
      <c r="D263" s="132"/>
      <c r="E263" s="7"/>
      <c r="F263" s="7"/>
      <c r="H263" s="22"/>
    </row>
    <row r="264" spans="1:8" s="5" customFormat="1" x14ac:dyDescent="0.25">
      <c r="A264" s="7"/>
      <c r="B264" s="45" t="s">
        <v>203</v>
      </c>
      <c r="C264" s="7"/>
      <c r="D264" s="7"/>
      <c r="E264" s="7"/>
      <c r="F264" s="7"/>
      <c r="H264" s="22"/>
    </row>
    <row r="265" spans="1:8" s="5" customFormat="1" x14ac:dyDescent="0.25">
      <c r="A265" s="7"/>
      <c r="B265" s="7"/>
      <c r="C265" s="7"/>
      <c r="D265" s="7"/>
      <c r="E265" s="7"/>
      <c r="F265" s="7"/>
      <c r="H265" s="22"/>
    </row>
    <row r="266" spans="1:8" x14ac:dyDescent="0.25">
      <c r="B266" s="9" t="s">
        <v>2</v>
      </c>
    </row>
    <row r="268" spans="1:8" x14ac:dyDescent="0.25">
      <c r="B268" s="7" t="s">
        <v>1151</v>
      </c>
      <c r="C268" s="33"/>
      <c r="D268" s="7" t="s">
        <v>53</v>
      </c>
    </row>
    <row r="269" spans="1:8" x14ac:dyDescent="0.25">
      <c r="B269" s="7" t="s">
        <v>197</v>
      </c>
      <c r="C269" s="33"/>
      <c r="D269" s="7" t="s">
        <v>53</v>
      </c>
    </row>
    <row r="270" spans="1:8" x14ac:dyDescent="0.25">
      <c r="B270" s="7" t="s">
        <v>286</v>
      </c>
      <c r="C270" s="29"/>
    </row>
    <row r="271" spans="1:8" x14ac:dyDescent="0.25">
      <c r="B271" s="7" t="s">
        <v>291</v>
      </c>
      <c r="C271" s="29"/>
      <c r="D271" s="7" t="s">
        <v>1194</v>
      </c>
    </row>
    <row r="272" spans="1:8" x14ac:dyDescent="0.25">
      <c r="B272" s="7" t="s">
        <v>287</v>
      </c>
      <c r="C272" s="29"/>
    </row>
    <row r="274" spans="2:4" s="20" customFormat="1" hidden="1" outlineLevel="1" x14ac:dyDescent="0.25">
      <c r="B274" s="19" t="s">
        <v>603</v>
      </c>
    </row>
    <row r="275" spans="2:4" s="20" customFormat="1" hidden="1" outlineLevel="1" x14ac:dyDescent="0.25"/>
    <row r="276" spans="2:4" s="20" customFormat="1" hidden="1" outlineLevel="1" x14ac:dyDescent="0.25">
      <c r="B276" s="20" t="s">
        <v>762</v>
      </c>
      <c r="C276" s="33">
        <v>2.5</v>
      </c>
      <c r="D276" s="20" t="s">
        <v>56</v>
      </c>
    </row>
    <row r="277" spans="2:4" s="20" customFormat="1" hidden="1" outlineLevel="1" x14ac:dyDescent="0.25"/>
    <row r="278" spans="2:4" s="20" customFormat="1" hidden="1" outlineLevel="1" x14ac:dyDescent="0.25">
      <c r="B278" s="20" t="s">
        <v>821</v>
      </c>
      <c r="C278" s="40">
        <f>C268*C269</f>
        <v>0</v>
      </c>
      <c r="D278" s="20" t="s">
        <v>643</v>
      </c>
    </row>
    <row r="279" spans="2:4" s="20" customFormat="1" hidden="1" outlineLevel="1" x14ac:dyDescent="0.25">
      <c r="B279" s="20" t="s">
        <v>180</v>
      </c>
      <c r="C279" s="40">
        <f>SUM('13. Portas'!$M$26:$M$191)</f>
        <v>0</v>
      </c>
      <c r="D279" s="20" t="s">
        <v>643</v>
      </c>
    </row>
    <row r="280" spans="2:4" s="20" customFormat="1" hidden="1" outlineLevel="1" x14ac:dyDescent="0.25">
      <c r="B280" s="20" t="s">
        <v>179</v>
      </c>
      <c r="C280" s="40">
        <f>SUM('14. Janelas'!$G$24:$G$161)</f>
        <v>0</v>
      </c>
      <c r="D280" s="20" t="s">
        <v>643</v>
      </c>
    </row>
    <row r="281" spans="2:4" s="20" customFormat="1" hidden="1" outlineLevel="1" x14ac:dyDescent="0.25">
      <c r="B281" s="20" t="s">
        <v>822</v>
      </c>
      <c r="C281" s="40">
        <f>C278-C279-C280</f>
        <v>0</v>
      </c>
      <c r="D281" s="20" t="s">
        <v>643</v>
      </c>
    </row>
    <row r="282" spans="2:4" s="20" customFormat="1" hidden="1" outlineLevel="1" x14ac:dyDescent="0.25">
      <c r="B282" s="20" t="s">
        <v>823</v>
      </c>
      <c r="C282" s="40">
        <f>C281*(1+'LEIA-ME'!$D$31)</f>
        <v>0</v>
      </c>
      <c r="D282" s="20" t="s">
        <v>643</v>
      </c>
    </row>
    <row r="283" spans="2:4" s="20" customFormat="1" hidden="1" outlineLevel="1" x14ac:dyDescent="0.25">
      <c r="B283" s="20" t="s">
        <v>763</v>
      </c>
      <c r="C283" s="40">
        <f>C282*(C276/100)</f>
        <v>0</v>
      </c>
      <c r="D283" s="20" t="s">
        <v>32</v>
      </c>
    </row>
    <row r="284" spans="2:4" s="20" customFormat="1" hidden="1" outlineLevel="1" x14ac:dyDescent="0.25"/>
    <row r="285" spans="2:4" s="20" customFormat="1" hidden="1" outlineLevel="1" x14ac:dyDescent="0.25">
      <c r="B285" s="19" t="s">
        <v>293</v>
      </c>
      <c r="C285" s="38"/>
    </row>
    <row r="286" spans="2:4" s="20" customFormat="1" hidden="1" outlineLevel="1" x14ac:dyDescent="0.25">
      <c r="B286" s="19"/>
      <c r="C286" s="38"/>
    </row>
    <row r="287" spans="2:4" s="20" customFormat="1" hidden="1" outlineLevel="1" x14ac:dyDescent="0.25">
      <c r="B287" s="20" t="s">
        <v>811</v>
      </c>
      <c r="C287" s="33">
        <v>10</v>
      </c>
      <c r="D287" s="20" t="s">
        <v>832</v>
      </c>
    </row>
    <row r="288" spans="2:4" s="20" customFormat="1" hidden="1" outlineLevel="1" x14ac:dyDescent="0.25">
      <c r="B288" s="20" t="s">
        <v>295</v>
      </c>
      <c r="C288" s="37">
        <f>C276/1</f>
        <v>2.5</v>
      </c>
    </row>
    <row r="289" spans="2:6" s="20" customFormat="1" hidden="1" outlineLevel="1" x14ac:dyDescent="0.25">
      <c r="B289" s="20" t="s">
        <v>294</v>
      </c>
      <c r="C289" s="25">
        <f>C287*C282*C288</f>
        <v>0</v>
      </c>
      <c r="D289" s="20" t="s">
        <v>49</v>
      </c>
    </row>
    <row r="290" spans="2:6" s="20" customFormat="1" hidden="1" outlineLevel="1" x14ac:dyDescent="0.25">
      <c r="B290" s="20" t="s">
        <v>760</v>
      </c>
      <c r="C290" s="23">
        <v>20</v>
      </c>
      <c r="D290" s="20" t="s">
        <v>49</v>
      </c>
    </row>
    <row r="291" spans="2:6" s="20" customFormat="1" hidden="1" outlineLevel="1" x14ac:dyDescent="0.25">
      <c r="B291" s="20" t="s">
        <v>296</v>
      </c>
      <c r="C291" s="37">
        <f>C289/C290</f>
        <v>0</v>
      </c>
      <c r="D291" s="20" t="s">
        <v>764</v>
      </c>
    </row>
    <row r="292" spans="2:6" s="20" customFormat="1" hidden="1" outlineLevel="1" x14ac:dyDescent="0.25"/>
    <row r="293" spans="2:6" s="20" customFormat="1" hidden="1" outlineLevel="1" x14ac:dyDescent="0.25">
      <c r="B293" s="19" t="s">
        <v>288</v>
      </c>
    </row>
    <row r="294" spans="2:6" s="20" customFormat="1" hidden="1" outlineLevel="1" x14ac:dyDescent="0.25"/>
    <row r="295" spans="2:6" s="20" customFormat="1" hidden="1" outlineLevel="1" x14ac:dyDescent="0.25">
      <c r="C295" s="133" t="s">
        <v>168</v>
      </c>
      <c r="D295" s="133"/>
      <c r="E295" s="133"/>
      <c r="F295" s="133"/>
    </row>
    <row r="296" spans="2:6" s="20" customFormat="1" hidden="1" outlineLevel="1" x14ac:dyDescent="0.25">
      <c r="B296" s="19" t="s">
        <v>42</v>
      </c>
      <c r="C296" s="19" t="s">
        <v>41</v>
      </c>
      <c r="D296" s="19" t="s">
        <v>170</v>
      </c>
      <c r="E296" s="19" t="s">
        <v>40</v>
      </c>
      <c r="F296" s="19"/>
    </row>
    <row r="297" spans="2:6" s="20" customFormat="1" hidden="1" outlineLevel="1" x14ac:dyDescent="0.25">
      <c r="B297" s="30" t="s">
        <v>1190</v>
      </c>
      <c r="C297" s="44">
        <v>6.4799999999999995</v>
      </c>
      <c r="D297" s="44">
        <v>7.6581818181818182</v>
      </c>
      <c r="E297" s="44">
        <v>1.08</v>
      </c>
      <c r="F297" s="20" t="s">
        <v>167</v>
      </c>
    </row>
    <row r="298" spans="2:6" s="20" customFormat="1" hidden="1" outlineLevel="1" x14ac:dyDescent="0.25">
      <c r="B298" s="30" t="s">
        <v>1172</v>
      </c>
      <c r="C298" s="44">
        <v>3.65</v>
      </c>
      <c r="D298" s="44">
        <v>9</v>
      </c>
      <c r="E298" s="44">
        <v>1.4</v>
      </c>
    </row>
    <row r="299" spans="2:6" s="20" customFormat="1" hidden="1" outlineLevel="1" x14ac:dyDescent="0.25">
      <c r="B299" s="30" t="s">
        <v>1178</v>
      </c>
      <c r="C299" s="44">
        <v>3.3</v>
      </c>
      <c r="D299" s="44">
        <v>7.8</v>
      </c>
      <c r="E299" s="44">
        <v>1.1000000000000001</v>
      </c>
    </row>
    <row r="300" spans="2:6" s="20" customFormat="1" hidden="1" outlineLevel="1" x14ac:dyDescent="0.25">
      <c r="B300" s="30" t="s">
        <v>1174</v>
      </c>
      <c r="C300" s="44">
        <v>4.9000000000000004</v>
      </c>
      <c r="D300" s="44">
        <v>2.9</v>
      </c>
      <c r="E300" s="44">
        <v>1.1000000000000001</v>
      </c>
    </row>
    <row r="301" spans="2:6" s="20" customFormat="1" hidden="1" outlineLevel="1" x14ac:dyDescent="0.25"/>
    <row r="302" spans="2:6" s="20" customFormat="1" hidden="1" outlineLevel="1" x14ac:dyDescent="0.25">
      <c r="C302" s="133" t="s">
        <v>43</v>
      </c>
      <c r="D302" s="133"/>
      <c r="E302" s="133"/>
      <c r="F302" s="133"/>
    </row>
    <row r="303" spans="2:6" s="20" customFormat="1" hidden="1" outlineLevel="1" x14ac:dyDescent="0.25">
      <c r="B303" s="19" t="s">
        <v>42</v>
      </c>
      <c r="C303" s="19" t="s">
        <v>41</v>
      </c>
      <c r="D303" s="19" t="s">
        <v>170</v>
      </c>
      <c r="E303" s="19" t="s">
        <v>40</v>
      </c>
      <c r="F303" s="19"/>
    </row>
    <row r="304" spans="2:6" s="20" customFormat="1" hidden="1" outlineLevel="1" x14ac:dyDescent="0.25">
      <c r="B304" s="30" t="str">
        <f>B297</f>
        <v>1 : 2 : 6</v>
      </c>
      <c r="C304" s="44">
        <f>C297*$C$283</f>
        <v>0</v>
      </c>
      <c r="D304" s="44">
        <f>D297*$C$283</f>
        <v>0</v>
      </c>
      <c r="E304" s="44">
        <f>E297*$C$283</f>
        <v>0</v>
      </c>
      <c r="F304" s="20" t="s">
        <v>37</v>
      </c>
    </row>
    <row r="305" spans="2:6" s="20" customFormat="1" hidden="1" outlineLevel="1" x14ac:dyDescent="0.25">
      <c r="B305" s="30" t="str">
        <f t="shared" ref="B305:B307" si="24">B298</f>
        <v>1 : 4 : 16</v>
      </c>
      <c r="C305" s="44">
        <f t="shared" ref="C305:E305" si="25">C298*$C$283</f>
        <v>0</v>
      </c>
      <c r="D305" s="44">
        <f t="shared" si="25"/>
        <v>0</v>
      </c>
      <c r="E305" s="44">
        <f t="shared" si="25"/>
        <v>0</v>
      </c>
    </row>
    <row r="306" spans="2:6" s="20" customFormat="1" hidden="1" outlineLevel="1" x14ac:dyDescent="0.25">
      <c r="B306" s="30" t="str">
        <f t="shared" si="24"/>
        <v>1 : 4 : 18</v>
      </c>
      <c r="C306" s="44">
        <f t="shared" ref="C306:E306" si="26">C299*$C$283</f>
        <v>0</v>
      </c>
      <c r="D306" s="44">
        <f t="shared" si="26"/>
        <v>0</v>
      </c>
      <c r="E306" s="44">
        <f t="shared" si="26"/>
        <v>0</v>
      </c>
    </row>
    <row r="307" spans="2:6" s="20" customFormat="1" hidden="1" outlineLevel="1" x14ac:dyDescent="0.25">
      <c r="B307" s="30" t="str">
        <f t="shared" si="24"/>
        <v>1 : 1 : 12</v>
      </c>
      <c r="C307" s="44">
        <f t="shared" ref="C307:E307" si="27">C300*$C$283</f>
        <v>0</v>
      </c>
      <c r="D307" s="44">
        <f t="shared" si="27"/>
        <v>0</v>
      </c>
      <c r="E307" s="44">
        <f t="shared" si="27"/>
        <v>0</v>
      </c>
    </row>
    <row r="308" spans="2:6" s="20" customFormat="1" hidden="1" outlineLevel="1" x14ac:dyDescent="0.25"/>
    <row r="309" spans="2:6" s="20" customFormat="1" hidden="1" outlineLevel="1" x14ac:dyDescent="0.25">
      <c r="B309" s="19" t="s">
        <v>289</v>
      </c>
    </row>
    <row r="310" spans="2:6" s="20" customFormat="1" hidden="1" outlineLevel="1" x14ac:dyDescent="0.25"/>
    <row r="311" spans="2:6" s="20" customFormat="1" hidden="1" outlineLevel="1" x14ac:dyDescent="0.25">
      <c r="C311" s="133" t="s">
        <v>1195</v>
      </c>
      <c r="D311" s="133"/>
      <c r="E311" s="133"/>
      <c r="F311" s="133"/>
    </row>
    <row r="312" spans="2:6" s="20" customFormat="1" hidden="1" outlineLevel="1" x14ac:dyDescent="0.25">
      <c r="B312" s="19" t="s">
        <v>42</v>
      </c>
      <c r="C312" s="19" t="s">
        <v>41</v>
      </c>
      <c r="D312" s="19" t="s">
        <v>166</v>
      </c>
      <c r="E312" s="19" t="s">
        <v>40</v>
      </c>
      <c r="F312" s="19"/>
    </row>
    <row r="313" spans="2:6" s="20" customFormat="1" hidden="1" outlineLevel="1" x14ac:dyDescent="0.25">
      <c r="B313" s="30" t="s">
        <v>1177</v>
      </c>
      <c r="C313" s="44">
        <v>9.8000000000000007</v>
      </c>
      <c r="D313" s="44">
        <v>0.45</v>
      </c>
      <c r="E313" s="44">
        <v>1.1000000000000001</v>
      </c>
    </row>
    <row r="314" spans="2:6" s="20" customFormat="1" hidden="1" outlineLevel="1" x14ac:dyDescent="0.25"/>
    <row r="315" spans="2:6" s="20" customFormat="1" hidden="1" outlineLevel="1" x14ac:dyDescent="0.25">
      <c r="C315" s="133" t="s">
        <v>43</v>
      </c>
      <c r="D315" s="133"/>
      <c r="E315" s="133"/>
      <c r="F315" s="133"/>
    </row>
    <row r="316" spans="2:6" s="20" customFormat="1" hidden="1" outlineLevel="1" x14ac:dyDescent="0.25">
      <c r="B316" s="19" t="s">
        <v>42</v>
      </c>
      <c r="C316" s="19" t="s">
        <v>41</v>
      </c>
      <c r="D316" s="19" t="s">
        <v>166</v>
      </c>
      <c r="E316" s="19" t="s">
        <v>40</v>
      </c>
      <c r="F316" s="19"/>
    </row>
    <row r="317" spans="2:6" s="20" customFormat="1" hidden="1" outlineLevel="1" x14ac:dyDescent="0.25">
      <c r="B317" s="30" t="str">
        <f>B313</f>
        <v>1 : 6</v>
      </c>
      <c r="C317" s="44">
        <f>C313*$C$283</f>
        <v>0</v>
      </c>
      <c r="D317" s="44">
        <f>C317*D313</f>
        <v>0</v>
      </c>
      <c r="E317" s="44">
        <f>E313*$C$283</f>
        <v>0</v>
      </c>
    </row>
    <row r="318" spans="2:6" hidden="1" outlineLevel="1" x14ac:dyDescent="0.25"/>
    <row r="319" spans="2:6" collapsed="1" x14ac:dyDescent="0.25">
      <c r="B319" s="27" t="s">
        <v>5</v>
      </c>
      <c r="C319" s="28" t="s">
        <v>46</v>
      </c>
      <c r="D319" s="28" t="s">
        <v>6</v>
      </c>
    </row>
    <row r="320" spans="2:6" x14ac:dyDescent="0.25">
      <c r="B320" s="88" t="s">
        <v>292</v>
      </c>
      <c r="C320" s="91" t="s">
        <v>290</v>
      </c>
      <c r="D320" s="87">
        <f>IF(C270="Pronta",C291,0)</f>
        <v>0</v>
      </c>
    </row>
    <row r="321" spans="1:8" x14ac:dyDescent="0.25">
      <c r="B321" s="88" t="s">
        <v>165</v>
      </c>
      <c r="C321" s="91" t="s">
        <v>35</v>
      </c>
      <c r="D321" s="87">
        <f>IF(C270="Pronta",0,IF(C272="Não",VLOOKUP($C$271,$B$304:$E$307,2,0),C317))</f>
        <v>0</v>
      </c>
    </row>
    <row r="322" spans="1:8" ht="17.25" x14ac:dyDescent="0.25">
      <c r="B322" s="88" t="s">
        <v>34</v>
      </c>
      <c r="C322" s="91" t="s">
        <v>80</v>
      </c>
      <c r="D322" s="87">
        <f>IF(C270="Pronta",0,IF(C272="Não",VLOOKUP($C$271,$B$304:$E$307,4,0),E317))</f>
        <v>0</v>
      </c>
    </row>
    <row r="323" spans="1:8" x14ac:dyDescent="0.25">
      <c r="B323" s="88" t="s">
        <v>205</v>
      </c>
      <c r="C323" s="91" t="s">
        <v>290</v>
      </c>
      <c r="D323" s="87">
        <f>IF(C270="Pronta",0,IF(C272="Não",VLOOKUP($C$271,$B$304:$E$307,3,0),0))</f>
        <v>0</v>
      </c>
    </row>
    <row r="324" spans="1:8" x14ac:dyDescent="0.25">
      <c r="B324" s="88" t="s">
        <v>281</v>
      </c>
      <c r="C324" s="91" t="s">
        <v>79</v>
      </c>
      <c r="D324" s="87">
        <f>IF(C270="Pronta",0,IF(C272="Sim",D317,0))</f>
        <v>0</v>
      </c>
    </row>
    <row r="327" spans="1:8" s="5" customFormat="1" ht="18.75" x14ac:dyDescent="0.3">
      <c r="A327" s="7"/>
      <c r="B327" s="132" t="s">
        <v>565</v>
      </c>
      <c r="C327" s="132"/>
      <c r="D327" s="132"/>
      <c r="E327" s="7"/>
      <c r="F327" s="7"/>
      <c r="H327" s="22"/>
    </row>
    <row r="328" spans="1:8" s="5" customFormat="1" x14ac:dyDescent="0.25">
      <c r="A328" s="7"/>
      <c r="B328" s="45" t="s">
        <v>203</v>
      </c>
      <c r="C328" s="7"/>
      <c r="D328" s="7"/>
      <c r="E328" s="7"/>
      <c r="F328" s="7"/>
      <c r="H328" s="22"/>
    </row>
    <row r="329" spans="1:8" s="5" customFormat="1" x14ac:dyDescent="0.25">
      <c r="A329" s="7"/>
      <c r="B329" s="7"/>
      <c r="C329" s="7"/>
      <c r="D329" s="7"/>
      <c r="E329" s="7"/>
      <c r="F329" s="7"/>
      <c r="H329" s="22"/>
    </row>
    <row r="330" spans="1:8" x14ac:dyDescent="0.25">
      <c r="B330" s="9" t="s">
        <v>2</v>
      </c>
    </row>
    <row r="332" spans="1:8" x14ac:dyDescent="0.25">
      <c r="B332" s="7" t="s">
        <v>1150</v>
      </c>
      <c r="C332" s="33"/>
      <c r="D332" s="7" t="s">
        <v>53</v>
      </c>
    </row>
    <row r="333" spans="1:8" x14ac:dyDescent="0.25">
      <c r="B333" s="7" t="s">
        <v>197</v>
      </c>
      <c r="C333" s="33"/>
      <c r="D333" s="7" t="s">
        <v>53</v>
      </c>
    </row>
    <row r="334" spans="1:8" x14ac:dyDescent="0.25">
      <c r="B334" s="7" t="s">
        <v>286</v>
      </c>
      <c r="C334" s="29"/>
    </row>
    <row r="335" spans="1:8" x14ac:dyDescent="0.25">
      <c r="B335" s="7" t="s">
        <v>291</v>
      </c>
      <c r="C335" s="29"/>
      <c r="D335" s="7" t="s">
        <v>1194</v>
      </c>
    </row>
    <row r="336" spans="1:8" x14ac:dyDescent="0.25">
      <c r="B336" s="7" t="s">
        <v>287</v>
      </c>
      <c r="C336" s="29"/>
    </row>
    <row r="338" spans="2:4" s="20" customFormat="1" hidden="1" outlineLevel="1" x14ac:dyDescent="0.25">
      <c r="B338" s="19" t="s">
        <v>604</v>
      </c>
    </row>
    <row r="339" spans="2:4" s="20" customFormat="1" hidden="1" outlineLevel="1" x14ac:dyDescent="0.25"/>
    <row r="340" spans="2:4" s="20" customFormat="1" hidden="1" outlineLevel="1" x14ac:dyDescent="0.25">
      <c r="B340" s="20" t="s">
        <v>765</v>
      </c>
      <c r="C340" s="33">
        <v>2.5</v>
      </c>
      <c r="D340" s="20" t="s">
        <v>56</v>
      </c>
    </row>
    <row r="341" spans="2:4" s="20" customFormat="1" hidden="1" outlineLevel="1" x14ac:dyDescent="0.25"/>
    <row r="342" spans="2:4" s="20" customFormat="1" hidden="1" outlineLevel="1" x14ac:dyDescent="0.25">
      <c r="B342" s="20" t="s">
        <v>813</v>
      </c>
      <c r="C342" s="21">
        <f>C332*C333</f>
        <v>0</v>
      </c>
      <c r="D342" s="20" t="s">
        <v>643</v>
      </c>
    </row>
    <row r="343" spans="2:4" s="20" customFormat="1" hidden="1" outlineLevel="1" x14ac:dyDescent="0.25">
      <c r="B343" s="20" t="s">
        <v>180</v>
      </c>
      <c r="C343" s="21">
        <f>SUM('13. Portas'!$M$26:$M$191)</f>
        <v>0</v>
      </c>
      <c r="D343" s="20" t="s">
        <v>643</v>
      </c>
    </row>
    <row r="344" spans="2:4" s="20" customFormat="1" hidden="1" outlineLevel="1" x14ac:dyDescent="0.25">
      <c r="B344" s="20" t="s">
        <v>179</v>
      </c>
      <c r="C344" s="21">
        <f>SUM('14. Janelas'!$G$24:$G$161)</f>
        <v>0</v>
      </c>
      <c r="D344" s="20" t="s">
        <v>643</v>
      </c>
    </row>
    <row r="345" spans="2:4" s="20" customFormat="1" hidden="1" outlineLevel="1" x14ac:dyDescent="0.25">
      <c r="B345" s="20" t="s">
        <v>814</v>
      </c>
      <c r="C345" s="21">
        <f>C342-C343-C344</f>
        <v>0</v>
      </c>
      <c r="D345" s="20" t="s">
        <v>643</v>
      </c>
    </row>
    <row r="346" spans="2:4" s="20" customFormat="1" hidden="1" outlineLevel="1" x14ac:dyDescent="0.25">
      <c r="B346" s="20" t="s">
        <v>815</v>
      </c>
      <c r="C346" s="21">
        <f>C345*(1+'LEIA-ME'!$D$31)</f>
        <v>0</v>
      </c>
      <c r="D346" s="20" t="s">
        <v>643</v>
      </c>
    </row>
    <row r="347" spans="2:4" s="20" customFormat="1" hidden="1" outlineLevel="1" x14ac:dyDescent="0.25">
      <c r="B347" s="20" t="s">
        <v>766</v>
      </c>
      <c r="C347" s="21">
        <f>C346*(C340/100)</f>
        <v>0</v>
      </c>
      <c r="D347" s="20" t="s">
        <v>32</v>
      </c>
    </row>
    <row r="348" spans="2:4" s="20" customFormat="1" hidden="1" outlineLevel="1" x14ac:dyDescent="0.25"/>
    <row r="349" spans="2:4" s="20" customFormat="1" hidden="1" outlineLevel="1" x14ac:dyDescent="0.25">
      <c r="B349" s="19" t="s">
        <v>293</v>
      </c>
      <c r="C349" s="38"/>
    </row>
    <row r="350" spans="2:4" s="20" customFormat="1" hidden="1" outlineLevel="1" x14ac:dyDescent="0.25">
      <c r="B350" s="19"/>
      <c r="C350" s="38"/>
    </row>
    <row r="351" spans="2:4" s="20" customFormat="1" hidden="1" outlineLevel="1" x14ac:dyDescent="0.25">
      <c r="B351" s="20" t="s">
        <v>812</v>
      </c>
      <c r="C351" s="33">
        <v>10</v>
      </c>
      <c r="D351" s="20" t="s">
        <v>832</v>
      </c>
    </row>
    <row r="352" spans="2:4" s="20" customFormat="1" hidden="1" outlineLevel="1" x14ac:dyDescent="0.25">
      <c r="B352" s="20" t="s">
        <v>295</v>
      </c>
      <c r="C352" s="37">
        <f>C340/1</f>
        <v>2.5</v>
      </c>
    </row>
    <row r="353" spans="2:6" s="20" customFormat="1" hidden="1" outlineLevel="1" x14ac:dyDescent="0.25">
      <c r="B353" s="20" t="s">
        <v>294</v>
      </c>
      <c r="C353" s="25">
        <f>C351*C346*C352</f>
        <v>0</v>
      </c>
      <c r="D353" s="20" t="s">
        <v>49</v>
      </c>
    </row>
    <row r="354" spans="2:6" s="20" customFormat="1" hidden="1" outlineLevel="1" x14ac:dyDescent="0.25">
      <c r="B354" s="20" t="s">
        <v>760</v>
      </c>
      <c r="C354" s="23">
        <v>20</v>
      </c>
      <c r="D354" s="20" t="s">
        <v>49</v>
      </c>
    </row>
    <row r="355" spans="2:6" s="20" customFormat="1" hidden="1" outlineLevel="1" x14ac:dyDescent="0.25">
      <c r="B355" s="20" t="s">
        <v>296</v>
      </c>
      <c r="C355" s="37">
        <f>C353/C354</f>
        <v>0</v>
      </c>
      <c r="D355" s="20" t="s">
        <v>764</v>
      </c>
    </row>
    <row r="356" spans="2:6" s="20" customFormat="1" hidden="1" outlineLevel="1" x14ac:dyDescent="0.25"/>
    <row r="357" spans="2:6" s="20" customFormat="1" hidden="1" outlineLevel="1" x14ac:dyDescent="0.25">
      <c r="B357" s="19" t="s">
        <v>288</v>
      </c>
    </row>
    <row r="358" spans="2:6" s="20" customFormat="1" hidden="1" outlineLevel="1" x14ac:dyDescent="0.25"/>
    <row r="359" spans="2:6" s="20" customFormat="1" hidden="1" outlineLevel="1" x14ac:dyDescent="0.25">
      <c r="C359" s="133" t="s">
        <v>168</v>
      </c>
      <c r="D359" s="133"/>
      <c r="E359" s="133"/>
      <c r="F359" s="133"/>
    </row>
    <row r="360" spans="2:6" s="20" customFormat="1" hidden="1" outlineLevel="1" x14ac:dyDescent="0.25">
      <c r="B360" s="19" t="s">
        <v>42</v>
      </c>
      <c r="C360" s="19" t="s">
        <v>41</v>
      </c>
      <c r="D360" s="19" t="s">
        <v>170</v>
      </c>
      <c r="E360" s="19" t="s">
        <v>40</v>
      </c>
      <c r="F360" s="19"/>
    </row>
    <row r="361" spans="2:6" s="20" customFormat="1" hidden="1" outlineLevel="1" x14ac:dyDescent="0.25">
      <c r="B361" s="30" t="s">
        <v>1190</v>
      </c>
      <c r="C361" s="44">
        <v>6.4799999999999995</v>
      </c>
      <c r="D361" s="44">
        <v>7.6581818181818182</v>
      </c>
      <c r="E361" s="44">
        <v>1.08</v>
      </c>
      <c r="F361" s="20" t="s">
        <v>167</v>
      </c>
    </row>
    <row r="362" spans="2:6" s="20" customFormat="1" hidden="1" outlineLevel="1" x14ac:dyDescent="0.25">
      <c r="B362" s="30" t="s">
        <v>1172</v>
      </c>
      <c r="C362" s="44">
        <v>3.65</v>
      </c>
      <c r="D362" s="44">
        <v>9</v>
      </c>
      <c r="E362" s="44">
        <v>1.4</v>
      </c>
    </row>
    <row r="363" spans="2:6" s="20" customFormat="1" hidden="1" outlineLevel="1" x14ac:dyDescent="0.25">
      <c r="B363" s="30" t="s">
        <v>1178</v>
      </c>
      <c r="C363" s="44">
        <v>3.3</v>
      </c>
      <c r="D363" s="44">
        <v>7.8</v>
      </c>
      <c r="E363" s="44">
        <v>1.1000000000000001</v>
      </c>
    </row>
    <row r="364" spans="2:6" s="20" customFormat="1" hidden="1" outlineLevel="1" x14ac:dyDescent="0.25">
      <c r="B364" s="30" t="s">
        <v>1174</v>
      </c>
      <c r="C364" s="44">
        <v>4.9000000000000004</v>
      </c>
      <c r="D364" s="44">
        <v>2.9</v>
      </c>
      <c r="E364" s="44">
        <v>1.1000000000000001</v>
      </c>
    </row>
    <row r="365" spans="2:6" s="20" customFormat="1" hidden="1" outlineLevel="1" x14ac:dyDescent="0.25"/>
    <row r="366" spans="2:6" s="20" customFormat="1" hidden="1" outlineLevel="1" x14ac:dyDescent="0.25">
      <c r="C366" s="133" t="s">
        <v>43</v>
      </c>
      <c r="D366" s="133"/>
      <c r="E366" s="133"/>
      <c r="F366" s="133"/>
    </row>
    <row r="367" spans="2:6" s="20" customFormat="1" hidden="1" outlineLevel="1" x14ac:dyDescent="0.25">
      <c r="B367" s="19" t="s">
        <v>42</v>
      </c>
      <c r="C367" s="19" t="s">
        <v>41</v>
      </c>
      <c r="D367" s="19" t="s">
        <v>170</v>
      </c>
      <c r="E367" s="19" t="s">
        <v>40</v>
      </c>
      <c r="F367" s="19"/>
    </row>
    <row r="368" spans="2:6" s="20" customFormat="1" hidden="1" outlineLevel="1" x14ac:dyDescent="0.25">
      <c r="B368" s="30" t="str">
        <f>B361</f>
        <v>1 : 2 : 6</v>
      </c>
      <c r="C368" s="44">
        <f>C361*$C$347</f>
        <v>0</v>
      </c>
      <c r="D368" s="44">
        <f>D361*$C$347</f>
        <v>0</v>
      </c>
      <c r="E368" s="44">
        <f>E361*$C$347</f>
        <v>0</v>
      </c>
      <c r="F368" s="20" t="s">
        <v>37</v>
      </c>
    </row>
    <row r="369" spans="2:6" s="20" customFormat="1" hidden="1" outlineLevel="1" x14ac:dyDescent="0.25">
      <c r="B369" s="30" t="str">
        <f t="shared" ref="B369:B370" si="28">B362</f>
        <v>1 : 4 : 16</v>
      </c>
      <c r="C369" s="44">
        <f t="shared" ref="C369:E369" si="29">C362*$C$347</f>
        <v>0</v>
      </c>
      <c r="D369" s="44">
        <f t="shared" si="29"/>
        <v>0</v>
      </c>
      <c r="E369" s="44">
        <f t="shared" si="29"/>
        <v>0</v>
      </c>
    </row>
    <row r="370" spans="2:6" s="20" customFormat="1" hidden="1" outlineLevel="1" x14ac:dyDescent="0.25">
      <c r="B370" s="30" t="str">
        <f t="shared" si="28"/>
        <v>1 : 4 : 18</v>
      </c>
      <c r="C370" s="44">
        <f t="shared" ref="C370:E370" si="30">C363*$C$347</f>
        <v>0</v>
      </c>
      <c r="D370" s="44">
        <f t="shared" si="30"/>
        <v>0</v>
      </c>
      <c r="E370" s="44">
        <f t="shared" si="30"/>
        <v>0</v>
      </c>
    </row>
    <row r="371" spans="2:6" s="20" customFormat="1" hidden="1" outlineLevel="1" x14ac:dyDescent="0.25">
      <c r="B371" s="30" t="str">
        <f>B364</f>
        <v>1 : 1 : 12</v>
      </c>
      <c r="C371" s="44">
        <f>C364*$C$347</f>
        <v>0</v>
      </c>
      <c r="D371" s="44">
        <f>D364*$C$347</f>
        <v>0</v>
      </c>
      <c r="E371" s="44">
        <f>E364*$C$347</f>
        <v>0</v>
      </c>
    </row>
    <row r="372" spans="2:6" s="20" customFormat="1" hidden="1" outlineLevel="1" x14ac:dyDescent="0.25"/>
    <row r="373" spans="2:6" s="20" customFormat="1" hidden="1" outlineLevel="1" x14ac:dyDescent="0.25">
      <c r="B373" s="19" t="s">
        <v>289</v>
      </c>
    </row>
    <row r="374" spans="2:6" s="20" customFormat="1" hidden="1" outlineLevel="1" x14ac:dyDescent="0.25"/>
    <row r="375" spans="2:6" s="20" customFormat="1" hidden="1" outlineLevel="1" x14ac:dyDescent="0.25">
      <c r="C375" s="133" t="s">
        <v>1195</v>
      </c>
      <c r="D375" s="133"/>
      <c r="E375" s="133"/>
      <c r="F375" s="133"/>
    </row>
    <row r="376" spans="2:6" s="20" customFormat="1" hidden="1" outlineLevel="1" x14ac:dyDescent="0.25">
      <c r="B376" s="19" t="s">
        <v>42</v>
      </c>
      <c r="C376" s="19" t="s">
        <v>41</v>
      </c>
      <c r="D376" s="19" t="s">
        <v>166</v>
      </c>
      <c r="E376" s="19" t="s">
        <v>40</v>
      </c>
      <c r="F376" s="19"/>
    </row>
    <row r="377" spans="2:6" s="20" customFormat="1" hidden="1" outlineLevel="1" x14ac:dyDescent="0.25">
      <c r="B377" s="30" t="s">
        <v>1177</v>
      </c>
      <c r="C377" s="44">
        <v>9.8000000000000007</v>
      </c>
      <c r="D377" s="44">
        <v>0.45</v>
      </c>
      <c r="E377" s="44">
        <v>1.1000000000000001</v>
      </c>
    </row>
    <row r="378" spans="2:6" s="20" customFormat="1" hidden="1" outlineLevel="1" x14ac:dyDescent="0.25"/>
    <row r="379" spans="2:6" s="20" customFormat="1" hidden="1" outlineLevel="1" x14ac:dyDescent="0.25">
      <c r="C379" s="133" t="s">
        <v>43</v>
      </c>
      <c r="D379" s="133"/>
      <c r="E379" s="133"/>
      <c r="F379" s="133"/>
    </row>
    <row r="380" spans="2:6" s="20" customFormat="1" hidden="1" outlineLevel="1" x14ac:dyDescent="0.25">
      <c r="B380" s="19" t="s">
        <v>42</v>
      </c>
      <c r="C380" s="19" t="s">
        <v>41</v>
      </c>
      <c r="D380" s="19" t="s">
        <v>166</v>
      </c>
      <c r="E380" s="19" t="s">
        <v>40</v>
      </c>
      <c r="F380" s="19"/>
    </row>
    <row r="381" spans="2:6" s="20" customFormat="1" hidden="1" outlineLevel="1" x14ac:dyDescent="0.25">
      <c r="B381" s="30" t="str">
        <f>B377</f>
        <v>1 : 6</v>
      </c>
      <c r="C381" s="44">
        <f>C377*$C$347</f>
        <v>0</v>
      </c>
      <c r="D381" s="44">
        <f>C381*D377</f>
        <v>0</v>
      </c>
      <c r="E381" s="44">
        <f>E377*$C$347</f>
        <v>0</v>
      </c>
    </row>
    <row r="382" spans="2:6" hidden="1" outlineLevel="1" x14ac:dyDescent="0.25"/>
    <row r="383" spans="2:6" collapsed="1" x14ac:dyDescent="0.25">
      <c r="B383" s="27" t="s">
        <v>5</v>
      </c>
      <c r="C383" s="28" t="s">
        <v>46</v>
      </c>
      <c r="D383" s="28" t="s">
        <v>6</v>
      </c>
    </row>
    <row r="384" spans="2:6" x14ac:dyDescent="0.25">
      <c r="B384" s="88" t="s">
        <v>282</v>
      </c>
      <c r="C384" s="91" t="s">
        <v>290</v>
      </c>
      <c r="D384" s="87">
        <f>IF(C334="Pronta",C355,0)</f>
        <v>0</v>
      </c>
    </row>
    <row r="385" spans="1:8" x14ac:dyDescent="0.25">
      <c r="B385" s="88" t="s">
        <v>165</v>
      </c>
      <c r="C385" s="91" t="s">
        <v>35</v>
      </c>
      <c r="D385" s="87">
        <f>IF(C334="Pronta",0,IF(C336="Não",VLOOKUP($C$335,$B$368:$E$371,2,0),C381))</f>
        <v>0</v>
      </c>
    </row>
    <row r="386" spans="1:8" ht="17.25" x14ac:dyDescent="0.25">
      <c r="B386" s="88" t="s">
        <v>34</v>
      </c>
      <c r="C386" s="91" t="s">
        <v>80</v>
      </c>
      <c r="D386" s="87">
        <f>IF(C334="Pronta",0,IF(C336="Não",VLOOKUP($C$335,$B$368:$E$371,4,0),E381))</f>
        <v>0</v>
      </c>
    </row>
    <row r="387" spans="1:8" x14ac:dyDescent="0.25">
      <c r="B387" s="88" t="s">
        <v>205</v>
      </c>
      <c r="C387" s="91" t="s">
        <v>290</v>
      </c>
      <c r="D387" s="87">
        <f>IF(C334="Pronta",0,IF(C336="Não",VLOOKUP($C$335,$B$368:$E$371,3,0),0))</f>
        <v>0</v>
      </c>
    </row>
    <row r="388" spans="1:8" x14ac:dyDescent="0.25">
      <c r="B388" s="88" t="s">
        <v>281</v>
      </c>
      <c r="C388" s="91" t="s">
        <v>79</v>
      </c>
      <c r="D388" s="87">
        <f>IF(C334="Pronta",0,IF(C336="Sim",D381,0))</f>
        <v>0</v>
      </c>
    </row>
    <row r="391" spans="1:8" s="5" customFormat="1" ht="18.75" x14ac:dyDescent="0.3">
      <c r="A391" s="7"/>
      <c r="B391" s="132" t="s">
        <v>566</v>
      </c>
      <c r="C391" s="132"/>
      <c r="D391" s="132"/>
      <c r="E391" s="7"/>
      <c r="F391" s="7"/>
      <c r="H391" s="22"/>
    </row>
    <row r="392" spans="1:8" s="5" customFormat="1" x14ac:dyDescent="0.25">
      <c r="A392" s="7"/>
      <c r="B392" s="7"/>
      <c r="C392" s="7"/>
      <c r="D392" s="7"/>
      <c r="E392" s="7"/>
      <c r="F392" s="7"/>
      <c r="H392" s="22"/>
    </row>
    <row r="393" spans="1:8" x14ac:dyDescent="0.25">
      <c r="B393" s="9" t="s">
        <v>2</v>
      </c>
    </row>
    <row r="395" spans="1:8" x14ac:dyDescent="0.25">
      <c r="B395" s="7" t="s">
        <v>304</v>
      </c>
      <c r="C395" s="85"/>
      <c r="D395" s="7" t="s">
        <v>53</v>
      </c>
    </row>
    <row r="396" spans="1:8" x14ac:dyDescent="0.25">
      <c r="B396" s="7" t="s">
        <v>305</v>
      </c>
      <c r="C396" s="85"/>
      <c r="D396" s="7" t="s">
        <v>53</v>
      </c>
    </row>
    <row r="397" spans="1:8" x14ac:dyDescent="0.25">
      <c r="B397" s="7" t="s">
        <v>286</v>
      </c>
      <c r="C397" s="29"/>
    </row>
    <row r="398" spans="1:8" x14ac:dyDescent="0.25">
      <c r="B398" s="7" t="s">
        <v>291</v>
      </c>
      <c r="C398" s="29"/>
      <c r="D398" s="7" t="s">
        <v>1194</v>
      </c>
    </row>
    <row r="399" spans="1:8" x14ac:dyDescent="0.25">
      <c r="B399" s="7" t="s">
        <v>287</v>
      </c>
      <c r="C399" s="29"/>
    </row>
    <row r="401" spans="2:4" s="20" customFormat="1" hidden="1" outlineLevel="1" x14ac:dyDescent="0.25">
      <c r="B401" s="19" t="s">
        <v>602</v>
      </c>
    </row>
    <row r="402" spans="2:4" s="20" customFormat="1" hidden="1" outlineLevel="1" x14ac:dyDescent="0.25"/>
    <row r="403" spans="2:4" s="20" customFormat="1" hidden="1" outlineLevel="1" x14ac:dyDescent="0.25">
      <c r="B403" s="20" t="s">
        <v>761</v>
      </c>
      <c r="C403" s="33">
        <v>0.5</v>
      </c>
      <c r="D403" s="20" t="s">
        <v>56</v>
      </c>
    </row>
    <row r="404" spans="2:4" s="20" customFormat="1" hidden="1" outlineLevel="1" x14ac:dyDescent="0.25">
      <c r="C404" s="38"/>
    </row>
    <row r="405" spans="2:4" s="20" customFormat="1" hidden="1" outlineLevel="1" x14ac:dyDescent="0.25">
      <c r="B405" s="20" t="s">
        <v>817</v>
      </c>
      <c r="C405" s="21">
        <f>C395*C396</f>
        <v>0</v>
      </c>
      <c r="D405" s="20" t="s">
        <v>643</v>
      </c>
    </row>
    <row r="406" spans="2:4" s="20" customFormat="1" hidden="1" outlineLevel="1" x14ac:dyDescent="0.25">
      <c r="B406" s="20" t="s">
        <v>820</v>
      </c>
      <c r="C406" s="21">
        <f>C405*(1+'LEIA-ME'!$D$31)</f>
        <v>0</v>
      </c>
      <c r="D406" s="20" t="s">
        <v>643</v>
      </c>
    </row>
    <row r="407" spans="2:4" s="20" customFormat="1" hidden="1" outlineLevel="1" x14ac:dyDescent="0.25">
      <c r="B407" s="20" t="s">
        <v>759</v>
      </c>
      <c r="C407" s="21">
        <f>C406*(C403/100)</f>
        <v>0</v>
      </c>
      <c r="D407" s="20" t="s">
        <v>32</v>
      </c>
    </row>
    <row r="408" spans="2:4" s="20" customFormat="1" hidden="1" outlineLevel="1" x14ac:dyDescent="0.25">
      <c r="C408" s="38"/>
    </row>
    <row r="409" spans="2:4" s="20" customFormat="1" hidden="1" outlineLevel="1" x14ac:dyDescent="0.25">
      <c r="B409" s="19" t="s">
        <v>293</v>
      </c>
      <c r="C409" s="38"/>
    </row>
    <row r="410" spans="2:4" s="20" customFormat="1" hidden="1" outlineLevel="1" x14ac:dyDescent="0.25">
      <c r="B410" s="19"/>
      <c r="C410" s="38"/>
    </row>
    <row r="411" spans="2:4" s="20" customFormat="1" hidden="1" outlineLevel="1" x14ac:dyDescent="0.25">
      <c r="B411" s="20" t="s">
        <v>767</v>
      </c>
      <c r="C411" s="33">
        <v>10</v>
      </c>
      <c r="D411" s="20" t="s">
        <v>832</v>
      </c>
    </row>
    <row r="412" spans="2:4" s="20" customFormat="1" hidden="1" outlineLevel="1" x14ac:dyDescent="0.25">
      <c r="B412" s="20" t="s">
        <v>295</v>
      </c>
      <c r="C412" s="37">
        <f>C403/1</f>
        <v>0.5</v>
      </c>
    </row>
    <row r="413" spans="2:4" s="20" customFormat="1" hidden="1" outlineLevel="1" x14ac:dyDescent="0.25">
      <c r="B413" s="20" t="s">
        <v>294</v>
      </c>
      <c r="C413" s="25">
        <f>C411*C406*C412</f>
        <v>0</v>
      </c>
      <c r="D413" s="20" t="s">
        <v>49</v>
      </c>
    </row>
    <row r="414" spans="2:4" s="20" customFormat="1" hidden="1" outlineLevel="1" x14ac:dyDescent="0.25">
      <c r="B414" s="20" t="s">
        <v>760</v>
      </c>
      <c r="C414" s="23">
        <v>20</v>
      </c>
      <c r="D414" s="20" t="s">
        <v>49</v>
      </c>
    </row>
    <row r="415" spans="2:4" s="20" customFormat="1" hidden="1" outlineLevel="1" x14ac:dyDescent="0.25">
      <c r="B415" s="20" t="s">
        <v>296</v>
      </c>
      <c r="C415" s="37">
        <f>C413/C414</f>
        <v>0</v>
      </c>
      <c r="D415" s="20" t="s">
        <v>764</v>
      </c>
    </row>
    <row r="416" spans="2:4" s="20" customFormat="1" hidden="1" outlineLevel="1" x14ac:dyDescent="0.25"/>
    <row r="417" spans="2:6" s="20" customFormat="1" hidden="1" outlineLevel="1" x14ac:dyDescent="0.25">
      <c r="B417" s="19" t="s">
        <v>288</v>
      </c>
    </row>
    <row r="418" spans="2:6" s="20" customFormat="1" hidden="1" outlineLevel="1" x14ac:dyDescent="0.25"/>
    <row r="419" spans="2:6" s="20" customFormat="1" hidden="1" outlineLevel="1" x14ac:dyDescent="0.25">
      <c r="C419" s="133" t="s">
        <v>168</v>
      </c>
      <c r="D419" s="133"/>
      <c r="E419" s="51"/>
      <c r="F419" s="51"/>
    </row>
    <row r="420" spans="2:6" s="20" customFormat="1" hidden="1" outlineLevel="1" x14ac:dyDescent="0.25">
      <c r="B420" s="19" t="s">
        <v>42</v>
      </c>
      <c r="C420" s="19" t="s">
        <v>41</v>
      </c>
      <c r="D420" s="19" t="s">
        <v>40</v>
      </c>
      <c r="E420" s="52"/>
      <c r="F420" s="52"/>
    </row>
    <row r="421" spans="2:6" s="20" customFormat="1" hidden="1" outlineLevel="1" x14ac:dyDescent="0.25">
      <c r="B421" s="30" t="s">
        <v>1188</v>
      </c>
      <c r="C421" s="40">
        <v>4.2</v>
      </c>
      <c r="D421" s="40">
        <v>1.2</v>
      </c>
      <c r="E421" s="20" t="s">
        <v>284</v>
      </c>
    </row>
    <row r="422" spans="2:6" s="20" customFormat="1" hidden="1" outlineLevel="1" x14ac:dyDescent="0.25">
      <c r="B422" s="30" t="s">
        <v>1185</v>
      </c>
      <c r="C422" s="40">
        <v>10</v>
      </c>
      <c r="D422" s="40">
        <v>1.08</v>
      </c>
    </row>
    <row r="423" spans="2:6" s="20" customFormat="1" hidden="1" outlineLevel="1" x14ac:dyDescent="0.25">
      <c r="B423" s="30" t="s">
        <v>1187</v>
      </c>
      <c r="C423" s="40">
        <v>7.4</v>
      </c>
      <c r="D423" s="40">
        <v>1.1000000000000001</v>
      </c>
      <c r="E423" s="21"/>
      <c r="F423" s="25"/>
    </row>
    <row r="424" spans="2:6" s="20" customFormat="1" hidden="1" outlineLevel="1" x14ac:dyDescent="0.25"/>
    <row r="425" spans="2:6" s="20" customFormat="1" hidden="1" outlineLevel="1" x14ac:dyDescent="0.25">
      <c r="C425" s="133" t="s">
        <v>43</v>
      </c>
      <c r="D425" s="133"/>
      <c r="E425" s="51"/>
      <c r="F425" s="51"/>
    </row>
    <row r="426" spans="2:6" s="20" customFormat="1" hidden="1" outlineLevel="1" x14ac:dyDescent="0.25">
      <c r="B426" s="19" t="s">
        <v>42</v>
      </c>
      <c r="C426" s="19" t="s">
        <v>41</v>
      </c>
      <c r="D426" s="19" t="s">
        <v>40</v>
      </c>
      <c r="E426" s="52"/>
      <c r="F426" s="52"/>
    </row>
    <row r="427" spans="2:6" s="20" customFormat="1" hidden="1" outlineLevel="1" x14ac:dyDescent="0.25">
      <c r="B427" s="30" t="str">
        <f>B421</f>
        <v>1 : 0 : 2,5</v>
      </c>
      <c r="C427" s="44">
        <f>C421*$C$407</f>
        <v>0</v>
      </c>
      <c r="D427" s="44">
        <f>D421*$C$407</f>
        <v>0</v>
      </c>
      <c r="E427" s="20" t="s">
        <v>37</v>
      </c>
      <c r="F427" s="25"/>
    </row>
    <row r="428" spans="2:6" s="20" customFormat="1" hidden="1" outlineLevel="1" x14ac:dyDescent="0.25">
      <c r="B428" s="30" t="str">
        <f t="shared" ref="B428:B429" si="31">B422</f>
        <v>1 : 0 : 6</v>
      </c>
      <c r="C428" s="44">
        <f t="shared" ref="C428:D428" si="32">C422*$C$407</f>
        <v>0</v>
      </c>
      <c r="D428" s="44">
        <f t="shared" si="32"/>
        <v>0</v>
      </c>
      <c r="F428" s="25"/>
    </row>
    <row r="429" spans="2:6" s="20" customFormat="1" hidden="1" outlineLevel="1" x14ac:dyDescent="0.25">
      <c r="B429" s="30" t="str">
        <f t="shared" si="31"/>
        <v>1 : 0 : 8</v>
      </c>
      <c r="C429" s="44">
        <f t="shared" ref="C429:D429" si="33">C423*$C$407</f>
        <v>0</v>
      </c>
      <c r="D429" s="44">
        <f t="shared" si="33"/>
        <v>0</v>
      </c>
      <c r="E429" s="21"/>
      <c r="F429" s="25"/>
    </row>
    <row r="430" spans="2:6" s="20" customFormat="1" hidden="1" outlineLevel="1" x14ac:dyDescent="0.25"/>
    <row r="431" spans="2:6" s="20" customFormat="1" hidden="1" outlineLevel="1" x14ac:dyDescent="0.25">
      <c r="B431" s="19" t="s">
        <v>289</v>
      </c>
    </row>
    <row r="432" spans="2:6" s="20" customFormat="1" hidden="1" outlineLevel="1" x14ac:dyDescent="0.25"/>
    <row r="433" spans="2:6" s="20" customFormat="1" hidden="1" outlineLevel="1" x14ac:dyDescent="0.25">
      <c r="C433" s="133" t="s">
        <v>1195</v>
      </c>
      <c r="D433" s="133"/>
      <c r="E433" s="133"/>
      <c r="F433" s="133"/>
    </row>
    <row r="434" spans="2:6" s="20" customFormat="1" hidden="1" outlineLevel="1" x14ac:dyDescent="0.25">
      <c r="B434" s="19" t="s">
        <v>42</v>
      </c>
      <c r="C434" s="19" t="s">
        <v>41</v>
      </c>
      <c r="D434" s="19" t="s">
        <v>283</v>
      </c>
      <c r="E434" s="19" t="s">
        <v>40</v>
      </c>
      <c r="F434" s="19"/>
    </row>
    <row r="435" spans="2:6" s="20" customFormat="1" hidden="1" outlineLevel="1" x14ac:dyDescent="0.25">
      <c r="B435" s="30" t="s">
        <v>1188</v>
      </c>
      <c r="C435" s="40">
        <v>4.0999999999999996</v>
      </c>
      <c r="D435" s="40">
        <v>0.45</v>
      </c>
      <c r="E435" s="40">
        <v>1.2</v>
      </c>
      <c r="F435" s="20" t="s">
        <v>167</v>
      </c>
    </row>
    <row r="436" spans="2:6" s="20" customFormat="1" hidden="1" outlineLevel="1" x14ac:dyDescent="0.25">
      <c r="B436" s="30" t="s">
        <v>1185</v>
      </c>
      <c r="C436" s="40">
        <v>9.8000000000000007</v>
      </c>
      <c r="D436" s="40">
        <v>0.45</v>
      </c>
      <c r="E436" s="40">
        <v>1.1000000000000001</v>
      </c>
    </row>
    <row r="437" spans="2:6" s="20" customFormat="1" hidden="1" outlineLevel="1" x14ac:dyDescent="0.25">
      <c r="B437" s="30" t="s">
        <v>1187</v>
      </c>
      <c r="C437" s="40">
        <v>7.4</v>
      </c>
      <c r="D437" s="40">
        <v>0.45</v>
      </c>
      <c r="E437" s="40">
        <v>1.1000000000000001</v>
      </c>
    </row>
    <row r="438" spans="2:6" s="20" customFormat="1" hidden="1" outlineLevel="1" x14ac:dyDescent="0.25"/>
    <row r="439" spans="2:6" s="20" customFormat="1" hidden="1" outlineLevel="1" x14ac:dyDescent="0.25">
      <c r="C439" s="133" t="s">
        <v>43</v>
      </c>
      <c r="D439" s="133"/>
      <c r="E439" s="133"/>
      <c r="F439" s="133"/>
    </row>
    <row r="440" spans="2:6" s="20" customFormat="1" hidden="1" outlineLevel="1" x14ac:dyDescent="0.25">
      <c r="B440" s="19" t="s">
        <v>42</v>
      </c>
      <c r="C440" s="19" t="s">
        <v>41</v>
      </c>
      <c r="D440" s="19" t="s">
        <v>283</v>
      </c>
      <c r="E440" s="19" t="s">
        <v>40</v>
      </c>
      <c r="F440" s="19"/>
    </row>
    <row r="441" spans="2:6" s="20" customFormat="1" hidden="1" outlineLevel="1" x14ac:dyDescent="0.25">
      <c r="B441" s="30" t="str">
        <f>B435</f>
        <v>1 : 0 : 2,5</v>
      </c>
      <c r="C441" s="44">
        <f>C435*$C$407</f>
        <v>0</v>
      </c>
      <c r="D441" s="44">
        <f>D435*$C$406</f>
        <v>0</v>
      </c>
      <c r="E441" s="44">
        <f>E435*$C$407</f>
        <v>0</v>
      </c>
      <c r="F441" s="20" t="s">
        <v>37</v>
      </c>
    </row>
    <row r="442" spans="2:6" s="20" customFormat="1" hidden="1" outlineLevel="1" x14ac:dyDescent="0.25">
      <c r="B442" s="30" t="str">
        <f t="shared" ref="B442:B443" si="34">B436</f>
        <v>1 : 0 : 6</v>
      </c>
      <c r="C442" s="44">
        <f t="shared" ref="C442:C443" si="35">C436*$C$407</f>
        <v>0</v>
      </c>
      <c r="D442" s="44">
        <f t="shared" ref="D442:D443" si="36">D436*$C$406</f>
        <v>0</v>
      </c>
      <c r="E442" s="44">
        <f t="shared" ref="E442:E443" si="37">E436*$C$407</f>
        <v>0</v>
      </c>
    </row>
    <row r="443" spans="2:6" s="20" customFormat="1" hidden="1" outlineLevel="1" x14ac:dyDescent="0.25">
      <c r="B443" s="30" t="str">
        <f t="shared" si="34"/>
        <v>1 : 0 : 8</v>
      </c>
      <c r="C443" s="44">
        <f t="shared" si="35"/>
        <v>0</v>
      </c>
      <c r="D443" s="44">
        <f t="shared" si="36"/>
        <v>0</v>
      </c>
      <c r="E443" s="44">
        <f t="shared" si="37"/>
        <v>0</v>
      </c>
    </row>
    <row r="444" spans="2:6" hidden="1" outlineLevel="1" x14ac:dyDescent="0.25"/>
    <row r="445" spans="2:6" collapsed="1" x14ac:dyDescent="0.25">
      <c r="B445" s="27" t="s">
        <v>5</v>
      </c>
      <c r="C445" s="28" t="s">
        <v>46</v>
      </c>
      <c r="D445" s="28" t="s">
        <v>6</v>
      </c>
    </row>
    <row r="446" spans="2:6" x14ac:dyDescent="0.25">
      <c r="B446" s="88" t="s">
        <v>285</v>
      </c>
      <c r="C446" s="91" t="s">
        <v>290</v>
      </c>
      <c r="D446" s="87">
        <f>IF(C397="Pronta",C415,0)</f>
        <v>0</v>
      </c>
    </row>
    <row r="447" spans="2:6" x14ac:dyDescent="0.25">
      <c r="B447" s="88" t="s">
        <v>165</v>
      </c>
      <c r="C447" s="91" t="s">
        <v>35</v>
      </c>
      <c r="D447" s="87">
        <f>IFERROR(IF(C397="Pronta",0,IF(C399="Não",VLOOKUP($C$398,$B$426:$D$429,2,0),VLOOKUP($C$398,$B$440:$E$443,2,0))),0)</f>
        <v>0</v>
      </c>
    </row>
    <row r="448" spans="2:6" ht="17.25" x14ac:dyDescent="0.25">
      <c r="B448" s="88" t="s">
        <v>34</v>
      </c>
      <c r="C448" s="91" t="s">
        <v>80</v>
      </c>
      <c r="D448" s="87">
        <f>IFERROR(IF(C397="Pronta",0,IF(C399="Não",VLOOKUP($C$398,$B$426:$D$429,3,0),VLOOKUP($C$398,$B$440:$E$443,4,0))),0)</f>
        <v>0</v>
      </c>
    </row>
    <row r="449" spans="1:8" x14ac:dyDescent="0.25">
      <c r="B449" s="88" t="s">
        <v>281</v>
      </c>
      <c r="C449" s="91" t="s">
        <v>79</v>
      </c>
      <c r="D449" s="87">
        <f>IF(C397="Pronta",0,IF(C399="Sim",VLOOKUP($C$398,$B$440:$E$443,3,0),0))</f>
        <v>0</v>
      </c>
    </row>
    <row r="452" spans="1:8" s="5" customFormat="1" ht="18.75" x14ac:dyDescent="0.3">
      <c r="A452" s="7"/>
      <c r="B452" s="132" t="s">
        <v>567</v>
      </c>
      <c r="C452" s="132"/>
      <c r="D452" s="132"/>
      <c r="E452" s="7"/>
      <c r="F452" s="7"/>
      <c r="H452" s="22"/>
    </row>
    <row r="453" spans="1:8" s="5" customFormat="1" x14ac:dyDescent="0.25">
      <c r="A453" s="7"/>
      <c r="B453" s="7"/>
      <c r="C453" s="7"/>
      <c r="D453" s="7"/>
      <c r="E453" s="7"/>
      <c r="F453" s="7"/>
      <c r="H453" s="22"/>
    </row>
    <row r="454" spans="1:8" x14ac:dyDescent="0.25">
      <c r="B454" s="9" t="s">
        <v>2</v>
      </c>
    </row>
    <row r="456" spans="1:8" x14ac:dyDescent="0.25">
      <c r="B456" s="7" t="s">
        <v>304</v>
      </c>
      <c r="C456" s="85"/>
      <c r="D456" s="7" t="s">
        <v>53</v>
      </c>
    </row>
    <row r="457" spans="1:8" x14ac:dyDescent="0.25">
      <c r="B457" s="7" t="s">
        <v>305</v>
      </c>
      <c r="C457" s="85"/>
      <c r="D457" s="7" t="s">
        <v>53</v>
      </c>
    </row>
    <row r="458" spans="1:8" x14ac:dyDescent="0.25">
      <c r="B458" s="7" t="s">
        <v>286</v>
      </c>
      <c r="C458" s="29"/>
    </row>
    <row r="459" spans="1:8" x14ac:dyDescent="0.25">
      <c r="B459" s="7" t="s">
        <v>291</v>
      </c>
      <c r="C459" s="29"/>
      <c r="D459" s="7" t="s">
        <v>1194</v>
      </c>
    </row>
    <row r="460" spans="1:8" x14ac:dyDescent="0.25">
      <c r="B460" s="7" t="s">
        <v>287</v>
      </c>
      <c r="C460" s="29"/>
    </row>
    <row r="462" spans="1:8" s="20" customFormat="1" hidden="1" outlineLevel="1" x14ac:dyDescent="0.25">
      <c r="B462" s="19" t="s">
        <v>603</v>
      </c>
    </row>
    <row r="463" spans="1:8" s="20" customFormat="1" hidden="1" outlineLevel="1" x14ac:dyDescent="0.25"/>
    <row r="464" spans="1:8" s="20" customFormat="1" hidden="1" outlineLevel="1" x14ac:dyDescent="0.25">
      <c r="B464" s="20" t="s">
        <v>762</v>
      </c>
      <c r="C464" s="33">
        <v>2.5</v>
      </c>
      <c r="D464" s="20" t="s">
        <v>56</v>
      </c>
    </row>
    <row r="465" spans="2:6" s="20" customFormat="1" hidden="1" outlineLevel="1" x14ac:dyDescent="0.25"/>
    <row r="466" spans="2:6" s="20" customFormat="1" hidden="1" outlineLevel="1" x14ac:dyDescent="0.25">
      <c r="B466" s="20" t="s">
        <v>821</v>
      </c>
      <c r="C466" s="21">
        <f>C456*C457</f>
        <v>0</v>
      </c>
      <c r="D466" s="20" t="s">
        <v>643</v>
      </c>
    </row>
    <row r="467" spans="2:6" s="20" customFormat="1" hidden="1" outlineLevel="1" x14ac:dyDescent="0.25">
      <c r="B467" s="20" t="s">
        <v>824</v>
      </c>
      <c r="C467" s="21">
        <f>C466*(1+'LEIA-ME'!$D$31)</f>
        <v>0</v>
      </c>
      <c r="D467" s="20" t="s">
        <v>643</v>
      </c>
    </row>
    <row r="468" spans="2:6" s="20" customFormat="1" hidden="1" outlineLevel="1" x14ac:dyDescent="0.25">
      <c r="B468" s="20" t="s">
        <v>763</v>
      </c>
      <c r="C468" s="21">
        <f>C467*(C464/100)</f>
        <v>0</v>
      </c>
      <c r="D468" s="20" t="s">
        <v>32</v>
      </c>
    </row>
    <row r="469" spans="2:6" s="20" customFormat="1" hidden="1" outlineLevel="1" x14ac:dyDescent="0.25"/>
    <row r="470" spans="2:6" s="20" customFormat="1" hidden="1" outlineLevel="1" x14ac:dyDescent="0.25">
      <c r="B470" s="19" t="s">
        <v>293</v>
      </c>
      <c r="C470" s="38"/>
    </row>
    <row r="471" spans="2:6" s="20" customFormat="1" hidden="1" outlineLevel="1" x14ac:dyDescent="0.25">
      <c r="B471" s="19"/>
      <c r="C471" s="38"/>
    </row>
    <row r="472" spans="2:6" s="20" customFormat="1" hidden="1" outlineLevel="1" x14ac:dyDescent="0.25">
      <c r="B472" s="20" t="s">
        <v>811</v>
      </c>
      <c r="C472" s="33">
        <v>10</v>
      </c>
      <c r="D472" s="20" t="s">
        <v>832</v>
      </c>
    </row>
    <row r="473" spans="2:6" s="20" customFormat="1" hidden="1" outlineLevel="1" x14ac:dyDescent="0.25">
      <c r="B473" s="20" t="s">
        <v>295</v>
      </c>
      <c r="C473" s="37">
        <f>C464/1</f>
        <v>2.5</v>
      </c>
    </row>
    <row r="474" spans="2:6" s="20" customFormat="1" hidden="1" outlineLevel="1" x14ac:dyDescent="0.25">
      <c r="B474" s="20" t="s">
        <v>294</v>
      </c>
      <c r="C474" s="25">
        <f>C472*C467*C473</f>
        <v>0</v>
      </c>
      <c r="D474" s="20" t="s">
        <v>49</v>
      </c>
    </row>
    <row r="475" spans="2:6" s="20" customFormat="1" hidden="1" outlineLevel="1" x14ac:dyDescent="0.25">
      <c r="B475" s="20" t="s">
        <v>760</v>
      </c>
      <c r="C475" s="23">
        <v>20</v>
      </c>
      <c r="D475" s="20" t="s">
        <v>49</v>
      </c>
    </row>
    <row r="476" spans="2:6" s="20" customFormat="1" hidden="1" outlineLevel="1" x14ac:dyDescent="0.25">
      <c r="B476" s="20" t="s">
        <v>296</v>
      </c>
      <c r="C476" s="37">
        <f>C474/C475</f>
        <v>0</v>
      </c>
      <c r="D476" s="20" t="s">
        <v>764</v>
      </c>
    </row>
    <row r="477" spans="2:6" s="20" customFormat="1" hidden="1" outlineLevel="1" x14ac:dyDescent="0.25"/>
    <row r="478" spans="2:6" s="20" customFormat="1" hidden="1" outlineLevel="1" x14ac:dyDescent="0.25">
      <c r="B478" s="19" t="s">
        <v>288</v>
      </c>
    </row>
    <row r="479" spans="2:6" s="20" customFormat="1" hidden="1" outlineLevel="1" x14ac:dyDescent="0.25"/>
    <row r="480" spans="2:6" s="20" customFormat="1" hidden="1" outlineLevel="1" x14ac:dyDescent="0.25">
      <c r="C480" s="133" t="s">
        <v>168</v>
      </c>
      <c r="D480" s="133"/>
      <c r="E480" s="133"/>
      <c r="F480" s="133"/>
    </row>
    <row r="481" spans="2:6" s="20" customFormat="1" hidden="1" outlineLevel="1" x14ac:dyDescent="0.25">
      <c r="B481" s="19" t="s">
        <v>42</v>
      </c>
      <c r="C481" s="19" t="s">
        <v>41</v>
      </c>
      <c r="D481" s="19" t="s">
        <v>170</v>
      </c>
      <c r="E481" s="19" t="s">
        <v>40</v>
      </c>
      <c r="F481" s="19"/>
    </row>
    <row r="482" spans="2:6" s="20" customFormat="1" hidden="1" outlineLevel="1" x14ac:dyDescent="0.25">
      <c r="B482" s="30" t="s">
        <v>1190</v>
      </c>
      <c r="C482" s="44">
        <v>6.4799999999999995</v>
      </c>
      <c r="D482" s="44">
        <v>7.6581818181818182</v>
      </c>
      <c r="E482" s="44">
        <v>1.08</v>
      </c>
      <c r="F482" s="20" t="s">
        <v>167</v>
      </c>
    </row>
    <row r="483" spans="2:6" s="20" customFormat="1" hidden="1" outlineLevel="1" x14ac:dyDescent="0.25">
      <c r="B483" s="30" t="s">
        <v>1172</v>
      </c>
      <c r="C483" s="44">
        <v>3.65</v>
      </c>
      <c r="D483" s="44">
        <v>9</v>
      </c>
      <c r="E483" s="44">
        <v>1.4</v>
      </c>
    </row>
    <row r="484" spans="2:6" s="20" customFormat="1" hidden="1" outlineLevel="1" x14ac:dyDescent="0.25">
      <c r="B484" s="30" t="s">
        <v>1178</v>
      </c>
      <c r="C484" s="44">
        <v>3.3</v>
      </c>
      <c r="D484" s="44">
        <v>7.8</v>
      </c>
      <c r="E484" s="44">
        <v>1.1000000000000001</v>
      </c>
    </row>
    <row r="485" spans="2:6" s="20" customFormat="1" hidden="1" outlineLevel="1" x14ac:dyDescent="0.25">
      <c r="B485" s="30" t="s">
        <v>1174</v>
      </c>
      <c r="C485" s="44">
        <v>4.9000000000000004</v>
      </c>
      <c r="D485" s="44">
        <v>2.9</v>
      </c>
      <c r="E485" s="44">
        <v>1.1000000000000001</v>
      </c>
    </row>
    <row r="486" spans="2:6" s="20" customFormat="1" hidden="1" outlineLevel="1" x14ac:dyDescent="0.25"/>
    <row r="487" spans="2:6" s="20" customFormat="1" hidden="1" outlineLevel="1" x14ac:dyDescent="0.25">
      <c r="C487" s="133" t="s">
        <v>43</v>
      </c>
      <c r="D487" s="133"/>
      <c r="E487" s="133"/>
      <c r="F487" s="133"/>
    </row>
    <row r="488" spans="2:6" s="20" customFormat="1" hidden="1" outlineLevel="1" x14ac:dyDescent="0.25">
      <c r="B488" s="19" t="s">
        <v>42</v>
      </c>
      <c r="C488" s="19" t="s">
        <v>41</v>
      </c>
      <c r="D488" s="19" t="s">
        <v>170</v>
      </c>
      <c r="E488" s="19" t="s">
        <v>40</v>
      </c>
      <c r="F488" s="19"/>
    </row>
    <row r="489" spans="2:6" s="20" customFormat="1" hidden="1" outlineLevel="1" x14ac:dyDescent="0.25">
      <c r="B489" s="30" t="str">
        <f>B482</f>
        <v>1 : 2 : 6</v>
      </c>
      <c r="C489" s="44">
        <f>C482*$C$468</f>
        <v>0</v>
      </c>
      <c r="D489" s="44">
        <f>D482*$C$468</f>
        <v>0</v>
      </c>
      <c r="E489" s="44">
        <f>E482*$C$468</f>
        <v>0</v>
      </c>
      <c r="F489" s="20" t="s">
        <v>37</v>
      </c>
    </row>
    <row r="490" spans="2:6" s="20" customFormat="1" hidden="1" outlineLevel="1" x14ac:dyDescent="0.25">
      <c r="B490" s="30" t="str">
        <f t="shared" ref="B490:B492" si="38">B483</f>
        <v>1 : 4 : 16</v>
      </c>
      <c r="C490" s="44">
        <f t="shared" ref="C490:E490" si="39">C483*$C$468</f>
        <v>0</v>
      </c>
      <c r="D490" s="44">
        <f t="shared" si="39"/>
        <v>0</v>
      </c>
      <c r="E490" s="44">
        <f t="shared" si="39"/>
        <v>0</v>
      </c>
    </row>
    <row r="491" spans="2:6" s="20" customFormat="1" hidden="1" outlineLevel="1" x14ac:dyDescent="0.25">
      <c r="B491" s="30" t="str">
        <f t="shared" si="38"/>
        <v>1 : 4 : 18</v>
      </c>
      <c r="C491" s="44">
        <f t="shared" ref="C491:E491" si="40">C484*$C$468</f>
        <v>0</v>
      </c>
      <c r="D491" s="44">
        <f t="shared" si="40"/>
        <v>0</v>
      </c>
      <c r="E491" s="44">
        <f t="shared" si="40"/>
        <v>0</v>
      </c>
    </row>
    <row r="492" spans="2:6" s="20" customFormat="1" hidden="1" outlineLevel="1" x14ac:dyDescent="0.25">
      <c r="B492" s="30" t="str">
        <f t="shared" si="38"/>
        <v>1 : 1 : 12</v>
      </c>
      <c r="C492" s="44">
        <f t="shared" ref="C492:E492" si="41">C485*$C$468</f>
        <v>0</v>
      </c>
      <c r="D492" s="44">
        <f t="shared" si="41"/>
        <v>0</v>
      </c>
      <c r="E492" s="44">
        <f t="shared" si="41"/>
        <v>0</v>
      </c>
    </row>
    <row r="493" spans="2:6" s="20" customFormat="1" hidden="1" outlineLevel="1" x14ac:dyDescent="0.25"/>
    <row r="494" spans="2:6" s="20" customFormat="1" hidden="1" outlineLevel="1" x14ac:dyDescent="0.25">
      <c r="B494" s="19" t="s">
        <v>289</v>
      </c>
    </row>
    <row r="495" spans="2:6" s="20" customFormat="1" hidden="1" outlineLevel="1" x14ac:dyDescent="0.25"/>
    <row r="496" spans="2:6" s="20" customFormat="1" hidden="1" outlineLevel="1" x14ac:dyDescent="0.25">
      <c r="C496" s="133" t="s">
        <v>1195</v>
      </c>
      <c r="D496" s="133"/>
      <c r="E496" s="133"/>
      <c r="F496" s="133"/>
    </row>
    <row r="497" spans="1:8" s="20" customFormat="1" hidden="1" outlineLevel="1" x14ac:dyDescent="0.25">
      <c r="B497" s="19" t="s">
        <v>42</v>
      </c>
      <c r="C497" s="19" t="s">
        <v>41</v>
      </c>
      <c r="D497" s="19" t="s">
        <v>166</v>
      </c>
      <c r="E497" s="19" t="s">
        <v>40</v>
      </c>
      <c r="F497" s="19"/>
    </row>
    <row r="498" spans="1:8" s="20" customFormat="1" hidden="1" outlineLevel="1" x14ac:dyDescent="0.25">
      <c r="B498" s="30" t="s">
        <v>1177</v>
      </c>
      <c r="C498" s="44">
        <v>9.8000000000000007</v>
      </c>
      <c r="D498" s="44">
        <v>0.45</v>
      </c>
      <c r="E498" s="44">
        <v>1.1000000000000001</v>
      </c>
    </row>
    <row r="499" spans="1:8" s="20" customFormat="1" hidden="1" outlineLevel="1" x14ac:dyDescent="0.25"/>
    <row r="500" spans="1:8" s="20" customFormat="1" hidden="1" outlineLevel="1" x14ac:dyDescent="0.25">
      <c r="C500" s="133" t="s">
        <v>43</v>
      </c>
      <c r="D500" s="133"/>
      <c r="E500" s="133"/>
      <c r="F500" s="133"/>
    </row>
    <row r="501" spans="1:8" s="20" customFormat="1" hidden="1" outlineLevel="1" x14ac:dyDescent="0.25">
      <c r="B501" s="19" t="s">
        <v>42</v>
      </c>
      <c r="C501" s="19" t="s">
        <v>41</v>
      </c>
      <c r="D501" s="19" t="s">
        <v>166</v>
      </c>
      <c r="E501" s="19" t="s">
        <v>40</v>
      </c>
      <c r="F501" s="19"/>
    </row>
    <row r="502" spans="1:8" s="20" customFormat="1" hidden="1" outlineLevel="1" x14ac:dyDescent="0.25">
      <c r="B502" s="30" t="str">
        <f>B498</f>
        <v>1 : 6</v>
      </c>
      <c r="C502" s="44">
        <f>C498*$C$468</f>
        <v>0</v>
      </c>
      <c r="D502" s="44">
        <f>C502*D498</f>
        <v>0</v>
      </c>
      <c r="E502" s="44">
        <f>E498*$C$468</f>
        <v>0</v>
      </c>
    </row>
    <row r="503" spans="1:8" hidden="1" outlineLevel="1" x14ac:dyDescent="0.25"/>
    <row r="504" spans="1:8" collapsed="1" x14ac:dyDescent="0.25">
      <c r="B504" s="27" t="s">
        <v>5</v>
      </c>
      <c r="C504" s="28" t="s">
        <v>46</v>
      </c>
      <c r="D504" s="28" t="s">
        <v>6</v>
      </c>
    </row>
    <row r="505" spans="1:8" x14ac:dyDescent="0.25">
      <c r="B505" s="88" t="s">
        <v>292</v>
      </c>
      <c r="C505" s="91" t="s">
        <v>290</v>
      </c>
      <c r="D505" s="87">
        <f>IF(C458="Pronta",C476,0)</f>
        <v>0</v>
      </c>
    </row>
    <row r="506" spans="1:8" x14ac:dyDescent="0.25">
      <c r="B506" s="88" t="s">
        <v>165</v>
      </c>
      <c r="C506" s="91" t="s">
        <v>35</v>
      </c>
      <c r="D506" s="87">
        <f>IF(C458="Pronta",0,IF(C460="Não",VLOOKUP($C$459,$B$489:$E$492,2,0),C502))</f>
        <v>0</v>
      </c>
    </row>
    <row r="507" spans="1:8" ht="17.25" x14ac:dyDescent="0.25">
      <c r="B507" s="88" t="s">
        <v>34</v>
      </c>
      <c r="C507" s="91" t="s">
        <v>80</v>
      </c>
      <c r="D507" s="87">
        <f>IF(C458="Pronta",0,IF(C460="Não",VLOOKUP($C$459,$B$489:$E$492,4,0),E502))</f>
        <v>0</v>
      </c>
    </row>
    <row r="508" spans="1:8" x14ac:dyDescent="0.25">
      <c r="B508" s="88" t="s">
        <v>205</v>
      </c>
      <c r="C508" s="91" t="s">
        <v>290</v>
      </c>
      <c r="D508" s="87">
        <f>IF(C458="Pronta",0,IF(C460="Não",VLOOKUP($C$459,$B$489:$E$492,3,0),0))</f>
        <v>0</v>
      </c>
    </row>
    <row r="509" spans="1:8" x14ac:dyDescent="0.25">
      <c r="B509" s="88" t="s">
        <v>281</v>
      </c>
      <c r="C509" s="91" t="s">
        <v>79</v>
      </c>
      <c r="D509" s="87">
        <f>IF(C458="Pronta",0,IF(C460="Sim",D502,0))</f>
        <v>0</v>
      </c>
    </row>
    <row r="512" spans="1:8" s="5" customFormat="1" ht="18.75" x14ac:dyDescent="0.3">
      <c r="A512" s="7"/>
      <c r="B512" s="132" t="s">
        <v>568</v>
      </c>
      <c r="C512" s="132"/>
      <c r="D512" s="132"/>
      <c r="E512" s="7"/>
      <c r="F512" s="7"/>
      <c r="H512" s="22"/>
    </row>
    <row r="513" spans="1:8" s="5" customFormat="1" x14ac:dyDescent="0.25">
      <c r="A513" s="7"/>
      <c r="B513" s="7"/>
      <c r="C513" s="7"/>
      <c r="D513" s="7"/>
      <c r="E513" s="7"/>
      <c r="F513" s="7"/>
      <c r="H513" s="22"/>
    </row>
    <row r="514" spans="1:8" x14ac:dyDescent="0.25">
      <c r="B514" s="9" t="s">
        <v>2</v>
      </c>
    </row>
    <row r="516" spans="1:8" x14ac:dyDescent="0.25">
      <c r="B516" s="7" t="s">
        <v>304</v>
      </c>
      <c r="C516" s="85"/>
      <c r="D516" s="7" t="s">
        <v>53</v>
      </c>
    </row>
    <row r="517" spans="1:8" x14ac:dyDescent="0.25">
      <c r="B517" s="7" t="s">
        <v>305</v>
      </c>
      <c r="C517" s="85"/>
      <c r="D517" s="7" t="s">
        <v>53</v>
      </c>
    </row>
    <row r="518" spans="1:8" x14ac:dyDescent="0.25">
      <c r="B518" s="7" t="s">
        <v>286</v>
      </c>
      <c r="C518" s="29"/>
    </row>
    <row r="519" spans="1:8" x14ac:dyDescent="0.25">
      <c r="B519" s="7" t="s">
        <v>291</v>
      </c>
      <c r="C519" s="29"/>
      <c r="D519" s="7" t="s">
        <v>1194</v>
      </c>
    </row>
    <row r="520" spans="1:8" x14ac:dyDescent="0.25">
      <c r="B520" s="7" t="s">
        <v>287</v>
      </c>
      <c r="C520" s="29"/>
    </row>
    <row r="522" spans="1:8" s="20" customFormat="1" hidden="1" outlineLevel="1" x14ac:dyDescent="0.25">
      <c r="B522" s="19" t="s">
        <v>604</v>
      </c>
    </row>
    <row r="523" spans="1:8" s="20" customFormat="1" hidden="1" outlineLevel="1" x14ac:dyDescent="0.25"/>
    <row r="524" spans="1:8" s="20" customFormat="1" hidden="1" outlineLevel="1" x14ac:dyDescent="0.25">
      <c r="B524" s="20" t="s">
        <v>765</v>
      </c>
      <c r="C524" s="33">
        <v>2.5</v>
      </c>
      <c r="D524" s="20" t="s">
        <v>56</v>
      </c>
    </row>
    <row r="525" spans="1:8" s="20" customFormat="1" hidden="1" outlineLevel="1" x14ac:dyDescent="0.25"/>
    <row r="526" spans="1:8" s="20" customFormat="1" hidden="1" outlineLevel="1" x14ac:dyDescent="0.25">
      <c r="B526" s="20" t="s">
        <v>813</v>
      </c>
      <c r="C526" s="21">
        <f>C516*C517</f>
        <v>0</v>
      </c>
      <c r="D526" s="20" t="s">
        <v>643</v>
      </c>
    </row>
    <row r="527" spans="1:8" s="20" customFormat="1" hidden="1" outlineLevel="1" x14ac:dyDescent="0.25">
      <c r="B527" s="20" t="s">
        <v>816</v>
      </c>
      <c r="C527" s="21">
        <f>C526*(1+'LEIA-ME'!$D$31)</f>
        <v>0</v>
      </c>
      <c r="D527" s="20" t="s">
        <v>643</v>
      </c>
    </row>
    <row r="528" spans="1:8" s="20" customFormat="1" hidden="1" outlineLevel="1" x14ac:dyDescent="0.25">
      <c r="B528" s="20" t="s">
        <v>766</v>
      </c>
      <c r="C528" s="21">
        <f>C527*(C524/100)</f>
        <v>0</v>
      </c>
      <c r="D528" s="20" t="s">
        <v>32</v>
      </c>
    </row>
    <row r="529" spans="2:6" s="20" customFormat="1" hidden="1" outlineLevel="1" x14ac:dyDescent="0.25"/>
    <row r="530" spans="2:6" s="20" customFormat="1" hidden="1" outlineLevel="1" x14ac:dyDescent="0.25">
      <c r="B530" s="19" t="s">
        <v>293</v>
      </c>
      <c r="C530" s="38"/>
    </row>
    <row r="531" spans="2:6" s="20" customFormat="1" hidden="1" outlineLevel="1" x14ac:dyDescent="0.25">
      <c r="B531" s="19"/>
      <c r="C531" s="38"/>
    </row>
    <row r="532" spans="2:6" s="20" customFormat="1" hidden="1" outlineLevel="1" x14ac:dyDescent="0.25">
      <c r="B532" s="20" t="s">
        <v>812</v>
      </c>
      <c r="C532" s="33">
        <v>10</v>
      </c>
      <c r="D532" s="20" t="s">
        <v>832</v>
      </c>
    </row>
    <row r="533" spans="2:6" s="20" customFormat="1" hidden="1" outlineLevel="1" x14ac:dyDescent="0.25">
      <c r="B533" s="20" t="s">
        <v>295</v>
      </c>
      <c r="C533" s="37">
        <f>C524/1</f>
        <v>2.5</v>
      </c>
    </row>
    <row r="534" spans="2:6" s="20" customFormat="1" hidden="1" outlineLevel="1" x14ac:dyDescent="0.25">
      <c r="B534" s="20" t="s">
        <v>294</v>
      </c>
      <c r="C534" s="25">
        <f>C532*C527*C533</f>
        <v>0</v>
      </c>
      <c r="D534" s="20" t="s">
        <v>49</v>
      </c>
    </row>
    <row r="535" spans="2:6" s="20" customFormat="1" hidden="1" outlineLevel="1" x14ac:dyDescent="0.25">
      <c r="B535" s="20" t="s">
        <v>760</v>
      </c>
      <c r="C535" s="23">
        <v>20</v>
      </c>
      <c r="D535" s="20" t="s">
        <v>49</v>
      </c>
    </row>
    <row r="536" spans="2:6" s="20" customFormat="1" hidden="1" outlineLevel="1" x14ac:dyDescent="0.25">
      <c r="B536" s="20" t="s">
        <v>296</v>
      </c>
      <c r="C536" s="37">
        <f>C534/C535</f>
        <v>0</v>
      </c>
      <c r="D536" s="20" t="s">
        <v>764</v>
      </c>
    </row>
    <row r="537" spans="2:6" s="20" customFormat="1" hidden="1" outlineLevel="1" x14ac:dyDescent="0.25"/>
    <row r="538" spans="2:6" s="20" customFormat="1" hidden="1" outlineLevel="1" x14ac:dyDescent="0.25">
      <c r="B538" s="19" t="s">
        <v>288</v>
      </c>
    </row>
    <row r="539" spans="2:6" s="20" customFormat="1" hidden="1" outlineLevel="1" x14ac:dyDescent="0.25"/>
    <row r="540" spans="2:6" s="20" customFormat="1" hidden="1" outlineLevel="1" x14ac:dyDescent="0.25">
      <c r="C540" s="133" t="s">
        <v>168</v>
      </c>
      <c r="D540" s="133"/>
      <c r="E540" s="133"/>
      <c r="F540" s="133"/>
    </row>
    <row r="541" spans="2:6" s="20" customFormat="1" hidden="1" outlineLevel="1" x14ac:dyDescent="0.25">
      <c r="B541" s="19" t="s">
        <v>42</v>
      </c>
      <c r="C541" s="19" t="s">
        <v>41</v>
      </c>
      <c r="D541" s="19" t="s">
        <v>170</v>
      </c>
      <c r="E541" s="19" t="s">
        <v>40</v>
      </c>
      <c r="F541" s="19"/>
    </row>
    <row r="542" spans="2:6" s="20" customFormat="1" hidden="1" outlineLevel="1" x14ac:dyDescent="0.25">
      <c r="B542" s="30" t="s">
        <v>1190</v>
      </c>
      <c r="C542" s="44">
        <v>6.4799999999999995</v>
      </c>
      <c r="D542" s="44">
        <v>7.6581818181818182</v>
      </c>
      <c r="E542" s="44">
        <v>1.08</v>
      </c>
      <c r="F542" s="20" t="s">
        <v>167</v>
      </c>
    </row>
    <row r="543" spans="2:6" s="20" customFormat="1" hidden="1" outlineLevel="1" x14ac:dyDescent="0.25">
      <c r="B543" s="30" t="s">
        <v>1172</v>
      </c>
      <c r="C543" s="44">
        <v>3.65</v>
      </c>
      <c r="D543" s="44">
        <v>9</v>
      </c>
      <c r="E543" s="44">
        <v>1.4</v>
      </c>
    </row>
    <row r="544" spans="2:6" s="20" customFormat="1" hidden="1" outlineLevel="1" x14ac:dyDescent="0.25">
      <c r="B544" s="30" t="s">
        <v>1178</v>
      </c>
      <c r="C544" s="44">
        <v>3.3</v>
      </c>
      <c r="D544" s="44">
        <v>7.8</v>
      </c>
      <c r="E544" s="44">
        <v>1.1000000000000001</v>
      </c>
    </row>
    <row r="545" spans="2:6" s="20" customFormat="1" hidden="1" outlineLevel="1" x14ac:dyDescent="0.25">
      <c r="B545" s="30" t="s">
        <v>1174</v>
      </c>
      <c r="C545" s="44">
        <v>4.9000000000000004</v>
      </c>
      <c r="D545" s="44">
        <v>2.9</v>
      </c>
      <c r="E545" s="44">
        <v>1.1000000000000001</v>
      </c>
    </row>
    <row r="546" spans="2:6" s="20" customFormat="1" hidden="1" outlineLevel="1" x14ac:dyDescent="0.25"/>
    <row r="547" spans="2:6" s="20" customFormat="1" hidden="1" outlineLevel="1" x14ac:dyDescent="0.25">
      <c r="C547" s="133" t="s">
        <v>43</v>
      </c>
      <c r="D547" s="133"/>
      <c r="E547" s="133"/>
      <c r="F547" s="133"/>
    </row>
    <row r="548" spans="2:6" s="20" customFormat="1" hidden="1" outlineLevel="1" x14ac:dyDescent="0.25">
      <c r="B548" s="19" t="s">
        <v>42</v>
      </c>
      <c r="C548" s="19" t="s">
        <v>41</v>
      </c>
      <c r="D548" s="19" t="s">
        <v>170</v>
      </c>
      <c r="E548" s="19" t="s">
        <v>40</v>
      </c>
      <c r="F548" s="19"/>
    </row>
    <row r="549" spans="2:6" s="20" customFormat="1" hidden="1" outlineLevel="1" x14ac:dyDescent="0.25">
      <c r="B549" s="30" t="str">
        <f>B542</f>
        <v>1 : 2 : 6</v>
      </c>
      <c r="C549" s="44">
        <f>C542*$C$528</f>
        <v>0</v>
      </c>
      <c r="D549" s="44">
        <f>D542*$C$528</f>
        <v>0</v>
      </c>
      <c r="E549" s="44">
        <f>E542*$C$528</f>
        <v>0</v>
      </c>
      <c r="F549" s="20" t="s">
        <v>37</v>
      </c>
    </row>
    <row r="550" spans="2:6" s="20" customFormat="1" hidden="1" outlineLevel="1" x14ac:dyDescent="0.25">
      <c r="B550" s="30" t="str">
        <f t="shared" ref="B550:B551" si="42">B543</f>
        <v>1 : 4 : 16</v>
      </c>
      <c r="C550" s="44">
        <f t="shared" ref="C550:E550" si="43">C543*$C$528</f>
        <v>0</v>
      </c>
      <c r="D550" s="44">
        <f t="shared" si="43"/>
        <v>0</v>
      </c>
      <c r="E550" s="44">
        <f t="shared" si="43"/>
        <v>0</v>
      </c>
    </row>
    <row r="551" spans="2:6" s="20" customFormat="1" hidden="1" outlineLevel="1" x14ac:dyDescent="0.25">
      <c r="B551" s="30" t="str">
        <f t="shared" si="42"/>
        <v>1 : 4 : 18</v>
      </c>
      <c r="C551" s="44">
        <f t="shared" ref="C551:E551" si="44">C544*$C$528</f>
        <v>0</v>
      </c>
      <c r="D551" s="44">
        <f t="shared" si="44"/>
        <v>0</v>
      </c>
      <c r="E551" s="44">
        <f t="shared" si="44"/>
        <v>0</v>
      </c>
    </row>
    <row r="552" spans="2:6" s="20" customFormat="1" hidden="1" outlineLevel="1" x14ac:dyDescent="0.25">
      <c r="B552" s="30" t="str">
        <f t="shared" ref="B552" si="45">B545</f>
        <v>1 : 1 : 12</v>
      </c>
      <c r="C552" s="44">
        <f t="shared" ref="C552:E552" si="46">C545*$C$528</f>
        <v>0</v>
      </c>
      <c r="D552" s="44">
        <f t="shared" si="46"/>
        <v>0</v>
      </c>
      <c r="E552" s="44">
        <f t="shared" si="46"/>
        <v>0</v>
      </c>
    </row>
    <row r="553" spans="2:6" s="20" customFormat="1" hidden="1" outlineLevel="1" x14ac:dyDescent="0.25"/>
    <row r="554" spans="2:6" s="20" customFormat="1" hidden="1" outlineLevel="1" x14ac:dyDescent="0.25">
      <c r="B554" s="19" t="s">
        <v>289</v>
      </c>
    </row>
    <row r="555" spans="2:6" s="20" customFormat="1" hidden="1" outlineLevel="1" x14ac:dyDescent="0.25"/>
    <row r="556" spans="2:6" s="20" customFormat="1" hidden="1" outlineLevel="1" x14ac:dyDescent="0.25">
      <c r="C556" s="133" t="s">
        <v>1195</v>
      </c>
      <c r="D556" s="133"/>
      <c r="E556" s="133"/>
      <c r="F556" s="133"/>
    </row>
    <row r="557" spans="2:6" s="20" customFormat="1" hidden="1" outlineLevel="1" x14ac:dyDescent="0.25">
      <c r="B557" s="19" t="s">
        <v>42</v>
      </c>
      <c r="C557" s="19" t="s">
        <v>41</v>
      </c>
      <c r="D557" s="19" t="s">
        <v>166</v>
      </c>
      <c r="E557" s="19" t="s">
        <v>40</v>
      </c>
      <c r="F557" s="19"/>
    </row>
    <row r="558" spans="2:6" s="20" customFormat="1" hidden="1" outlineLevel="1" x14ac:dyDescent="0.25">
      <c r="B558" s="30" t="s">
        <v>1177</v>
      </c>
      <c r="C558" s="44">
        <v>9.8000000000000007</v>
      </c>
      <c r="D558" s="44">
        <v>0.45</v>
      </c>
      <c r="E558" s="44">
        <v>1.1000000000000001</v>
      </c>
    </row>
    <row r="559" spans="2:6" s="20" customFormat="1" hidden="1" outlineLevel="1" x14ac:dyDescent="0.25"/>
    <row r="560" spans="2:6" s="20" customFormat="1" hidden="1" outlineLevel="1" x14ac:dyDescent="0.25">
      <c r="C560" s="133" t="s">
        <v>43</v>
      </c>
      <c r="D560" s="133"/>
      <c r="E560" s="133"/>
      <c r="F560" s="133"/>
    </row>
    <row r="561" spans="2:6" s="20" customFormat="1" hidden="1" outlineLevel="1" x14ac:dyDescent="0.25">
      <c r="B561" s="19" t="s">
        <v>42</v>
      </c>
      <c r="C561" s="19" t="s">
        <v>41</v>
      </c>
      <c r="D561" s="19" t="s">
        <v>166</v>
      </c>
      <c r="E561" s="19" t="s">
        <v>40</v>
      </c>
      <c r="F561" s="19"/>
    </row>
    <row r="562" spans="2:6" s="20" customFormat="1" hidden="1" outlineLevel="1" x14ac:dyDescent="0.25">
      <c r="B562" s="30" t="str">
        <f>B558</f>
        <v>1 : 6</v>
      </c>
      <c r="C562" s="44">
        <f>C558*$C$528</f>
        <v>0</v>
      </c>
      <c r="D562" s="44">
        <f>C562*D558</f>
        <v>0</v>
      </c>
      <c r="E562" s="44">
        <f>E558*$C$528</f>
        <v>0</v>
      </c>
    </row>
    <row r="563" spans="2:6" hidden="1" outlineLevel="1" x14ac:dyDescent="0.25"/>
    <row r="564" spans="2:6" collapsed="1" x14ac:dyDescent="0.25">
      <c r="B564" s="27" t="s">
        <v>5</v>
      </c>
      <c r="C564" s="28" t="s">
        <v>46</v>
      </c>
      <c r="D564" s="28" t="s">
        <v>6</v>
      </c>
    </row>
    <row r="565" spans="2:6" x14ac:dyDescent="0.25">
      <c r="B565" s="88" t="s">
        <v>282</v>
      </c>
      <c r="C565" s="91" t="s">
        <v>290</v>
      </c>
      <c r="D565" s="87">
        <f>IF(C518="Pronta",C536,0)</f>
        <v>0</v>
      </c>
    </row>
    <row r="566" spans="2:6" x14ac:dyDescent="0.25">
      <c r="B566" s="88" t="s">
        <v>165</v>
      </c>
      <c r="C566" s="91" t="s">
        <v>35</v>
      </c>
      <c r="D566" s="87">
        <f>IF(C518="Pronta",0,IF(C520="Não",VLOOKUP($C$519,$B$549:$E$552,2,0),C562))</f>
        <v>0</v>
      </c>
    </row>
    <row r="567" spans="2:6" ht="17.25" x14ac:dyDescent="0.25">
      <c r="B567" s="88" t="s">
        <v>34</v>
      </c>
      <c r="C567" s="91" t="s">
        <v>80</v>
      </c>
      <c r="D567" s="87">
        <f>IF(C518="Pronta",0,IF(C520="Não",VLOOKUP($C$519,$B$549:$E$552,4,0),E562))</f>
        <v>0</v>
      </c>
    </row>
    <row r="568" spans="2:6" x14ac:dyDescent="0.25">
      <c r="B568" s="88" t="s">
        <v>205</v>
      </c>
      <c r="C568" s="91" t="s">
        <v>290</v>
      </c>
      <c r="D568" s="87">
        <f>IF(C518="Pronta",0,IF(C520="Não",VLOOKUP($C$519,$B$549:$E$552,3,0),0))</f>
        <v>0</v>
      </c>
    </row>
    <row r="569" spans="2:6" x14ac:dyDescent="0.25">
      <c r="B569" s="88" t="s">
        <v>281</v>
      </c>
      <c r="C569" s="91" t="s">
        <v>79</v>
      </c>
      <c r="D569" s="87">
        <f>IF(C518="Pronta",0,IF(C520="Sim",D562,0))</f>
        <v>0</v>
      </c>
    </row>
  </sheetData>
  <mergeCells count="47">
    <mergeCell ref="B2:D2"/>
    <mergeCell ref="B4:D4"/>
    <mergeCell ref="B5:D5"/>
    <mergeCell ref="C37:D37"/>
    <mergeCell ref="B70:D70"/>
    <mergeCell ref="C166:F166"/>
    <mergeCell ref="C173:F173"/>
    <mergeCell ref="C43:D43"/>
    <mergeCell ref="C51:F51"/>
    <mergeCell ref="C57:F57"/>
    <mergeCell ref="C118:F118"/>
    <mergeCell ref="C122:F122"/>
    <mergeCell ref="C102:F102"/>
    <mergeCell ref="C109:F109"/>
    <mergeCell ref="B134:D134"/>
    <mergeCell ref="C182:F182"/>
    <mergeCell ref="C186:F186"/>
    <mergeCell ref="B327:D327"/>
    <mergeCell ref="C359:F359"/>
    <mergeCell ref="B198:D198"/>
    <mergeCell ref="C230:D230"/>
    <mergeCell ref="C236:D236"/>
    <mergeCell ref="C244:F244"/>
    <mergeCell ref="C366:F366"/>
    <mergeCell ref="C375:F375"/>
    <mergeCell ref="C379:F379"/>
    <mergeCell ref="C250:F250"/>
    <mergeCell ref="B263:D263"/>
    <mergeCell ref="C295:F295"/>
    <mergeCell ref="C302:F302"/>
    <mergeCell ref="C311:F311"/>
    <mergeCell ref="C315:F315"/>
    <mergeCell ref="B512:D512"/>
    <mergeCell ref="C540:F540"/>
    <mergeCell ref="C547:F547"/>
    <mergeCell ref="C556:F556"/>
    <mergeCell ref="C560:F560"/>
    <mergeCell ref="C500:F500"/>
    <mergeCell ref="B391:D391"/>
    <mergeCell ref="C419:D419"/>
    <mergeCell ref="C425:D425"/>
    <mergeCell ref="C433:F433"/>
    <mergeCell ref="C439:F439"/>
    <mergeCell ref="B452:D452"/>
    <mergeCell ref="C480:F480"/>
    <mergeCell ref="C487:F487"/>
    <mergeCell ref="C496:F496"/>
  </mergeCells>
  <dataValidations disablePrompts="1" count="5">
    <dataValidation type="list" allowBlank="1" showInputMessage="1" showErrorMessage="1" sqref="C12 C77 C141 C205 C270 C334 C397 C458 C518" xr:uid="{00000000-0002-0000-0C00-000000000000}">
      <formula1>"Pronta,Feita na obra"</formula1>
    </dataValidation>
    <dataValidation type="list" allowBlank="1" showInputMessage="1" showErrorMessage="1" sqref="C14 C79 C143 C207 C272 C336 C399 C460 C520" xr:uid="{00000000-0002-0000-0C00-000001000000}">
      <formula1>"Sim,Não"</formula1>
    </dataValidation>
    <dataValidation type="list" allowBlank="1" showInputMessage="1" showErrorMessage="1" sqref="C13 C206 C398" xr:uid="{00000000-0002-0000-0C00-000002000000}">
      <formula1>$B$39:$B$41</formula1>
    </dataValidation>
    <dataValidation type="list" allowBlank="1" showInputMessage="1" showErrorMessage="1" sqref="C78 C459 C271" xr:uid="{00000000-0002-0000-0C00-000003000000}">
      <formula1>$B$104:$B$107</formula1>
    </dataValidation>
    <dataValidation type="list" allowBlank="1" showInputMessage="1" showErrorMessage="1" sqref="C142 C335 C519" xr:uid="{00000000-0002-0000-0C00-000004000000}">
      <formula1>$B$168:$B$171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6"/>
  <sheetViews>
    <sheetView showGridLines="0" topLeftCell="A38" zoomScale="130" zoomScaleNormal="130" workbookViewId="0">
      <selection activeCell="D40" sqref="D40"/>
    </sheetView>
  </sheetViews>
  <sheetFormatPr defaultColWidth="8.85546875" defaultRowHeight="15" outlineLevelRow="1" x14ac:dyDescent="0.25"/>
  <cols>
    <col min="1" max="1" width="2" style="7" customWidth="1"/>
    <col min="2" max="2" width="37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280</v>
      </c>
      <c r="C2" s="130"/>
      <c r="D2" s="131"/>
    </row>
    <row r="4" spans="1:8" ht="45.75" customHeight="1" x14ac:dyDescent="0.25">
      <c r="B4" s="128" t="s">
        <v>496</v>
      </c>
      <c r="C4" s="128"/>
      <c r="D4" s="128"/>
    </row>
    <row r="5" spans="1:8" s="5" customFormat="1" ht="18.75" x14ac:dyDescent="0.3">
      <c r="A5" s="7"/>
      <c r="B5" s="132" t="s">
        <v>569</v>
      </c>
      <c r="C5" s="132"/>
      <c r="D5" s="132"/>
      <c r="E5" s="7"/>
      <c r="F5" s="7"/>
      <c r="H5" s="22"/>
    </row>
    <row r="6" spans="1:8" s="5" customFormat="1" x14ac:dyDescent="0.25">
      <c r="A6" s="7"/>
      <c r="B6" s="45" t="s">
        <v>203</v>
      </c>
      <c r="C6" s="7"/>
      <c r="D6" s="7"/>
      <c r="E6" s="7"/>
      <c r="F6" s="7"/>
      <c r="H6" s="22"/>
    </row>
    <row r="7" spans="1:8" s="5" customFormat="1" x14ac:dyDescent="0.25">
      <c r="A7" s="7"/>
      <c r="B7" s="7"/>
      <c r="C7" s="7"/>
      <c r="D7" s="7"/>
      <c r="E7" s="7"/>
      <c r="F7" s="7"/>
      <c r="H7" s="22"/>
    </row>
    <row r="8" spans="1:8" x14ac:dyDescent="0.25">
      <c r="B8" s="9" t="s">
        <v>2</v>
      </c>
    </row>
    <row r="10" spans="1:8" x14ac:dyDescent="0.25">
      <c r="B10" s="7" t="s">
        <v>1158</v>
      </c>
      <c r="C10" s="33"/>
      <c r="D10" s="7" t="s">
        <v>53</v>
      </c>
    </row>
    <row r="11" spans="1:8" x14ac:dyDescent="0.25">
      <c r="B11" s="7" t="s">
        <v>197</v>
      </c>
      <c r="C11" s="33"/>
      <c r="D11" s="7" t="s">
        <v>53</v>
      </c>
    </row>
    <row r="12" spans="1:8" x14ac:dyDescent="0.25">
      <c r="B12" s="7" t="s">
        <v>302</v>
      </c>
      <c r="C12" s="29"/>
    </row>
    <row r="14" spans="1:8" s="20" customFormat="1" hidden="1" outlineLevel="1" x14ac:dyDescent="0.25">
      <c r="B14" s="19" t="s">
        <v>605</v>
      </c>
    </row>
    <row r="15" spans="1:8" s="20" customFormat="1" hidden="1" outlineLevel="1" x14ac:dyDescent="0.25"/>
    <row r="16" spans="1:8" s="20" customFormat="1" hidden="1" outlineLevel="1" x14ac:dyDescent="0.25">
      <c r="B16" s="20" t="s">
        <v>769</v>
      </c>
      <c r="C16" s="21">
        <f>C10*C11</f>
        <v>0</v>
      </c>
      <c r="D16" s="20" t="s">
        <v>643</v>
      </c>
    </row>
    <row r="17" spans="2:4" s="20" customFormat="1" hidden="1" outlineLevel="1" x14ac:dyDescent="0.25">
      <c r="B17" s="20" t="s">
        <v>180</v>
      </c>
      <c r="C17" s="21">
        <f>SUM('13. Portas'!$K$26:$K$191)*2</f>
        <v>0</v>
      </c>
      <c r="D17" s="20" t="s">
        <v>643</v>
      </c>
    </row>
    <row r="18" spans="2:4" s="20" customFormat="1" hidden="1" outlineLevel="1" x14ac:dyDescent="0.25">
      <c r="B18" s="20" t="s">
        <v>179</v>
      </c>
      <c r="C18" s="21">
        <f>SUM('14. Janelas'!$G$24:$G$161)</f>
        <v>0</v>
      </c>
      <c r="D18" s="20" t="s">
        <v>643</v>
      </c>
    </row>
    <row r="19" spans="2:4" s="20" customFormat="1" hidden="1" outlineLevel="1" x14ac:dyDescent="0.25">
      <c r="B19" s="20" t="s">
        <v>768</v>
      </c>
      <c r="C19" s="21">
        <f>C16-C17-C18</f>
        <v>0</v>
      </c>
      <c r="D19" s="20" t="s">
        <v>643</v>
      </c>
    </row>
    <row r="20" spans="2:4" s="20" customFormat="1" hidden="1" outlineLevel="1" x14ac:dyDescent="0.25">
      <c r="B20" s="20" t="s">
        <v>770</v>
      </c>
      <c r="C20" s="21">
        <f>C19*(1+'LEIA-ME'!$D$31)</f>
        <v>0</v>
      </c>
      <c r="D20" s="20" t="s">
        <v>643</v>
      </c>
    </row>
    <row r="21" spans="2:4" s="20" customFormat="1" hidden="1" outlineLevel="1" x14ac:dyDescent="0.25"/>
    <row r="22" spans="2:4" s="20" customFormat="1" hidden="1" outlineLevel="1" x14ac:dyDescent="0.25">
      <c r="B22" s="19" t="s">
        <v>301</v>
      </c>
    </row>
    <row r="23" spans="2:4" s="20" customFormat="1" hidden="1" outlineLevel="1" x14ac:dyDescent="0.25"/>
    <row r="24" spans="2:4" s="20" customFormat="1" hidden="1" outlineLevel="1" x14ac:dyDescent="0.25">
      <c r="B24" s="20" t="s">
        <v>774</v>
      </c>
      <c r="C24" s="23">
        <v>10</v>
      </c>
      <c r="D24" s="20" t="s">
        <v>720</v>
      </c>
    </row>
    <row r="25" spans="2:4" s="20" customFormat="1" hidden="1" outlineLevel="1" x14ac:dyDescent="0.25">
      <c r="B25" s="20" t="s">
        <v>771</v>
      </c>
      <c r="C25" s="36">
        <f>C24*C20</f>
        <v>0</v>
      </c>
      <c r="D25" s="20" t="s">
        <v>49</v>
      </c>
    </row>
    <row r="26" spans="2:4" s="20" customFormat="1" hidden="1" outlineLevel="1" x14ac:dyDescent="0.25">
      <c r="B26" s="20" t="s">
        <v>772</v>
      </c>
      <c r="C26" s="23">
        <v>20</v>
      </c>
      <c r="D26" s="20" t="s">
        <v>49</v>
      </c>
    </row>
    <row r="27" spans="2:4" s="20" customFormat="1" hidden="1" outlineLevel="1" x14ac:dyDescent="0.25">
      <c r="B27" s="20" t="s">
        <v>303</v>
      </c>
      <c r="C27" s="54">
        <f>C25/C26</f>
        <v>0</v>
      </c>
      <c r="D27" s="20" t="s">
        <v>764</v>
      </c>
    </row>
    <row r="28" spans="2:4" collapsed="1" x14ac:dyDescent="0.25"/>
    <row r="29" spans="2:4" x14ac:dyDescent="0.25">
      <c r="B29" s="27" t="s">
        <v>5</v>
      </c>
      <c r="C29" s="28" t="s">
        <v>46</v>
      </c>
      <c r="D29" s="28" t="s">
        <v>6</v>
      </c>
    </row>
    <row r="30" spans="2:4" x14ac:dyDescent="0.25">
      <c r="B30" s="88" t="s">
        <v>299</v>
      </c>
      <c r="C30" s="91" t="s">
        <v>298</v>
      </c>
      <c r="D30" s="87">
        <f>IF(C12="Aplicado",C20,0)</f>
        <v>0</v>
      </c>
    </row>
    <row r="31" spans="2:4" x14ac:dyDescent="0.25">
      <c r="B31" s="88" t="s">
        <v>300</v>
      </c>
      <c r="C31" s="91" t="s">
        <v>290</v>
      </c>
      <c r="D31" s="87">
        <f>IF(C12="Feito na obra",C27,0)</f>
        <v>0</v>
      </c>
    </row>
    <row r="33" spans="1:8" x14ac:dyDescent="0.25">
      <c r="B33" s="53"/>
      <c r="C33" s="43"/>
      <c r="D33" s="43"/>
      <c r="E33" s="8"/>
      <c r="F33" s="42"/>
    </row>
    <row r="34" spans="1:8" s="5" customFormat="1" ht="18.75" x14ac:dyDescent="0.3">
      <c r="A34" s="7"/>
      <c r="B34" s="132" t="s">
        <v>570</v>
      </c>
      <c r="C34" s="132"/>
      <c r="D34" s="132"/>
      <c r="E34" s="7"/>
      <c r="F34" s="7"/>
      <c r="H34" s="22"/>
    </row>
    <row r="35" spans="1:8" s="5" customFormat="1" x14ac:dyDescent="0.25">
      <c r="A35" s="7"/>
      <c r="B35" s="7"/>
      <c r="C35" s="7"/>
      <c r="D35" s="7"/>
      <c r="E35" s="7"/>
      <c r="F35" s="7"/>
      <c r="H35" s="22"/>
    </row>
    <row r="36" spans="1:8" x14ac:dyDescent="0.25">
      <c r="B36" s="9" t="s">
        <v>2</v>
      </c>
    </row>
    <row r="38" spans="1:8" x14ac:dyDescent="0.25">
      <c r="B38" s="7" t="s">
        <v>304</v>
      </c>
      <c r="C38" s="85">
        <v>10</v>
      </c>
      <c r="D38" s="7" t="s">
        <v>53</v>
      </c>
    </row>
    <row r="39" spans="1:8" x14ac:dyDescent="0.25">
      <c r="B39" s="7" t="s">
        <v>305</v>
      </c>
      <c r="C39" s="85">
        <v>25</v>
      </c>
      <c r="D39" s="7" t="s">
        <v>53</v>
      </c>
    </row>
    <row r="40" spans="1:8" x14ac:dyDescent="0.25">
      <c r="B40" s="7" t="s">
        <v>302</v>
      </c>
      <c r="C40" s="29" t="s">
        <v>1217</v>
      </c>
    </row>
    <row r="41" spans="1:8" x14ac:dyDescent="0.25">
      <c r="B41" s="53"/>
      <c r="C41" s="43"/>
      <c r="D41" s="43"/>
      <c r="E41" s="8"/>
      <c r="F41" s="42"/>
    </row>
    <row r="42" spans="1:8" s="20" customFormat="1" hidden="1" outlineLevel="1" x14ac:dyDescent="0.25">
      <c r="B42" s="19" t="s">
        <v>605</v>
      </c>
    </row>
    <row r="43" spans="1:8" s="20" customFormat="1" hidden="1" outlineLevel="1" x14ac:dyDescent="0.25"/>
    <row r="44" spans="1:8" s="20" customFormat="1" hidden="1" outlineLevel="1" x14ac:dyDescent="0.25">
      <c r="B44" s="20" t="s">
        <v>769</v>
      </c>
      <c r="C44" s="21">
        <f>C38*C39</f>
        <v>250</v>
      </c>
      <c r="D44" s="20" t="s">
        <v>643</v>
      </c>
    </row>
    <row r="45" spans="1:8" s="20" customFormat="1" hidden="1" outlineLevel="1" x14ac:dyDescent="0.25">
      <c r="B45" s="20" t="s">
        <v>773</v>
      </c>
      <c r="C45" s="21">
        <f>C44*(1+'LEIA-ME'!$D$31)</f>
        <v>262.5</v>
      </c>
      <c r="D45" s="20" t="s">
        <v>643</v>
      </c>
    </row>
    <row r="46" spans="1:8" s="20" customFormat="1" hidden="1" outlineLevel="1" x14ac:dyDescent="0.25"/>
    <row r="47" spans="1:8" s="20" customFormat="1" hidden="1" outlineLevel="1" x14ac:dyDescent="0.25">
      <c r="B47" s="19" t="s">
        <v>301</v>
      </c>
    </row>
    <row r="48" spans="1:8" s="20" customFormat="1" hidden="1" outlineLevel="1" x14ac:dyDescent="0.25"/>
    <row r="49" spans="2:4" s="20" customFormat="1" hidden="1" outlineLevel="1" x14ac:dyDescent="0.25">
      <c r="B49" s="20" t="s">
        <v>774</v>
      </c>
      <c r="C49" s="23">
        <v>10</v>
      </c>
      <c r="D49" s="20" t="s">
        <v>720</v>
      </c>
    </row>
    <row r="50" spans="2:4" s="20" customFormat="1" hidden="1" outlineLevel="1" x14ac:dyDescent="0.25">
      <c r="B50" s="20" t="s">
        <v>771</v>
      </c>
      <c r="C50" s="36">
        <f>C49*C45</f>
        <v>2625</v>
      </c>
      <c r="D50" s="20" t="s">
        <v>49</v>
      </c>
    </row>
    <row r="51" spans="2:4" s="20" customFormat="1" hidden="1" outlineLevel="1" x14ac:dyDescent="0.25">
      <c r="B51" s="20" t="s">
        <v>772</v>
      </c>
      <c r="C51" s="23">
        <v>20</v>
      </c>
      <c r="D51" s="20" t="s">
        <v>49</v>
      </c>
    </row>
    <row r="52" spans="2:4" s="20" customFormat="1" hidden="1" outlineLevel="1" x14ac:dyDescent="0.25">
      <c r="B52" s="20" t="s">
        <v>303</v>
      </c>
      <c r="C52" s="54">
        <f>C50/C51</f>
        <v>131.25</v>
      </c>
      <c r="D52" s="20" t="s">
        <v>764</v>
      </c>
    </row>
    <row r="53" spans="2:4" collapsed="1" x14ac:dyDescent="0.25"/>
    <row r="54" spans="2:4" x14ac:dyDescent="0.25">
      <c r="B54" s="27" t="s">
        <v>5</v>
      </c>
      <c r="C54" s="28" t="s">
        <v>46</v>
      </c>
      <c r="D54" s="28" t="s">
        <v>6</v>
      </c>
    </row>
    <row r="55" spans="2:4" x14ac:dyDescent="0.25">
      <c r="B55" s="88" t="s">
        <v>299</v>
      </c>
      <c r="C55" s="91" t="s">
        <v>298</v>
      </c>
      <c r="D55" s="87">
        <f>IF(C40="Aplicado",C45,0)</f>
        <v>0</v>
      </c>
    </row>
    <row r="56" spans="2:4" x14ac:dyDescent="0.25">
      <c r="B56" s="88" t="s">
        <v>300</v>
      </c>
      <c r="C56" s="91" t="s">
        <v>290</v>
      </c>
      <c r="D56" s="87">
        <f>IF(C40="Feito na obra",C52,0)</f>
        <v>131.25</v>
      </c>
    </row>
  </sheetData>
  <mergeCells count="4">
    <mergeCell ref="B2:D2"/>
    <mergeCell ref="B4:D4"/>
    <mergeCell ref="B5:D5"/>
    <mergeCell ref="B34:D34"/>
  </mergeCells>
  <dataValidations count="1">
    <dataValidation type="list" allowBlank="1" showInputMessage="1" showErrorMessage="1" sqref="C12 C40" xr:uid="{00000000-0002-0000-0D00-000000000000}">
      <formula1>"Aplicado,Feito na obra"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23"/>
  <sheetViews>
    <sheetView showGridLines="0" zoomScale="115" zoomScaleNormal="115" workbookViewId="0">
      <selection activeCell="B10" sqref="B10"/>
    </sheetView>
  </sheetViews>
  <sheetFormatPr defaultColWidth="8.85546875" defaultRowHeight="15" outlineLevelRow="1" x14ac:dyDescent="0.25"/>
  <cols>
    <col min="1" max="1" width="2" style="58" customWidth="1"/>
    <col min="2" max="2" width="54.5703125" style="7" bestFit="1" customWidth="1"/>
    <col min="3" max="3" width="13.5703125" style="7" customWidth="1"/>
    <col min="4" max="4" width="18" style="7" customWidth="1"/>
    <col min="5" max="5" width="12.5703125" style="7" customWidth="1"/>
    <col min="6" max="16384" width="8.85546875" style="7"/>
  </cols>
  <sheetData>
    <row r="1" spans="1:9" ht="15.75" thickBot="1" x14ac:dyDescent="0.3"/>
    <row r="2" spans="1:9" ht="21.75" thickBot="1" x14ac:dyDescent="0.4">
      <c r="B2" s="129" t="s">
        <v>9</v>
      </c>
      <c r="C2" s="130"/>
      <c r="D2" s="130"/>
      <c r="E2" s="131"/>
    </row>
    <row r="4" spans="1:9" ht="45.75" customHeight="1" x14ac:dyDescent="0.25">
      <c r="B4" s="128" t="s">
        <v>271</v>
      </c>
      <c r="C4" s="128"/>
      <c r="D4" s="128"/>
      <c r="E4" s="128"/>
    </row>
    <row r="5" spans="1:9" s="5" customFormat="1" ht="18.75" x14ac:dyDescent="0.3">
      <c r="A5" s="58"/>
      <c r="B5" s="132" t="s">
        <v>844</v>
      </c>
      <c r="C5" s="132"/>
      <c r="D5" s="132"/>
      <c r="E5" s="132"/>
      <c r="F5" s="7"/>
      <c r="G5" s="7"/>
      <c r="I5" s="22"/>
    </row>
    <row r="6" spans="1:9" s="5" customFormat="1" x14ac:dyDescent="0.25">
      <c r="A6" s="58"/>
      <c r="B6" s="7"/>
      <c r="C6" s="7"/>
      <c r="D6" s="7"/>
      <c r="E6" s="7"/>
      <c r="F6" s="7"/>
      <c r="G6" s="7"/>
      <c r="I6" s="22"/>
    </row>
    <row r="7" spans="1:9" x14ac:dyDescent="0.25">
      <c r="B7" s="9" t="s">
        <v>2</v>
      </c>
      <c r="C7" s="9"/>
    </row>
    <row r="9" spans="1:9" x14ac:dyDescent="0.25">
      <c r="B9" s="56" t="s">
        <v>307</v>
      </c>
      <c r="C9" s="6" t="s">
        <v>6</v>
      </c>
      <c r="D9" s="6"/>
    </row>
    <row r="10" spans="1:9" x14ac:dyDescent="0.25">
      <c r="A10" s="58">
        <f>IF(B10="Escolha uma porta",A9,A9+1)</f>
        <v>0</v>
      </c>
      <c r="B10" s="55" t="s">
        <v>306</v>
      </c>
      <c r="C10" s="23"/>
      <c r="D10" s="7" t="s">
        <v>48</v>
      </c>
    </row>
    <row r="11" spans="1:9" x14ac:dyDescent="0.25">
      <c r="A11" s="58">
        <f t="shared" ref="A11:A14" si="0">IF(B11="Escolha uma porta",A10,A10+1)</f>
        <v>0</v>
      </c>
      <c r="B11" s="55" t="s">
        <v>306</v>
      </c>
      <c r="C11" s="23"/>
      <c r="D11" s="7" t="s">
        <v>48</v>
      </c>
    </row>
    <row r="12" spans="1:9" x14ac:dyDescent="0.25">
      <c r="A12" s="58">
        <f t="shared" si="0"/>
        <v>0</v>
      </c>
      <c r="B12" s="55" t="s">
        <v>306</v>
      </c>
      <c r="C12" s="23"/>
      <c r="D12" s="7" t="s">
        <v>48</v>
      </c>
    </row>
    <row r="13" spans="1:9" x14ac:dyDescent="0.25">
      <c r="A13" s="58">
        <f t="shared" si="0"/>
        <v>0</v>
      </c>
      <c r="B13" s="55" t="s">
        <v>306</v>
      </c>
      <c r="C13" s="23"/>
      <c r="D13" s="7" t="s">
        <v>48</v>
      </c>
    </row>
    <row r="14" spans="1:9" x14ac:dyDescent="0.25">
      <c r="A14" s="58">
        <f t="shared" si="0"/>
        <v>0</v>
      </c>
      <c r="B14" s="55" t="s">
        <v>306</v>
      </c>
      <c r="C14" s="23"/>
      <c r="D14" s="7" t="s">
        <v>48</v>
      </c>
    </row>
    <row r="16" spans="1:9" x14ac:dyDescent="0.25">
      <c r="B16" s="56" t="s">
        <v>308</v>
      </c>
      <c r="C16" s="6" t="s">
        <v>6</v>
      </c>
      <c r="D16" s="6"/>
    </row>
    <row r="17" spans="1:13" x14ac:dyDescent="0.25">
      <c r="A17" s="58">
        <f>IF(B17="Escolha uma porta",A14,A14+1)</f>
        <v>0</v>
      </c>
      <c r="B17" s="55" t="s">
        <v>306</v>
      </c>
      <c r="C17" s="23"/>
      <c r="D17" s="7" t="s">
        <v>48</v>
      </c>
    </row>
    <row r="18" spans="1:13" x14ac:dyDescent="0.25">
      <c r="A18" s="58">
        <f>IF(B18="Escolha uma porta",A17,A17+1)</f>
        <v>0</v>
      </c>
      <c r="B18" s="55" t="s">
        <v>306</v>
      </c>
      <c r="C18" s="23"/>
      <c r="D18" s="7" t="s">
        <v>48</v>
      </c>
    </row>
    <row r="19" spans="1:13" x14ac:dyDescent="0.25">
      <c r="A19" s="58">
        <f t="shared" ref="A19:A21" si="1">IF(B19="Escolha uma porta",A18,A18+1)</f>
        <v>0</v>
      </c>
      <c r="B19" s="55" t="s">
        <v>306</v>
      </c>
      <c r="C19" s="23"/>
      <c r="D19" s="7" t="s">
        <v>48</v>
      </c>
    </row>
    <row r="20" spans="1:13" x14ac:dyDescent="0.25">
      <c r="A20" s="58">
        <f t="shared" si="1"/>
        <v>0</v>
      </c>
      <c r="B20" s="55" t="s">
        <v>306</v>
      </c>
      <c r="C20" s="23"/>
      <c r="D20" s="7" t="s">
        <v>48</v>
      </c>
    </row>
    <row r="21" spans="1:13" x14ac:dyDescent="0.25">
      <c r="A21" s="58">
        <f t="shared" si="1"/>
        <v>0</v>
      </c>
      <c r="B21" s="55" t="s">
        <v>306</v>
      </c>
      <c r="C21" s="23"/>
      <c r="D21" s="7" t="s">
        <v>48</v>
      </c>
    </row>
    <row r="23" spans="1:13" s="20" customFormat="1" hidden="1" outlineLevel="1" x14ac:dyDescent="0.25">
      <c r="A23" s="59"/>
      <c r="B23" s="13" t="s">
        <v>275</v>
      </c>
      <c r="C23" s="13"/>
      <c r="D23" s="17"/>
      <c r="E23" s="17"/>
      <c r="F23" s="17"/>
      <c r="G23" s="17"/>
      <c r="H23" s="17"/>
    </row>
    <row r="24" spans="1:13" s="20" customFormat="1" hidden="1" outlineLevel="1" x14ac:dyDescent="0.25">
      <c r="A24" s="59"/>
      <c r="B24" s="17"/>
      <c r="C24" s="17"/>
      <c r="D24" s="17"/>
      <c r="E24" s="17"/>
      <c r="F24" s="17"/>
      <c r="G24" s="17"/>
      <c r="H24" s="17"/>
    </row>
    <row r="25" spans="1:13" s="97" customFormat="1" ht="30" hidden="1" outlineLevel="1" x14ac:dyDescent="0.25">
      <c r="A25" s="100"/>
      <c r="B25" s="102" t="s">
        <v>309</v>
      </c>
      <c r="C25" s="101" t="s">
        <v>186</v>
      </c>
      <c r="D25" s="101" t="s">
        <v>185</v>
      </c>
      <c r="E25" s="101" t="s">
        <v>184</v>
      </c>
      <c r="F25" s="101" t="s">
        <v>349</v>
      </c>
      <c r="G25" s="101" t="s">
        <v>182</v>
      </c>
      <c r="H25" s="101" t="s">
        <v>181</v>
      </c>
      <c r="J25" s="101" t="s">
        <v>449</v>
      </c>
      <c r="K25" s="101" t="s">
        <v>450</v>
      </c>
      <c r="L25" s="101" t="s">
        <v>451</v>
      </c>
      <c r="M25" s="101" t="s">
        <v>452</v>
      </c>
    </row>
    <row r="26" spans="1:13" s="20" customFormat="1" hidden="1" outlineLevel="1" x14ac:dyDescent="0.25">
      <c r="A26" s="59"/>
      <c r="B26" s="46" t="s">
        <v>310</v>
      </c>
      <c r="C26" s="46">
        <v>217</v>
      </c>
      <c r="D26" s="46">
        <v>120</v>
      </c>
      <c r="E26" s="18">
        <f t="shared" ref="E26:E56" si="2">C26/100*D26/100</f>
        <v>2.6039999999999996</v>
      </c>
      <c r="F26" s="49">
        <f>SUMIF($B$9:$B$21,B26,$C$9:$C$21)</f>
        <v>0</v>
      </c>
      <c r="G26" s="50">
        <f t="shared" ref="G26:G56" si="3">E26*F26</f>
        <v>0</v>
      </c>
      <c r="H26" s="50">
        <f t="shared" ref="H26:H56" si="4">F26*D26/100</f>
        <v>0</v>
      </c>
      <c r="I26" s="20" t="s">
        <v>350</v>
      </c>
      <c r="J26" s="49">
        <f>SUMIF($B$9:$B$14,B26,$C$9:$C$14)</f>
        <v>0</v>
      </c>
      <c r="K26" s="50">
        <f>E26*J26</f>
        <v>0</v>
      </c>
      <c r="L26" s="49">
        <f>SUMIF($B$17:$B$21,B26,$C$17:$C$21)</f>
        <v>0</v>
      </c>
      <c r="M26" s="50">
        <f>E26*L26</f>
        <v>0</v>
      </c>
    </row>
    <row r="27" spans="1:13" s="20" customFormat="1" hidden="1" outlineLevel="1" x14ac:dyDescent="0.25">
      <c r="A27" s="59"/>
      <c r="B27" s="46" t="s">
        <v>311</v>
      </c>
      <c r="C27" s="46">
        <v>217</v>
      </c>
      <c r="D27" s="46">
        <v>160</v>
      </c>
      <c r="E27" s="18">
        <f t="shared" si="2"/>
        <v>3.472</v>
      </c>
      <c r="F27" s="49">
        <f t="shared" ref="F27:F57" si="5">SUMIF($B$9:$B$21,B27,$C$9:$C$21)</f>
        <v>0</v>
      </c>
      <c r="G27" s="50">
        <f t="shared" si="3"/>
        <v>0</v>
      </c>
      <c r="H27" s="50">
        <f t="shared" si="4"/>
        <v>0</v>
      </c>
      <c r="I27" s="20" t="s">
        <v>350</v>
      </c>
      <c r="J27" s="49">
        <f t="shared" ref="J27:J57" si="6">SUMIF($B$9:$B$14,B27,$C$9:$C$14)</f>
        <v>0</v>
      </c>
      <c r="K27" s="50">
        <f t="shared" ref="K27:K57" si="7">E27*J27</f>
        <v>0</v>
      </c>
      <c r="L27" s="49">
        <f t="shared" ref="L27:L57" si="8">SUMIF($B$17:$B$21,B27,$C$17:$C$21)</f>
        <v>0</v>
      </c>
      <c r="M27" s="50">
        <f t="shared" ref="M27:M57" si="9">E27*L27</f>
        <v>0</v>
      </c>
    </row>
    <row r="28" spans="1:13" s="20" customFormat="1" hidden="1" outlineLevel="1" x14ac:dyDescent="0.25">
      <c r="A28" s="59"/>
      <c r="B28" s="46" t="s">
        <v>312</v>
      </c>
      <c r="C28" s="46">
        <v>217</v>
      </c>
      <c r="D28" s="46">
        <v>200</v>
      </c>
      <c r="E28" s="18">
        <f t="shared" si="2"/>
        <v>4.34</v>
      </c>
      <c r="F28" s="49">
        <f t="shared" si="5"/>
        <v>0</v>
      </c>
      <c r="G28" s="50">
        <f t="shared" si="3"/>
        <v>0</v>
      </c>
      <c r="H28" s="50">
        <f t="shared" si="4"/>
        <v>0</v>
      </c>
      <c r="I28" s="20" t="s">
        <v>350</v>
      </c>
      <c r="J28" s="49">
        <f t="shared" si="6"/>
        <v>0</v>
      </c>
      <c r="K28" s="50">
        <f t="shared" si="7"/>
        <v>0</v>
      </c>
      <c r="L28" s="49">
        <f t="shared" si="8"/>
        <v>0</v>
      </c>
      <c r="M28" s="50">
        <f t="shared" si="9"/>
        <v>0</v>
      </c>
    </row>
    <row r="29" spans="1:13" s="20" customFormat="1" hidden="1" outlineLevel="1" x14ac:dyDescent="0.25">
      <c r="A29" s="59"/>
      <c r="B29" s="46" t="s">
        <v>313</v>
      </c>
      <c r="C29" s="46">
        <v>215</v>
      </c>
      <c r="D29" s="46">
        <v>84</v>
      </c>
      <c r="E29" s="18">
        <f t="shared" si="2"/>
        <v>1.806</v>
      </c>
      <c r="F29" s="49">
        <f t="shared" si="5"/>
        <v>0</v>
      </c>
      <c r="G29" s="50">
        <f t="shared" si="3"/>
        <v>0</v>
      </c>
      <c r="H29" s="50">
        <f t="shared" si="4"/>
        <v>0</v>
      </c>
      <c r="I29" s="20" t="s">
        <v>350</v>
      </c>
      <c r="J29" s="49">
        <f t="shared" si="6"/>
        <v>0</v>
      </c>
      <c r="K29" s="50">
        <f t="shared" si="7"/>
        <v>0</v>
      </c>
      <c r="L29" s="49">
        <f t="shared" si="8"/>
        <v>0</v>
      </c>
      <c r="M29" s="50">
        <f t="shared" si="9"/>
        <v>0</v>
      </c>
    </row>
    <row r="30" spans="1:13" s="20" customFormat="1" hidden="1" outlineLevel="1" x14ac:dyDescent="0.25">
      <c r="A30" s="59"/>
      <c r="B30" s="46" t="s">
        <v>314</v>
      </c>
      <c r="C30" s="46">
        <v>215</v>
      </c>
      <c r="D30" s="46">
        <v>88</v>
      </c>
      <c r="E30" s="18">
        <f t="shared" si="2"/>
        <v>1.8919999999999999</v>
      </c>
      <c r="F30" s="49">
        <f t="shared" si="5"/>
        <v>0</v>
      </c>
      <c r="G30" s="50">
        <f t="shared" si="3"/>
        <v>0</v>
      </c>
      <c r="H30" s="50">
        <f t="shared" si="4"/>
        <v>0</v>
      </c>
      <c r="I30" s="20" t="s">
        <v>350</v>
      </c>
      <c r="J30" s="49">
        <f t="shared" si="6"/>
        <v>0</v>
      </c>
      <c r="K30" s="50">
        <f t="shared" si="7"/>
        <v>0</v>
      </c>
      <c r="L30" s="49">
        <f t="shared" si="8"/>
        <v>0</v>
      </c>
      <c r="M30" s="50">
        <f t="shared" si="9"/>
        <v>0</v>
      </c>
    </row>
    <row r="31" spans="1:13" s="20" customFormat="1" hidden="1" outlineLevel="1" x14ac:dyDescent="0.25">
      <c r="A31" s="59"/>
      <c r="B31" s="46" t="s">
        <v>315</v>
      </c>
      <c r="C31" s="46">
        <v>217</v>
      </c>
      <c r="D31" s="46">
        <v>87</v>
      </c>
      <c r="E31" s="18">
        <f t="shared" si="2"/>
        <v>1.8878999999999999</v>
      </c>
      <c r="F31" s="49">
        <f t="shared" si="5"/>
        <v>0</v>
      </c>
      <c r="G31" s="50">
        <f t="shared" si="3"/>
        <v>0</v>
      </c>
      <c r="H31" s="50">
        <f t="shared" si="4"/>
        <v>0</v>
      </c>
      <c r="I31" s="20" t="s">
        <v>350</v>
      </c>
      <c r="J31" s="49">
        <f t="shared" si="6"/>
        <v>0</v>
      </c>
      <c r="K31" s="50">
        <f t="shared" si="7"/>
        <v>0</v>
      </c>
      <c r="L31" s="49">
        <f t="shared" si="8"/>
        <v>0</v>
      </c>
      <c r="M31" s="50">
        <f t="shared" si="9"/>
        <v>0</v>
      </c>
    </row>
    <row r="32" spans="1:13" s="20" customFormat="1" hidden="1" outlineLevel="1" x14ac:dyDescent="0.25">
      <c r="A32" s="59"/>
      <c r="B32" s="46" t="s">
        <v>858</v>
      </c>
      <c r="C32" s="46">
        <v>214</v>
      </c>
      <c r="D32" s="46">
        <v>150</v>
      </c>
      <c r="E32" s="18">
        <f t="shared" si="2"/>
        <v>3.21</v>
      </c>
      <c r="F32" s="49">
        <f t="shared" si="5"/>
        <v>0</v>
      </c>
      <c r="G32" s="50">
        <f t="shared" si="3"/>
        <v>0</v>
      </c>
      <c r="H32" s="50">
        <f t="shared" si="4"/>
        <v>0</v>
      </c>
      <c r="I32" s="20" t="s">
        <v>350</v>
      </c>
      <c r="J32" s="49">
        <f t="shared" si="6"/>
        <v>0</v>
      </c>
      <c r="K32" s="50">
        <f t="shared" si="7"/>
        <v>0</v>
      </c>
      <c r="L32" s="49">
        <f t="shared" si="8"/>
        <v>0</v>
      </c>
      <c r="M32" s="50">
        <f t="shared" si="9"/>
        <v>0</v>
      </c>
    </row>
    <row r="33" spans="1:13" s="20" customFormat="1" hidden="1" outlineLevel="1" x14ac:dyDescent="0.25">
      <c r="A33" s="59"/>
      <c r="B33" s="46" t="s">
        <v>859</v>
      </c>
      <c r="C33" s="46">
        <v>214</v>
      </c>
      <c r="D33" s="46">
        <v>160</v>
      </c>
      <c r="E33" s="18">
        <f t="shared" si="2"/>
        <v>3.4240000000000004</v>
      </c>
      <c r="F33" s="49">
        <f t="shared" si="5"/>
        <v>0</v>
      </c>
      <c r="G33" s="50">
        <f t="shared" si="3"/>
        <v>0</v>
      </c>
      <c r="H33" s="50">
        <f t="shared" si="4"/>
        <v>0</v>
      </c>
      <c r="I33" s="20" t="s">
        <v>350</v>
      </c>
      <c r="J33" s="49">
        <f t="shared" si="6"/>
        <v>0</v>
      </c>
      <c r="K33" s="50">
        <f t="shared" si="7"/>
        <v>0</v>
      </c>
      <c r="L33" s="49">
        <f t="shared" si="8"/>
        <v>0</v>
      </c>
      <c r="M33" s="50">
        <f t="shared" si="9"/>
        <v>0</v>
      </c>
    </row>
    <row r="34" spans="1:13" s="20" customFormat="1" hidden="1" outlineLevel="1" x14ac:dyDescent="0.25">
      <c r="A34" s="59"/>
      <c r="B34" s="46" t="s">
        <v>860</v>
      </c>
      <c r="C34" s="46">
        <v>214</v>
      </c>
      <c r="D34" s="46">
        <v>200</v>
      </c>
      <c r="E34" s="18">
        <f t="shared" si="2"/>
        <v>4.28</v>
      </c>
      <c r="F34" s="49">
        <f t="shared" si="5"/>
        <v>0</v>
      </c>
      <c r="G34" s="50">
        <f t="shared" si="3"/>
        <v>0</v>
      </c>
      <c r="H34" s="50">
        <f t="shared" si="4"/>
        <v>0</v>
      </c>
      <c r="I34" s="20" t="s">
        <v>350</v>
      </c>
      <c r="J34" s="49">
        <f t="shared" si="6"/>
        <v>0</v>
      </c>
      <c r="K34" s="50">
        <f t="shared" si="7"/>
        <v>0</v>
      </c>
      <c r="L34" s="49">
        <f t="shared" si="8"/>
        <v>0</v>
      </c>
      <c r="M34" s="50">
        <f t="shared" si="9"/>
        <v>0</v>
      </c>
    </row>
    <row r="35" spans="1:13" s="20" customFormat="1" hidden="1" outlineLevel="1" x14ac:dyDescent="0.25">
      <c r="A35" s="59"/>
      <c r="B35" s="46" t="s">
        <v>861</v>
      </c>
      <c r="C35" s="46">
        <v>215</v>
      </c>
      <c r="D35" s="46">
        <v>160</v>
      </c>
      <c r="E35" s="18">
        <f t="shared" si="2"/>
        <v>3.44</v>
      </c>
      <c r="F35" s="49">
        <f t="shared" si="5"/>
        <v>0</v>
      </c>
      <c r="G35" s="50">
        <f t="shared" si="3"/>
        <v>0</v>
      </c>
      <c r="H35" s="50">
        <f t="shared" si="4"/>
        <v>0</v>
      </c>
      <c r="I35" s="20" t="s">
        <v>350</v>
      </c>
      <c r="J35" s="49">
        <f t="shared" si="6"/>
        <v>0</v>
      </c>
      <c r="K35" s="50">
        <f t="shared" si="7"/>
        <v>0</v>
      </c>
      <c r="L35" s="49">
        <f t="shared" si="8"/>
        <v>0</v>
      </c>
      <c r="M35" s="50">
        <f t="shared" si="9"/>
        <v>0</v>
      </c>
    </row>
    <row r="36" spans="1:13" s="20" customFormat="1" hidden="1" outlineLevel="1" x14ac:dyDescent="0.25">
      <c r="A36" s="59"/>
      <c r="B36" s="46" t="s">
        <v>862</v>
      </c>
      <c r="C36" s="46">
        <v>215</v>
      </c>
      <c r="D36" s="46">
        <v>200</v>
      </c>
      <c r="E36" s="18">
        <f t="shared" si="2"/>
        <v>4.3</v>
      </c>
      <c r="F36" s="49">
        <f t="shared" si="5"/>
        <v>0</v>
      </c>
      <c r="G36" s="50">
        <f t="shared" si="3"/>
        <v>0</v>
      </c>
      <c r="H36" s="50">
        <f t="shared" si="4"/>
        <v>0</v>
      </c>
      <c r="I36" s="20" t="s">
        <v>350</v>
      </c>
      <c r="J36" s="49">
        <f t="shared" si="6"/>
        <v>0</v>
      </c>
      <c r="K36" s="50">
        <f t="shared" si="7"/>
        <v>0</v>
      </c>
      <c r="L36" s="49">
        <f t="shared" si="8"/>
        <v>0</v>
      </c>
      <c r="M36" s="50">
        <f t="shared" si="9"/>
        <v>0</v>
      </c>
    </row>
    <row r="37" spans="1:13" s="20" customFormat="1" hidden="1" outlineLevel="1" x14ac:dyDescent="0.25">
      <c r="A37" s="59"/>
      <c r="B37" s="46" t="s">
        <v>863</v>
      </c>
      <c r="C37" s="46">
        <v>217</v>
      </c>
      <c r="D37" s="46">
        <v>160</v>
      </c>
      <c r="E37" s="18">
        <f t="shared" si="2"/>
        <v>3.472</v>
      </c>
      <c r="F37" s="49">
        <f t="shared" si="5"/>
        <v>0</v>
      </c>
      <c r="G37" s="50">
        <f t="shared" si="3"/>
        <v>0</v>
      </c>
      <c r="H37" s="50">
        <f t="shared" si="4"/>
        <v>0</v>
      </c>
      <c r="I37" s="20" t="s">
        <v>350</v>
      </c>
      <c r="J37" s="49">
        <f t="shared" si="6"/>
        <v>0</v>
      </c>
      <c r="K37" s="50">
        <f t="shared" si="7"/>
        <v>0</v>
      </c>
      <c r="L37" s="49">
        <f t="shared" si="8"/>
        <v>0</v>
      </c>
      <c r="M37" s="50">
        <f t="shared" si="9"/>
        <v>0</v>
      </c>
    </row>
    <row r="38" spans="1:13" s="20" customFormat="1" hidden="1" outlineLevel="1" x14ac:dyDescent="0.25">
      <c r="A38" s="59"/>
      <c r="B38" s="46" t="s">
        <v>864</v>
      </c>
      <c r="C38" s="46">
        <v>217</v>
      </c>
      <c r="D38" s="46">
        <v>200</v>
      </c>
      <c r="E38" s="18">
        <f t="shared" si="2"/>
        <v>4.34</v>
      </c>
      <c r="F38" s="49">
        <f t="shared" si="5"/>
        <v>0</v>
      </c>
      <c r="G38" s="50">
        <f t="shared" si="3"/>
        <v>0</v>
      </c>
      <c r="H38" s="50">
        <f t="shared" si="4"/>
        <v>0</v>
      </c>
      <c r="I38" s="20" t="s">
        <v>350</v>
      </c>
      <c r="J38" s="49">
        <f t="shared" si="6"/>
        <v>0</v>
      </c>
      <c r="K38" s="50">
        <f t="shared" si="7"/>
        <v>0</v>
      </c>
      <c r="L38" s="49">
        <f t="shared" si="8"/>
        <v>0</v>
      </c>
      <c r="M38" s="50">
        <f t="shared" si="9"/>
        <v>0</v>
      </c>
    </row>
    <row r="39" spans="1:13" s="20" customFormat="1" hidden="1" outlineLevel="1" x14ac:dyDescent="0.25">
      <c r="A39" s="59"/>
      <c r="B39" s="46" t="s">
        <v>316</v>
      </c>
      <c r="C39" s="46">
        <v>215</v>
      </c>
      <c r="D39" s="46">
        <v>68</v>
      </c>
      <c r="E39" s="18">
        <f t="shared" si="2"/>
        <v>1.462</v>
      </c>
      <c r="F39" s="49">
        <f t="shared" si="5"/>
        <v>0</v>
      </c>
      <c r="G39" s="50">
        <f t="shared" si="3"/>
        <v>0</v>
      </c>
      <c r="H39" s="50">
        <f t="shared" si="4"/>
        <v>0</v>
      </c>
      <c r="I39" s="20" t="s">
        <v>350</v>
      </c>
      <c r="J39" s="49">
        <f t="shared" si="6"/>
        <v>0</v>
      </c>
      <c r="K39" s="50">
        <f t="shared" si="7"/>
        <v>0</v>
      </c>
      <c r="L39" s="49">
        <f t="shared" si="8"/>
        <v>0</v>
      </c>
      <c r="M39" s="50">
        <f t="shared" si="9"/>
        <v>0</v>
      </c>
    </row>
    <row r="40" spans="1:13" s="20" customFormat="1" hidden="1" outlineLevel="1" x14ac:dyDescent="0.25">
      <c r="A40" s="59"/>
      <c r="B40" s="46" t="s">
        <v>317</v>
      </c>
      <c r="C40" s="46">
        <v>215</v>
      </c>
      <c r="D40" s="46">
        <v>74</v>
      </c>
      <c r="E40" s="18">
        <f t="shared" si="2"/>
        <v>1.591</v>
      </c>
      <c r="F40" s="49">
        <f t="shared" si="5"/>
        <v>0</v>
      </c>
      <c r="G40" s="50">
        <f t="shared" si="3"/>
        <v>0</v>
      </c>
      <c r="H40" s="50">
        <f t="shared" si="4"/>
        <v>0</v>
      </c>
      <c r="I40" s="20" t="s">
        <v>350</v>
      </c>
      <c r="J40" s="49">
        <f t="shared" si="6"/>
        <v>0</v>
      </c>
      <c r="K40" s="50">
        <f t="shared" si="7"/>
        <v>0</v>
      </c>
      <c r="L40" s="49">
        <f t="shared" si="8"/>
        <v>0</v>
      </c>
      <c r="M40" s="50">
        <f t="shared" si="9"/>
        <v>0</v>
      </c>
    </row>
    <row r="41" spans="1:13" s="20" customFormat="1" hidden="1" outlineLevel="1" x14ac:dyDescent="0.25">
      <c r="A41" s="59"/>
      <c r="B41" s="46" t="s">
        <v>318</v>
      </c>
      <c r="C41" s="46">
        <v>215</v>
      </c>
      <c r="D41" s="46">
        <v>84</v>
      </c>
      <c r="E41" s="18">
        <f t="shared" si="2"/>
        <v>1.806</v>
      </c>
      <c r="F41" s="49">
        <f t="shared" si="5"/>
        <v>0</v>
      </c>
      <c r="G41" s="50">
        <f t="shared" si="3"/>
        <v>0</v>
      </c>
      <c r="H41" s="50">
        <f t="shared" si="4"/>
        <v>0</v>
      </c>
      <c r="I41" s="20" t="s">
        <v>350</v>
      </c>
      <c r="J41" s="49">
        <f t="shared" si="6"/>
        <v>0</v>
      </c>
      <c r="K41" s="50">
        <f t="shared" si="7"/>
        <v>0</v>
      </c>
      <c r="L41" s="49">
        <f t="shared" si="8"/>
        <v>0</v>
      </c>
      <c r="M41" s="50">
        <f t="shared" si="9"/>
        <v>0</v>
      </c>
    </row>
    <row r="42" spans="1:13" s="20" customFormat="1" hidden="1" outlineLevel="1" x14ac:dyDescent="0.25">
      <c r="A42" s="59"/>
      <c r="B42" s="46" t="s">
        <v>319</v>
      </c>
      <c r="C42" s="46">
        <v>215</v>
      </c>
      <c r="D42" s="46">
        <v>88</v>
      </c>
      <c r="E42" s="18">
        <f t="shared" si="2"/>
        <v>1.8919999999999999</v>
      </c>
      <c r="F42" s="49">
        <f t="shared" si="5"/>
        <v>0</v>
      </c>
      <c r="G42" s="50">
        <f t="shared" si="3"/>
        <v>0</v>
      </c>
      <c r="H42" s="50">
        <f t="shared" si="4"/>
        <v>0</v>
      </c>
      <c r="I42" s="20" t="s">
        <v>350</v>
      </c>
      <c r="J42" s="49">
        <f t="shared" si="6"/>
        <v>0</v>
      </c>
      <c r="K42" s="50">
        <f t="shared" si="7"/>
        <v>0</v>
      </c>
      <c r="L42" s="49">
        <f t="shared" si="8"/>
        <v>0</v>
      </c>
      <c r="M42" s="50">
        <f t="shared" si="9"/>
        <v>0</v>
      </c>
    </row>
    <row r="43" spans="1:13" s="20" customFormat="1" hidden="1" outlineLevel="1" x14ac:dyDescent="0.25">
      <c r="A43" s="59"/>
      <c r="B43" s="46" t="s">
        <v>320</v>
      </c>
      <c r="C43" s="46">
        <v>215</v>
      </c>
      <c r="D43" s="46">
        <v>99</v>
      </c>
      <c r="E43" s="18">
        <f t="shared" si="2"/>
        <v>2.1284999999999998</v>
      </c>
      <c r="F43" s="49">
        <f t="shared" si="5"/>
        <v>0</v>
      </c>
      <c r="G43" s="50">
        <f t="shared" si="3"/>
        <v>0</v>
      </c>
      <c r="H43" s="50">
        <f t="shared" si="4"/>
        <v>0</v>
      </c>
      <c r="I43" s="20" t="s">
        <v>350</v>
      </c>
      <c r="J43" s="49">
        <f t="shared" si="6"/>
        <v>0</v>
      </c>
      <c r="K43" s="50">
        <f t="shared" si="7"/>
        <v>0</v>
      </c>
      <c r="L43" s="49">
        <f t="shared" si="8"/>
        <v>0</v>
      </c>
      <c r="M43" s="50">
        <f t="shared" si="9"/>
        <v>0</v>
      </c>
    </row>
    <row r="44" spans="1:13" s="20" customFormat="1" hidden="1" outlineLevel="1" x14ac:dyDescent="0.25">
      <c r="A44" s="59"/>
      <c r="B44" s="46" t="s">
        <v>321</v>
      </c>
      <c r="C44" s="46">
        <v>217</v>
      </c>
      <c r="D44" s="46">
        <v>67</v>
      </c>
      <c r="E44" s="18">
        <f t="shared" si="2"/>
        <v>1.4539</v>
      </c>
      <c r="F44" s="49">
        <f t="shared" si="5"/>
        <v>0</v>
      </c>
      <c r="G44" s="50">
        <f t="shared" si="3"/>
        <v>0</v>
      </c>
      <c r="H44" s="50">
        <f t="shared" si="4"/>
        <v>0</v>
      </c>
      <c r="I44" s="20" t="s">
        <v>350</v>
      </c>
      <c r="J44" s="49">
        <f t="shared" si="6"/>
        <v>0</v>
      </c>
      <c r="K44" s="50">
        <f t="shared" si="7"/>
        <v>0</v>
      </c>
      <c r="L44" s="49">
        <f t="shared" si="8"/>
        <v>0</v>
      </c>
      <c r="M44" s="50">
        <f t="shared" si="9"/>
        <v>0</v>
      </c>
    </row>
    <row r="45" spans="1:13" s="20" customFormat="1" hidden="1" outlineLevel="1" x14ac:dyDescent="0.25">
      <c r="A45" s="59"/>
      <c r="B45" s="46" t="s">
        <v>322</v>
      </c>
      <c r="C45" s="46">
        <v>217</v>
      </c>
      <c r="D45" s="46">
        <v>77</v>
      </c>
      <c r="E45" s="18">
        <f t="shared" si="2"/>
        <v>1.6709000000000001</v>
      </c>
      <c r="F45" s="49">
        <f t="shared" si="5"/>
        <v>0</v>
      </c>
      <c r="G45" s="50">
        <f t="shared" si="3"/>
        <v>0</v>
      </c>
      <c r="H45" s="50">
        <f t="shared" si="4"/>
        <v>0</v>
      </c>
      <c r="I45" s="20" t="s">
        <v>350</v>
      </c>
      <c r="J45" s="49">
        <f t="shared" si="6"/>
        <v>0</v>
      </c>
      <c r="K45" s="50">
        <f t="shared" si="7"/>
        <v>0</v>
      </c>
      <c r="L45" s="49">
        <f t="shared" si="8"/>
        <v>0</v>
      </c>
      <c r="M45" s="50">
        <f t="shared" si="9"/>
        <v>0</v>
      </c>
    </row>
    <row r="46" spans="1:13" s="20" customFormat="1" hidden="1" outlineLevel="1" x14ac:dyDescent="0.25">
      <c r="A46" s="59"/>
      <c r="B46" s="46" t="s">
        <v>323</v>
      </c>
      <c r="C46" s="46">
        <v>217</v>
      </c>
      <c r="D46" s="46">
        <v>87</v>
      </c>
      <c r="E46" s="18">
        <f t="shared" si="2"/>
        <v>1.8878999999999999</v>
      </c>
      <c r="F46" s="49">
        <f t="shared" si="5"/>
        <v>0</v>
      </c>
      <c r="G46" s="50">
        <f t="shared" si="3"/>
        <v>0</v>
      </c>
      <c r="H46" s="50">
        <f t="shared" si="4"/>
        <v>0</v>
      </c>
      <c r="I46" s="20" t="s">
        <v>350</v>
      </c>
      <c r="J46" s="49">
        <f t="shared" si="6"/>
        <v>0</v>
      </c>
      <c r="K46" s="50">
        <f t="shared" si="7"/>
        <v>0</v>
      </c>
      <c r="L46" s="49">
        <f t="shared" si="8"/>
        <v>0</v>
      </c>
      <c r="M46" s="50">
        <f t="shared" si="9"/>
        <v>0</v>
      </c>
    </row>
    <row r="47" spans="1:13" s="20" customFormat="1" hidden="1" outlineLevel="1" x14ac:dyDescent="0.25">
      <c r="A47" s="59"/>
      <c r="B47" s="46" t="s">
        <v>865</v>
      </c>
      <c r="C47" s="46">
        <v>210</v>
      </c>
      <c r="D47" s="46">
        <v>120</v>
      </c>
      <c r="E47" s="18">
        <f t="shared" si="2"/>
        <v>2.52</v>
      </c>
      <c r="F47" s="49">
        <f t="shared" si="5"/>
        <v>0</v>
      </c>
      <c r="G47" s="50">
        <f t="shared" si="3"/>
        <v>0</v>
      </c>
      <c r="H47" s="50">
        <f t="shared" si="4"/>
        <v>0</v>
      </c>
      <c r="I47" s="20" t="s">
        <v>350</v>
      </c>
      <c r="J47" s="49">
        <f t="shared" si="6"/>
        <v>0</v>
      </c>
      <c r="K47" s="50">
        <f t="shared" si="7"/>
        <v>0</v>
      </c>
      <c r="L47" s="49">
        <f t="shared" si="8"/>
        <v>0</v>
      </c>
      <c r="M47" s="50">
        <f t="shared" si="9"/>
        <v>0</v>
      </c>
    </row>
    <row r="48" spans="1:13" s="20" customFormat="1" hidden="1" outlineLevel="1" x14ac:dyDescent="0.25">
      <c r="A48" s="59"/>
      <c r="B48" s="46" t="s">
        <v>866</v>
      </c>
      <c r="C48" s="46">
        <v>210</v>
      </c>
      <c r="D48" s="46">
        <v>140</v>
      </c>
      <c r="E48" s="18">
        <f t="shared" si="2"/>
        <v>2.94</v>
      </c>
      <c r="F48" s="49">
        <f t="shared" si="5"/>
        <v>0</v>
      </c>
      <c r="G48" s="50">
        <f t="shared" si="3"/>
        <v>0</v>
      </c>
      <c r="H48" s="50">
        <f t="shared" si="4"/>
        <v>0</v>
      </c>
      <c r="I48" s="20" t="s">
        <v>350</v>
      </c>
      <c r="J48" s="49">
        <f t="shared" si="6"/>
        <v>0</v>
      </c>
      <c r="K48" s="50">
        <f t="shared" si="7"/>
        <v>0</v>
      </c>
      <c r="L48" s="49">
        <f t="shared" si="8"/>
        <v>0</v>
      </c>
      <c r="M48" s="50">
        <f t="shared" si="9"/>
        <v>0</v>
      </c>
    </row>
    <row r="49" spans="1:13" s="20" customFormat="1" hidden="1" outlineLevel="1" x14ac:dyDescent="0.25">
      <c r="A49" s="59"/>
      <c r="B49" s="46" t="s">
        <v>867</v>
      </c>
      <c r="C49" s="46">
        <v>210</v>
      </c>
      <c r="D49" s="46">
        <v>150</v>
      </c>
      <c r="E49" s="18">
        <f t="shared" si="2"/>
        <v>3.15</v>
      </c>
      <c r="F49" s="49">
        <f t="shared" si="5"/>
        <v>0</v>
      </c>
      <c r="G49" s="50">
        <f t="shared" si="3"/>
        <v>0</v>
      </c>
      <c r="H49" s="50">
        <f t="shared" si="4"/>
        <v>0</v>
      </c>
      <c r="I49" s="20" t="s">
        <v>350</v>
      </c>
      <c r="J49" s="49">
        <f t="shared" si="6"/>
        <v>0</v>
      </c>
      <c r="K49" s="50">
        <f t="shared" si="7"/>
        <v>0</v>
      </c>
      <c r="L49" s="49">
        <f t="shared" si="8"/>
        <v>0</v>
      </c>
      <c r="M49" s="50">
        <f t="shared" si="9"/>
        <v>0</v>
      </c>
    </row>
    <row r="50" spans="1:13" s="20" customFormat="1" hidden="1" outlineLevel="1" x14ac:dyDescent="0.25">
      <c r="A50" s="59"/>
      <c r="B50" s="46" t="s">
        <v>868</v>
      </c>
      <c r="C50" s="46">
        <v>210</v>
      </c>
      <c r="D50" s="46">
        <v>160</v>
      </c>
      <c r="E50" s="18">
        <f t="shared" si="2"/>
        <v>3.36</v>
      </c>
      <c r="F50" s="49">
        <f t="shared" si="5"/>
        <v>0</v>
      </c>
      <c r="G50" s="50">
        <f t="shared" si="3"/>
        <v>0</v>
      </c>
      <c r="H50" s="50">
        <f t="shared" si="4"/>
        <v>0</v>
      </c>
      <c r="I50" s="20" t="s">
        <v>350</v>
      </c>
      <c r="J50" s="49">
        <f t="shared" si="6"/>
        <v>0</v>
      </c>
      <c r="K50" s="50">
        <f t="shared" si="7"/>
        <v>0</v>
      </c>
      <c r="L50" s="49">
        <f t="shared" si="8"/>
        <v>0</v>
      </c>
      <c r="M50" s="50">
        <f t="shared" si="9"/>
        <v>0</v>
      </c>
    </row>
    <row r="51" spans="1:13" s="20" customFormat="1" hidden="1" outlineLevel="1" x14ac:dyDescent="0.25">
      <c r="A51" s="59"/>
      <c r="B51" s="46" t="s">
        <v>869</v>
      </c>
      <c r="C51" s="46">
        <v>210</v>
      </c>
      <c r="D51" s="46">
        <v>200</v>
      </c>
      <c r="E51" s="18">
        <f t="shared" si="2"/>
        <v>4.2</v>
      </c>
      <c r="F51" s="49">
        <f t="shared" si="5"/>
        <v>0</v>
      </c>
      <c r="G51" s="50">
        <f t="shared" si="3"/>
        <v>0</v>
      </c>
      <c r="H51" s="50">
        <f t="shared" si="4"/>
        <v>0</v>
      </c>
      <c r="I51" s="20" t="s">
        <v>350</v>
      </c>
      <c r="J51" s="49">
        <f t="shared" si="6"/>
        <v>0</v>
      </c>
      <c r="K51" s="50">
        <f t="shared" si="7"/>
        <v>0</v>
      </c>
      <c r="L51" s="49">
        <f t="shared" si="8"/>
        <v>0</v>
      </c>
      <c r="M51" s="50">
        <f t="shared" si="9"/>
        <v>0</v>
      </c>
    </row>
    <row r="52" spans="1:13" s="20" customFormat="1" hidden="1" outlineLevel="1" x14ac:dyDescent="0.25">
      <c r="A52" s="59"/>
      <c r="B52" s="46" t="s">
        <v>870</v>
      </c>
      <c r="C52" s="46">
        <v>216</v>
      </c>
      <c r="D52" s="46">
        <v>120</v>
      </c>
      <c r="E52" s="18">
        <f t="shared" si="2"/>
        <v>2.5920000000000005</v>
      </c>
      <c r="F52" s="49">
        <f t="shared" si="5"/>
        <v>0</v>
      </c>
      <c r="G52" s="50">
        <f t="shared" si="3"/>
        <v>0</v>
      </c>
      <c r="H52" s="50">
        <f t="shared" si="4"/>
        <v>0</v>
      </c>
      <c r="I52" s="20" t="s">
        <v>350</v>
      </c>
      <c r="J52" s="49">
        <f t="shared" si="6"/>
        <v>0</v>
      </c>
      <c r="K52" s="50">
        <f t="shared" si="7"/>
        <v>0</v>
      </c>
      <c r="L52" s="49">
        <f t="shared" si="8"/>
        <v>0</v>
      </c>
      <c r="M52" s="50">
        <f t="shared" si="9"/>
        <v>0</v>
      </c>
    </row>
    <row r="53" spans="1:13" s="20" customFormat="1" hidden="1" outlineLevel="1" x14ac:dyDescent="0.25">
      <c r="A53" s="59"/>
      <c r="B53" s="46" t="s">
        <v>871</v>
      </c>
      <c r="C53" s="46">
        <v>216</v>
      </c>
      <c r="D53" s="46">
        <v>160</v>
      </c>
      <c r="E53" s="18">
        <f t="shared" si="2"/>
        <v>3.4560000000000004</v>
      </c>
      <c r="F53" s="49">
        <f t="shared" si="5"/>
        <v>0</v>
      </c>
      <c r="G53" s="50">
        <f t="shared" si="3"/>
        <v>0</v>
      </c>
      <c r="H53" s="50">
        <f t="shared" si="4"/>
        <v>0</v>
      </c>
      <c r="I53" s="20" t="s">
        <v>350</v>
      </c>
      <c r="J53" s="49">
        <f t="shared" si="6"/>
        <v>0</v>
      </c>
      <c r="K53" s="50">
        <f t="shared" si="7"/>
        <v>0</v>
      </c>
      <c r="L53" s="49">
        <f t="shared" si="8"/>
        <v>0</v>
      </c>
      <c r="M53" s="50">
        <f t="shared" si="9"/>
        <v>0</v>
      </c>
    </row>
    <row r="54" spans="1:13" s="20" customFormat="1" hidden="1" outlineLevel="1" x14ac:dyDescent="0.25">
      <c r="A54" s="59"/>
      <c r="B54" s="46" t="s">
        <v>872</v>
      </c>
      <c r="C54" s="46">
        <v>216</v>
      </c>
      <c r="D54" s="46">
        <v>200</v>
      </c>
      <c r="E54" s="18">
        <f t="shared" si="2"/>
        <v>4.32</v>
      </c>
      <c r="F54" s="49">
        <f t="shared" si="5"/>
        <v>0</v>
      </c>
      <c r="G54" s="50">
        <f t="shared" si="3"/>
        <v>0</v>
      </c>
      <c r="H54" s="50">
        <f t="shared" si="4"/>
        <v>0</v>
      </c>
      <c r="I54" s="20" t="s">
        <v>350</v>
      </c>
      <c r="J54" s="49">
        <f t="shared" si="6"/>
        <v>0</v>
      </c>
      <c r="K54" s="50">
        <f t="shared" si="7"/>
        <v>0</v>
      </c>
      <c r="L54" s="49">
        <f t="shared" si="8"/>
        <v>0</v>
      </c>
      <c r="M54" s="50">
        <f t="shared" si="9"/>
        <v>0</v>
      </c>
    </row>
    <row r="55" spans="1:13" s="20" customFormat="1" hidden="1" outlineLevel="1" x14ac:dyDescent="0.25">
      <c r="A55" s="59"/>
      <c r="B55" s="46" t="s">
        <v>873</v>
      </c>
      <c r="C55" s="46">
        <v>216</v>
      </c>
      <c r="D55" s="46">
        <v>250</v>
      </c>
      <c r="E55" s="18">
        <f t="shared" si="2"/>
        <v>5.4</v>
      </c>
      <c r="F55" s="49">
        <f t="shared" si="5"/>
        <v>0</v>
      </c>
      <c r="G55" s="50">
        <f t="shared" si="3"/>
        <v>0</v>
      </c>
      <c r="H55" s="50">
        <f t="shared" si="4"/>
        <v>0</v>
      </c>
      <c r="I55" s="20" t="s">
        <v>350</v>
      </c>
      <c r="J55" s="49">
        <f t="shared" si="6"/>
        <v>0</v>
      </c>
      <c r="K55" s="50">
        <f t="shared" si="7"/>
        <v>0</v>
      </c>
      <c r="L55" s="49">
        <f t="shared" si="8"/>
        <v>0</v>
      </c>
      <c r="M55" s="50">
        <f t="shared" si="9"/>
        <v>0</v>
      </c>
    </row>
    <row r="56" spans="1:13" s="20" customFormat="1" hidden="1" outlineLevel="1" x14ac:dyDescent="0.25">
      <c r="A56" s="59"/>
      <c r="B56" s="46" t="s">
        <v>324</v>
      </c>
      <c r="C56" s="46">
        <v>210</v>
      </c>
      <c r="D56" s="46">
        <v>80</v>
      </c>
      <c r="E56" s="18">
        <f t="shared" si="2"/>
        <v>1.68</v>
      </c>
      <c r="F56" s="49">
        <f t="shared" si="5"/>
        <v>0</v>
      </c>
      <c r="G56" s="50">
        <f t="shared" si="3"/>
        <v>0</v>
      </c>
      <c r="H56" s="50">
        <f t="shared" si="4"/>
        <v>0</v>
      </c>
      <c r="I56" s="20" t="s">
        <v>350</v>
      </c>
      <c r="J56" s="49">
        <f t="shared" si="6"/>
        <v>0</v>
      </c>
      <c r="K56" s="50">
        <f t="shared" si="7"/>
        <v>0</v>
      </c>
      <c r="L56" s="49">
        <f t="shared" si="8"/>
        <v>0</v>
      </c>
      <c r="M56" s="50">
        <f t="shared" si="9"/>
        <v>0</v>
      </c>
    </row>
    <row r="57" spans="1:13" s="20" customFormat="1" hidden="1" outlineLevel="1" x14ac:dyDescent="0.25">
      <c r="A57" s="59"/>
      <c r="B57" s="46" t="s">
        <v>325</v>
      </c>
      <c r="C57" s="46">
        <v>210</v>
      </c>
      <c r="D57" s="46">
        <v>86</v>
      </c>
      <c r="E57" s="18">
        <f t="shared" ref="E57:E76" si="10">C57/100*D57/100</f>
        <v>1.806</v>
      </c>
      <c r="F57" s="49">
        <f t="shared" si="5"/>
        <v>0</v>
      </c>
      <c r="G57" s="50">
        <f t="shared" ref="G57:G76" si="11">E57*F57</f>
        <v>0</v>
      </c>
      <c r="H57" s="50">
        <f t="shared" ref="H57:H76" si="12">F57*D57/100</f>
        <v>0</v>
      </c>
      <c r="I57" s="20" t="s">
        <v>350</v>
      </c>
      <c r="J57" s="49">
        <f t="shared" si="6"/>
        <v>0</v>
      </c>
      <c r="K57" s="50">
        <f t="shared" si="7"/>
        <v>0</v>
      </c>
      <c r="L57" s="49">
        <f t="shared" si="8"/>
        <v>0</v>
      </c>
      <c r="M57" s="50">
        <f t="shared" si="9"/>
        <v>0</v>
      </c>
    </row>
    <row r="58" spans="1:13" s="20" customFormat="1" hidden="1" outlineLevel="1" x14ac:dyDescent="0.25">
      <c r="A58" s="59"/>
      <c r="B58" s="46" t="s">
        <v>326</v>
      </c>
      <c r="C58" s="46">
        <v>210</v>
      </c>
      <c r="D58" s="46">
        <v>90</v>
      </c>
      <c r="E58" s="18">
        <f t="shared" si="10"/>
        <v>1.89</v>
      </c>
      <c r="F58" s="49">
        <f t="shared" ref="F58:F77" si="13">SUMIF($B$9:$B$21,B58,$C$9:$C$21)</f>
        <v>0</v>
      </c>
      <c r="G58" s="50">
        <f t="shared" si="11"/>
        <v>0</v>
      </c>
      <c r="H58" s="50">
        <f t="shared" si="12"/>
        <v>0</v>
      </c>
      <c r="I58" s="20" t="s">
        <v>350</v>
      </c>
      <c r="J58" s="49">
        <f t="shared" ref="J58:J77" si="14">SUMIF($B$9:$B$14,B58,$C$9:$C$14)</f>
        <v>0</v>
      </c>
      <c r="K58" s="50">
        <f t="shared" ref="K58:K77" si="15">E58*J58</f>
        <v>0</v>
      </c>
      <c r="L58" s="49">
        <f t="shared" ref="L58:L77" si="16">SUMIF($B$17:$B$21,B58,$C$17:$C$21)</f>
        <v>0</v>
      </c>
      <c r="M58" s="50">
        <f t="shared" ref="M58:M77" si="17">E58*L58</f>
        <v>0</v>
      </c>
    </row>
    <row r="59" spans="1:13" s="20" customFormat="1" hidden="1" outlineLevel="1" x14ac:dyDescent="0.25">
      <c r="A59" s="59"/>
      <c r="B59" s="46" t="s">
        <v>327</v>
      </c>
      <c r="C59" s="46">
        <v>215</v>
      </c>
      <c r="D59" s="46">
        <v>80</v>
      </c>
      <c r="E59" s="18">
        <f t="shared" si="10"/>
        <v>1.72</v>
      </c>
      <c r="F59" s="49">
        <f t="shared" si="13"/>
        <v>0</v>
      </c>
      <c r="G59" s="50">
        <f t="shared" si="11"/>
        <v>0</v>
      </c>
      <c r="H59" s="50">
        <f t="shared" si="12"/>
        <v>0</v>
      </c>
      <c r="I59" s="20" t="s">
        <v>350</v>
      </c>
      <c r="J59" s="49">
        <f t="shared" si="14"/>
        <v>0</v>
      </c>
      <c r="K59" s="50">
        <f t="shared" si="15"/>
        <v>0</v>
      </c>
      <c r="L59" s="49">
        <f t="shared" si="16"/>
        <v>0</v>
      </c>
      <c r="M59" s="50">
        <f t="shared" si="17"/>
        <v>0</v>
      </c>
    </row>
    <row r="60" spans="1:13" s="20" customFormat="1" hidden="1" outlineLevel="1" x14ac:dyDescent="0.25">
      <c r="A60" s="59"/>
      <c r="B60" s="46" t="s">
        <v>328</v>
      </c>
      <c r="C60" s="46">
        <v>215</v>
      </c>
      <c r="D60" s="46">
        <v>88</v>
      </c>
      <c r="E60" s="18">
        <f t="shared" si="10"/>
        <v>1.8919999999999999</v>
      </c>
      <c r="F60" s="49">
        <f t="shared" si="13"/>
        <v>0</v>
      </c>
      <c r="G60" s="50">
        <f t="shared" si="11"/>
        <v>0</v>
      </c>
      <c r="H60" s="50">
        <f t="shared" si="12"/>
        <v>0</v>
      </c>
      <c r="I60" s="20" t="s">
        <v>350</v>
      </c>
      <c r="J60" s="49">
        <f t="shared" si="14"/>
        <v>0</v>
      </c>
      <c r="K60" s="50">
        <f t="shared" si="15"/>
        <v>0</v>
      </c>
      <c r="L60" s="49">
        <f t="shared" si="16"/>
        <v>0</v>
      </c>
      <c r="M60" s="50">
        <f t="shared" si="17"/>
        <v>0</v>
      </c>
    </row>
    <row r="61" spans="1:13" s="20" customFormat="1" hidden="1" outlineLevel="1" x14ac:dyDescent="0.25">
      <c r="A61" s="59"/>
      <c r="B61" s="46" t="s">
        <v>329</v>
      </c>
      <c r="C61" s="46">
        <v>215</v>
      </c>
      <c r="D61" s="46">
        <v>90</v>
      </c>
      <c r="E61" s="18">
        <f t="shared" si="10"/>
        <v>1.9350000000000001</v>
      </c>
      <c r="F61" s="49">
        <f t="shared" si="13"/>
        <v>0</v>
      </c>
      <c r="G61" s="50">
        <f t="shared" si="11"/>
        <v>0</v>
      </c>
      <c r="H61" s="50">
        <f t="shared" si="12"/>
        <v>0</v>
      </c>
      <c r="I61" s="20" t="s">
        <v>350</v>
      </c>
      <c r="J61" s="49">
        <f t="shared" si="14"/>
        <v>0</v>
      </c>
      <c r="K61" s="50">
        <f t="shared" si="15"/>
        <v>0</v>
      </c>
      <c r="L61" s="49">
        <f t="shared" si="16"/>
        <v>0</v>
      </c>
      <c r="M61" s="50">
        <f t="shared" si="17"/>
        <v>0</v>
      </c>
    </row>
    <row r="62" spans="1:13" s="20" customFormat="1" hidden="1" outlineLevel="1" x14ac:dyDescent="0.25">
      <c r="A62" s="59"/>
      <c r="B62" s="46" t="s">
        <v>330</v>
      </c>
      <c r="C62" s="46">
        <v>216</v>
      </c>
      <c r="D62" s="46">
        <v>88</v>
      </c>
      <c r="E62" s="18">
        <f t="shared" si="10"/>
        <v>1.9008</v>
      </c>
      <c r="F62" s="49">
        <f t="shared" si="13"/>
        <v>0</v>
      </c>
      <c r="G62" s="50">
        <f t="shared" si="11"/>
        <v>0</v>
      </c>
      <c r="H62" s="50">
        <f t="shared" si="12"/>
        <v>0</v>
      </c>
      <c r="I62" s="20" t="s">
        <v>350</v>
      </c>
      <c r="J62" s="49">
        <f t="shared" si="14"/>
        <v>0</v>
      </c>
      <c r="K62" s="50">
        <f t="shared" si="15"/>
        <v>0</v>
      </c>
      <c r="L62" s="49">
        <f t="shared" si="16"/>
        <v>0</v>
      </c>
      <c r="M62" s="50">
        <f t="shared" si="17"/>
        <v>0</v>
      </c>
    </row>
    <row r="63" spans="1:13" s="20" customFormat="1" hidden="1" outlineLevel="1" x14ac:dyDescent="0.25">
      <c r="A63" s="59"/>
      <c r="B63" s="46" t="s">
        <v>874</v>
      </c>
      <c r="C63" s="46">
        <v>210</v>
      </c>
      <c r="D63" s="46">
        <v>60</v>
      </c>
      <c r="E63" s="18">
        <f t="shared" si="10"/>
        <v>1.26</v>
      </c>
      <c r="F63" s="49">
        <f t="shared" si="13"/>
        <v>0</v>
      </c>
      <c r="G63" s="50">
        <f t="shared" si="11"/>
        <v>0</v>
      </c>
      <c r="H63" s="50">
        <f t="shared" si="12"/>
        <v>0</v>
      </c>
      <c r="I63" s="20" t="s">
        <v>350</v>
      </c>
      <c r="J63" s="49">
        <f t="shared" si="14"/>
        <v>0</v>
      </c>
      <c r="K63" s="50">
        <f t="shared" si="15"/>
        <v>0</v>
      </c>
      <c r="L63" s="49">
        <f t="shared" si="16"/>
        <v>0</v>
      </c>
      <c r="M63" s="50">
        <f t="shared" si="17"/>
        <v>0</v>
      </c>
    </row>
    <row r="64" spans="1:13" s="20" customFormat="1" hidden="1" outlineLevel="1" x14ac:dyDescent="0.25">
      <c r="A64" s="59"/>
      <c r="B64" s="46" t="s">
        <v>875</v>
      </c>
      <c r="C64" s="46">
        <v>210</v>
      </c>
      <c r="D64" s="46">
        <v>70</v>
      </c>
      <c r="E64" s="18">
        <f t="shared" si="10"/>
        <v>1.47</v>
      </c>
      <c r="F64" s="49">
        <f t="shared" si="13"/>
        <v>0</v>
      </c>
      <c r="G64" s="50">
        <f t="shared" si="11"/>
        <v>0</v>
      </c>
      <c r="H64" s="50">
        <f t="shared" si="12"/>
        <v>0</v>
      </c>
      <c r="I64" s="20" t="s">
        <v>350</v>
      </c>
      <c r="J64" s="49">
        <f t="shared" si="14"/>
        <v>0</v>
      </c>
      <c r="K64" s="50">
        <f t="shared" si="15"/>
        <v>0</v>
      </c>
      <c r="L64" s="49">
        <f t="shared" si="16"/>
        <v>0</v>
      </c>
      <c r="M64" s="50">
        <f t="shared" si="17"/>
        <v>0</v>
      </c>
    </row>
    <row r="65" spans="1:13" s="20" customFormat="1" hidden="1" outlineLevel="1" x14ac:dyDescent="0.25">
      <c r="A65" s="59"/>
      <c r="B65" s="46" t="s">
        <v>876</v>
      </c>
      <c r="C65" s="46">
        <v>210</v>
      </c>
      <c r="D65" s="46">
        <v>80</v>
      </c>
      <c r="E65" s="18">
        <f t="shared" si="10"/>
        <v>1.68</v>
      </c>
      <c r="F65" s="49">
        <f t="shared" si="13"/>
        <v>0</v>
      </c>
      <c r="G65" s="50">
        <f t="shared" si="11"/>
        <v>0</v>
      </c>
      <c r="H65" s="50">
        <f t="shared" si="12"/>
        <v>0</v>
      </c>
      <c r="I65" s="20" t="s">
        <v>350</v>
      </c>
      <c r="J65" s="49">
        <f t="shared" si="14"/>
        <v>0</v>
      </c>
      <c r="K65" s="50">
        <f t="shared" si="15"/>
        <v>0</v>
      </c>
      <c r="L65" s="49">
        <f t="shared" si="16"/>
        <v>0</v>
      </c>
      <c r="M65" s="50">
        <f t="shared" si="17"/>
        <v>0</v>
      </c>
    </row>
    <row r="66" spans="1:13" s="20" customFormat="1" hidden="1" outlineLevel="1" x14ac:dyDescent="0.25">
      <c r="A66" s="59"/>
      <c r="B66" s="46" t="s">
        <v>877</v>
      </c>
      <c r="C66" s="46">
        <v>215</v>
      </c>
      <c r="D66" s="46">
        <v>120</v>
      </c>
      <c r="E66" s="18">
        <f t="shared" si="10"/>
        <v>2.58</v>
      </c>
      <c r="F66" s="49">
        <f t="shared" si="13"/>
        <v>0</v>
      </c>
      <c r="G66" s="50">
        <f t="shared" si="11"/>
        <v>0</v>
      </c>
      <c r="H66" s="50">
        <f t="shared" si="12"/>
        <v>0</v>
      </c>
      <c r="I66" s="20" t="s">
        <v>350</v>
      </c>
      <c r="J66" s="49">
        <f t="shared" si="14"/>
        <v>0</v>
      </c>
      <c r="K66" s="50">
        <f t="shared" si="15"/>
        <v>0</v>
      </c>
      <c r="L66" s="49">
        <f t="shared" si="16"/>
        <v>0</v>
      </c>
      <c r="M66" s="50">
        <f t="shared" si="17"/>
        <v>0</v>
      </c>
    </row>
    <row r="67" spans="1:13" s="20" customFormat="1" hidden="1" outlineLevel="1" x14ac:dyDescent="0.25">
      <c r="A67" s="59"/>
      <c r="B67" s="46" t="s">
        <v>878</v>
      </c>
      <c r="C67" s="46">
        <v>215</v>
      </c>
      <c r="D67" s="46">
        <v>150</v>
      </c>
      <c r="E67" s="18">
        <f t="shared" si="10"/>
        <v>3.2250000000000001</v>
      </c>
      <c r="F67" s="49">
        <f t="shared" si="13"/>
        <v>0</v>
      </c>
      <c r="G67" s="50">
        <f t="shared" si="11"/>
        <v>0</v>
      </c>
      <c r="H67" s="50">
        <f t="shared" si="12"/>
        <v>0</v>
      </c>
      <c r="I67" s="20" t="s">
        <v>350</v>
      </c>
      <c r="J67" s="49">
        <f t="shared" si="14"/>
        <v>0</v>
      </c>
      <c r="K67" s="50">
        <f t="shared" si="15"/>
        <v>0</v>
      </c>
      <c r="L67" s="49">
        <f t="shared" si="16"/>
        <v>0</v>
      </c>
      <c r="M67" s="50">
        <f t="shared" si="17"/>
        <v>0</v>
      </c>
    </row>
    <row r="68" spans="1:13" s="20" customFormat="1" hidden="1" outlineLevel="1" x14ac:dyDescent="0.25">
      <c r="A68" s="59"/>
      <c r="B68" s="46" t="s">
        <v>879</v>
      </c>
      <c r="C68" s="46">
        <v>215</v>
      </c>
      <c r="D68" s="46">
        <v>200</v>
      </c>
      <c r="E68" s="18">
        <f t="shared" si="10"/>
        <v>4.3</v>
      </c>
      <c r="F68" s="49">
        <f t="shared" si="13"/>
        <v>0</v>
      </c>
      <c r="G68" s="50">
        <f t="shared" si="11"/>
        <v>0</v>
      </c>
      <c r="H68" s="50">
        <f t="shared" si="12"/>
        <v>0</v>
      </c>
      <c r="I68" s="20" t="s">
        <v>350</v>
      </c>
      <c r="J68" s="49">
        <f t="shared" si="14"/>
        <v>0</v>
      </c>
      <c r="K68" s="50">
        <f t="shared" si="15"/>
        <v>0</v>
      </c>
      <c r="L68" s="49">
        <f t="shared" si="16"/>
        <v>0</v>
      </c>
      <c r="M68" s="50">
        <f t="shared" si="17"/>
        <v>0</v>
      </c>
    </row>
    <row r="69" spans="1:13" s="20" customFormat="1" hidden="1" outlineLevel="1" x14ac:dyDescent="0.25">
      <c r="A69" s="59"/>
      <c r="B69" s="46" t="s">
        <v>880</v>
      </c>
      <c r="C69" s="46">
        <v>215</v>
      </c>
      <c r="D69" s="46">
        <v>300</v>
      </c>
      <c r="E69" s="18">
        <f t="shared" si="10"/>
        <v>6.45</v>
      </c>
      <c r="F69" s="49">
        <f t="shared" si="13"/>
        <v>0</v>
      </c>
      <c r="G69" s="50">
        <f t="shared" si="11"/>
        <v>0</v>
      </c>
      <c r="H69" s="50">
        <f t="shared" si="12"/>
        <v>0</v>
      </c>
      <c r="I69" s="20" t="s">
        <v>350</v>
      </c>
      <c r="J69" s="49">
        <f t="shared" si="14"/>
        <v>0</v>
      </c>
      <c r="K69" s="50">
        <f t="shared" si="15"/>
        <v>0</v>
      </c>
      <c r="L69" s="49">
        <f t="shared" si="16"/>
        <v>0</v>
      </c>
      <c r="M69" s="50">
        <f t="shared" si="17"/>
        <v>0</v>
      </c>
    </row>
    <row r="70" spans="1:13" s="20" customFormat="1" hidden="1" outlineLevel="1" x14ac:dyDescent="0.25">
      <c r="A70" s="59"/>
      <c r="B70" s="46" t="s">
        <v>881</v>
      </c>
      <c r="C70" s="46">
        <v>216</v>
      </c>
      <c r="D70" s="46">
        <v>160</v>
      </c>
      <c r="E70" s="18">
        <f t="shared" si="10"/>
        <v>3.4560000000000004</v>
      </c>
      <c r="F70" s="49">
        <f t="shared" si="13"/>
        <v>0</v>
      </c>
      <c r="G70" s="50">
        <f t="shared" si="11"/>
        <v>0</v>
      </c>
      <c r="H70" s="50">
        <f t="shared" si="12"/>
        <v>0</v>
      </c>
      <c r="I70" s="20" t="s">
        <v>350</v>
      </c>
      <c r="J70" s="49">
        <f t="shared" si="14"/>
        <v>0</v>
      </c>
      <c r="K70" s="50">
        <f t="shared" si="15"/>
        <v>0</v>
      </c>
      <c r="L70" s="49">
        <f t="shared" si="16"/>
        <v>0</v>
      </c>
      <c r="M70" s="50">
        <f t="shared" si="17"/>
        <v>0</v>
      </c>
    </row>
    <row r="71" spans="1:13" s="20" customFormat="1" hidden="1" outlineLevel="1" x14ac:dyDescent="0.25">
      <c r="A71" s="59"/>
      <c r="B71" s="46" t="s">
        <v>882</v>
      </c>
      <c r="C71" s="46">
        <v>216</v>
      </c>
      <c r="D71" s="46">
        <v>200</v>
      </c>
      <c r="E71" s="18">
        <f t="shared" si="10"/>
        <v>4.32</v>
      </c>
      <c r="F71" s="49">
        <f t="shared" si="13"/>
        <v>0</v>
      </c>
      <c r="G71" s="50">
        <f t="shared" si="11"/>
        <v>0</v>
      </c>
      <c r="H71" s="50">
        <f t="shared" si="12"/>
        <v>0</v>
      </c>
      <c r="I71" s="20" t="s">
        <v>350</v>
      </c>
      <c r="J71" s="49">
        <f t="shared" si="14"/>
        <v>0</v>
      </c>
      <c r="K71" s="50">
        <f t="shared" si="15"/>
        <v>0</v>
      </c>
      <c r="L71" s="49">
        <f t="shared" si="16"/>
        <v>0</v>
      </c>
      <c r="M71" s="50">
        <f t="shared" si="17"/>
        <v>0</v>
      </c>
    </row>
    <row r="72" spans="1:13" s="20" customFormat="1" hidden="1" outlineLevel="1" x14ac:dyDescent="0.25">
      <c r="A72" s="59"/>
      <c r="B72" s="46" t="s">
        <v>883</v>
      </c>
      <c r="C72" s="46">
        <v>216</v>
      </c>
      <c r="D72" s="46">
        <v>250</v>
      </c>
      <c r="E72" s="18">
        <f t="shared" si="10"/>
        <v>5.4</v>
      </c>
      <c r="F72" s="49">
        <f t="shared" si="13"/>
        <v>0</v>
      </c>
      <c r="G72" s="50">
        <f t="shared" si="11"/>
        <v>0</v>
      </c>
      <c r="H72" s="50">
        <f t="shared" si="12"/>
        <v>0</v>
      </c>
      <c r="I72" s="20" t="s">
        <v>350</v>
      </c>
      <c r="J72" s="49">
        <f t="shared" si="14"/>
        <v>0</v>
      </c>
      <c r="K72" s="50">
        <f t="shared" si="15"/>
        <v>0</v>
      </c>
      <c r="L72" s="49">
        <f t="shared" si="16"/>
        <v>0</v>
      </c>
      <c r="M72" s="50">
        <f t="shared" si="17"/>
        <v>0</v>
      </c>
    </row>
    <row r="73" spans="1:13" s="20" customFormat="1" hidden="1" outlineLevel="1" x14ac:dyDescent="0.25">
      <c r="A73" s="59"/>
      <c r="B73" s="46" t="s">
        <v>884</v>
      </c>
      <c r="C73" s="46">
        <v>220</v>
      </c>
      <c r="D73" s="46">
        <v>160</v>
      </c>
      <c r="E73" s="18">
        <f t="shared" si="10"/>
        <v>3.52</v>
      </c>
      <c r="F73" s="49">
        <f t="shared" si="13"/>
        <v>0</v>
      </c>
      <c r="G73" s="50">
        <f t="shared" si="11"/>
        <v>0</v>
      </c>
      <c r="H73" s="50">
        <f t="shared" si="12"/>
        <v>0</v>
      </c>
      <c r="I73" s="20" t="s">
        <v>350</v>
      </c>
      <c r="J73" s="49">
        <f t="shared" si="14"/>
        <v>0</v>
      </c>
      <c r="K73" s="50">
        <f t="shared" si="15"/>
        <v>0</v>
      </c>
      <c r="L73" s="49">
        <f t="shared" si="16"/>
        <v>0</v>
      </c>
      <c r="M73" s="50">
        <f t="shared" si="17"/>
        <v>0</v>
      </c>
    </row>
    <row r="74" spans="1:13" s="20" customFormat="1" hidden="1" outlineLevel="1" x14ac:dyDescent="0.25">
      <c r="A74" s="59"/>
      <c r="B74" s="46" t="s">
        <v>885</v>
      </c>
      <c r="C74" s="46">
        <v>235</v>
      </c>
      <c r="D74" s="46">
        <v>150</v>
      </c>
      <c r="E74" s="18">
        <f t="shared" si="10"/>
        <v>3.5249999999999999</v>
      </c>
      <c r="F74" s="49">
        <f t="shared" si="13"/>
        <v>0</v>
      </c>
      <c r="G74" s="50">
        <f t="shared" si="11"/>
        <v>0</v>
      </c>
      <c r="H74" s="50">
        <f t="shared" si="12"/>
        <v>0</v>
      </c>
      <c r="I74" s="20" t="s">
        <v>350</v>
      </c>
      <c r="J74" s="49">
        <f t="shared" si="14"/>
        <v>0</v>
      </c>
      <c r="K74" s="50">
        <f t="shared" si="15"/>
        <v>0</v>
      </c>
      <c r="L74" s="49">
        <f t="shared" si="16"/>
        <v>0</v>
      </c>
      <c r="M74" s="50">
        <f t="shared" si="17"/>
        <v>0</v>
      </c>
    </row>
    <row r="75" spans="1:13" s="20" customFormat="1" hidden="1" outlineLevel="1" x14ac:dyDescent="0.25">
      <c r="A75" s="59"/>
      <c r="B75" s="46" t="s">
        <v>886</v>
      </c>
      <c r="C75" s="46">
        <v>235</v>
      </c>
      <c r="D75" s="46">
        <v>200</v>
      </c>
      <c r="E75" s="18">
        <f t="shared" si="10"/>
        <v>4.7</v>
      </c>
      <c r="F75" s="49">
        <f t="shared" si="13"/>
        <v>0</v>
      </c>
      <c r="G75" s="50">
        <f t="shared" si="11"/>
        <v>0</v>
      </c>
      <c r="H75" s="50">
        <f t="shared" si="12"/>
        <v>0</v>
      </c>
      <c r="I75" s="20" t="s">
        <v>350</v>
      </c>
      <c r="J75" s="49">
        <f t="shared" si="14"/>
        <v>0</v>
      </c>
      <c r="K75" s="50">
        <f t="shared" si="15"/>
        <v>0</v>
      </c>
      <c r="L75" s="49">
        <f t="shared" si="16"/>
        <v>0</v>
      </c>
      <c r="M75" s="50">
        <f t="shared" si="17"/>
        <v>0</v>
      </c>
    </row>
    <row r="76" spans="1:13" s="20" customFormat="1" hidden="1" outlineLevel="1" x14ac:dyDescent="0.25">
      <c r="A76" s="59"/>
      <c r="B76" s="46" t="s">
        <v>887</v>
      </c>
      <c r="C76" s="46">
        <v>237</v>
      </c>
      <c r="D76" s="46">
        <v>150</v>
      </c>
      <c r="E76" s="18">
        <f t="shared" si="10"/>
        <v>3.5550000000000002</v>
      </c>
      <c r="F76" s="49">
        <f t="shared" si="13"/>
        <v>0</v>
      </c>
      <c r="G76" s="50">
        <f t="shared" si="11"/>
        <v>0</v>
      </c>
      <c r="H76" s="50">
        <f t="shared" si="12"/>
        <v>0</v>
      </c>
      <c r="I76" s="20" t="s">
        <v>350</v>
      </c>
      <c r="J76" s="49">
        <f t="shared" si="14"/>
        <v>0</v>
      </c>
      <c r="K76" s="50">
        <f t="shared" si="15"/>
        <v>0</v>
      </c>
      <c r="L76" s="49">
        <f t="shared" si="16"/>
        <v>0</v>
      </c>
      <c r="M76" s="50">
        <f t="shared" si="17"/>
        <v>0</v>
      </c>
    </row>
    <row r="77" spans="1:13" s="20" customFormat="1" hidden="1" outlineLevel="1" x14ac:dyDescent="0.25">
      <c r="A77" s="59"/>
      <c r="B77" s="46" t="s">
        <v>888</v>
      </c>
      <c r="C77" s="46">
        <v>223</v>
      </c>
      <c r="D77" s="46">
        <v>126</v>
      </c>
      <c r="E77" s="18">
        <f t="shared" ref="E77:E115" si="18">C77/100*D77/100</f>
        <v>2.8098000000000001</v>
      </c>
      <c r="F77" s="49">
        <f t="shared" si="13"/>
        <v>0</v>
      </c>
      <c r="G77" s="50">
        <f t="shared" ref="G77:G115" si="19">E77*F77</f>
        <v>0</v>
      </c>
      <c r="H77" s="50">
        <f t="shared" ref="H77:H115" si="20">F77*D77/100</f>
        <v>0</v>
      </c>
      <c r="I77" s="20" t="s">
        <v>350</v>
      </c>
      <c r="J77" s="49">
        <f t="shared" si="14"/>
        <v>0</v>
      </c>
      <c r="K77" s="50">
        <f t="shared" si="15"/>
        <v>0</v>
      </c>
      <c r="L77" s="49">
        <f t="shared" si="16"/>
        <v>0</v>
      </c>
      <c r="M77" s="50">
        <f t="shared" si="17"/>
        <v>0</v>
      </c>
    </row>
    <row r="78" spans="1:13" s="20" customFormat="1" hidden="1" outlineLevel="1" x14ac:dyDescent="0.25">
      <c r="A78" s="59"/>
      <c r="B78" s="46" t="s">
        <v>889</v>
      </c>
      <c r="C78" s="46">
        <v>225</v>
      </c>
      <c r="D78" s="46">
        <v>130</v>
      </c>
      <c r="E78" s="18">
        <f t="shared" si="18"/>
        <v>2.9249999999999998</v>
      </c>
      <c r="F78" s="49">
        <f t="shared" ref="F78:F116" si="21">SUMIF($B$9:$B$21,B78,$C$9:$C$21)</f>
        <v>0</v>
      </c>
      <c r="G78" s="50">
        <f t="shared" si="19"/>
        <v>0</v>
      </c>
      <c r="H78" s="50">
        <f t="shared" si="20"/>
        <v>0</v>
      </c>
      <c r="I78" s="20" t="s">
        <v>350</v>
      </c>
      <c r="J78" s="49">
        <f t="shared" ref="J78:J116" si="22">SUMIF($B$9:$B$14,B78,$C$9:$C$14)</f>
        <v>0</v>
      </c>
      <c r="K78" s="50">
        <f t="shared" ref="K78:K116" si="23">E78*J78</f>
        <v>0</v>
      </c>
      <c r="L78" s="49">
        <f t="shared" ref="L78:L116" si="24">SUMIF($B$17:$B$21,B78,$C$17:$C$21)</f>
        <v>0</v>
      </c>
      <c r="M78" s="50">
        <f t="shared" ref="M78:M116" si="25">E78*L78</f>
        <v>0</v>
      </c>
    </row>
    <row r="79" spans="1:13" s="20" customFormat="1" hidden="1" outlineLevel="1" x14ac:dyDescent="0.25">
      <c r="A79" s="59"/>
      <c r="B79" s="46" t="s">
        <v>890</v>
      </c>
      <c r="C79" s="46">
        <v>243</v>
      </c>
      <c r="D79" s="46">
        <v>146</v>
      </c>
      <c r="E79" s="18">
        <f t="shared" si="18"/>
        <v>3.5478000000000005</v>
      </c>
      <c r="F79" s="49">
        <f t="shared" si="21"/>
        <v>0</v>
      </c>
      <c r="G79" s="50">
        <f t="shared" si="19"/>
        <v>0</v>
      </c>
      <c r="H79" s="50">
        <f t="shared" si="20"/>
        <v>0</v>
      </c>
      <c r="I79" s="20" t="s">
        <v>350</v>
      </c>
      <c r="J79" s="49">
        <f t="shared" si="22"/>
        <v>0</v>
      </c>
      <c r="K79" s="50">
        <f t="shared" si="23"/>
        <v>0</v>
      </c>
      <c r="L79" s="49">
        <f t="shared" si="24"/>
        <v>0</v>
      </c>
      <c r="M79" s="50">
        <f t="shared" si="25"/>
        <v>0</v>
      </c>
    </row>
    <row r="80" spans="1:13" s="20" customFormat="1" hidden="1" outlineLevel="1" x14ac:dyDescent="0.25">
      <c r="A80" s="59"/>
      <c r="B80" s="46" t="s">
        <v>891</v>
      </c>
      <c r="C80" s="46">
        <v>270</v>
      </c>
      <c r="D80" s="46">
        <v>150</v>
      </c>
      <c r="E80" s="18">
        <f t="shared" si="18"/>
        <v>4.05</v>
      </c>
      <c r="F80" s="49">
        <f t="shared" si="21"/>
        <v>0</v>
      </c>
      <c r="G80" s="50">
        <f t="shared" si="19"/>
        <v>0</v>
      </c>
      <c r="H80" s="50">
        <f t="shared" si="20"/>
        <v>0</v>
      </c>
      <c r="I80" s="20" t="s">
        <v>350</v>
      </c>
      <c r="J80" s="49">
        <f t="shared" si="22"/>
        <v>0</v>
      </c>
      <c r="K80" s="50">
        <f t="shared" si="23"/>
        <v>0</v>
      </c>
      <c r="L80" s="49">
        <f t="shared" si="24"/>
        <v>0</v>
      </c>
      <c r="M80" s="50">
        <f t="shared" si="25"/>
        <v>0</v>
      </c>
    </row>
    <row r="81" spans="1:13" s="20" customFormat="1" hidden="1" outlineLevel="1" x14ac:dyDescent="0.25">
      <c r="A81" s="59"/>
      <c r="B81" s="46" t="s">
        <v>331</v>
      </c>
      <c r="C81" s="46">
        <v>210</v>
      </c>
      <c r="D81" s="46">
        <v>60</v>
      </c>
      <c r="E81" s="18">
        <f t="shared" si="18"/>
        <v>1.26</v>
      </c>
      <c r="F81" s="49">
        <f t="shared" si="21"/>
        <v>0</v>
      </c>
      <c r="G81" s="50">
        <f t="shared" si="19"/>
        <v>0</v>
      </c>
      <c r="H81" s="50">
        <f t="shared" si="20"/>
        <v>0</v>
      </c>
      <c r="I81" s="20" t="s">
        <v>350</v>
      </c>
      <c r="J81" s="49">
        <f t="shared" si="22"/>
        <v>0</v>
      </c>
      <c r="K81" s="50">
        <f t="shared" si="23"/>
        <v>0</v>
      </c>
      <c r="L81" s="49">
        <f t="shared" si="24"/>
        <v>0</v>
      </c>
      <c r="M81" s="50">
        <f t="shared" si="25"/>
        <v>0</v>
      </c>
    </row>
    <row r="82" spans="1:13" s="20" customFormat="1" hidden="1" outlineLevel="1" x14ac:dyDescent="0.25">
      <c r="A82" s="59"/>
      <c r="B82" s="46" t="s">
        <v>332</v>
      </c>
      <c r="C82" s="46">
        <v>210</v>
      </c>
      <c r="D82" s="46">
        <v>66</v>
      </c>
      <c r="E82" s="18">
        <f t="shared" si="18"/>
        <v>1.3859999999999999</v>
      </c>
      <c r="F82" s="49">
        <f t="shared" si="21"/>
        <v>0</v>
      </c>
      <c r="G82" s="50">
        <f t="shared" si="19"/>
        <v>0</v>
      </c>
      <c r="H82" s="50">
        <f t="shared" si="20"/>
        <v>0</v>
      </c>
      <c r="I82" s="20" t="s">
        <v>350</v>
      </c>
      <c r="J82" s="49">
        <f t="shared" si="22"/>
        <v>0</v>
      </c>
      <c r="K82" s="50">
        <f t="shared" si="23"/>
        <v>0</v>
      </c>
      <c r="L82" s="49">
        <f t="shared" si="24"/>
        <v>0</v>
      </c>
      <c r="M82" s="50">
        <f t="shared" si="25"/>
        <v>0</v>
      </c>
    </row>
    <row r="83" spans="1:13" s="20" customFormat="1" hidden="1" outlineLevel="1" x14ac:dyDescent="0.25">
      <c r="A83" s="59"/>
      <c r="B83" s="46" t="s">
        <v>333</v>
      </c>
      <c r="C83" s="46">
        <v>210</v>
      </c>
      <c r="D83" s="46">
        <v>70</v>
      </c>
      <c r="E83" s="18">
        <f t="shared" si="18"/>
        <v>1.47</v>
      </c>
      <c r="F83" s="49">
        <f t="shared" si="21"/>
        <v>0</v>
      </c>
      <c r="G83" s="50">
        <f t="shared" si="19"/>
        <v>0</v>
      </c>
      <c r="H83" s="50">
        <f t="shared" si="20"/>
        <v>0</v>
      </c>
      <c r="I83" s="20" t="s">
        <v>350</v>
      </c>
      <c r="J83" s="49">
        <f t="shared" si="22"/>
        <v>0</v>
      </c>
      <c r="K83" s="50">
        <f t="shared" si="23"/>
        <v>0</v>
      </c>
      <c r="L83" s="49">
        <f t="shared" si="24"/>
        <v>0</v>
      </c>
      <c r="M83" s="50">
        <f t="shared" si="25"/>
        <v>0</v>
      </c>
    </row>
    <row r="84" spans="1:13" s="20" customFormat="1" hidden="1" outlineLevel="1" x14ac:dyDescent="0.25">
      <c r="A84" s="59"/>
      <c r="B84" s="46" t="s">
        <v>334</v>
      </c>
      <c r="C84" s="46">
        <v>210</v>
      </c>
      <c r="D84" s="46">
        <v>76</v>
      </c>
      <c r="E84" s="18">
        <f t="shared" si="18"/>
        <v>1.5959999999999999</v>
      </c>
      <c r="F84" s="49">
        <f t="shared" si="21"/>
        <v>0</v>
      </c>
      <c r="G84" s="50">
        <f t="shared" si="19"/>
        <v>0</v>
      </c>
      <c r="H84" s="50">
        <f t="shared" si="20"/>
        <v>0</v>
      </c>
      <c r="I84" s="20" t="s">
        <v>350</v>
      </c>
      <c r="J84" s="49">
        <f t="shared" si="22"/>
        <v>0</v>
      </c>
      <c r="K84" s="50">
        <f t="shared" si="23"/>
        <v>0</v>
      </c>
      <c r="L84" s="49">
        <f t="shared" si="24"/>
        <v>0</v>
      </c>
      <c r="M84" s="50">
        <f t="shared" si="25"/>
        <v>0</v>
      </c>
    </row>
    <row r="85" spans="1:13" s="20" customFormat="1" hidden="1" outlineLevel="1" x14ac:dyDescent="0.25">
      <c r="A85" s="59"/>
      <c r="B85" s="46" t="s">
        <v>335</v>
      </c>
      <c r="C85" s="46">
        <v>210</v>
      </c>
      <c r="D85" s="46">
        <v>80</v>
      </c>
      <c r="E85" s="18">
        <f t="shared" si="18"/>
        <v>1.68</v>
      </c>
      <c r="F85" s="49">
        <f t="shared" si="21"/>
        <v>0</v>
      </c>
      <c r="G85" s="50">
        <f t="shared" si="19"/>
        <v>0</v>
      </c>
      <c r="H85" s="50">
        <f t="shared" si="20"/>
        <v>0</v>
      </c>
      <c r="I85" s="20" t="s">
        <v>350</v>
      </c>
      <c r="J85" s="49">
        <f t="shared" si="22"/>
        <v>0</v>
      </c>
      <c r="K85" s="50">
        <f t="shared" si="23"/>
        <v>0</v>
      </c>
      <c r="L85" s="49">
        <f t="shared" si="24"/>
        <v>0</v>
      </c>
      <c r="M85" s="50">
        <f t="shared" si="25"/>
        <v>0</v>
      </c>
    </row>
    <row r="86" spans="1:13" s="20" customFormat="1" hidden="1" outlineLevel="1" x14ac:dyDescent="0.25">
      <c r="A86" s="59"/>
      <c r="B86" s="46" t="s">
        <v>336</v>
      </c>
      <c r="C86" s="46">
        <v>210</v>
      </c>
      <c r="D86" s="46">
        <v>86</v>
      </c>
      <c r="E86" s="18">
        <f t="shared" si="18"/>
        <v>1.806</v>
      </c>
      <c r="F86" s="49">
        <f t="shared" si="21"/>
        <v>0</v>
      </c>
      <c r="G86" s="50">
        <f t="shared" si="19"/>
        <v>0</v>
      </c>
      <c r="H86" s="50">
        <f t="shared" si="20"/>
        <v>0</v>
      </c>
      <c r="I86" s="20" t="s">
        <v>350</v>
      </c>
      <c r="J86" s="49">
        <f t="shared" si="22"/>
        <v>0</v>
      </c>
      <c r="K86" s="50">
        <f t="shared" si="23"/>
        <v>0</v>
      </c>
      <c r="L86" s="49">
        <f t="shared" si="24"/>
        <v>0</v>
      </c>
      <c r="M86" s="50">
        <f t="shared" si="25"/>
        <v>0</v>
      </c>
    </row>
    <row r="87" spans="1:13" s="20" customFormat="1" hidden="1" outlineLevel="1" x14ac:dyDescent="0.25">
      <c r="A87" s="59"/>
      <c r="B87" s="46" t="s">
        <v>337</v>
      </c>
      <c r="C87" s="46">
        <v>210</v>
      </c>
      <c r="D87" s="46">
        <v>90</v>
      </c>
      <c r="E87" s="18">
        <f t="shared" si="18"/>
        <v>1.89</v>
      </c>
      <c r="F87" s="49">
        <f t="shared" si="21"/>
        <v>0</v>
      </c>
      <c r="G87" s="50">
        <f t="shared" si="19"/>
        <v>0</v>
      </c>
      <c r="H87" s="50">
        <f t="shared" si="20"/>
        <v>0</v>
      </c>
      <c r="I87" s="20" t="s">
        <v>350</v>
      </c>
      <c r="J87" s="49">
        <f t="shared" si="22"/>
        <v>0</v>
      </c>
      <c r="K87" s="50">
        <f t="shared" si="23"/>
        <v>0</v>
      </c>
      <c r="L87" s="49">
        <f t="shared" si="24"/>
        <v>0</v>
      </c>
      <c r="M87" s="50">
        <f t="shared" si="25"/>
        <v>0</v>
      </c>
    </row>
    <row r="88" spans="1:13" s="20" customFormat="1" hidden="1" outlineLevel="1" x14ac:dyDescent="0.25">
      <c r="A88" s="59"/>
      <c r="B88" s="46" t="s">
        <v>338</v>
      </c>
      <c r="C88" s="46">
        <v>215</v>
      </c>
      <c r="D88" s="46">
        <v>68</v>
      </c>
      <c r="E88" s="18">
        <f t="shared" si="18"/>
        <v>1.462</v>
      </c>
      <c r="F88" s="49">
        <f t="shared" si="21"/>
        <v>0</v>
      </c>
      <c r="G88" s="50">
        <f t="shared" si="19"/>
        <v>0</v>
      </c>
      <c r="H88" s="50">
        <f t="shared" si="20"/>
        <v>0</v>
      </c>
      <c r="I88" s="20" t="s">
        <v>350</v>
      </c>
      <c r="J88" s="49">
        <f t="shared" si="22"/>
        <v>0</v>
      </c>
      <c r="K88" s="50">
        <f t="shared" si="23"/>
        <v>0</v>
      </c>
      <c r="L88" s="49">
        <f t="shared" si="24"/>
        <v>0</v>
      </c>
      <c r="M88" s="50">
        <f t="shared" si="25"/>
        <v>0</v>
      </c>
    </row>
    <row r="89" spans="1:13" s="20" customFormat="1" hidden="1" outlineLevel="1" x14ac:dyDescent="0.25">
      <c r="A89" s="59"/>
      <c r="B89" s="46" t="s">
        <v>339</v>
      </c>
      <c r="C89" s="46">
        <v>215</v>
      </c>
      <c r="D89" s="46">
        <v>75</v>
      </c>
      <c r="E89" s="18">
        <f t="shared" si="18"/>
        <v>1.6125</v>
      </c>
      <c r="F89" s="49">
        <f t="shared" si="21"/>
        <v>0</v>
      </c>
      <c r="G89" s="50">
        <f t="shared" si="19"/>
        <v>0</v>
      </c>
      <c r="H89" s="50">
        <f t="shared" si="20"/>
        <v>0</v>
      </c>
      <c r="I89" s="20" t="s">
        <v>350</v>
      </c>
      <c r="J89" s="49">
        <f t="shared" si="22"/>
        <v>0</v>
      </c>
      <c r="K89" s="50">
        <f t="shared" si="23"/>
        <v>0</v>
      </c>
      <c r="L89" s="49">
        <f t="shared" si="24"/>
        <v>0</v>
      </c>
      <c r="M89" s="50">
        <f t="shared" si="25"/>
        <v>0</v>
      </c>
    </row>
    <row r="90" spans="1:13" s="20" customFormat="1" hidden="1" outlineLevel="1" x14ac:dyDescent="0.25">
      <c r="A90" s="59"/>
      <c r="B90" s="46" t="s">
        <v>340</v>
      </c>
      <c r="C90" s="46">
        <v>215</v>
      </c>
      <c r="D90" s="46">
        <v>77</v>
      </c>
      <c r="E90" s="18">
        <f t="shared" si="18"/>
        <v>1.6554999999999997</v>
      </c>
      <c r="F90" s="49">
        <f t="shared" si="21"/>
        <v>0</v>
      </c>
      <c r="G90" s="50">
        <f t="shared" si="19"/>
        <v>0</v>
      </c>
      <c r="H90" s="50">
        <f t="shared" si="20"/>
        <v>0</v>
      </c>
      <c r="I90" s="20" t="s">
        <v>350</v>
      </c>
      <c r="J90" s="49">
        <f t="shared" si="22"/>
        <v>0</v>
      </c>
      <c r="K90" s="50">
        <f t="shared" si="23"/>
        <v>0</v>
      </c>
      <c r="L90" s="49">
        <f t="shared" si="24"/>
        <v>0</v>
      </c>
      <c r="M90" s="50">
        <f t="shared" si="25"/>
        <v>0</v>
      </c>
    </row>
    <row r="91" spans="1:13" s="20" customFormat="1" hidden="1" outlineLevel="1" x14ac:dyDescent="0.25">
      <c r="A91" s="59"/>
      <c r="B91" s="46" t="s">
        <v>341</v>
      </c>
      <c r="C91" s="46">
        <v>215</v>
      </c>
      <c r="D91" s="46">
        <v>78</v>
      </c>
      <c r="E91" s="18">
        <f t="shared" si="18"/>
        <v>1.6769999999999998</v>
      </c>
      <c r="F91" s="49">
        <f t="shared" si="21"/>
        <v>0</v>
      </c>
      <c r="G91" s="50">
        <f t="shared" si="19"/>
        <v>0</v>
      </c>
      <c r="H91" s="50">
        <f t="shared" si="20"/>
        <v>0</v>
      </c>
      <c r="I91" s="20" t="s">
        <v>350</v>
      </c>
      <c r="J91" s="49">
        <f t="shared" si="22"/>
        <v>0</v>
      </c>
      <c r="K91" s="50">
        <f t="shared" si="23"/>
        <v>0</v>
      </c>
      <c r="L91" s="49">
        <f t="shared" si="24"/>
        <v>0</v>
      </c>
      <c r="M91" s="50">
        <f t="shared" si="25"/>
        <v>0</v>
      </c>
    </row>
    <row r="92" spans="1:13" s="20" customFormat="1" hidden="1" outlineLevel="1" x14ac:dyDescent="0.25">
      <c r="A92" s="59"/>
      <c r="B92" s="46" t="s">
        <v>342</v>
      </c>
      <c r="C92" s="46">
        <v>215</v>
      </c>
      <c r="D92" s="46">
        <v>85</v>
      </c>
      <c r="E92" s="18">
        <f t="shared" si="18"/>
        <v>1.8274999999999999</v>
      </c>
      <c r="F92" s="49">
        <f t="shared" si="21"/>
        <v>0</v>
      </c>
      <c r="G92" s="50">
        <f t="shared" si="19"/>
        <v>0</v>
      </c>
      <c r="H92" s="50">
        <f t="shared" si="20"/>
        <v>0</v>
      </c>
      <c r="I92" s="20" t="s">
        <v>350</v>
      </c>
      <c r="J92" s="49">
        <f t="shared" si="22"/>
        <v>0</v>
      </c>
      <c r="K92" s="50">
        <f t="shared" si="23"/>
        <v>0</v>
      </c>
      <c r="L92" s="49">
        <f t="shared" si="24"/>
        <v>0</v>
      </c>
      <c r="M92" s="50">
        <f t="shared" si="25"/>
        <v>0</v>
      </c>
    </row>
    <row r="93" spans="1:13" s="20" customFormat="1" hidden="1" outlineLevel="1" x14ac:dyDescent="0.25">
      <c r="A93" s="59"/>
      <c r="B93" s="46" t="s">
        <v>343</v>
      </c>
      <c r="C93" s="46">
        <v>215</v>
      </c>
      <c r="D93" s="46">
        <v>87</v>
      </c>
      <c r="E93" s="18">
        <f t="shared" si="18"/>
        <v>1.8704999999999998</v>
      </c>
      <c r="F93" s="49">
        <f t="shared" si="21"/>
        <v>0</v>
      </c>
      <c r="G93" s="50">
        <f t="shared" si="19"/>
        <v>0</v>
      </c>
      <c r="H93" s="50">
        <f t="shared" si="20"/>
        <v>0</v>
      </c>
      <c r="I93" s="20" t="s">
        <v>350</v>
      </c>
      <c r="J93" s="49">
        <f t="shared" si="22"/>
        <v>0</v>
      </c>
      <c r="K93" s="50">
        <f t="shared" si="23"/>
        <v>0</v>
      </c>
      <c r="L93" s="49">
        <f t="shared" si="24"/>
        <v>0</v>
      </c>
      <c r="M93" s="50">
        <f t="shared" si="25"/>
        <v>0</v>
      </c>
    </row>
    <row r="94" spans="1:13" s="20" customFormat="1" hidden="1" outlineLevel="1" x14ac:dyDescent="0.25">
      <c r="A94" s="59"/>
      <c r="B94" s="46" t="s">
        <v>344</v>
      </c>
      <c r="C94" s="46">
        <v>215</v>
      </c>
      <c r="D94" s="46">
        <v>90</v>
      </c>
      <c r="E94" s="18">
        <f t="shared" si="18"/>
        <v>1.9350000000000001</v>
      </c>
      <c r="F94" s="49">
        <f t="shared" si="21"/>
        <v>0</v>
      </c>
      <c r="G94" s="50">
        <f t="shared" si="19"/>
        <v>0</v>
      </c>
      <c r="H94" s="50">
        <f t="shared" si="20"/>
        <v>0</v>
      </c>
      <c r="I94" s="20" t="s">
        <v>350</v>
      </c>
      <c r="J94" s="49">
        <f t="shared" si="22"/>
        <v>0</v>
      </c>
      <c r="K94" s="50">
        <f t="shared" si="23"/>
        <v>0</v>
      </c>
      <c r="L94" s="49">
        <f t="shared" si="24"/>
        <v>0</v>
      </c>
      <c r="M94" s="50">
        <f t="shared" si="25"/>
        <v>0</v>
      </c>
    </row>
    <row r="95" spans="1:13" s="20" customFormat="1" hidden="1" outlineLevel="1" x14ac:dyDescent="0.25">
      <c r="A95" s="59"/>
      <c r="B95" s="46" t="s">
        <v>345</v>
      </c>
      <c r="C95" s="46">
        <v>216</v>
      </c>
      <c r="D95" s="46">
        <v>68</v>
      </c>
      <c r="E95" s="18">
        <f t="shared" si="18"/>
        <v>1.4687999999999999</v>
      </c>
      <c r="F95" s="49">
        <f t="shared" si="21"/>
        <v>0</v>
      </c>
      <c r="G95" s="50">
        <f t="shared" si="19"/>
        <v>0</v>
      </c>
      <c r="H95" s="50">
        <f t="shared" si="20"/>
        <v>0</v>
      </c>
      <c r="I95" s="20" t="s">
        <v>350</v>
      </c>
      <c r="J95" s="49">
        <f t="shared" si="22"/>
        <v>0</v>
      </c>
      <c r="K95" s="50">
        <f t="shared" si="23"/>
        <v>0</v>
      </c>
      <c r="L95" s="49">
        <f t="shared" si="24"/>
        <v>0</v>
      </c>
      <c r="M95" s="50">
        <f t="shared" si="25"/>
        <v>0</v>
      </c>
    </row>
    <row r="96" spans="1:13" s="20" customFormat="1" hidden="1" outlineLevel="1" x14ac:dyDescent="0.25">
      <c r="A96" s="59"/>
      <c r="B96" s="46" t="s">
        <v>346</v>
      </c>
      <c r="C96" s="46">
        <v>216</v>
      </c>
      <c r="D96" s="46">
        <v>78</v>
      </c>
      <c r="E96" s="18">
        <f t="shared" si="18"/>
        <v>1.6848000000000001</v>
      </c>
      <c r="F96" s="49">
        <f t="shared" si="21"/>
        <v>0</v>
      </c>
      <c r="G96" s="50">
        <f t="shared" si="19"/>
        <v>0</v>
      </c>
      <c r="H96" s="50">
        <f t="shared" si="20"/>
        <v>0</v>
      </c>
      <c r="I96" s="20" t="s">
        <v>350</v>
      </c>
      <c r="J96" s="49">
        <f t="shared" si="22"/>
        <v>0</v>
      </c>
      <c r="K96" s="50">
        <f t="shared" si="23"/>
        <v>0</v>
      </c>
      <c r="L96" s="49">
        <f t="shared" si="24"/>
        <v>0</v>
      </c>
      <c r="M96" s="50">
        <f t="shared" si="25"/>
        <v>0</v>
      </c>
    </row>
    <row r="97" spans="1:13" s="20" customFormat="1" hidden="1" outlineLevel="1" x14ac:dyDescent="0.25">
      <c r="A97" s="59"/>
      <c r="B97" s="46" t="s">
        <v>347</v>
      </c>
      <c r="C97" s="46">
        <v>216</v>
      </c>
      <c r="D97" s="46">
        <v>88</v>
      </c>
      <c r="E97" s="18">
        <f t="shared" si="18"/>
        <v>1.9008</v>
      </c>
      <c r="F97" s="49">
        <f t="shared" si="21"/>
        <v>0</v>
      </c>
      <c r="G97" s="50">
        <f t="shared" si="19"/>
        <v>0</v>
      </c>
      <c r="H97" s="50">
        <f t="shared" si="20"/>
        <v>0</v>
      </c>
      <c r="I97" s="20" t="s">
        <v>350</v>
      </c>
      <c r="J97" s="49">
        <f t="shared" si="22"/>
        <v>0</v>
      </c>
      <c r="K97" s="50">
        <f t="shared" si="23"/>
        <v>0</v>
      </c>
      <c r="L97" s="49">
        <f t="shared" si="24"/>
        <v>0</v>
      </c>
      <c r="M97" s="50">
        <f t="shared" si="25"/>
        <v>0</v>
      </c>
    </row>
    <row r="98" spans="1:13" s="20" customFormat="1" hidden="1" outlineLevel="1" x14ac:dyDescent="0.25">
      <c r="A98" s="59"/>
      <c r="B98" s="46" t="s">
        <v>348</v>
      </c>
      <c r="C98" s="46">
        <v>217</v>
      </c>
      <c r="D98" s="46">
        <v>88</v>
      </c>
      <c r="E98" s="18">
        <f t="shared" si="18"/>
        <v>1.9095999999999997</v>
      </c>
      <c r="F98" s="49">
        <f t="shared" si="21"/>
        <v>0</v>
      </c>
      <c r="G98" s="50">
        <f t="shared" si="19"/>
        <v>0</v>
      </c>
      <c r="H98" s="50">
        <f t="shared" si="20"/>
        <v>0</v>
      </c>
      <c r="I98" s="20" t="s">
        <v>350</v>
      </c>
      <c r="J98" s="49">
        <f t="shared" si="22"/>
        <v>0</v>
      </c>
      <c r="K98" s="50">
        <f t="shared" si="23"/>
        <v>0</v>
      </c>
      <c r="L98" s="49">
        <f t="shared" si="24"/>
        <v>0</v>
      </c>
      <c r="M98" s="50">
        <f t="shared" si="25"/>
        <v>0</v>
      </c>
    </row>
    <row r="99" spans="1:13" s="20" customFormat="1" hidden="1" outlineLevel="1" x14ac:dyDescent="0.25">
      <c r="A99" s="59"/>
      <c r="B99" s="46" t="s">
        <v>892</v>
      </c>
      <c r="C99" s="46">
        <v>210</v>
      </c>
      <c r="D99" s="46">
        <v>70</v>
      </c>
      <c r="E99" s="18">
        <f t="shared" si="18"/>
        <v>1.47</v>
      </c>
      <c r="F99" s="49">
        <f t="shared" si="21"/>
        <v>0</v>
      </c>
      <c r="G99" s="50">
        <f t="shared" si="19"/>
        <v>0</v>
      </c>
      <c r="H99" s="50">
        <f t="shared" si="20"/>
        <v>0</v>
      </c>
      <c r="I99" s="20" t="s">
        <v>351</v>
      </c>
      <c r="J99" s="49">
        <f t="shared" si="22"/>
        <v>0</v>
      </c>
      <c r="K99" s="50">
        <f t="shared" si="23"/>
        <v>0</v>
      </c>
      <c r="L99" s="49">
        <f t="shared" si="24"/>
        <v>0</v>
      </c>
      <c r="M99" s="50">
        <f t="shared" si="25"/>
        <v>0</v>
      </c>
    </row>
    <row r="100" spans="1:13" s="20" customFormat="1" hidden="1" outlineLevel="1" x14ac:dyDescent="0.25">
      <c r="A100" s="59"/>
      <c r="B100" s="46" t="s">
        <v>893</v>
      </c>
      <c r="C100" s="46">
        <v>210</v>
      </c>
      <c r="D100" s="46">
        <v>80</v>
      </c>
      <c r="E100" s="18">
        <f t="shared" si="18"/>
        <v>1.68</v>
      </c>
      <c r="F100" s="49">
        <f t="shared" si="21"/>
        <v>0</v>
      </c>
      <c r="G100" s="50">
        <f t="shared" si="19"/>
        <v>0</v>
      </c>
      <c r="H100" s="50">
        <f t="shared" si="20"/>
        <v>0</v>
      </c>
      <c r="I100" s="20" t="s">
        <v>351</v>
      </c>
      <c r="J100" s="49">
        <f t="shared" si="22"/>
        <v>0</v>
      </c>
      <c r="K100" s="50">
        <f t="shared" si="23"/>
        <v>0</v>
      </c>
      <c r="L100" s="49">
        <f t="shared" si="24"/>
        <v>0</v>
      </c>
      <c r="M100" s="50">
        <f t="shared" si="25"/>
        <v>0</v>
      </c>
    </row>
    <row r="101" spans="1:13" s="20" customFormat="1" hidden="1" outlineLevel="1" x14ac:dyDescent="0.25">
      <c r="A101" s="59"/>
      <c r="B101" s="46" t="s">
        <v>894</v>
      </c>
      <c r="C101" s="46">
        <v>215</v>
      </c>
      <c r="D101" s="46">
        <v>140</v>
      </c>
      <c r="E101" s="18">
        <f t="shared" si="18"/>
        <v>3.01</v>
      </c>
      <c r="F101" s="49">
        <f t="shared" si="21"/>
        <v>0</v>
      </c>
      <c r="G101" s="50">
        <f t="shared" si="19"/>
        <v>0</v>
      </c>
      <c r="H101" s="50">
        <f t="shared" si="20"/>
        <v>0</v>
      </c>
      <c r="I101" s="20" t="s">
        <v>351</v>
      </c>
      <c r="J101" s="49">
        <f t="shared" si="22"/>
        <v>0</v>
      </c>
      <c r="K101" s="50">
        <f t="shared" si="23"/>
        <v>0</v>
      </c>
      <c r="L101" s="49">
        <f t="shared" si="24"/>
        <v>0</v>
      </c>
      <c r="M101" s="50">
        <f t="shared" si="25"/>
        <v>0</v>
      </c>
    </row>
    <row r="102" spans="1:13" s="20" customFormat="1" hidden="1" outlineLevel="1" x14ac:dyDescent="0.25">
      <c r="A102" s="59"/>
      <c r="B102" s="46" t="s">
        <v>895</v>
      </c>
      <c r="C102" s="46">
        <v>215</v>
      </c>
      <c r="D102" s="46">
        <v>160</v>
      </c>
      <c r="E102" s="18">
        <f t="shared" si="18"/>
        <v>3.44</v>
      </c>
      <c r="F102" s="49">
        <f t="shared" si="21"/>
        <v>0</v>
      </c>
      <c r="G102" s="50">
        <f t="shared" si="19"/>
        <v>0</v>
      </c>
      <c r="H102" s="50">
        <f t="shared" si="20"/>
        <v>0</v>
      </c>
      <c r="I102" s="20" t="s">
        <v>351</v>
      </c>
      <c r="J102" s="49">
        <f t="shared" si="22"/>
        <v>0</v>
      </c>
      <c r="K102" s="50">
        <f t="shared" si="23"/>
        <v>0</v>
      </c>
      <c r="L102" s="49">
        <f t="shared" si="24"/>
        <v>0</v>
      </c>
      <c r="M102" s="50">
        <f t="shared" si="25"/>
        <v>0</v>
      </c>
    </row>
    <row r="103" spans="1:13" s="20" customFormat="1" hidden="1" outlineLevel="1" x14ac:dyDescent="0.25">
      <c r="A103" s="59"/>
      <c r="B103" s="46" t="s">
        <v>896</v>
      </c>
      <c r="C103" s="46">
        <v>215</v>
      </c>
      <c r="D103" s="46">
        <v>180</v>
      </c>
      <c r="E103" s="18">
        <f t="shared" si="18"/>
        <v>3.87</v>
      </c>
      <c r="F103" s="49">
        <f t="shared" si="21"/>
        <v>0</v>
      </c>
      <c r="G103" s="50">
        <f t="shared" si="19"/>
        <v>0</v>
      </c>
      <c r="H103" s="50">
        <f t="shared" si="20"/>
        <v>0</v>
      </c>
      <c r="I103" s="20" t="s">
        <v>351</v>
      </c>
      <c r="J103" s="49">
        <f t="shared" si="22"/>
        <v>0</v>
      </c>
      <c r="K103" s="50">
        <f t="shared" si="23"/>
        <v>0</v>
      </c>
      <c r="L103" s="49">
        <f t="shared" si="24"/>
        <v>0</v>
      </c>
      <c r="M103" s="50">
        <f t="shared" si="25"/>
        <v>0</v>
      </c>
    </row>
    <row r="104" spans="1:13" s="20" customFormat="1" hidden="1" outlineLevel="1" x14ac:dyDescent="0.25">
      <c r="A104" s="59"/>
      <c r="B104" s="46" t="s">
        <v>897</v>
      </c>
      <c r="C104" s="46">
        <v>215</v>
      </c>
      <c r="D104" s="46">
        <v>200</v>
      </c>
      <c r="E104" s="18">
        <f t="shared" si="18"/>
        <v>4.3</v>
      </c>
      <c r="F104" s="49">
        <f t="shared" si="21"/>
        <v>0</v>
      </c>
      <c r="G104" s="50">
        <f t="shared" si="19"/>
        <v>0</v>
      </c>
      <c r="H104" s="50">
        <f t="shared" si="20"/>
        <v>0</v>
      </c>
      <c r="I104" s="20" t="s">
        <v>351</v>
      </c>
      <c r="J104" s="49">
        <f t="shared" si="22"/>
        <v>0</v>
      </c>
      <c r="K104" s="50">
        <f t="shared" si="23"/>
        <v>0</v>
      </c>
      <c r="L104" s="49">
        <f t="shared" si="24"/>
        <v>0</v>
      </c>
      <c r="M104" s="50">
        <f t="shared" si="25"/>
        <v>0</v>
      </c>
    </row>
    <row r="105" spans="1:13" s="20" customFormat="1" hidden="1" outlineLevel="1" x14ac:dyDescent="0.25">
      <c r="A105" s="59"/>
      <c r="B105" s="46" t="s">
        <v>898</v>
      </c>
      <c r="C105" s="46">
        <v>215</v>
      </c>
      <c r="D105" s="46">
        <v>220</v>
      </c>
      <c r="E105" s="18">
        <f t="shared" si="18"/>
        <v>4.7300000000000004</v>
      </c>
      <c r="F105" s="49">
        <f t="shared" si="21"/>
        <v>0</v>
      </c>
      <c r="G105" s="50">
        <f t="shared" si="19"/>
        <v>0</v>
      </c>
      <c r="H105" s="50">
        <f t="shared" si="20"/>
        <v>0</v>
      </c>
      <c r="I105" s="20" t="s">
        <v>351</v>
      </c>
      <c r="J105" s="49">
        <f t="shared" si="22"/>
        <v>0</v>
      </c>
      <c r="K105" s="50">
        <f t="shared" si="23"/>
        <v>0</v>
      </c>
      <c r="L105" s="49">
        <f t="shared" si="24"/>
        <v>0</v>
      </c>
      <c r="M105" s="50">
        <f t="shared" si="25"/>
        <v>0</v>
      </c>
    </row>
    <row r="106" spans="1:13" s="20" customFormat="1" hidden="1" outlineLevel="1" x14ac:dyDescent="0.25">
      <c r="A106" s="59"/>
      <c r="B106" s="46" t="s">
        <v>899</v>
      </c>
      <c r="C106" s="46">
        <v>215</v>
      </c>
      <c r="D106" s="46">
        <v>240</v>
      </c>
      <c r="E106" s="18">
        <f t="shared" si="18"/>
        <v>5.16</v>
      </c>
      <c r="F106" s="49">
        <f t="shared" si="21"/>
        <v>0</v>
      </c>
      <c r="G106" s="50">
        <f t="shared" si="19"/>
        <v>0</v>
      </c>
      <c r="H106" s="50">
        <f t="shared" si="20"/>
        <v>0</v>
      </c>
      <c r="I106" s="20" t="s">
        <v>351</v>
      </c>
      <c r="J106" s="49">
        <f t="shared" si="22"/>
        <v>0</v>
      </c>
      <c r="K106" s="50">
        <f t="shared" si="23"/>
        <v>0</v>
      </c>
      <c r="L106" s="49">
        <f t="shared" si="24"/>
        <v>0</v>
      </c>
      <c r="M106" s="50">
        <f t="shared" si="25"/>
        <v>0</v>
      </c>
    </row>
    <row r="107" spans="1:13" s="20" customFormat="1" hidden="1" outlineLevel="1" x14ac:dyDescent="0.25">
      <c r="A107" s="59"/>
      <c r="B107" s="46" t="s">
        <v>900</v>
      </c>
      <c r="C107" s="46">
        <v>210</v>
      </c>
      <c r="D107" s="46">
        <v>70</v>
      </c>
      <c r="E107" s="18">
        <f t="shared" si="18"/>
        <v>1.47</v>
      </c>
      <c r="F107" s="49">
        <f t="shared" si="21"/>
        <v>0</v>
      </c>
      <c r="G107" s="50">
        <f t="shared" si="19"/>
        <v>0</v>
      </c>
      <c r="H107" s="50">
        <f t="shared" si="20"/>
        <v>0</v>
      </c>
      <c r="I107" s="20" t="s">
        <v>351</v>
      </c>
      <c r="J107" s="49">
        <f t="shared" si="22"/>
        <v>0</v>
      </c>
      <c r="K107" s="50">
        <f t="shared" si="23"/>
        <v>0</v>
      </c>
      <c r="L107" s="49">
        <f t="shared" si="24"/>
        <v>0</v>
      </c>
      <c r="M107" s="50">
        <f t="shared" si="25"/>
        <v>0</v>
      </c>
    </row>
    <row r="108" spans="1:13" s="20" customFormat="1" hidden="1" outlineLevel="1" x14ac:dyDescent="0.25">
      <c r="A108" s="59"/>
      <c r="B108" s="46" t="s">
        <v>901</v>
      </c>
      <c r="C108" s="46">
        <v>210</v>
      </c>
      <c r="D108" s="46">
        <v>80</v>
      </c>
      <c r="E108" s="18">
        <f t="shared" si="18"/>
        <v>1.68</v>
      </c>
      <c r="F108" s="49">
        <f t="shared" si="21"/>
        <v>0</v>
      </c>
      <c r="G108" s="50">
        <f t="shared" si="19"/>
        <v>0</v>
      </c>
      <c r="H108" s="50">
        <f t="shared" si="20"/>
        <v>0</v>
      </c>
      <c r="I108" s="20" t="s">
        <v>351</v>
      </c>
      <c r="J108" s="49">
        <f t="shared" si="22"/>
        <v>0</v>
      </c>
      <c r="K108" s="50">
        <f t="shared" si="23"/>
        <v>0</v>
      </c>
      <c r="L108" s="49">
        <f t="shared" si="24"/>
        <v>0</v>
      </c>
      <c r="M108" s="50">
        <f t="shared" si="25"/>
        <v>0</v>
      </c>
    </row>
    <row r="109" spans="1:13" s="20" customFormat="1" hidden="1" outlineLevel="1" x14ac:dyDescent="0.25">
      <c r="A109" s="59"/>
      <c r="B109" s="46" t="s">
        <v>902</v>
      </c>
      <c r="C109" s="46">
        <v>215</v>
      </c>
      <c r="D109" s="46">
        <v>140</v>
      </c>
      <c r="E109" s="18">
        <f t="shared" si="18"/>
        <v>3.01</v>
      </c>
      <c r="F109" s="49">
        <f t="shared" si="21"/>
        <v>0</v>
      </c>
      <c r="G109" s="50">
        <f t="shared" si="19"/>
        <v>0</v>
      </c>
      <c r="H109" s="50">
        <f t="shared" si="20"/>
        <v>0</v>
      </c>
      <c r="I109" s="20" t="s">
        <v>351</v>
      </c>
      <c r="J109" s="49">
        <f t="shared" si="22"/>
        <v>0</v>
      </c>
      <c r="K109" s="50">
        <f t="shared" si="23"/>
        <v>0</v>
      </c>
      <c r="L109" s="49">
        <f t="shared" si="24"/>
        <v>0</v>
      </c>
      <c r="M109" s="50">
        <f t="shared" si="25"/>
        <v>0</v>
      </c>
    </row>
    <row r="110" spans="1:13" s="20" customFormat="1" hidden="1" outlineLevel="1" x14ac:dyDescent="0.25">
      <c r="A110" s="59"/>
      <c r="B110" s="46" t="s">
        <v>903</v>
      </c>
      <c r="C110" s="46">
        <v>215</v>
      </c>
      <c r="D110" s="46">
        <v>160</v>
      </c>
      <c r="E110" s="18">
        <f t="shared" si="18"/>
        <v>3.44</v>
      </c>
      <c r="F110" s="49">
        <f t="shared" si="21"/>
        <v>0</v>
      </c>
      <c r="G110" s="50">
        <f t="shared" si="19"/>
        <v>0</v>
      </c>
      <c r="H110" s="50">
        <f t="shared" si="20"/>
        <v>0</v>
      </c>
      <c r="I110" s="20" t="s">
        <v>351</v>
      </c>
      <c r="J110" s="49">
        <f t="shared" si="22"/>
        <v>0</v>
      </c>
      <c r="K110" s="50">
        <f t="shared" si="23"/>
        <v>0</v>
      </c>
      <c r="L110" s="49">
        <f t="shared" si="24"/>
        <v>0</v>
      </c>
      <c r="M110" s="50">
        <f t="shared" si="25"/>
        <v>0</v>
      </c>
    </row>
    <row r="111" spans="1:13" s="20" customFormat="1" hidden="1" outlineLevel="1" x14ac:dyDescent="0.25">
      <c r="A111" s="59"/>
      <c r="B111" s="46" t="s">
        <v>904</v>
      </c>
      <c r="C111" s="46">
        <v>215</v>
      </c>
      <c r="D111" s="46">
        <v>180</v>
      </c>
      <c r="E111" s="18">
        <f t="shared" si="18"/>
        <v>3.87</v>
      </c>
      <c r="F111" s="49">
        <f t="shared" si="21"/>
        <v>0</v>
      </c>
      <c r="G111" s="50">
        <f t="shared" si="19"/>
        <v>0</v>
      </c>
      <c r="H111" s="50">
        <f t="shared" si="20"/>
        <v>0</v>
      </c>
      <c r="I111" s="20" t="s">
        <v>351</v>
      </c>
      <c r="J111" s="49">
        <f t="shared" si="22"/>
        <v>0</v>
      </c>
      <c r="K111" s="50">
        <f t="shared" si="23"/>
        <v>0</v>
      </c>
      <c r="L111" s="49">
        <f t="shared" si="24"/>
        <v>0</v>
      </c>
      <c r="M111" s="50">
        <f t="shared" si="25"/>
        <v>0</v>
      </c>
    </row>
    <row r="112" spans="1:13" s="20" customFormat="1" hidden="1" outlineLevel="1" x14ac:dyDescent="0.25">
      <c r="A112" s="59"/>
      <c r="B112" s="46" t="s">
        <v>905</v>
      </c>
      <c r="C112" s="46">
        <v>215</v>
      </c>
      <c r="D112" s="46">
        <v>200</v>
      </c>
      <c r="E112" s="18">
        <f t="shared" si="18"/>
        <v>4.3</v>
      </c>
      <c r="F112" s="49">
        <f t="shared" si="21"/>
        <v>0</v>
      </c>
      <c r="G112" s="50">
        <f t="shared" si="19"/>
        <v>0</v>
      </c>
      <c r="H112" s="50">
        <f t="shared" si="20"/>
        <v>0</v>
      </c>
      <c r="I112" s="20" t="s">
        <v>351</v>
      </c>
      <c r="J112" s="49">
        <f t="shared" si="22"/>
        <v>0</v>
      </c>
      <c r="K112" s="50">
        <f t="shared" si="23"/>
        <v>0</v>
      </c>
      <c r="L112" s="49">
        <f t="shared" si="24"/>
        <v>0</v>
      </c>
      <c r="M112" s="50">
        <f t="shared" si="25"/>
        <v>0</v>
      </c>
    </row>
    <row r="113" spans="1:13" s="20" customFormat="1" hidden="1" outlineLevel="1" x14ac:dyDescent="0.25">
      <c r="A113" s="59"/>
      <c r="B113" s="46" t="s">
        <v>906</v>
      </c>
      <c r="C113" s="46">
        <v>215</v>
      </c>
      <c r="D113" s="46">
        <v>220</v>
      </c>
      <c r="E113" s="18">
        <f t="shared" si="18"/>
        <v>4.7300000000000004</v>
      </c>
      <c r="F113" s="49">
        <f t="shared" si="21"/>
        <v>0</v>
      </c>
      <c r="G113" s="50">
        <f t="shared" si="19"/>
        <v>0</v>
      </c>
      <c r="H113" s="50">
        <f t="shared" si="20"/>
        <v>0</v>
      </c>
      <c r="I113" s="20" t="s">
        <v>351</v>
      </c>
      <c r="J113" s="49">
        <f t="shared" si="22"/>
        <v>0</v>
      </c>
      <c r="K113" s="50">
        <f t="shared" si="23"/>
        <v>0</v>
      </c>
      <c r="L113" s="49">
        <f t="shared" si="24"/>
        <v>0</v>
      </c>
      <c r="M113" s="50">
        <f t="shared" si="25"/>
        <v>0</v>
      </c>
    </row>
    <row r="114" spans="1:13" s="20" customFormat="1" hidden="1" outlineLevel="1" x14ac:dyDescent="0.25">
      <c r="A114" s="59"/>
      <c r="B114" s="46" t="s">
        <v>907</v>
      </c>
      <c r="C114" s="46">
        <v>215</v>
      </c>
      <c r="D114" s="46">
        <v>240</v>
      </c>
      <c r="E114" s="18">
        <f t="shared" si="18"/>
        <v>5.16</v>
      </c>
      <c r="F114" s="49">
        <f t="shared" si="21"/>
        <v>0</v>
      </c>
      <c r="G114" s="50">
        <f t="shared" si="19"/>
        <v>0</v>
      </c>
      <c r="H114" s="50">
        <f t="shared" si="20"/>
        <v>0</v>
      </c>
      <c r="I114" s="20" t="s">
        <v>351</v>
      </c>
      <c r="J114" s="49">
        <f t="shared" si="22"/>
        <v>0</v>
      </c>
      <c r="K114" s="50">
        <f t="shared" si="23"/>
        <v>0</v>
      </c>
      <c r="L114" s="49">
        <f t="shared" si="24"/>
        <v>0</v>
      </c>
      <c r="M114" s="50">
        <f t="shared" si="25"/>
        <v>0</v>
      </c>
    </row>
    <row r="115" spans="1:13" s="20" customFormat="1" hidden="1" outlineLevel="1" x14ac:dyDescent="0.25">
      <c r="A115" s="59"/>
      <c r="B115" s="46" t="s">
        <v>908</v>
      </c>
      <c r="C115" s="46">
        <v>210</v>
      </c>
      <c r="D115" s="46">
        <v>60</v>
      </c>
      <c r="E115" s="18">
        <f t="shared" si="18"/>
        <v>1.26</v>
      </c>
      <c r="F115" s="49">
        <f t="shared" si="21"/>
        <v>0</v>
      </c>
      <c r="G115" s="50">
        <f t="shared" si="19"/>
        <v>0</v>
      </c>
      <c r="H115" s="50">
        <f t="shared" si="20"/>
        <v>0</v>
      </c>
      <c r="I115" s="20" t="s">
        <v>351</v>
      </c>
      <c r="J115" s="49">
        <f t="shared" si="22"/>
        <v>0</v>
      </c>
      <c r="K115" s="50">
        <f t="shared" si="23"/>
        <v>0</v>
      </c>
      <c r="L115" s="49">
        <f t="shared" si="24"/>
        <v>0</v>
      </c>
      <c r="M115" s="50">
        <f t="shared" si="25"/>
        <v>0</v>
      </c>
    </row>
    <row r="116" spans="1:13" s="20" customFormat="1" hidden="1" outlineLevel="1" x14ac:dyDescent="0.25">
      <c r="A116" s="59"/>
      <c r="B116" s="46" t="s">
        <v>909</v>
      </c>
      <c r="C116" s="46">
        <v>210</v>
      </c>
      <c r="D116" s="46">
        <v>70</v>
      </c>
      <c r="E116" s="18">
        <f t="shared" ref="E116:E134" si="26">C116/100*D116/100</f>
        <v>1.47</v>
      </c>
      <c r="F116" s="49">
        <f t="shared" si="21"/>
        <v>0</v>
      </c>
      <c r="G116" s="50">
        <f t="shared" ref="G116:G134" si="27">E116*F116</f>
        <v>0</v>
      </c>
      <c r="H116" s="50">
        <f t="shared" ref="H116:H134" si="28">F116*D116/100</f>
        <v>0</v>
      </c>
      <c r="I116" s="20" t="s">
        <v>351</v>
      </c>
      <c r="J116" s="49">
        <f t="shared" si="22"/>
        <v>0</v>
      </c>
      <c r="K116" s="50">
        <f t="shared" si="23"/>
        <v>0</v>
      </c>
      <c r="L116" s="49">
        <f t="shared" si="24"/>
        <v>0</v>
      </c>
      <c r="M116" s="50">
        <f t="shared" si="25"/>
        <v>0</v>
      </c>
    </row>
    <row r="117" spans="1:13" s="20" customFormat="1" hidden="1" outlineLevel="1" x14ac:dyDescent="0.25">
      <c r="A117" s="59"/>
      <c r="B117" s="46" t="s">
        <v>910</v>
      </c>
      <c r="C117" s="46">
        <v>210</v>
      </c>
      <c r="D117" s="46">
        <v>80</v>
      </c>
      <c r="E117" s="18">
        <f t="shared" si="26"/>
        <v>1.68</v>
      </c>
      <c r="F117" s="49">
        <f t="shared" ref="F117:F134" si="29">SUMIF($B$9:$B$21,B117,$C$9:$C$21)</f>
        <v>0</v>
      </c>
      <c r="G117" s="50">
        <f t="shared" si="27"/>
        <v>0</v>
      </c>
      <c r="H117" s="50">
        <f t="shared" si="28"/>
        <v>0</v>
      </c>
      <c r="I117" s="20" t="s">
        <v>351</v>
      </c>
      <c r="J117" s="49">
        <f t="shared" ref="J117:J134" si="30">SUMIF($B$9:$B$14,B117,$C$9:$C$14)</f>
        <v>0</v>
      </c>
      <c r="K117" s="50">
        <f t="shared" ref="K117:K134" si="31">E117*J117</f>
        <v>0</v>
      </c>
      <c r="L117" s="49">
        <f t="shared" ref="L117:L134" si="32">SUMIF($B$17:$B$21,B117,$C$17:$C$21)</f>
        <v>0</v>
      </c>
      <c r="M117" s="50">
        <f t="shared" ref="M117:M134" si="33">E117*L117</f>
        <v>0</v>
      </c>
    </row>
    <row r="118" spans="1:13" s="20" customFormat="1" hidden="1" outlineLevel="1" x14ac:dyDescent="0.25">
      <c r="A118" s="59"/>
      <c r="B118" s="46" t="s">
        <v>911</v>
      </c>
      <c r="C118" s="46">
        <v>210</v>
      </c>
      <c r="D118" s="46">
        <v>90</v>
      </c>
      <c r="E118" s="18">
        <f t="shared" si="26"/>
        <v>1.89</v>
      </c>
      <c r="F118" s="49">
        <f t="shared" si="29"/>
        <v>0</v>
      </c>
      <c r="G118" s="50">
        <f t="shared" si="27"/>
        <v>0</v>
      </c>
      <c r="H118" s="50">
        <f t="shared" si="28"/>
        <v>0</v>
      </c>
      <c r="I118" s="20" t="s">
        <v>351</v>
      </c>
      <c r="J118" s="49">
        <f t="shared" si="30"/>
        <v>0</v>
      </c>
      <c r="K118" s="50">
        <f t="shared" si="31"/>
        <v>0</v>
      </c>
      <c r="L118" s="49">
        <f t="shared" si="32"/>
        <v>0</v>
      </c>
      <c r="M118" s="50">
        <f t="shared" si="33"/>
        <v>0</v>
      </c>
    </row>
    <row r="119" spans="1:13" s="20" customFormat="1" hidden="1" outlineLevel="1" x14ac:dyDescent="0.25">
      <c r="A119" s="59"/>
      <c r="B119" s="46" t="s">
        <v>912</v>
      </c>
      <c r="C119" s="46">
        <v>210</v>
      </c>
      <c r="D119" s="46">
        <v>100</v>
      </c>
      <c r="E119" s="18">
        <f t="shared" si="26"/>
        <v>2.1</v>
      </c>
      <c r="F119" s="49">
        <f t="shared" si="29"/>
        <v>0</v>
      </c>
      <c r="G119" s="50">
        <f t="shared" si="27"/>
        <v>0</v>
      </c>
      <c r="H119" s="50">
        <f t="shared" si="28"/>
        <v>0</v>
      </c>
      <c r="I119" s="20" t="s">
        <v>351</v>
      </c>
      <c r="J119" s="49">
        <f t="shared" si="30"/>
        <v>0</v>
      </c>
      <c r="K119" s="50">
        <f t="shared" si="31"/>
        <v>0</v>
      </c>
      <c r="L119" s="49">
        <f t="shared" si="32"/>
        <v>0</v>
      </c>
      <c r="M119" s="50">
        <f t="shared" si="33"/>
        <v>0</v>
      </c>
    </row>
    <row r="120" spans="1:13" s="20" customFormat="1" hidden="1" outlineLevel="1" x14ac:dyDescent="0.25">
      <c r="A120" s="59"/>
      <c r="B120" s="46" t="s">
        <v>913</v>
      </c>
      <c r="C120" s="46">
        <v>210</v>
      </c>
      <c r="D120" s="46">
        <v>110</v>
      </c>
      <c r="E120" s="18">
        <f t="shared" si="26"/>
        <v>2.31</v>
      </c>
      <c r="F120" s="49">
        <f t="shared" si="29"/>
        <v>0</v>
      </c>
      <c r="G120" s="50">
        <f t="shared" si="27"/>
        <v>0</v>
      </c>
      <c r="H120" s="50">
        <f t="shared" si="28"/>
        <v>0</v>
      </c>
      <c r="I120" s="20" t="s">
        <v>351</v>
      </c>
      <c r="J120" s="49">
        <f t="shared" si="30"/>
        <v>0</v>
      </c>
      <c r="K120" s="50">
        <f t="shared" si="31"/>
        <v>0</v>
      </c>
      <c r="L120" s="49">
        <f t="shared" si="32"/>
        <v>0</v>
      </c>
      <c r="M120" s="50">
        <f t="shared" si="33"/>
        <v>0</v>
      </c>
    </row>
    <row r="121" spans="1:13" s="20" customFormat="1" hidden="1" outlineLevel="1" x14ac:dyDescent="0.25">
      <c r="A121" s="59"/>
      <c r="B121" s="46" t="s">
        <v>914</v>
      </c>
      <c r="C121" s="46">
        <v>210</v>
      </c>
      <c r="D121" s="46">
        <v>120</v>
      </c>
      <c r="E121" s="18">
        <f t="shared" si="26"/>
        <v>2.52</v>
      </c>
      <c r="F121" s="49">
        <f t="shared" si="29"/>
        <v>0</v>
      </c>
      <c r="G121" s="50">
        <f t="shared" si="27"/>
        <v>0</v>
      </c>
      <c r="H121" s="50">
        <f t="shared" si="28"/>
        <v>0</v>
      </c>
      <c r="I121" s="20" t="s">
        <v>351</v>
      </c>
      <c r="J121" s="49">
        <f t="shared" si="30"/>
        <v>0</v>
      </c>
      <c r="K121" s="50">
        <f t="shared" si="31"/>
        <v>0</v>
      </c>
      <c r="L121" s="49">
        <f t="shared" si="32"/>
        <v>0</v>
      </c>
      <c r="M121" s="50">
        <f t="shared" si="33"/>
        <v>0</v>
      </c>
    </row>
    <row r="122" spans="1:13" s="20" customFormat="1" hidden="1" outlineLevel="1" x14ac:dyDescent="0.25">
      <c r="A122" s="59"/>
      <c r="B122" s="46" t="s">
        <v>915</v>
      </c>
      <c r="C122" s="46">
        <v>210</v>
      </c>
      <c r="D122" s="46">
        <v>60</v>
      </c>
      <c r="E122" s="18">
        <f t="shared" si="26"/>
        <v>1.26</v>
      </c>
      <c r="F122" s="49">
        <f t="shared" si="29"/>
        <v>0</v>
      </c>
      <c r="G122" s="50">
        <f t="shared" si="27"/>
        <v>0</v>
      </c>
      <c r="H122" s="50">
        <f t="shared" si="28"/>
        <v>0</v>
      </c>
      <c r="I122" s="20" t="s">
        <v>351</v>
      </c>
      <c r="J122" s="49">
        <f t="shared" si="30"/>
        <v>0</v>
      </c>
      <c r="K122" s="50">
        <f t="shared" si="31"/>
        <v>0</v>
      </c>
      <c r="L122" s="49">
        <f t="shared" si="32"/>
        <v>0</v>
      </c>
      <c r="M122" s="50">
        <f t="shared" si="33"/>
        <v>0</v>
      </c>
    </row>
    <row r="123" spans="1:13" s="20" customFormat="1" hidden="1" outlineLevel="1" x14ac:dyDescent="0.25">
      <c r="A123" s="59"/>
      <c r="B123" s="46" t="s">
        <v>916</v>
      </c>
      <c r="C123" s="46">
        <v>210</v>
      </c>
      <c r="D123" s="46">
        <v>70</v>
      </c>
      <c r="E123" s="18">
        <f t="shared" si="26"/>
        <v>1.47</v>
      </c>
      <c r="F123" s="49">
        <f t="shared" si="29"/>
        <v>0</v>
      </c>
      <c r="G123" s="50">
        <f t="shared" si="27"/>
        <v>0</v>
      </c>
      <c r="H123" s="50">
        <f t="shared" si="28"/>
        <v>0</v>
      </c>
      <c r="I123" s="20" t="s">
        <v>351</v>
      </c>
      <c r="J123" s="49">
        <f t="shared" si="30"/>
        <v>0</v>
      </c>
      <c r="K123" s="50">
        <f t="shared" si="31"/>
        <v>0</v>
      </c>
      <c r="L123" s="49">
        <f t="shared" si="32"/>
        <v>0</v>
      </c>
      <c r="M123" s="50">
        <f t="shared" si="33"/>
        <v>0</v>
      </c>
    </row>
    <row r="124" spans="1:13" s="20" customFormat="1" hidden="1" outlineLevel="1" x14ac:dyDescent="0.25">
      <c r="A124" s="59"/>
      <c r="B124" s="46" t="s">
        <v>917</v>
      </c>
      <c r="C124" s="46">
        <v>210</v>
      </c>
      <c r="D124" s="46">
        <v>80</v>
      </c>
      <c r="E124" s="18">
        <f t="shared" si="26"/>
        <v>1.68</v>
      </c>
      <c r="F124" s="49">
        <f t="shared" si="29"/>
        <v>0</v>
      </c>
      <c r="G124" s="50">
        <f t="shared" si="27"/>
        <v>0</v>
      </c>
      <c r="H124" s="50">
        <f t="shared" si="28"/>
        <v>0</v>
      </c>
      <c r="I124" s="20" t="s">
        <v>351</v>
      </c>
      <c r="J124" s="49">
        <f t="shared" si="30"/>
        <v>0</v>
      </c>
      <c r="K124" s="50">
        <f t="shared" si="31"/>
        <v>0</v>
      </c>
      <c r="L124" s="49">
        <f t="shared" si="32"/>
        <v>0</v>
      </c>
      <c r="M124" s="50">
        <f t="shared" si="33"/>
        <v>0</v>
      </c>
    </row>
    <row r="125" spans="1:13" s="20" customFormat="1" hidden="1" outlineLevel="1" x14ac:dyDescent="0.25">
      <c r="A125" s="59"/>
      <c r="B125" s="46" t="s">
        <v>918</v>
      </c>
      <c r="C125" s="46">
        <v>210</v>
      </c>
      <c r="D125" s="46">
        <v>90</v>
      </c>
      <c r="E125" s="18">
        <f t="shared" si="26"/>
        <v>1.89</v>
      </c>
      <c r="F125" s="49">
        <f t="shared" si="29"/>
        <v>0</v>
      </c>
      <c r="G125" s="50">
        <f t="shared" si="27"/>
        <v>0</v>
      </c>
      <c r="H125" s="50">
        <f t="shared" si="28"/>
        <v>0</v>
      </c>
      <c r="I125" s="20" t="s">
        <v>351</v>
      </c>
      <c r="J125" s="49">
        <f t="shared" si="30"/>
        <v>0</v>
      </c>
      <c r="K125" s="50">
        <f t="shared" si="31"/>
        <v>0</v>
      </c>
      <c r="L125" s="49">
        <f t="shared" si="32"/>
        <v>0</v>
      </c>
      <c r="M125" s="50">
        <f t="shared" si="33"/>
        <v>0</v>
      </c>
    </row>
    <row r="126" spans="1:13" s="20" customFormat="1" hidden="1" outlineLevel="1" x14ac:dyDescent="0.25">
      <c r="A126" s="59"/>
      <c r="B126" s="46" t="s">
        <v>919</v>
      </c>
      <c r="C126" s="46">
        <v>215</v>
      </c>
      <c r="D126" s="46">
        <v>105</v>
      </c>
      <c r="E126" s="18">
        <f t="shared" si="26"/>
        <v>2.2574999999999998</v>
      </c>
      <c r="F126" s="49">
        <f t="shared" si="29"/>
        <v>0</v>
      </c>
      <c r="G126" s="50">
        <f t="shared" si="27"/>
        <v>0</v>
      </c>
      <c r="H126" s="50">
        <f t="shared" si="28"/>
        <v>0</v>
      </c>
      <c r="I126" s="20" t="s">
        <v>351</v>
      </c>
      <c r="J126" s="49">
        <f t="shared" si="30"/>
        <v>0</v>
      </c>
      <c r="K126" s="50">
        <f t="shared" si="31"/>
        <v>0</v>
      </c>
      <c r="L126" s="49">
        <f t="shared" si="32"/>
        <v>0</v>
      </c>
      <c r="M126" s="50">
        <f t="shared" si="33"/>
        <v>0</v>
      </c>
    </row>
    <row r="127" spans="1:13" s="20" customFormat="1" hidden="1" outlineLevel="1" x14ac:dyDescent="0.25">
      <c r="A127" s="59"/>
      <c r="B127" s="46" t="s">
        <v>920</v>
      </c>
      <c r="C127" s="46">
        <v>215</v>
      </c>
      <c r="D127" s="46">
        <v>75</v>
      </c>
      <c r="E127" s="18">
        <f t="shared" si="26"/>
        <v>1.6125</v>
      </c>
      <c r="F127" s="49">
        <f t="shared" si="29"/>
        <v>0</v>
      </c>
      <c r="G127" s="50">
        <f t="shared" si="27"/>
        <v>0</v>
      </c>
      <c r="H127" s="50">
        <f t="shared" si="28"/>
        <v>0</v>
      </c>
      <c r="I127" s="20" t="s">
        <v>351</v>
      </c>
      <c r="J127" s="49">
        <f t="shared" si="30"/>
        <v>0</v>
      </c>
      <c r="K127" s="50">
        <f t="shared" si="31"/>
        <v>0</v>
      </c>
      <c r="L127" s="49">
        <f t="shared" si="32"/>
        <v>0</v>
      </c>
      <c r="M127" s="50">
        <f t="shared" si="33"/>
        <v>0</v>
      </c>
    </row>
    <row r="128" spans="1:13" s="20" customFormat="1" hidden="1" outlineLevel="1" x14ac:dyDescent="0.25">
      <c r="A128" s="59"/>
      <c r="B128" s="46" t="s">
        <v>921</v>
      </c>
      <c r="C128" s="46">
        <v>215</v>
      </c>
      <c r="D128" s="46">
        <v>85</v>
      </c>
      <c r="E128" s="18">
        <f t="shared" si="26"/>
        <v>1.8274999999999999</v>
      </c>
      <c r="F128" s="49">
        <f t="shared" si="29"/>
        <v>0</v>
      </c>
      <c r="G128" s="50">
        <f t="shared" si="27"/>
        <v>0</v>
      </c>
      <c r="H128" s="50">
        <f t="shared" si="28"/>
        <v>0</v>
      </c>
      <c r="I128" s="20" t="s">
        <v>351</v>
      </c>
      <c r="J128" s="49">
        <f t="shared" si="30"/>
        <v>0</v>
      </c>
      <c r="K128" s="50">
        <f t="shared" si="31"/>
        <v>0</v>
      </c>
      <c r="L128" s="49">
        <f t="shared" si="32"/>
        <v>0</v>
      </c>
      <c r="M128" s="50">
        <f t="shared" si="33"/>
        <v>0</v>
      </c>
    </row>
    <row r="129" spans="1:13" s="20" customFormat="1" hidden="1" outlineLevel="1" x14ac:dyDescent="0.25">
      <c r="A129" s="59"/>
      <c r="B129" s="46" t="s">
        <v>922</v>
      </c>
      <c r="C129" s="46">
        <v>215</v>
      </c>
      <c r="D129" s="46">
        <v>90</v>
      </c>
      <c r="E129" s="18">
        <f t="shared" si="26"/>
        <v>1.9350000000000001</v>
      </c>
      <c r="F129" s="49">
        <f t="shared" si="29"/>
        <v>0</v>
      </c>
      <c r="G129" s="50">
        <f t="shared" si="27"/>
        <v>0</v>
      </c>
      <c r="H129" s="50">
        <f t="shared" si="28"/>
        <v>0</v>
      </c>
      <c r="I129" s="20" t="s">
        <v>351</v>
      </c>
      <c r="J129" s="49">
        <f t="shared" si="30"/>
        <v>0</v>
      </c>
      <c r="K129" s="50">
        <f t="shared" si="31"/>
        <v>0</v>
      </c>
      <c r="L129" s="49">
        <f t="shared" si="32"/>
        <v>0</v>
      </c>
      <c r="M129" s="50">
        <f t="shared" si="33"/>
        <v>0</v>
      </c>
    </row>
    <row r="130" spans="1:13" s="20" customFormat="1" hidden="1" outlineLevel="1" x14ac:dyDescent="0.25">
      <c r="A130" s="59"/>
      <c r="B130" s="46" t="s">
        <v>923</v>
      </c>
      <c r="C130" s="46">
        <v>210</v>
      </c>
      <c r="D130" s="46">
        <v>120</v>
      </c>
      <c r="E130" s="18">
        <f t="shared" si="26"/>
        <v>2.52</v>
      </c>
      <c r="F130" s="49">
        <f t="shared" si="29"/>
        <v>0</v>
      </c>
      <c r="G130" s="50">
        <f t="shared" si="27"/>
        <v>0</v>
      </c>
      <c r="H130" s="50">
        <f t="shared" si="28"/>
        <v>0</v>
      </c>
      <c r="I130" s="20" t="s">
        <v>351</v>
      </c>
      <c r="J130" s="49">
        <f t="shared" si="30"/>
        <v>0</v>
      </c>
      <c r="K130" s="50">
        <f t="shared" si="31"/>
        <v>0</v>
      </c>
      <c r="L130" s="49">
        <f t="shared" si="32"/>
        <v>0</v>
      </c>
      <c r="M130" s="50">
        <f t="shared" si="33"/>
        <v>0</v>
      </c>
    </row>
    <row r="131" spans="1:13" s="20" customFormat="1" hidden="1" outlineLevel="1" x14ac:dyDescent="0.25">
      <c r="A131" s="59"/>
      <c r="B131" s="46" t="s">
        <v>924</v>
      </c>
      <c r="C131" s="46">
        <v>210</v>
      </c>
      <c r="D131" s="46">
        <v>150</v>
      </c>
      <c r="E131" s="18">
        <f t="shared" si="26"/>
        <v>3.15</v>
      </c>
      <c r="F131" s="49">
        <f t="shared" si="29"/>
        <v>0</v>
      </c>
      <c r="G131" s="50">
        <f t="shared" si="27"/>
        <v>0</v>
      </c>
      <c r="H131" s="50">
        <f t="shared" si="28"/>
        <v>0</v>
      </c>
      <c r="I131" s="20" t="s">
        <v>351</v>
      </c>
      <c r="J131" s="49">
        <f t="shared" si="30"/>
        <v>0</v>
      </c>
      <c r="K131" s="50">
        <f t="shared" si="31"/>
        <v>0</v>
      </c>
      <c r="L131" s="49">
        <f t="shared" si="32"/>
        <v>0</v>
      </c>
      <c r="M131" s="50">
        <f t="shared" si="33"/>
        <v>0</v>
      </c>
    </row>
    <row r="132" spans="1:13" s="20" customFormat="1" hidden="1" outlineLevel="1" x14ac:dyDescent="0.25">
      <c r="A132" s="59"/>
      <c r="B132" s="46" t="s">
        <v>925</v>
      </c>
      <c r="C132" s="46">
        <v>210</v>
      </c>
      <c r="D132" s="46">
        <v>120</v>
      </c>
      <c r="E132" s="18">
        <f t="shared" si="26"/>
        <v>2.52</v>
      </c>
      <c r="F132" s="49">
        <f t="shared" si="29"/>
        <v>0</v>
      </c>
      <c r="G132" s="50">
        <f t="shared" si="27"/>
        <v>0</v>
      </c>
      <c r="H132" s="50">
        <f t="shared" si="28"/>
        <v>0</v>
      </c>
      <c r="I132" s="20" t="s">
        <v>351</v>
      </c>
      <c r="J132" s="49">
        <f t="shared" si="30"/>
        <v>0</v>
      </c>
      <c r="K132" s="50">
        <f t="shared" si="31"/>
        <v>0</v>
      </c>
      <c r="L132" s="49">
        <f t="shared" si="32"/>
        <v>0</v>
      </c>
      <c r="M132" s="50">
        <f t="shared" si="33"/>
        <v>0</v>
      </c>
    </row>
    <row r="133" spans="1:13" s="20" customFormat="1" hidden="1" outlineLevel="1" x14ac:dyDescent="0.25">
      <c r="A133" s="59"/>
      <c r="B133" s="46" t="s">
        <v>926</v>
      </c>
      <c r="C133" s="46">
        <v>210</v>
      </c>
      <c r="D133" s="46">
        <v>140</v>
      </c>
      <c r="E133" s="18">
        <f t="shared" si="26"/>
        <v>2.94</v>
      </c>
      <c r="F133" s="49">
        <f t="shared" si="29"/>
        <v>0</v>
      </c>
      <c r="G133" s="50">
        <f t="shared" si="27"/>
        <v>0</v>
      </c>
      <c r="H133" s="50">
        <f t="shared" si="28"/>
        <v>0</v>
      </c>
      <c r="I133" s="20" t="s">
        <v>351</v>
      </c>
      <c r="J133" s="49">
        <f t="shared" si="30"/>
        <v>0</v>
      </c>
      <c r="K133" s="50">
        <f t="shared" si="31"/>
        <v>0</v>
      </c>
      <c r="L133" s="49">
        <f t="shared" si="32"/>
        <v>0</v>
      </c>
      <c r="M133" s="50">
        <f t="shared" si="33"/>
        <v>0</v>
      </c>
    </row>
    <row r="134" spans="1:13" s="20" customFormat="1" hidden="1" outlineLevel="1" x14ac:dyDescent="0.25">
      <c r="A134" s="59"/>
      <c r="B134" s="46" t="s">
        <v>927</v>
      </c>
      <c r="C134" s="46">
        <v>210</v>
      </c>
      <c r="D134" s="46">
        <v>160</v>
      </c>
      <c r="E134" s="18">
        <f t="shared" si="26"/>
        <v>3.36</v>
      </c>
      <c r="F134" s="49">
        <f t="shared" si="29"/>
        <v>0</v>
      </c>
      <c r="G134" s="50">
        <f t="shared" si="27"/>
        <v>0</v>
      </c>
      <c r="H134" s="50">
        <f t="shared" si="28"/>
        <v>0</v>
      </c>
      <c r="I134" s="20" t="s">
        <v>351</v>
      </c>
      <c r="J134" s="49">
        <f t="shared" si="30"/>
        <v>0</v>
      </c>
      <c r="K134" s="50">
        <f t="shared" si="31"/>
        <v>0</v>
      </c>
      <c r="L134" s="49">
        <f t="shared" si="32"/>
        <v>0</v>
      </c>
      <c r="M134" s="50">
        <f t="shared" si="33"/>
        <v>0</v>
      </c>
    </row>
    <row r="135" spans="1:13" s="20" customFormat="1" hidden="1" outlineLevel="1" x14ac:dyDescent="0.25">
      <c r="A135" s="59"/>
      <c r="B135" s="46" t="s">
        <v>928</v>
      </c>
      <c r="C135" s="46">
        <v>210</v>
      </c>
      <c r="D135" s="46">
        <v>180</v>
      </c>
      <c r="E135" s="18">
        <f t="shared" ref="E135:E154" si="34">C135/100*D135/100</f>
        <v>3.78</v>
      </c>
      <c r="F135" s="49">
        <f t="shared" ref="F135:F154" si="35">SUMIF($B$9:$B$21,B135,$C$9:$C$21)</f>
        <v>0</v>
      </c>
      <c r="G135" s="50">
        <f t="shared" ref="G135:G154" si="36">E135*F135</f>
        <v>0</v>
      </c>
      <c r="H135" s="50">
        <f t="shared" ref="H135:H154" si="37">F135*D135/100</f>
        <v>0</v>
      </c>
      <c r="I135" s="20" t="s">
        <v>351</v>
      </c>
      <c r="J135" s="49">
        <f t="shared" ref="J135:J154" si="38">SUMIF($B$9:$B$14,B135,$C$9:$C$14)</f>
        <v>0</v>
      </c>
      <c r="K135" s="50">
        <f t="shared" ref="K135:K154" si="39">E135*J135</f>
        <v>0</v>
      </c>
      <c r="L135" s="49">
        <f t="shared" ref="L135:L154" si="40">SUMIF($B$17:$B$21,B135,$C$17:$C$21)</f>
        <v>0</v>
      </c>
      <c r="M135" s="50">
        <f t="shared" ref="M135:M154" si="41">E135*L135</f>
        <v>0</v>
      </c>
    </row>
    <row r="136" spans="1:13" s="20" customFormat="1" hidden="1" outlineLevel="1" x14ac:dyDescent="0.25">
      <c r="A136" s="59"/>
      <c r="B136" s="46" t="s">
        <v>929</v>
      </c>
      <c r="C136" s="46">
        <v>210</v>
      </c>
      <c r="D136" s="46">
        <v>200</v>
      </c>
      <c r="E136" s="18">
        <f t="shared" si="34"/>
        <v>4.2</v>
      </c>
      <c r="F136" s="49">
        <f t="shared" si="35"/>
        <v>0</v>
      </c>
      <c r="G136" s="50">
        <f t="shared" si="36"/>
        <v>0</v>
      </c>
      <c r="H136" s="50">
        <f t="shared" si="37"/>
        <v>0</v>
      </c>
      <c r="I136" s="20" t="s">
        <v>351</v>
      </c>
      <c r="J136" s="49">
        <f t="shared" si="38"/>
        <v>0</v>
      </c>
      <c r="K136" s="50">
        <f t="shared" si="39"/>
        <v>0</v>
      </c>
      <c r="L136" s="49">
        <f t="shared" si="40"/>
        <v>0</v>
      </c>
      <c r="M136" s="50">
        <f t="shared" si="41"/>
        <v>0</v>
      </c>
    </row>
    <row r="137" spans="1:13" s="20" customFormat="1" hidden="1" outlineLevel="1" x14ac:dyDescent="0.25">
      <c r="A137" s="59"/>
      <c r="B137" s="46" t="s">
        <v>930</v>
      </c>
      <c r="C137" s="46">
        <v>210</v>
      </c>
      <c r="D137" s="46">
        <v>70</v>
      </c>
      <c r="E137" s="18">
        <f t="shared" si="34"/>
        <v>1.47</v>
      </c>
      <c r="F137" s="49">
        <f t="shared" si="35"/>
        <v>0</v>
      </c>
      <c r="G137" s="50">
        <f t="shared" si="36"/>
        <v>0</v>
      </c>
      <c r="H137" s="50">
        <f t="shared" si="37"/>
        <v>0</v>
      </c>
      <c r="I137" s="20" t="s">
        <v>351</v>
      </c>
      <c r="J137" s="49">
        <f t="shared" si="38"/>
        <v>0</v>
      </c>
      <c r="K137" s="50">
        <f t="shared" si="39"/>
        <v>0</v>
      </c>
      <c r="L137" s="49">
        <f t="shared" si="40"/>
        <v>0</v>
      </c>
      <c r="M137" s="50">
        <f t="shared" si="41"/>
        <v>0</v>
      </c>
    </row>
    <row r="138" spans="1:13" s="20" customFormat="1" hidden="1" outlineLevel="1" x14ac:dyDescent="0.25">
      <c r="A138" s="59"/>
      <c r="B138" s="46" t="s">
        <v>931</v>
      </c>
      <c r="C138" s="46">
        <v>210</v>
      </c>
      <c r="D138" s="46">
        <v>80</v>
      </c>
      <c r="E138" s="18">
        <f t="shared" si="34"/>
        <v>1.68</v>
      </c>
      <c r="F138" s="49">
        <f t="shared" si="35"/>
        <v>0</v>
      </c>
      <c r="G138" s="50">
        <f t="shared" si="36"/>
        <v>0</v>
      </c>
      <c r="H138" s="50">
        <f t="shared" si="37"/>
        <v>0</v>
      </c>
      <c r="I138" s="20" t="s">
        <v>351</v>
      </c>
      <c r="J138" s="49">
        <f t="shared" si="38"/>
        <v>0</v>
      </c>
      <c r="K138" s="50">
        <f t="shared" si="39"/>
        <v>0</v>
      </c>
      <c r="L138" s="49">
        <f t="shared" si="40"/>
        <v>0</v>
      </c>
      <c r="M138" s="50">
        <f t="shared" si="41"/>
        <v>0</v>
      </c>
    </row>
    <row r="139" spans="1:13" s="20" customFormat="1" hidden="1" outlineLevel="1" x14ac:dyDescent="0.25">
      <c r="A139" s="59"/>
      <c r="B139" s="46" t="s">
        <v>932</v>
      </c>
      <c r="C139" s="46">
        <v>215</v>
      </c>
      <c r="D139" s="46">
        <v>140</v>
      </c>
      <c r="E139" s="18">
        <f t="shared" si="34"/>
        <v>3.01</v>
      </c>
      <c r="F139" s="49">
        <f t="shared" si="35"/>
        <v>0</v>
      </c>
      <c r="G139" s="50">
        <f t="shared" si="36"/>
        <v>0</v>
      </c>
      <c r="H139" s="50">
        <f t="shared" si="37"/>
        <v>0</v>
      </c>
      <c r="I139" s="20" t="s">
        <v>351</v>
      </c>
      <c r="J139" s="49">
        <f t="shared" si="38"/>
        <v>0</v>
      </c>
      <c r="K139" s="50">
        <f t="shared" si="39"/>
        <v>0</v>
      </c>
      <c r="L139" s="49">
        <f t="shared" si="40"/>
        <v>0</v>
      </c>
      <c r="M139" s="50">
        <f t="shared" si="41"/>
        <v>0</v>
      </c>
    </row>
    <row r="140" spans="1:13" s="20" customFormat="1" hidden="1" outlineLevel="1" x14ac:dyDescent="0.25">
      <c r="A140" s="59"/>
      <c r="B140" s="46" t="s">
        <v>933</v>
      </c>
      <c r="C140" s="46">
        <v>215</v>
      </c>
      <c r="D140" s="46">
        <v>160</v>
      </c>
      <c r="E140" s="18">
        <f t="shared" si="34"/>
        <v>3.44</v>
      </c>
      <c r="F140" s="49">
        <f t="shared" si="35"/>
        <v>0</v>
      </c>
      <c r="G140" s="50">
        <f t="shared" si="36"/>
        <v>0</v>
      </c>
      <c r="H140" s="50">
        <f t="shared" si="37"/>
        <v>0</v>
      </c>
      <c r="I140" s="20" t="s">
        <v>351</v>
      </c>
      <c r="J140" s="49">
        <f t="shared" si="38"/>
        <v>0</v>
      </c>
      <c r="K140" s="50">
        <f t="shared" si="39"/>
        <v>0</v>
      </c>
      <c r="L140" s="49">
        <f t="shared" si="40"/>
        <v>0</v>
      </c>
      <c r="M140" s="50">
        <f t="shared" si="41"/>
        <v>0</v>
      </c>
    </row>
    <row r="141" spans="1:13" s="20" customFormat="1" hidden="1" outlineLevel="1" x14ac:dyDescent="0.25">
      <c r="A141" s="59"/>
      <c r="B141" s="46" t="s">
        <v>934</v>
      </c>
      <c r="C141" s="46">
        <v>215</v>
      </c>
      <c r="D141" s="46">
        <v>180</v>
      </c>
      <c r="E141" s="18">
        <f t="shared" si="34"/>
        <v>3.87</v>
      </c>
      <c r="F141" s="49">
        <f t="shared" si="35"/>
        <v>0</v>
      </c>
      <c r="G141" s="50">
        <f t="shared" si="36"/>
        <v>0</v>
      </c>
      <c r="H141" s="50">
        <f t="shared" si="37"/>
        <v>0</v>
      </c>
      <c r="I141" s="20" t="s">
        <v>351</v>
      </c>
      <c r="J141" s="49">
        <f t="shared" si="38"/>
        <v>0</v>
      </c>
      <c r="K141" s="50">
        <f t="shared" si="39"/>
        <v>0</v>
      </c>
      <c r="L141" s="49">
        <f t="shared" si="40"/>
        <v>0</v>
      </c>
      <c r="M141" s="50">
        <f t="shared" si="41"/>
        <v>0</v>
      </c>
    </row>
    <row r="142" spans="1:13" s="20" customFormat="1" hidden="1" outlineLevel="1" x14ac:dyDescent="0.25">
      <c r="A142" s="59"/>
      <c r="B142" s="46" t="s">
        <v>935</v>
      </c>
      <c r="C142" s="46">
        <v>215</v>
      </c>
      <c r="D142" s="46">
        <v>200</v>
      </c>
      <c r="E142" s="18">
        <f t="shared" si="34"/>
        <v>4.3</v>
      </c>
      <c r="F142" s="49">
        <f t="shared" si="35"/>
        <v>0</v>
      </c>
      <c r="G142" s="50">
        <f t="shared" si="36"/>
        <v>0</v>
      </c>
      <c r="H142" s="50">
        <f t="shared" si="37"/>
        <v>0</v>
      </c>
      <c r="I142" s="20" t="s">
        <v>351</v>
      </c>
      <c r="J142" s="49">
        <f t="shared" si="38"/>
        <v>0</v>
      </c>
      <c r="K142" s="50">
        <f t="shared" si="39"/>
        <v>0</v>
      </c>
      <c r="L142" s="49">
        <f t="shared" si="40"/>
        <v>0</v>
      </c>
      <c r="M142" s="50">
        <f t="shared" si="41"/>
        <v>0</v>
      </c>
    </row>
    <row r="143" spans="1:13" s="20" customFormat="1" hidden="1" outlineLevel="1" x14ac:dyDescent="0.25">
      <c r="A143" s="59"/>
      <c r="B143" s="46" t="s">
        <v>936</v>
      </c>
      <c r="C143" s="46">
        <v>215</v>
      </c>
      <c r="D143" s="46">
        <v>220</v>
      </c>
      <c r="E143" s="18">
        <f t="shared" si="34"/>
        <v>4.7300000000000004</v>
      </c>
      <c r="F143" s="49">
        <f t="shared" si="35"/>
        <v>0</v>
      </c>
      <c r="G143" s="50">
        <f t="shared" si="36"/>
        <v>0</v>
      </c>
      <c r="H143" s="50">
        <f t="shared" si="37"/>
        <v>0</v>
      </c>
      <c r="I143" s="20" t="s">
        <v>351</v>
      </c>
      <c r="J143" s="49">
        <f t="shared" si="38"/>
        <v>0</v>
      </c>
      <c r="K143" s="50">
        <f t="shared" si="39"/>
        <v>0</v>
      </c>
      <c r="L143" s="49">
        <f t="shared" si="40"/>
        <v>0</v>
      </c>
      <c r="M143" s="50">
        <f t="shared" si="41"/>
        <v>0</v>
      </c>
    </row>
    <row r="144" spans="1:13" s="20" customFormat="1" hidden="1" outlineLevel="1" x14ac:dyDescent="0.25">
      <c r="A144" s="59"/>
      <c r="B144" s="46" t="s">
        <v>937</v>
      </c>
      <c r="C144" s="46">
        <v>215</v>
      </c>
      <c r="D144" s="46">
        <v>240</v>
      </c>
      <c r="E144" s="18">
        <f t="shared" si="34"/>
        <v>5.16</v>
      </c>
      <c r="F144" s="49">
        <f t="shared" si="35"/>
        <v>0</v>
      </c>
      <c r="G144" s="50">
        <f t="shared" si="36"/>
        <v>0</v>
      </c>
      <c r="H144" s="50">
        <f t="shared" si="37"/>
        <v>0</v>
      </c>
      <c r="I144" s="20" t="s">
        <v>351</v>
      </c>
      <c r="J144" s="49">
        <f t="shared" si="38"/>
        <v>0</v>
      </c>
      <c r="K144" s="50">
        <f t="shared" si="39"/>
        <v>0</v>
      </c>
      <c r="L144" s="49">
        <f t="shared" si="40"/>
        <v>0</v>
      </c>
      <c r="M144" s="50">
        <f t="shared" si="41"/>
        <v>0</v>
      </c>
    </row>
    <row r="145" spans="1:13" s="20" customFormat="1" hidden="1" outlineLevel="1" x14ac:dyDescent="0.25">
      <c r="A145" s="59"/>
      <c r="B145" s="46" t="s">
        <v>938</v>
      </c>
      <c r="C145" s="46">
        <v>210</v>
      </c>
      <c r="D145" s="46">
        <v>180</v>
      </c>
      <c r="E145" s="18">
        <f t="shared" si="34"/>
        <v>3.78</v>
      </c>
      <c r="F145" s="49">
        <f t="shared" si="35"/>
        <v>0</v>
      </c>
      <c r="G145" s="50">
        <f t="shared" si="36"/>
        <v>0</v>
      </c>
      <c r="H145" s="50">
        <f t="shared" si="37"/>
        <v>0</v>
      </c>
      <c r="I145" s="20" t="s">
        <v>351</v>
      </c>
      <c r="J145" s="49">
        <f t="shared" si="38"/>
        <v>0</v>
      </c>
      <c r="K145" s="50">
        <f t="shared" si="39"/>
        <v>0</v>
      </c>
      <c r="L145" s="49">
        <f t="shared" si="40"/>
        <v>0</v>
      </c>
      <c r="M145" s="50">
        <f t="shared" si="41"/>
        <v>0</v>
      </c>
    </row>
    <row r="146" spans="1:13" s="20" customFormat="1" hidden="1" outlineLevel="1" x14ac:dyDescent="0.25">
      <c r="A146" s="59"/>
      <c r="B146" s="46" t="s">
        <v>939</v>
      </c>
      <c r="C146" s="46">
        <v>210</v>
      </c>
      <c r="D146" s="46">
        <v>200</v>
      </c>
      <c r="E146" s="18">
        <f t="shared" si="34"/>
        <v>4.2</v>
      </c>
      <c r="F146" s="49">
        <f t="shared" si="35"/>
        <v>0</v>
      </c>
      <c r="G146" s="50">
        <f t="shared" si="36"/>
        <v>0</v>
      </c>
      <c r="H146" s="50">
        <f t="shared" si="37"/>
        <v>0</v>
      </c>
      <c r="I146" s="20" t="s">
        <v>351</v>
      </c>
      <c r="J146" s="49">
        <f t="shared" si="38"/>
        <v>0</v>
      </c>
      <c r="K146" s="50">
        <f t="shared" si="39"/>
        <v>0</v>
      </c>
      <c r="L146" s="49">
        <f t="shared" si="40"/>
        <v>0</v>
      </c>
      <c r="M146" s="50">
        <f t="shared" si="41"/>
        <v>0</v>
      </c>
    </row>
    <row r="147" spans="1:13" s="20" customFormat="1" hidden="1" outlineLevel="1" x14ac:dyDescent="0.25">
      <c r="A147" s="59"/>
      <c r="B147" s="46" t="s">
        <v>940</v>
      </c>
      <c r="C147" s="46">
        <v>210</v>
      </c>
      <c r="D147" s="46">
        <v>70</v>
      </c>
      <c r="E147" s="18">
        <f t="shared" si="34"/>
        <v>1.47</v>
      </c>
      <c r="F147" s="49">
        <f t="shared" si="35"/>
        <v>0</v>
      </c>
      <c r="G147" s="50">
        <f t="shared" si="36"/>
        <v>0</v>
      </c>
      <c r="H147" s="50">
        <f t="shared" si="37"/>
        <v>0</v>
      </c>
      <c r="I147" s="20" t="s">
        <v>351</v>
      </c>
      <c r="J147" s="49">
        <f t="shared" si="38"/>
        <v>0</v>
      </c>
      <c r="K147" s="50">
        <f t="shared" si="39"/>
        <v>0</v>
      </c>
      <c r="L147" s="49">
        <f t="shared" si="40"/>
        <v>0</v>
      </c>
      <c r="M147" s="50">
        <f t="shared" si="41"/>
        <v>0</v>
      </c>
    </row>
    <row r="148" spans="1:13" s="20" customFormat="1" hidden="1" outlineLevel="1" x14ac:dyDescent="0.25">
      <c r="A148" s="59"/>
      <c r="B148" s="46" t="s">
        <v>941</v>
      </c>
      <c r="C148" s="46">
        <v>210</v>
      </c>
      <c r="D148" s="46">
        <v>80</v>
      </c>
      <c r="E148" s="18">
        <f t="shared" si="34"/>
        <v>1.68</v>
      </c>
      <c r="F148" s="49">
        <f t="shared" si="35"/>
        <v>0</v>
      </c>
      <c r="G148" s="50">
        <f t="shared" si="36"/>
        <v>0</v>
      </c>
      <c r="H148" s="50">
        <f t="shared" si="37"/>
        <v>0</v>
      </c>
      <c r="I148" s="20" t="s">
        <v>351</v>
      </c>
      <c r="J148" s="49">
        <f t="shared" si="38"/>
        <v>0</v>
      </c>
      <c r="K148" s="50">
        <f t="shared" si="39"/>
        <v>0</v>
      </c>
      <c r="L148" s="49">
        <f t="shared" si="40"/>
        <v>0</v>
      </c>
      <c r="M148" s="50">
        <f t="shared" si="41"/>
        <v>0</v>
      </c>
    </row>
    <row r="149" spans="1:13" s="20" customFormat="1" hidden="1" outlineLevel="1" x14ac:dyDescent="0.25">
      <c r="A149" s="59"/>
      <c r="B149" s="46" t="s">
        <v>942</v>
      </c>
      <c r="C149" s="46">
        <v>215</v>
      </c>
      <c r="D149" s="46">
        <v>140</v>
      </c>
      <c r="E149" s="18">
        <f t="shared" si="34"/>
        <v>3.01</v>
      </c>
      <c r="F149" s="49">
        <f t="shared" si="35"/>
        <v>0</v>
      </c>
      <c r="G149" s="50">
        <f t="shared" si="36"/>
        <v>0</v>
      </c>
      <c r="H149" s="50">
        <f t="shared" si="37"/>
        <v>0</v>
      </c>
      <c r="I149" s="20" t="s">
        <v>351</v>
      </c>
      <c r="J149" s="49">
        <f t="shared" si="38"/>
        <v>0</v>
      </c>
      <c r="K149" s="50">
        <f t="shared" si="39"/>
        <v>0</v>
      </c>
      <c r="L149" s="49">
        <f t="shared" si="40"/>
        <v>0</v>
      </c>
      <c r="M149" s="50">
        <f t="shared" si="41"/>
        <v>0</v>
      </c>
    </row>
    <row r="150" spans="1:13" s="20" customFormat="1" hidden="1" outlineLevel="1" x14ac:dyDescent="0.25">
      <c r="A150" s="59"/>
      <c r="B150" s="46" t="s">
        <v>943</v>
      </c>
      <c r="C150" s="46">
        <v>215</v>
      </c>
      <c r="D150" s="46">
        <v>160</v>
      </c>
      <c r="E150" s="18">
        <f t="shared" si="34"/>
        <v>3.44</v>
      </c>
      <c r="F150" s="49">
        <f t="shared" si="35"/>
        <v>0</v>
      </c>
      <c r="G150" s="50">
        <f t="shared" si="36"/>
        <v>0</v>
      </c>
      <c r="H150" s="50">
        <f t="shared" si="37"/>
        <v>0</v>
      </c>
      <c r="I150" s="20" t="s">
        <v>351</v>
      </c>
      <c r="J150" s="49">
        <f t="shared" si="38"/>
        <v>0</v>
      </c>
      <c r="K150" s="50">
        <f t="shared" si="39"/>
        <v>0</v>
      </c>
      <c r="L150" s="49">
        <f t="shared" si="40"/>
        <v>0</v>
      </c>
      <c r="M150" s="50">
        <f t="shared" si="41"/>
        <v>0</v>
      </c>
    </row>
    <row r="151" spans="1:13" s="20" customFormat="1" hidden="1" outlineLevel="1" x14ac:dyDescent="0.25">
      <c r="A151" s="59"/>
      <c r="B151" s="46" t="s">
        <v>944</v>
      </c>
      <c r="C151" s="46">
        <v>215</v>
      </c>
      <c r="D151" s="46">
        <v>180</v>
      </c>
      <c r="E151" s="18">
        <f t="shared" si="34"/>
        <v>3.87</v>
      </c>
      <c r="F151" s="49">
        <f t="shared" si="35"/>
        <v>0</v>
      </c>
      <c r="G151" s="50">
        <f t="shared" si="36"/>
        <v>0</v>
      </c>
      <c r="H151" s="50">
        <f t="shared" si="37"/>
        <v>0</v>
      </c>
      <c r="I151" s="20" t="s">
        <v>351</v>
      </c>
      <c r="J151" s="49">
        <f t="shared" si="38"/>
        <v>0</v>
      </c>
      <c r="K151" s="50">
        <f t="shared" si="39"/>
        <v>0</v>
      </c>
      <c r="L151" s="49">
        <f t="shared" si="40"/>
        <v>0</v>
      </c>
      <c r="M151" s="50">
        <f t="shared" si="41"/>
        <v>0</v>
      </c>
    </row>
    <row r="152" spans="1:13" s="20" customFormat="1" hidden="1" outlineLevel="1" x14ac:dyDescent="0.25">
      <c r="A152" s="59"/>
      <c r="B152" s="46" t="s">
        <v>945</v>
      </c>
      <c r="C152" s="46">
        <v>215</v>
      </c>
      <c r="D152" s="46">
        <v>200</v>
      </c>
      <c r="E152" s="18">
        <f t="shared" si="34"/>
        <v>4.3</v>
      </c>
      <c r="F152" s="49">
        <f t="shared" si="35"/>
        <v>0</v>
      </c>
      <c r="G152" s="50">
        <f t="shared" si="36"/>
        <v>0</v>
      </c>
      <c r="H152" s="50">
        <f t="shared" si="37"/>
        <v>0</v>
      </c>
      <c r="I152" s="20" t="s">
        <v>351</v>
      </c>
      <c r="J152" s="49">
        <f t="shared" si="38"/>
        <v>0</v>
      </c>
      <c r="K152" s="50">
        <f t="shared" si="39"/>
        <v>0</v>
      </c>
      <c r="L152" s="49">
        <f t="shared" si="40"/>
        <v>0</v>
      </c>
      <c r="M152" s="50">
        <f t="shared" si="41"/>
        <v>0</v>
      </c>
    </row>
    <row r="153" spans="1:13" s="20" customFormat="1" hidden="1" outlineLevel="1" x14ac:dyDescent="0.25">
      <c r="A153" s="59"/>
      <c r="B153" s="46" t="s">
        <v>946</v>
      </c>
      <c r="C153" s="46">
        <v>215</v>
      </c>
      <c r="D153" s="46">
        <v>220</v>
      </c>
      <c r="E153" s="18">
        <f t="shared" si="34"/>
        <v>4.7300000000000004</v>
      </c>
      <c r="F153" s="49">
        <f t="shared" si="35"/>
        <v>0</v>
      </c>
      <c r="G153" s="50">
        <f t="shared" si="36"/>
        <v>0</v>
      </c>
      <c r="H153" s="50">
        <f t="shared" si="37"/>
        <v>0</v>
      </c>
      <c r="I153" s="20" t="s">
        <v>351</v>
      </c>
      <c r="J153" s="49">
        <f t="shared" si="38"/>
        <v>0</v>
      </c>
      <c r="K153" s="50">
        <f t="shared" si="39"/>
        <v>0</v>
      </c>
      <c r="L153" s="49">
        <f t="shared" si="40"/>
        <v>0</v>
      </c>
      <c r="M153" s="50">
        <f t="shared" si="41"/>
        <v>0</v>
      </c>
    </row>
    <row r="154" spans="1:13" s="20" customFormat="1" hidden="1" outlineLevel="1" x14ac:dyDescent="0.25">
      <c r="A154" s="59"/>
      <c r="B154" s="46" t="s">
        <v>947</v>
      </c>
      <c r="C154" s="46">
        <v>215</v>
      </c>
      <c r="D154" s="46">
        <v>240</v>
      </c>
      <c r="E154" s="18">
        <f t="shared" si="34"/>
        <v>5.16</v>
      </c>
      <c r="F154" s="49">
        <f t="shared" si="35"/>
        <v>0</v>
      </c>
      <c r="G154" s="50">
        <f t="shared" si="36"/>
        <v>0</v>
      </c>
      <c r="H154" s="50">
        <f t="shared" si="37"/>
        <v>0</v>
      </c>
      <c r="I154" s="20" t="s">
        <v>351</v>
      </c>
      <c r="J154" s="49">
        <f t="shared" si="38"/>
        <v>0</v>
      </c>
      <c r="K154" s="50">
        <f t="shared" si="39"/>
        <v>0</v>
      </c>
      <c r="L154" s="49">
        <f t="shared" si="40"/>
        <v>0</v>
      </c>
      <c r="M154" s="50">
        <f t="shared" si="41"/>
        <v>0</v>
      </c>
    </row>
    <row r="155" spans="1:13" s="20" customFormat="1" hidden="1" outlineLevel="1" x14ac:dyDescent="0.25">
      <c r="A155" s="59"/>
      <c r="B155" s="46" t="s">
        <v>948</v>
      </c>
      <c r="C155" s="46">
        <v>210</v>
      </c>
      <c r="D155" s="46">
        <v>100</v>
      </c>
      <c r="E155" s="18">
        <f t="shared" ref="E155:E160" si="42">C155/100*D155/100</f>
        <v>2.1</v>
      </c>
      <c r="F155" s="49">
        <f t="shared" ref="F155:F160" si="43">SUMIF($B$9:$B$21,B155,$C$9:$C$21)</f>
        <v>0</v>
      </c>
      <c r="G155" s="50">
        <f t="shared" ref="G155:G160" si="44">E155*F155</f>
        <v>0</v>
      </c>
      <c r="H155" s="50">
        <f t="shared" ref="H155:H160" si="45">F155*D155/100</f>
        <v>0</v>
      </c>
      <c r="I155" s="20" t="s">
        <v>351</v>
      </c>
      <c r="J155" s="49">
        <f t="shared" ref="J155:J160" si="46">SUMIF($B$9:$B$14,B155,$C$9:$C$14)</f>
        <v>0</v>
      </c>
      <c r="K155" s="50">
        <f t="shared" ref="K155:K160" si="47">E155*J155</f>
        <v>0</v>
      </c>
      <c r="L155" s="49">
        <f t="shared" ref="L155:L160" si="48">SUMIF($B$17:$B$21,B155,$C$17:$C$21)</f>
        <v>0</v>
      </c>
      <c r="M155" s="50">
        <f t="shared" ref="M155:M160" si="49">E155*L155</f>
        <v>0</v>
      </c>
    </row>
    <row r="156" spans="1:13" s="20" customFormat="1" hidden="1" outlineLevel="1" x14ac:dyDescent="0.25">
      <c r="A156" s="59"/>
      <c r="B156" s="46" t="s">
        <v>949</v>
      </c>
      <c r="C156" s="46">
        <v>210</v>
      </c>
      <c r="D156" s="46">
        <v>110</v>
      </c>
      <c r="E156" s="18">
        <f t="shared" si="42"/>
        <v>2.31</v>
      </c>
      <c r="F156" s="49">
        <f t="shared" si="43"/>
        <v>0</v>
      </c>
      <c r="G156" s="50">
        <f t="shared" si="44"/>
        <v>0</v>
      </c>
      <c r="H156" s="50">
        <f t="shared" si="45"/>
        <v>0</v>
      </c>
      <c r="I156" s="20" t="s">
        <v>351</v>
      </c>
      <c r="J156" s="49">
        <f t="shared" si="46"/>
        <v>0</v>
      </c>
      <c r="K156" s="50">
        <f t="shared" si="47"/>
        <v>0</v>
      </c>
      <c r="L156" s="49">
        <f t="shared" si="48"/>
        <v>0</v>
      </c>
      <c r="M156" s="50">
        <f t="shared" si="49"/>
        <v>0</v>
      </c>
    </row>
    <row r="157" spans="1:13" s="20" customFormat="1" hidden="1" outlineLevel="1" x14ac:dyDescent="0.25">
      <c r="A157" s="59"/>
      <c r="B157" s="46" t="s">
        <v>950</v>
      </c>
      <c r="C157" s="46">
        <v>210</v>
      </c>
      <c r="D157" s="46">
        <v>120</v>
      </c>
      <c r="E157" s="18">
        <f t="shared" si="42"/>
        <v>2.52</v>
      </c>
      <c r="F157" s="49">
        <f t="shared" si="43"/>
        <v>0</v>
      </c>
      <c r="G157" s="50">
        <f t="shared" si="44"/>
        <v>0</v>
      </c>
      <c r="H157" s="50">
        <f t="shared" si="45"/>
        <v>0</v>
      </c>
      <c r="I157" s="20" t="s">
        <v>351</v>
      </c>
      <c r="J157" s="49">
        <f t="shared" si="46"/>
        <v>0</v>
      </c>
      <c r="K157" s="50">
        <f t="shared" si="47"/>
        <v>0</v>
      </c>
      <c r="L157" s="49">
        <f t="shared" si="48"/>
        <v>0</v>
      </c>
      <c r="M157" s="50">
        <f t="shared" si="49"/>
        <v>0</v>
      </c>
    </row>
    <row r="158" spans="1:13" s="20" customFormat="1" hidden="1" outlineLevel="1" x14ac:dyDescent="0.25">
      <c r="A158" s="59"/>
      <c r="B158" s="46" t="s">
        <v>951</v>
      </c>
      <c r="C158" s="46">
        <v>215</v>
      </c>
      <c r="D158" s="46">
        <v>100</v>
      </c>
      <c r="E158" s="18">
        <f t="shared" si="42"/>
        <v>2.15</v>
      </c>
      <c r="F158" s="49">
        <f t="shared" si="43"/>
        <v>0</v>
      </c>
      <c r="G158" s="50">
        <f t="shared" si="44"/>
        <v>0</v>
      </c>
      <c r="H158" s="50">
        <f t="shared" si="45"/>
        <v>0</v>
      </c>
      <c r="I158" s="20" t="s">
        <v>351</v>
      </c>
      <c r="J158" s="49">
        <f t="shared" si="46"/>
        <v>0</v>
      </c>
      <c r="K158" s="50">
        <f t="shared" si="47"/>
        <v>0</v>
      </c>
      <c r="L158" s="49">
        <f t="shared" si="48"/>
        <v>0</v>
      </c>
      <c r="M158" s="50">
        <f t="shared" si="49"/>
        <v>0</v>
      </c>
    </row>
    <row r="159" spans="1:13" s="20" customFormat="1" hidden="1" outlineLevel="1" x14ac:dyDescent="0.25">
      <c r="A159" s="59"/>
      <c r="B159" s="46" t="s">
        <v>952</v>
      </c>
      <c r="C159" s="46">
        <v>215</v>
      </c>
      <c r="D159" s="46">
        <v>107</v>
      </c>
      <c r="E159" s="18">
        <f t="shared" si="42"/>
        <v>2.3005</v>
      </c>
      <c r="F159" s="49">
        <f t="shared" si="43"/>
        <v>0</v>
      </c>
      <c r="G159" s="50">
        <f t="shared" si="44"/>
        <v>0</v>
      </c>
      <c r="H159" s="50">
        <f t="shared" si="45"/>
        <v>0</v>
      </c>
      <c r="I159" s="20" t="s">
        <v>351</v>
      </c>
      <c r="J159" s="49">
        <f t="shared" si="46"/>
        <v>0</v>
      </c>
      <c r="K159" s="50">
        <f t="shared" si="47"/>
        <v>0</v>
      </c>
      <c r="L159" s="49">
        <f t="shared" si="48"/>
        <v>0</v>
      </c>
      <c r="M159" s="50">
        <f t="shared" si="49"/>
        <v>0</v>
      </c>
    </row>
    <row r="160" spans="1:13" s="20" customFormat="1" hidden="1" outlineLevel="1" x14ac:dyDescent="0.25">
      <c r="A160" s="59"/>
      <c r="B160" s="46" t="s">
        <v>953</v>
      </c>
      <c r="C160" s="46">
        <v>215</v>
      </c>
      <c r="D160" s="46">
        <v>140</v>
      </c>
      <c r="E160" s="18">
        <f t="shared" si="42"/>
        <v>3.01</v>
      </c>
      <c r="F160" s="49">
        <f t="shared" si="43"/>
        <v>0</v>
      </c>
      <c r="G160" s="50">
        <f t="shared" si="44"/>
        <v>0</v>
      </c>
      <c r="H160" s="50">
        <f t="shared" si="45"/>
        <v>0</v>
      </c>
      <c r="I160" s="20" t="s">
        <v>351</v>
      </c>
      <c r="J160" s="49">
        <f t="shared" si="46"/>
        <v>0</v>
      </c>
      <c r="K160" s="50">
        <f t="shared" si="47"/>
        <v>0</v>
      </c>
      <c r="L160" s="49">
        <f t="shared" si="48"/>
        <v>0</v>
      </c>
      <c r="M160" s="50">
        <f t="shared" si="49"/>
        <v>0</v>
      </c>
    </row>
    <row r="161" spans="1:13" s="20" customFormat="1" hidden="1" outlineLevel="1" x14ac:dyDescent="0.25">
      <c r="A161" s="59"/>
      <c r="B161" s="46" t="s">
        <v>954</v>
      </c>
      <c r="C161" s="46">
        <v>210</v>
      </c>
      <c r="D161" s="46">
        <v>100</v>
      </c>
      <c r="E161" s="18">
        <f t="shared" ref="E161:E191" si="50">C161/100*D161/100</f>
        <v>2.1</v>
      </c>
      <c r="F161" s="49">
        <f t="shared" ref="F161:F191" si="51">SUMIF($B$9:$B$21,B161,$C$9:$C$21)</f>
        <v>0</v>
      </c>
      <c r="G161" s="50">
        <f t="shared" ref="G161:G191" si="52">E161*F161</f>
        <v>0</v>
      </c>
      <c r="H161" s="50">
        <f t="shared" ref="H161:H191" si="53">F161*D161/100</f>
        <v>0</v>
      </c>
      <c r="I161" s="20" t="s">
        <v>351</v>
      </c>
      <c r="J161" s="49">
        <f t="shared" ref="J161:J191" si="54">SUMIF($B$9:$B$14,B161,$C$9:$C$14)</f>
        <v>0</v>
      </c>
      <c r="K161" s="50">
        <f t="shared" ref="K161:K191" si="55">E161*J161</f>
        <v>0</v>
      </c>
      <c r="L161" s="49">
        <f t="shared" ref="L161:L191" si="56">SUMIF($B$17:$B$21,B161,$C$17:$C$21)</f>
        <v>0</v>
      </c>
      <c r="M161" s="50">
        <f t="shared" ref="M161:M191" si="57">E161*L161</f>
        <v>0</v>
      </c>
    </row>
    <row r="162" spans="1:13" s="20" customFormat="1" hidden="1" outlineLevel="1" x14ac:dyDescent="0.25">
      <c r="A162" s="59"/>
      <c r="B162" s="46" t="s">
        <v>955</v>
      </c>
      <c r="C162" s="46">
        <v>210</v>
      </c>
      <c r="D162" s="46">
        <v>110</v>
      </c>
      <c r="E162" s="18">
        <f t="shared" si="50"/>
        <v>2.31</v>
      </c>
      <c r="F162" s="49">
        <f t="shared" si="51"/>
        <v>0</v>
      </c>
      <c r="G162" s="50">
        <f t="shared" si="52"/>
        <v>0</v>
      </c>
      <c r="H162" s="50">
        <f t="shared" si="53"/>
        <v>0</v>
      </c>
      <c r="I162" s="20" t="s">
        <v>351</v>
      </c>
      <c r="J162" s="49">
        <f t="shared" si="54"/>
        <v>0</v>
      </c>
      <c r="K162" s="50">
        <f t="shared" si="55"/>
        <v>0</v>
      </c>
      <c r="L162" s="49">
        <f t="shared" si="56"/>
        <v>0</v>
      </c>
      <c r="M162" s="50">
        <f t="shared" si="57"/>
        <v>0</v>
      </c>
    </row>
    <row r="163" spans="1:13" s="20" customFormat="1" hidden="1" outlineLevel="1" x14ac:dyDescent="0.25">
      <c r="A163" s="59"/>
      <c r="B163" s="46" t="s">
        <v>956</v>
      </c>
      <c r="C163" s="46">
        <v>210</v>
      </c>
      <c r="D163" s="46">
        <v>120</v>
      </c>
      <c r="E163" s="18">
        <f t="shared" si="50"/>
        <v>2.52</v>
      </c>
      <c r="F163" s="49">
        <f t="shared" si="51"/>
        <v>0</v>
      </c>
      <c r="G163" s="50">
        <f t="shared" si="52"/>
        <v>0</v>
      </c>
      <c r="H163" s="50">
        <f t="shared" si="53"/>
        <v>0</v>
      </c>
      <c r="I163" s="20" t="s">
        <v>351</v>
      </c>
      <c r="J163" s="49">
        <f t="shared" si="54"/>
        <v>0</v>
      </c>
      <c r="K163" s="50">
        <f t="shared" si="55"/>
        <v>0</v>
      </c>
      <c r="L163" s="49">
        <f t="shared" si="56"/>
        <v>0</v>
      </c>
      <c r="M163" s="50">
        <f t="shared" si="57"/>
        <v>0</v>
      </c>
    </row>
    <row r="164" spans="1:13" s="20" customFormat="1" hidden="1" outlineLevel="1" x14ac:dyDescent="0.25">
      <c r="A164" s="59"/>
      <c r="B164" s="46" t="s">
        <v>957</v>
      </c>
      <c r="C164" s="46">
        <v>210</v>
      </c>
      <c r="D164" s="46">
        <v>60</v>
      </c>
      <c r="E164" s="18">
        <f t="shared" si="50"/>
        <v>1.26</v>
      </c>
      <c r="F164" s="49">
        <f t="shared" si="51"/>
        <v>0</v>
      </c>
      <c r="G164" s="50">
        <f t="shared" si="52"/>
        <v>0</v>
      </c>
      <c r="H164" s="50">
        <f t="shared" si="53"/>
        <v>0</v>
      </c>
      <c r="I164" s="20" t="s">
        <v>351</v>
      </c>
      <c r="J164" s="49">
        <f t="shared" si="54"/>
        <v>0</v>
      </c>
      <c r="K164" s="50">
        <f t="shared" si="55"/>
        <v>0</v>
      </c>
      <c r="L164" s="49">
        <f t="shared" si="56"/>
        <v>0</v>
      </c>
      <c r="M164" s="50">
        <f t="shared" si="57"/>
        <v>0</v>
      </c>
    </row>
    <row r="165" spans="1:13" s="20" customFormat="1" hidden="1" outlineLevel="1" x14ac:dyDescent="0.25">
      <c r="A165" s="59"/>
      <c r="B165" s="46" t="s">
        <v>958</v>
      </c>
      <c r="C165" s="46">
        <v>210</v>
      </c>
      <c r="D165" s="46">
        <v>70</v>
      </c>
      <c r="E165" s="18">
        <f t="shared" si="50"/>
        <v>1.47</v>
      </c>
      <c r="F165" s="49">
        <f t="shared" si="51"/>
        <v>0</v>
      </c>
      <c r="G165" s="50">
        <f t="shared" si="52"/>
        <v>0</v>
      </c>
      <c r="H165" s="50">
        <f t="shared" si="53"/>
        <v>0</v>
      </c>
      <c r="I165" s="20" t="s">
        <v>351</v>
      </c>
      <c r="J165" s="49">
        <f t="shared" si="54"/>
        <v>0</v>
      </c>
      <c r="K165" s="50">
        <f t="shared" si="55"/>
        <v>0</v>
      </c>
      <c r="L165" s="49">
        <f t="shared" si="56"/>
        <v>0</v>
      </c>
      <c r="M165" s="50">
        <f t="shared" si="57"/>
        <v>0</v>
      </c>
    </row>
    <row r="166" spans="1:13" s="20" customFormat="1" hidden="1" outlineLevel="1" x14ac:dyDescent="0.25">
      <c r="A166" s="59"/>
      <c r="B166" s="46" t="s">
        <v>959</v>
      </c>
      <c r="C166" s="46">
        <v>210</v>
      </c>
      <c r="D166" s="46">
        <v>80</v>
      </c>
      <c r="E166" s="18">
        <f t="shared" si="50"/>
        <v>1.68</v>
      </c>
      <c r="F166" s="49">
        <f t="shared" si="51"/>
        <v>0</v>
      </c>
      <c r="G166" s="50">
        <f t="shared" si="52"/>
        <v>0</v>
      </c>
      <c r="H166" s="50">
        <f t="shared" si="53"/>
        <v>0</v>
      </c>
      <c r="I166" s="20" t="s">
        <v>351</v>
      </c>
      <c r="J166" s="49">
        <f t="shared" si="54"/>
        <v>0</v>
      </c>
      <c r="K166" s="50">
        <f t="shared" si="55"/>
        <v>0</v>
      </c>
      <c r="L166" s="49">
        <f t="shared" si="56"/>
        <v>0</v>
      </c>
      <c r="M166" s="50">
        <f t="shared" si="57"/>
        <v>0</v>
      </c>
    </row>
    <row r="167" spans="1:13" s="20" customFormat="1" hidden="1" outlineLevel="1" x14ac:dyDescent="0.25">
      <c r="A167" s="59"/>
      <c r="B167" s="46" t="s">
        <v>960</v>
      </c>
      <c r="C167" s="46">
        <v>210</v>
      </c>
      <c r="D167" s="46">
        <v>90</v>
      </c>
      <c r="E167" s="18">
        <f t="shared" si="50"/>
        <v>1.89</v>
      </c>
      <c r="F167" s="49">
        <f t="shared" si="51"/>
        <v>0</v>
      </c>
      <c r="G167" s="50">
        <f t="shared" si="52"/>
        <v>0</v>
      </c>
      <c r="H167" s="50">
        <f t="shared" si="53"/>
        <v>0</v>
      </c>
      <c r="I167" s="20" t="s">
        <v>351</v>
      </c>
      <c r="J167" s="49">
        <f t="shared" si="54"/>
        <v>0</v>
      </c>
      <c r="K167" s="50">
        <f t="shared" si="55"/>
        <v>0</v>
      </c>
      <c r="L167" s="49">
        <f t="shared" si="56"/>
        <v>0</v>
      </c>
      <c r="M167" s="50">
        <f t="shared" si="57"/>
        <v>0</v>
      </c>
    </row>
    <row r="168" spans="1:13" s="20" customFormat="1" hidden="1" outlineLevel="1" x14ac:dyDescent="0.25">
      <c r="A168" s="59"/>
      <c r="B168" s="46" t="s">
        <v>961</v>
      </c>
      <c r="C168" s="46">
        <v>215</v>
      </c>
      <c r="D168" s="46">
        <v>105</v>
      </c>
      <c r="E168" s="18">
        <f t="shared" si="50"/>
        <v>2.2574999999999998</v>
      </c>
      <c r="F168" s="49">
        <f t="shared" si="51"/>
        <v>0</v>
      </c>
      <c r="G168" s="50">
        <f t="shared" si="52"/>
        <v>0</v>
      </c>
      <c r="H168" s="50">
        <f t="shared" si="53"/>
        <v>0</v>
      </c>
      <c r="I168" s="20" t="s">
        <v>351</v>
      </c>
      <c r="J168" s="49">
        <f t="shared" si="54"/>
        <v>0</v>
      </c>
      <c r="K168" s="50">
        <f t="shared" si="55"/>
        <v>0</v>
      </c>
      <c r="L168" s="49">
        <f t="shared" si="56"/>
        <v>0</v>
      </c>
      <c r="M168" s="50">
        <f t="shared" si="57"/>
        <v>0</v>
      </c>
    </row>
    <row r="169" spans="1:13" s="20" customFormat="1" hidden="1" outlineLevel="1" x14ac:dyDescent="0.25">
      <c r="A169" s="59"/>
      <c r="B169" s="46" t="s">
        <v>962</v>
      </c>
      <c r="C169" s="46">
        <v>215</v>
      </c>
      <c r="D169" s="46">
        <v>75</v>
      </c>
      <c r="E169" s="18">
        <f t="shared" si="50"/>
        <v>1.6125</v>
      </c>
      <c r="F169" s="49">
        <f t="shared" si="51"/>
        <v>0</v>
      </c>
      <c r="G169" s="50">
        <f t="shared" si="52"/>
        <v>0</v>
      </c>
      <c r="H169" s="50">
        <f t="shared" si="53"/>
        <v>0</v>
      </c>
      <c r="I169" s="20" t="s">
        <v>351</v>
      </c>
      <c r="J169" s="49">
        <f t="shared" si="54"/>
        <v>0</v>
      </c>
      <c r="K169" s="50">
        <f t="shared" si="55"/>
        <v>0</v>
      </c>
      <c r="L169" s="49">
        <f t="shared" si="56"/>
        <v>0</v>
      </c>
      <c r="M169" s="50">
        <f t="shared" si="57"/>
        <v>0</v>
      </c>
    </row>
    <row r="170" spans="1:13" s="20" customFormat="1" hidden="1" outlineLevel="1" x14ac:dyDescent="0.25">
      <c r="A170" s="59"/>
      <c r="B170" s="46" t="s">
        <v>963</v>
      </c>
      <c r="C170" s="46">
        <v>215</v>
      </c>
      <c r="D170" s="46">
        <v>85</v>
      </c>
      <c r="E170" s="18">
        <f t="shared" si="50"/>
        <v>1.8274999999999999</v>
      </c>
      <c r="F170" s="49">
        <f t="shared" si="51"/>
        <v>0</v>
      </c>
      <c r="G170" s="50">
        <f t="shared" si="52"/>
        <v>0</v>
      </c>
      <c r="H170" s="50">
        <f t="shared" si="53"/>
        <v>0</v>
      </c>
      <c r="I170" s="20" t="s">
        <v>351</v>
      </c>
      <c r="J170" s="49">
        <f t="shared" si="54"/>
        <v>0</v>
      </c>
      <c r="K170" s="50">
        <f t="shared" si="55"/>
        <v>0</v>
      </c>
      <c r="L170" s="49">
        <f t="shared" si="56"/>
        <v>0</v>
      </c>
      <c r="M170" s="50">
        <f t="shared" si="57"/>
        <v>0</v>
      </c>
    </row>
    <row r="171" spans="1:13" s="20" customFormat="1" hidden="1" outlineLevel="1" x14ac:dyDescent="0.25">
      <c r="A171" s="59"/>
      <c r="B171" s="46" t="s">
        <v>964</v>
      </c>
      <c r="C171" s="46">
        <v>215</v>
      </c>
      <c r="D171" s="46">
        <v>90</v>
      </c>
      <c r="E171" s="18">
        <f t="shared" si="50"/>
        <v>1.9350000000000001</v>
      </c>
      <c r="F171" s="49">
        <f t="shared" si="51"/>
        <v>0</v>
      </c>
      <c r="G171" s="50">
        <f t="shared" si="52"/>
        <v>0</v>
      </c>
      <c r="H171" s="50">
        <f t="shared" si="53"/>
        <v>0</v>
      </c>
      <c r="I171" s="20" t="s">
        <v>351</v>
      </c>
      <c r="J171" s="49">
        <f t="shared" si="54"/>
        <v>0</v>
      </c>
      <c r="K171" s="50">
        <f t="shared" si="55"/>
        <v>0</v>
      </c>
      <c r="L171" s="49">
        <f t="shared" si="56"/>
        <v>0</v>
      </c>
      <c r="M171" s="50">
        <f t="shared" si="57"/>
        <v>0</v>
      </c>
    </row>
    <row r="172" spans="1:13" s="20" customFormat="1" hidden="1" outlineLevel="1" x14ac:dyDescent="0.25">
      <c r="A172" s="59"/>
      <c r="B172" s="46" t="s">
        <v>965</v>
      </c>
      <c r="C172" s="46">
        <v>210</v>
      </c>
      <c r="D172" s="46">
        <v>60</v>
      </c>
      <c r="E172" s="18">
        <f t="shared" si="50"/>
        <v>1.26</v>
      </c>
      <c r="F172" s="49">
        <f t="shared" si="51"/>
        <v>0</v>
      </c>
      <c r="G172" s="50">
        <f t="shared" si="52"/>
        <v>0</v>
      </c>
      <c r="H172" s="50">
        <f t="shared" si="53"/>
        <v>0</v>
      </c>
      <c r="I172" s="20" t="s">
        <v>350</v>
      </c>
      <c r="J172" s="49">
        <f t="shared" si="54"/>
        <v>0</v>
      </c>
      <c r="K172" s="50">
        <f t="shared" si="55"/>
        <v>0</v>
      </c>
      <c r="L172" s="49">
        <f t="shared" si="56"/>
        <v>0</v>
      </c>
      <c r="M172" s="50">
        <f t="shared" si="57"/>
        <v>0</v>
      </c>
    </row>
    <row r="173" spans="1:13" s="20" customFormat="1" hidden="1" outlineLevel="1" x14ac:dyDescent="0.25">
      <c r="A173" s="59"/>
      <c r="B173" s="46" t="s">
        <v>966</v>
      </c>
      <c r="C173" s="46">
        <v>210</v>
      </c>
      <c r="D173" s="46">
        <v>70</v>
      </c>
      <c r="E173" s="18">
        <f t="shared" si="50"/>
        <v>1.47</v>
      </c>
      <c r="F173" s="49">
        <f t="shared" si="51"/>
        <v>0</v>
      </c>
      <c r="G173" s="50">
        <f t="shared" si="52"/>
        <v>0</v>
      </c>
      <c r="H173" s="50">
        <f t="shared" si="53"/>
        <v>0</v>
      </c>
      <c r="I173" s="20" t="s">
        <v>350</v>
      </c>
      <c r="J173" s="49">
        <f t="shared" si="54"/>
        <v>0</v>
      </c>
      <c r="K173" s="50">
        <f t="shared" si="55"/>
        <v>0</v>
      </c>
      <c r="L173" s="49">
        <f t="shared" si="56"/>
        <v>0</v>
      </c>
      <c r="M173" s="50">
        <f t="shared" si="57"/>
        <v>0</v>
      </c>
    </row>
    <row r="174" spans="1:13" s="20" customFormat="1" hidden="1" outlineLevel="1" x14ac:dyDescent="0.25">
      <c r="A174" s="59"/>
      <c r="B174" s="46" t="s">
        <v>967</v>
      </c>
      <c r="C174" s="46">
        <v>210</v>
      </c>
      <c r="D174" s="46">
        <v>72</v>
      </c>
      <c r="E174" s="18">
        <f t="shared" si="50"/>
        <v>1.5120000000000002</v>
      </c>
      <c r="F174" s="49">
        <f t="shared" si="51"/>
        <v>0</v>
      </c>
      <c r="G174" s="50">
        <f t="shared" si="52"/>
        <v>0</v>
      </c>
      <c r="H174" s="50">
        <f t="shared" si="53"/>
        <v>0</v>
      </c>
      <c r="I174" s="20" t="s">
        <v>350</v>
      </c>
      <c r="J174" s="49">
        <f t="shared" si="54"/>
        <v>0</v>
      </c>
      <c r="K174" s="50">
        <f t="shared" si="55"/>
        <v>0</v>
      </c>
      <c r="L174" s="49">
        <f t="shared" si="56"/>
        <v>0</v>
      </c>
      <c r="M174" s="50">
        <f t="shared" si="57"/>
        <v>0</v>
      </c>
    </row>
    <row r="175" spans="1:13" s="20" customFormat="1" hidden="1" outlineLevel="1" x14ac:dyDescent="0.25">
      <c r="A175" s="59"/>
      <c r="B175" s="46" t="s">
        <v>968</v>
      </c>
      <c r="C175" s="46">
        <v>210</v>
      </c>
      <c r="D175" s="46">
        <v>85</v>
      </c>
      <c r="E175" s="18">
        <f t="shared" si="50"/>
        <v>1.7849999999999999</v>
      </c>
      <c r="F175" s="49">
        <f t="shared" si="51"/>
        <v>0</v>
      </c>
      <c r="G175" s="50">
        <f t="shared" si="52"/>
        <v>0</v>
      </c>
      <c r="H175" s="50">
        <f t="shared" si="53"/>
        <v>0</v>
      </c>
      <c r="I175" s="20" t="s">
        <v>350</v>
      </c>
      <c r="J175" s="49">
        <f t="shared" si="54"/>
        <v>0</v>
      </c>
      <c r="K175" s="50">
        <f t="shared" si="55"/>
        <v>0</v>
      </c>
      <c r="L175" s="49">
        <f t="shared" si="56"/>
        <v>0</v>
      </c>
      <c r="M175" s="50">
        <f t="shared" si="57"/>
        <v>0</v>
      </c>
    </row>
    <row r="176" spans="1:13" s="20" customFormat="1" hidden="1" outlineLevel="1" x14ac:dyDescent="0.25">
      <c r="A176" s="59"/>
      <c r="B176" s="46" t="s">
        <v>969</v>
      </c>
      <c r="C176" s="46">
        <v>210</v>
      </c>
      <c r="D176" s="46">
        <v>97</v>
      </c>
      <c r="E176" s="18">
        <f t="shared" si="50"/>
        <v>2.0370000000000004</v>
      </c>
      <c r="F176" s="49">
        <f t="shared" si="51"/>
        <v>0</v>
      </c>
      <c r="G176" s="50">
        <f t="shared" si="52"/>
        <v>0</v>
      </c>
      <c r="H176" s="50">
        <f t="shared" si="53"/>
        <v>0</v>
      </c>
      <c r="I176" s="20" t="s">
        <v>350</v>
      </c>
      <c r="J176" s="49">
        <f t="shared" si="54"/>
        <v>0</v>
      </c>
      <c r="K176" s="50">
        <f t="shared" si="55"/>
        <v>0</v>
      </c>
      <c r="L176" s="49">
        <f t="shared" si="56"/>
        <v>0</v>
      </c>
      <c r="M176" s="50">
        <f t="shared" si="57"/>
        <v>0</v>
      </c>
    </row>
    <row r="177" spans="1:13" s="20" customFormat="1" hidden="1" outlineLevel="1" x14ac:dyDescent="0.25">
      <c r="A177" s="59"/>
      <c r="B177" s="46" t="s">
        <v>970</v>
      </c>
      <c r="C177" s="46">
        <v>210</v>
      </c>
      <c r="D177" s="46">
        <v>100</v>
      </c>
      <c r="E177" s="18">
        <f t="shared" si="50"/>
        <v>2.1</v>
      </c>
      <c r="F177" s="49">
        <f t="shared" si="51"/>
        <v>0</v>
      </c>
      <c r="G177" s="50">
        <f t="shared" si="52"/>
        <v>0</v>
      </c>
      <c r="H177" s="50">
        <f t="shared" si="53"/>
        <v>0</v>
      </c>
      <c r="I177" s="20" t="s">
        <v>350</v>
      </c>
      <c r="J177" s="49">
        <f t="shared" si="54"/>
        <v>0</v>
      </c>
      <c r="K177" s="50">
        <f t="shared" si="55"/>
        <v>0</v>
      </c>
      <c r="L177" s="49">
        <f t="shared" si="56"/>
        <v>0</v>
      </c>
      <c r="M177" s="50">
        <f t="shared" si="57"/>
        <v>0</v>
      </c>
    </row>
    <row r="178" spans="1:13" s="20" customFormat="1" hidden="1" outlineLevel="1" x14ac:dyDescent="0.25">
      <c r="A178" s="59"/>
      <c r="B178" s="46" t="s">
        <v>971</v>
      </c>
      <c r="C178" s="46">
        <v>210</v>
      </c>
      <c r="D178" s="46">
        <v>80</v>
      </c>
      <c r="E178" s="18">
        <f t="shared" si="50"/>
        <v>1.68</v>
      </c>
      <c r="F178" s="49">
        <f t="shared" si="51"/>
        <v>0</v>
      </c>
      <c r="G178" s="50">
        <f t="shared" si="52"/>
        <v>0</v>
      </c>
      <c r="H178" s="50">
        <f t="shared" si="53"/>
        <v>0</v>
      </c>
      <c r="I178" s="20" t="s">
        <v>350</v>
      </c>
      <c r="J178" s="49">
        <f t="shared" si="54"/>
        <v>0</v>
      </c>
      <c r="K178" s="50">
        <f t="shared" si="55"/>
        <v>0</v>
      </c>
      <c r="L178" s="49">
        <f t="shared" si="56"/>
        <v>0</v>
      </c>
      <c r="M178" s="50">
        <f t="shared" si="57"/>
        <v>0</v>
      </c>
    </row>
    <row r="179" spans="1:13" s="20" customFormat="1" hidden="1" outlineLevel="1" x14ac:dyDescent="0.25">
      <c r="A179" s="59"/>
      <c r="B179" s="46" t="s">
        <v>972</v>
      </c>
      <c r="C179" s="46">
        <v>210</v>
      </c>
      <c r="D179" s="46">
        <v>100</v>
      </c>
      <c r="E179" s="18">
        <f t="shared" si="50"/>
        <v>2.1</v>
      </c>
      <c r="F179" s="49">
        <f t="shared" si="51"/>
        <v>0</v>
      </c>
      <c r="G179" s="50">
        <f t="shared" si="52"/>
        <v>0</v>
      </c>
      <c r="H179" s="50">
        <f t="shared" si="53"/>
        <v>0</v>
      </c>
      <c r="I179" s="20" t="s">
        <v>350</v>
      </c>
      <c r="J179" s="49">
        <f t="shared" si="54"/>
        <v>0</v>
      </c>
      <c r="K179" s="50">
        <f t="shared" si="55"/>
        <v>0</v>
      </c>
      <c r="L179" s="49">
        <f t="shared" si="56"/>
        <v>0</v>
      </c>
      <c r="M179" s="50">
        <f t="shared" si="57"/>
        <v>0</v>
      </c>
    </row>
    <row r="180" spans="1:13" s="20" customFormat="1" hidden="1" outlineLevel="1" x14ac:dyDescent="0.25">
      <c r="A180" s="59"/>
      <c r="B180" s="46" t="s">
        <v>973</v>
      </c>
      <c r="C180" s="46">
        <v>210</v>
      </c>
      <c r="D180" s="46">
        <v>110</v>
      </c>
      <c r="E180" s="18">
        <f t="shared" si="50"/>
        <v>2.31</v>
      </c>
      <c r="F180" s="49">
        <f t="shared" si="51"/>
        <v>0</v>
      </c>
      <c r="G180" s="50">
        <f t="shared" si="52"/>
        <v>0</v>
      </c>
      <c r="H180" s="50">
        <f t="shared" si="53"/>
        <v>0</v>
      </c>
      <c r="I180" s="20" t="s">
        <v>350</v>
      </c>
      <c r="J180" s="49">
        <f t="shared" si="54"/>
        <v>0</v>
      </c>
      <c r="K180" s="50">
        <f t="shared" si="55"/>
        <v>0</v>
      </c>
      <c r="L180" s="49">
        <f t="shared" si="56"/>
        <v>0</v>
      </c>
      <c r="M180" s="50">
        <f t="shared" si="57"/>
        <v>0</v>
      </c>
    </row>
    <row r="181" spans="1:13" s="20" customFormat="1" hidden="1" outlineLevel="1" x14ac:dyDescent="0.25">
      <c r="A181" s="59"/>
      <c r="B181" s="46" t="s">
        <v>974</v>
      </c>
      <c r="C181" s="46">
        <v>210</v>
      </c>
      <c r="D181" s="46">
        <v>120</v>
      </c>
      <c r="E181" s="18">
        <f t="shared" si="50"/>
        <v>2.52</v>
      </c>
      <c r="F181" s="49">
        <f t="shared" si="51"/>
        <v>0</v>
      </c>
      <c r="G181" s="50">
        <f t="shared" si="52"/>
        <v>0</v>
      </c>
      <c r="H181" s="50">
        <f t="shared" si="53"/>
        <v>0</v>
      </c>
      <c r="I181" s="20" t="s">
        <v>350</v>
      </c>
      <c r="J181" s="49">
        <f t="shared" si="54"/>
        <v>0</v>
      </c>
      <c r="K181" s="50">
        <f t="shared" si="55"/>
        <v>0</v>
      </c>
      <c r="L181" s="49">
        <f t="shared" si="56"/>
        <v>0</v>
      </c>
      <c r="M181" s="50">
        <f t="shared" si="57"/>
        <v>0</v>
      </c>
    </row>
    <row r="182" spans="1:13" s="20" customFormat="1" hidden="1" outlineLevel="1" x14ac:dyDescent="0.25">
      <c r="A182" s="59"/>
      <c r="B182" s="46" t="s">
        <v>975</v>
      </c>
      <c r="C182" s="46">
        <v>210</v>
      </c>
      <c r="D182" s="46">
        <v>130</v>
      </c>
      <c r="E182" s="18">
        <f t="shared" si="50"/>
        <v>2.73</v>
      </c>
      <c r="F182" s="49">
        <f t="shared" si="51"/>
        <v>0</v>
      </c>
      <c r="G182" s="50">
        <f t="shared" si="52"/>
        <v>0</v>
      </c>
      <c r="H182" s="50">
        <f t="shared" si="53"/>
        <v>0</v>
      </c>
      <c r="I182" s="20" t="s">
        <v>350</v>
      </c>
      <c r="J182" s="49">
        <f t="shared" si="54"/>
        <v>0</v>
      </c>
      <c r="K182" s="50">
        <f t="shared" si="55"/>
        <v>0</v>
      </c>
      <c r="L182" s="49">
        <f t="shared" si="56"/>
        <v>0</v>
      </c>
      <c r="M182" s="50">
        <f t="shared" si="57"/>
        <v>0</v>
      </c>
    </row>
    <row r="183" spans="1:13" s="20" customFormat="1" hidden="1" outlineLevel="1" x14ac:dyDescent="0.25">
      <c r="A183" s="59"/>
      <c r="B183" s="46" t="s">
        <v>976</v>
      </c>
      <c r="C183" s="46">
        <v>210</v>
      </c>
      <c r="D183" s="46">
        <v>60</v>
      </c>
      <c r="E183" s="18">
        <f t="shared" si="50"/>
        <v>1.26</v>
      </c>
      <c r="F183" s="49">
        <f t="shared" si="51"/>
        <v>0</v>
      </c>
      <c r="G183" s="50">
        <f t="shared" si="52"/>
        <v>0</v>
      </c>
      <c r="H183" s="50">
        <f t="shared" si="53"/>
        <v>0</v>
      </c>
      <c r="I183" s="20" t="s">
        <v>350</v>
      </c>
      <c r="J183" s="49">
        <f t="shared" si="54"/>
        <v>0</v>
      </c>
      <c r="K183" s="50">
        <f t="shared" si="55"/>
        <v>0</v>
      </c>
      <c r="L183" s="49">
        <f t="shared" si="56"/>
        <v>0</v>
      </c>
      <c r="M183" s="50">
        <f t="shared" si="57"/>
        <v>0</v>
      </c>
    </row>
    <row r="184" spans="1:13" s="20" customFormat="1" hidden="1" outlineLevel="1" x14ac:dyDescent="0.25">
      <c r="A184" s="59"/>
      <c r="B184" s="46" t="s">
        <v>977</v>
      </c>
      <c r="C184" s="46">
        <v>210</v>
      </c>
      <c r="D184" s="46">
        <v>70</v>
      </c>
      <c r="E184" s="18">
        <f t="shared" si="50"/>
        <v>1.47</v>
      </c>
      <c r="F184" s="49">
        <f t="shared" si="51"/>
        <v>0</v>
      </c>
      <c r="G184" s="50">
        <f t="shared" si="52"/>
        <v>0</v>
      </c>
      <c r="H184" s="50">
        <f t="shared" si="53"/>
        <v>0</v>
      </c>
      <c r="I184" s="20" t="s">
        <v>350</v>
      </c>
      <c r="J184" s="49">
        <f t="shared" si="54"/>
        <v>0</v>
      </c>
      <c r="K184" s="50">
        <f t="shared" si="55"/>
        <v>0</v>
      </c>
      <c r="L184" s="49">
        <f t="shared" si="56"/>
        <v>0</v>
      </c>
      <c r="M184" s="50">
        <f t="shared" si="57"/>
        <v>0</v>
      </c>
    </row>
    <row r="185" spans="1:13" s="20" customFormat="1" hidden="1" outlineLevel="1" x14ac:dyDescent="0.25">
      <c r="A185" s="59"/>
      <c r="B185" s="46" t="s">
        <v>978</v>
      </c>
      <c r="C185" s="46">
        <v>210</v>
      </c>
      <c r="D185" s="46">
        <v>80</v>
      </c>
      <c r="E185" s="18">
        <f t="shared" si="50"/>
        <v>1.68</v>
      </c>
      <c r="F185" s="49">
        <f t="shared" si="51"/>
        <v>0</v>
      </c>
      <c r="G185" s="50">
        <f t="shared" si="52"/>
        <v>0</v>
      </c>
      <c r="H185" s="50">
        <f t="shared" si="53"/>
        <v>0</v>
      </c>
      <c r="I185" s="20" t="s">
        <v>350</v>
      </c>
      <c r="J185" s="49">
        <f t="shared" si="54"/>
        <v>0</v>
      </c>
      <c r="K185" s="50">
        <f t="shared" si="55"/>
        <v>0</v>
      </c>
      <c r="L185" s="49">
        <f t="shared" si="56"/>
        <v>0</v>
      </c>
      <c r="M185" s="50">
        <f t="shared" si="57"/>
        <v>0</v>
      </c>
    </row>
    <row r="186" spans="1:13" s="20" customFormat="1" hidden="1" outlineLevel="1" x14ac:dyDescent="0.25">
      <c r="A186" s="59"/>
      <c r="B186" s="46" t="s">
        <v>979</v>
      </c>
      <c r="C186" s="46">
        <v>210</v>
      </c>
      <c r="D186" s="46">
        <v>90</v>
      </c>
      <c r="E186" s="18">
        <f t="shared" si="50"/>
        <v>1.89</v>
      </c>
      <c r="F186" s="49">
        <f t="shared" si="51"/>
        <v>0</v>
      </c>
      <c r="G186" s="50">
        <f t="shared" si="52"/>
        <v>0</v>
      </c>
      <c r="H186" s="50">
        <f t="shared" si="53"/>
        <v>0</v>
      </c>
      <c r="I186" s="20" t="s">
        <v>350</v>
      </c>
      <c r="J186" s="49">
        <f t="shared" si="54"/>
        <v>0</v>
      </c>
      <c r="K186" s="50">
        <f t="shared" si="55"/>
        <v>0</v>
      </c>
      <c r="L186" s="49">
        <f t="shared" si="56"/>
        <v>0</v>
      </c>
      <c r="M186" s="50">
        <f t="shared" si="57"/>
        <v>0</v>
      </c>
    </row>
    <row r="187" spans="1:13" s="20" customFormat="1" hidden="1" outlineLevel="1" x14ac:dyDescent="0.25">
      <c r="A187" s="59"/>
      <c r="B187" s="46" t="s">
        <v>980</v>
      </c>
      <c r="C187" s="46">
        <v>210</v>
      </c>
      <c r="D187" s="46">
        <v>120</v>
      </c>
      <c r="E187" s="18">
        <f t="shared" si="50"/>
        <v>2.52</v>
      </c>
      <c r="F187" s="49">
        <f t="shared" si="51"/>
        <v>0</v>
      </c>
      <c r="G187" s="50">
        <f t="shared" si="52"/>
        <v>0</v>
      </c>
      <c r="H187" s="50">
        <f t="shared" si="53"/>
        <v>0</v>
      </c>
      <c r="I187" s="20" t="s">
        <v>350</v>
      </c>
      <c r="J187" s="49">
        <f t="shared" si="54"/>
        <v>0</v>
      </c>
      <c r="K187" s="50">
        <f t="shared" si="55"/>
        <v>0</v>
      </c>
      <c r="L187" s="49">
        <f t="shared" si="56"/>
        <v>0</v>
      </c>
      <c r="M187" s="50">
        <f t="shared" si="57"/>
        <v>0</v>
      </c>
    </row>
    <row r="188" spans="1:13" s="20" customFormat="1" hidden="1" outlineLevel="1" x14ac:dyDescent="0.25">
      <c r="A188" s="59"/>
      <c r="B188" s="46" t="s">
        <v>981</v>
      </c>
      <c r="C188" s="46">
        <v>210</v>
      </c>
      <c r="D188" s="46">
        <v>160</v>
      </c>
      <c r="E188" s="18">
        <f t="shared" si="50"/>
        <v>3.36</v>
      </c>
      <c r="F188" s="49">
        <f t="shared" si="51"/>
        <v>0</v>
      </c>
      <c r="G188" s="50">
        <f t="shared" si="52"/>
        <v>0</v>
      </c>
      <c r="H188" s="50">
        <f t="shared" si="53"/>
        <v>0</v>
      </c>
      <c r="I188" s="20" t="s">
        <v>350</v>
      </c>
      <c r="J188" s="49">
        <f t="shared" si="54"/>
        <v>0</v>
      </c>
      <c r="K188" s="50">
        <f t="shared" si="55"/>
        <v>0</v>
      </c>
      <c r="L188" s="49">
        <f t="shared" si="56"/>
        <v>0</v>
      </c>
      <c r="M188" s="50">
        <f t="shared" si="57"/>
        <v>0</v>
      </c>
    </row>
    <row r="189" spans="1:13" s="20" customFormat="1" hidden="1" outlineLevel="1" x14ac:dyDescent="0.25">
      <c r="A189" s="59"/>
      <c r="B189" s="46" t="s">
        <v>982</v>
      </c>
      <c r="C189" s="46">
        <v>210</v>
      </c>
      <c r="D189" s="46">
        <v>200</v>
      </c>
      <c r="E189" s="18">
        <f t="shared" si="50"/>
        <v>4.2</v>
      </c>
      <c r="F189" s="49">
        <f t="shared" si="51"/>
        <v>0</v>
      </c>
      <c r="G189" s="50">
        <f t="shared" si="52"/>
        <v>0</v>
      </c>
      <c r="H189" s="50">
        <f t="shared" si="53"/>
        <v>0</v>
      </c>
      <c r="I189" s="20" t="s">
        <v>350</v>
      </c>
      <c r="J189" s="49">
        <f t="shared" si="54"/>
        <v>0</v>
      </c>
      <c r="K189" s="50">
        <f t="shared" si="55"/>
        <v>0</v>
      </c>
      <c r="L189" s="49">
        <f t="shared" si="56"/>
        <v>0</v>
      </c>
      <c r="M189" s="50">
        <f t="shared" si="57"/>
        <v>0</v>
      </c>
    </row>
    <row r="190" spans="1:13" s="20" customFormat="1" hidden="1" outlineLevel="1" x14ac:dyDescent="0.25">
      <c r="A190" s="59"/>
      <c r="B190" s="46" t="s">
        <v>983</v>
      </c>
      <c r="C190" s="46">
        <v>210</v>
      </c>
      <c r="D190" s="46">
        <v>250</v>
      </c>
      <c r="E190" s="18">
        <f t="shared" si="50"/>
        <v>5.25</v>
      </c>
      <c r="F190" s="49">
        <f t="shared" si="51"/>
        <v>0</v>
      </c>
      <c r="G190" s="50">
        <f t="shared" si="52"/>
        <v>0</v>
      </c>
      <c r="H190" s="50">
        <f t="shared" si="53"/>
        <v>0</v>
      </c>
      <c r="I190" s="20" t="s">
        <v>350</v>
      </c>
      <c r="J190" s="49">
        <f t="shared" si="54"/>
        <v>0</v>
      </c>
      <c r="K190" s="50">
        <f t="shared" si="55"/>
        <v>0</v>
      </c>
      <c r="L190" s="49">
        <f t="shared" si="56"/>
        <v>0</v>
      </c>
      <c r="M190" s="50">
        <f t="shared" si="57"/>
        <v>0</v>
      </c>
    </row>
    <row r="191" spans="1:13" s="20" customFormat="1" hidden="1" outlineLevel="1" x14ac:dyDescent="0.25">
      <c r="A191" s="59"/>
      <c r="B191" s="46" t="s">
        <v>984</v>
      </c>
      <c r="C191" s="46">
        <v>210</v>
      </c>
      <c r="D191" s="46">
        <v>300</v>
      </c>
      <c r="E191" s="18">
        <f t="shared" si="50"/>
        <v>6.3</v>
      </c>
      <c r="F191" s="49">
        <f t="shared" si="51"/>
        <v>0</v>
      </c>
      <c r="G191" s="50">
        <f t="shared" si="52"/>
        <v>0</v>
      </c>
      <c r="H191" s="50">
        <f t="shared" si="53"/>
        <v>0</v>
      </c>
      <c r="I191" s="20" t="s">
        <v>350</v>
      </c>
      <c r="J191" s="49">
        <f t="shared" si="54"/>
        <v>0</v>
      </c>
      <c r="K191" s="50">
        <f t="shared" si="55"/>
        <v>0</v>
      </c>
      <c r="L191" s="49">
        <f t="shared" si="56"/>
        <v>0</v>
      </c>
      <c r="M191" s="50">
        <f t="shared" si="57"/>
        <v>0</v>
      </c>
    </row>
    <row r="192" spans="1:13" s="20" customFormat="1" hidden="1" outlineLevel="1" x14ac:dyDescent="0.25">
      <c r="A192" s="59"/>
      <c r="B192" s="46"/>
      <c r="C192" s="46"/>
      <c r="D192" s="46"/>
      <c r="E192" s="18"/>
      <c r="F192" s="49"/>
      <c r="G192" s="50"/>
      <c r="H192" s="50"/>
    </row>
    <row r="193" spans="1:8" s="20" customFormat="1" hidden="1" outlineLevel="1" x14ac:dyDescent="0.25">
      <c r="A193" s="59"/>
      <c r="B193" s="46" t="s">
        <v>1099</v>
      </c>
      <c r="C193" s="57">
        <f>SUM(F26:F191)</f>
        <v>0</v>
      </c>
      <c r="D193" s="46"/>
      <c r="E193" s="18"/>
      <c r="F193" s="49"/>
      <c r="G193" s="50"/>
      <c r="H193" s="50"/>
    </row>
    <row r="194" spans="1:8" s="20" customFormat="1" hidden="1" outlineLevel="1" x14ac:dyDescent="0.25">
      <c r="A194" s="59"/>
      <c r="B194" s="46" t="s">
        <v>1097</v>
      </c>
      <c r="C194" s="57">
        <f>SUMIF(I26:I191,"Espuma",F26:F191)</f>
        <v>0</v>
      </c>
      <c r="D194" s="46"/>
      <c r="E194" s="18"/>
      <c r="F194" s="49"/>
      <c r="G194" s="50"/>
      <c r="H194" s="50"/>
    </row>
    <row r="195" spans="1:8" s="20" customFormat="1" hidden="1" outlineLevel="1" x14ac:dyDescent="0.25">
      <c r="A195" s="59"/>
      <c r="B195" s="46" t="s">
        <v>1096</v>
      </c>
      <c r="C195" s="57">
        <f>SUMIF(I26:I191,"Kit porta de madeira",F26:F191)</f>
        <v>0</v>
      </c>
      <c r="D195" s="46"/>
      <c r="E195" s="18"/>
      <c r="F195" s="49"/>
      <c r="G195" s="50"/>
      <c r="H195" s="50"/>
    </row>
    <row r="196" spans="1:8" s="20" customFormat="1" hidden="1" outlineLevel="1" x14ac:dyDescent="0.25">
      <c r="A196" s="59"/>
      <c r="B196" s="46"/>
      <c r="C196" s="46"/>
      <c r="D196" s="46"/>
      <c r="E196" s="18"/>
      <c r="F196" s="49"/>
      <c r="G196" s="50"/>
      <c r="H196" s="50"/>
    </row>
    <row r="197" spans="1:8" s="20" customFormat="1" hidden="1" outlineLevel="1" x14ac:dyDescent="0.25">
      <c r="A197" s="59"/>
      <c r="B197" s="13" t="s">
        <v>352</v>
      </c>
      <c r="C197" s="46"/>
      <c r="D197" s="46"/>
      <c r="E197" s="18"/>
      <c r="F197" s="49"/>
      <c r="G197" s="50"/>
      <c r="H197" s="50"/>
    </row>
    <row r="198" spans="1:8" s="20" customFormat="1" hidden="1" outlineLevel="1" x14ac:dyDescent="0.25">
      <c r="A198" s="59"/>
      <c r="B198" s="46"/>
      <c r="C198" s="46"/>
      <c r="D198" s="46"/>
      <c r="E198" s="18"/>
      <c r="F198" s="49"/>
      <c r="G198" s="50"/>
      <c r="H198" s="50"/>
    </row>
    <row r="199" spans="1:8" s="20" customFormat="1" hidden="1" outlineLevel="1" x14ac:dyDescent="0.25">
      <c r="A199" s="59">
        <v>1</v>
      </c>
      <c r="B199" s="46" t="str">
        <f>IFERROR(VLOOKUP(A199,$A$9:$C$21,2,0),"")</f>
        <v/>
      </c>
      <c r="C199" s="46" t="str">
        <f>IFERROR(VLOOKUP(A199,$A$9:$C$21,3,0),"")</f>
        <v/>
      </c>
      <c r="D199" s="46"/>
      <c r="E199" s="18"/>
      <c r="F199" s="49"/>
      <c r="G199" s="50"/>
      <c r="H199" s="50"/>
    </row>
    <row r="200" spans="1:8" s="20" customFormat="1" hidden="1" outlineLevel="1" x14ac:dyDescent="0.25">
      <c r="A200" s="59">
        <v>2</v>
      </c>
      <c r="B200" s="46" t="str">
        <f t="shared" ref="B200:B208" si="58">IFERROR(VLOOKUP(A200,$A$9:$C$21,2,0),"")</f>
        <v/>
      </c>
      <c r="C200" s="46" t="str">
        <f t="shared" ref="C200:C208" si="59">IFERROR(VLOOKUP(A200,$A$9:$C$21,3,0),"")</f>
        <v/>
      </c>
      <c r="D200" s="46"/>
      <c r="E200" s="18"/>
      <c r="F200" s="49"/>
      <c r="G200" s="50"/>
      <c r="H200" s="50"/>
    </row>
    <row r="201" spans="1:8" s="20" customFormat="1" hidden="1" outlineLevel="1" x14ac:dyDescent="0.25">
      <c r="A201" s="59">
        <v>3</v>
      </c>
      <c r="B201" s="46" t="str">
        <f t="shared" si="58"/>
        <v/>
      </c>
      <c r="C201" s="46" t="str">
        <f t="shared" si="59"/>
        <v/>
      </c>
      <c r="D201" s="46"/>
      <c r="E201" s="18"/>
      <c r="F201" s="49"/>
      <c r="G201" s="50"/>
      <c r="H201" s="50"/>
    </row>
    <row r="202" spans="1:8" s="20" customFormat="1" hidden="1" outlineLevel="1" x14ac:dyDescent="0.25">
      <c r="A202" s="59">
        <v>4</v>
      </c>
      <c r="B202" s="46" t="str">
        <f t="shared" si="58"/>
        <v/>
      </c>
      <c r="C202" s="46" t="str">
        <f t="shared" si="59"/>
        <v/>
      </c>
      <c r="D202" s="46"/>
      <c r="E202" s="18"/>
      <c r="F202" s="49"/>
      <c r="G202" s="50"/>
      <c r="H202" s="50"/>
    </row>
    <row r="203" spans="1:8" s="20" customFormat="1" hidden="1" outlineLevel="1" x14ac:dyDescent="0.25">
      <c r="A203" s="59">
        <v>5</v>
      </c>
      <c r="B203" s="46" t="str">
        <f t="shared" si="58"/>
        <v/>
      </c>
      <c r="C203" s="46" t="str">
        <f t="shared" si="59"/>
        <v/>
      </c>
      <c r="D203" s="46"/>
      <c r="E203" s="18"/>
      <c r="F203" s="49"/>
      <c r="G203" s="50"/>
      <c r="H203" s="50"/>
    </row>
    <row r="204" spans="1:8" s="20" customFormat="1" hidden="1" outlineLevel="1" x14ac:dyDescent="0.25">
      <c r="A204" s="59">
        <v>6</v>
      </c>
      <c r="B204" s="46" t="str">
        <f t="shared" si="58"/>
        <v/>
      </c>
      <c r="C204" s="46" t="str">
        <f t="shared" si="59"/>
        <v/>
      </c>
      <c r="D204" s="46"/>
      <c r="E204" s="18"/>
      <c r="F204" s="49"/>
      <c r="G204" s="50"/>
      <c r="H204" s="50"/>
    </row>
    <row r="205" spans="1:8" s="20" customFormat="1" hidden="1" outlineLevel="1" x14ac:dyDescent="0.25">
      <c r="A205" s="59">
        <v>7</v>
      </c>
      <c r="B205" s="46" t="str">
        <f t="shared" si="58"/>
        <v/>
      </c>
      <c r="C205" s="46" t="str">
        <f t="shared" si="59"/>
        <v/>
      </c>
      <c r="D205" s="46"/>
      <c r="E205" s="18"/>
      <c r="F205" s="49"/>
      <c r="G205" s="50"/>
      <c r="H205" s="50"/>
    </row>
    <row r="206" spans="1:8" s="20" customFormat="1" hidden="1" outlineLevel="1" x14ac:dyDescent="0.25">
      <c r="A206" s="59">
        <v>8</v>
      </c>
      <c r="B206" s="46" t="str">
        <f t="shared" si="58"/>
        <v/>
      </c>
      <c r="C206" s="46" t="str">
        <f t="shared" si="59"/>
        <v/>
      </c>
      <c r="D206" s="46"/>
      <c r="E206" s="18"/>
      <c r="F206" s="49"/>
      <c r="G206" s="50"/>
      <c r="H206" s="50"/>
    </row>
    <row r="207" spans="1:8" s="20" customFormat="1" hidden="1" outlineLevel="1" x14ac:dyDescent="0.25">
      <c r="A207" s="59">
        <v>9</v>
      </c>
      <c r="B207" s="46" t="str">
        <f t="shared" si="58"/>
        <v/>
      </c>
      <c r="C207" s="46" t="str">
        <f t="shared" si="59"/>
        <v/>
      </c>
      <c r="D207" s="46"/>
      <c r="E207" s="18"/>
      <c r="F207" s="49"/>
      <c r="G207" s="50"/>
      <c r="H207" s="50"/>
    </row>
    <row r="208" spans="1:8" s="20" customFormat="1" hidden="1" outlineLevel="1" x14ac:dyDescent="0.25">
      <c r="A208" s="59">
        <v>10</v>
      </c>
      <c r="B208" s="46" t="str">
        <f t="shared" si="58"/>
        <v/>
      </c>
      <c r="C208" s="46" t="str">
        <f t="shared" si="59"/>
        <v/>
      </c>
      <c r="D208" s="46"/>
      <c r="E208" s="18"/>
      <c r="F208" s="49"/>
      <c r="G208" s="50"/>
      <c r="H208" s="50"/>
    </row>
    <row r="209" spans="2:8" hidden="1" outlineLevel="1" collapsed="1" x14ac:dyDescent="0.25">
      <c r="B209" s="2"/>
      <c r="C209" s="2"/>
      <c r="D209" s="2"/>
      <c r="E209" s="2"/>
      <c r="F209" s="2"/>
      <c r="G209" s="2"/>
      <c r="H209" s="2"/>
    </row>
    <row r="210" spans="2:8" collapsed="1" x14ac:dyDescent="0.25">
      <c r="B210" s="27" t="s">
        <v>5</v>
      </c>
      <c r="C210" s="28" t="s">
        <v>46</v>
      </c>
      <c r="D210" s="28" t="s">
        <v>6</v>
      </c>
    </row>
    <row r="211" spans="2:8" x14ac:dyDescent="0.25">
      <c r="B211" s="88" t="s">
        <v>272</v>
      </c>
      <c r="C211" s="91" t="s">
        <v>274</v>
      </c>
      <c r="D211" s="87">
        <f>C194</f>
        <v>0</v>
      </c>
    </row>
    <row r="212" spans="2:8" x14ac:dyDescent="0.25">
      <c r="B212" s="88" t="s">
        <v>353</v>
      </c>
      <c r="C212" s="91" t="s">
        <v>50</v>
      </c>
      <c r="D212" s="87">
        <f>C195</f>
        <v>0</v>
      </c>
    </row>
    <row r="213" spans="2:8" x14ac:dyDescent="0.25">
      <c r="B213" s="88" t="s">
        <v>273</v>
      </c>
      <c r="C213" s="91" t="s">
        <v>50</v>
      </c>
      <c r="D213" s="87">
        <f>C193</f>
        <v>0</v>
      </c>
    </row>
    <row r="214" spans="2:8" x14ac:dyDescent="0.25">
      <c r="B214" s="88" t="str">
        <f>IF(B199="","",B199)</f>
        <v/>
      </c>
      <c r="C214" s="91" t="str">
        <f>IF(B214="","","Peça")</f>
        <v/>
      </c>
      <c r="D214" s="87" t="str">
        <f>IF(C199="","",C199)</f>
        <v/>
      </c>
    </row>
    <row r="215" spans="2:8" x14ac:dyDescent="0.25">
      <c r="B215" s="88" t="str">
        <f t="shared" ref="B215:B223" si="60">IF(B200="","",B200)</f>
        <v/>
      </c>
      <c r="C215" s="91" t="str">
        <f t="shared" ref="C215:C223" si="61">IF(B215="","","Peça")</f>
        <v/>
      </c>
      <c r="D215" s="87" t="str">
        <f t="shared" ref="D215:D223" si="62">IF(C200="","",C200)</f>
        <v/>
      </c>
    </row>
    <row r="216" spans="2:8" x14ac:dyDescent="0.25">
      <c r="B216" s="88" t="str">
        <f t="shared" si="60"/>
        <v/>
      </c>
      <c r="C216" s="91" t="str">
        <f t="shared" si="61"/>
        <v/>
      </c>
      <c r="D216" s="87" t="str">
        <f t="shared" si="62"/>
        <v/>
      </c>
    </row>
    <row r="217" spans="2:8" x14ac:dyDescent="0.25">
      <c r="B217" s="88" t="str">
        <f t="shared" si="60"/>
        <v/>
      </c>
      <c r="C217" s="91" t="str">
        <f t="shared" si="61"/>
        <v/>
      </c>
      <c r="D217" s="87" t="str">
        <f t="shared" si="62"/>
        <v/>
      </c>
    </row>
    <row r="218" spans="2:8" x14ac:dyDescent="0.25">
      <c r="B218" s="88" t="str">
        <f t="shared" si="60"/>
        <v/>
      </c>
      <c r="C218" s="91" t="str">
        <f t="shared" si="61"/>
        <v/>
      </c>
      <c r="D218" s="87" t="str">
        <f t="shared" si="62"/>
        <v/>
      </c>
    </row>
    <row r="219" spans="2:8" x14ac:dyDescent="0.25">
      <c r="B219" s="88" t="str">
        <f t="shared" si="60"/>
        <v/>
      </c>
      <c r="C219" s="91" t="str">
        <f t="shared" si="61"/>
        <v/>
      </c>
      <c r="D219" s="87" t="str">
        <f t="shared" si="62"/>
        <v/>
      </c>
    </row>
    <row r="220" spans="2:8" x14ac:dyDescent="0.25">
      <c r="B220" s="88" t="str">
        <f t="shared" si="60"/>
        <v/>
      </c>
      <c r="C220" s="91" t="str">
        <f t="shared" si="61"/>
        <v/>
      </c>
      <c r="D220" s="87" t="str">
        <f t="shared" si="62"/>
        <v/>
      </c>
    </row>
    <row r="221" spans="2:8" x14ac:dyDescent="0.25">
      <c r="B221" s="88" t="str">
        <f t="shared" si="60"/>
        <v/>
      </c>
      <c r="C221" s="91" t="str">
        <f t="shared" si="61"/>
        <v/>
      </c>
      <c r="D221" s="87" t="str">
        <f t="shared" si="62"/>
        <v/>
      </c>
    </row>
    <row r="222" spans="2:8" x14ac:dyDescent="0.25">
      <c r="B222" s="88" t="str">
        <f t="shared" si="60"/>
        <v/>
      </c>
      <c r="C222" s="91" t="str">
        <f t="shared" si="61"/>
        <v/>
      </c>
      <c r="D222" s="87" t="str">
        <f t="shared" si="62"/>
        <v/>
      </c>
    </row>
    <row r="223" spans="2:8" x14ac:dyDescent="0.25">
      <c r="B223" s="88" t="str">
        <f t="shared" si="60"/>
        <v/>
      </c>
      <c r="C223" s="91" t="str">
        <f t="shared" si="61"/>
        <v/>
      </c>
      <c r="D223" s="87" t="str">
        <f t="shared" si="62"/>
        <v/>
      </c>
    </row>
  </sheetData>
  <mergeCells count="3">
    <mergeCell ref="B2:E2"/>
    <mergeCell ref="B4:E4"/>
    <mergeCell ref="B5:E5"/>
  </mergeCells>
  <dataValidations count="1">
    <dataValidation type="list" allowBlank="1" showInputMessage="1" showErrorMessage="1" sqref="B10:B14 B17:B21" xr:uid="{00000000-0002-0000-0E00-000000000000}">
      <formula1>$B$26:$B$191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93"/>
  <sheetViews>
    <sheetView showGridLines="0" zoomScale="115" zoomScaleNormal="115" workbookViewId="0">
      <selection activeCell="A4" sqref="A2:XFD4"/>
    </sheetView>
  </sheetViews>
  <sheetFormatPr defaultColWidth="8.85546875" defaultRowHeight="15" outlineLevelRow="1" x14ac:dyDescent="0.25"/>
  <cols>
    <col min="1" max="1" width="2" style="58" customWidth="1"/>
    <col min="2" max="2" width="54.5703125" style="7" bestFit="1" customWidth="1"/>
    <col min="3" max="3" width="13.5703125" style="7" customWidth="1"/>
    <col min="4" max="4" width="18" style="7" customWidth="1"/>
    <col min="5" max="5" width="12.5703125" style="7" customWidth="1"/>
    <col min="6" max="16384" width="8.85546875" style="7"/>
  </cols>
  <sheetData>
    <row r="1" spans="1:9" ht="15.75" thickBot="1" x14ac:dyDescent="0.3"/>
    <row r="2" spans="1:9" ht="21.75" thickBot="1" x14ac:dyDescent="0.4">
      <c r="B2" s="129" t="s">
        <v>10</v>
      </c>
      <c r="C2" s="130"/>
      <c r="D2" s="130"/>
      <c r="E2" s="131"/>
    </row>
    <row r="4" spans="1:9" ht="45.75" customHeight="1" x14ac:dyDescent="0.25">
      <c r="B4" s="128" t="s">
        <v>276</v>
      </c>
      <c r="C4" s="128"/>
      <c r="D4" s="128"/>
      <c r="E4" s="128"/>
    </row>
    <row r="5" spans="1:9" s="5" customFormat="1" ht="18.75" x14ac:dyDescent="0.3">
      <c r="A5" s="58"/>
      <c r="B5" s="132" t="s">
        <v>590</v>
      </c>
      <c r="C5" s="132"/>
      <c r="D5" s="132"/>
      <c r="E5" s="132"/>
      <c r="F5" s="7"/>
      <c r="G5" s="7"/>
      <c r="I5" s="22"/>
    </row>
    <row r="6" spans="1:9" s="5" customFormat="1" x14ac:dyDescent="0.25">
      <c r="A6" s="58"/>
      <c r="B6" s="7"/>
      <c r="C6" s="7"/>
      <c r="D6" s="7"/>
      <c r="E6" s="7"/>
      <c r="F6" s="7"/>
      <c r="G6" s="7"/>
      <c r="I6" s="22"/>
    </row>
    <row r="7" spans="1:9" x14ac:dyDescent="0.25">
      <c r="B7" s="9" t="s">
        <v>2</v>
      </c>
      <c r="C7" s="9"/>
    </row>
    <row r="9" spans="1:9" x14ac:dyDescent="0.25">
      <c r="B9" s="56" t="s">
        <v>434</v>
      </c>
      <c r="C9" s="6" t="s">
        <v>6</v>
      </c>
      <c r="D9" s="6"/>
    </row>
    <row r="10" spans="1:9" x14ac:dyDescent="0.25">
      <c r="A10" s="58">
        <f>IF(B10="Escolha uma porta",A9,A9+1)</f>
        <v>0</v>
      </c>
      <c r="B10" s="55" t="s">
        <v>306</v>
      </c>
      <c r="C10" s="23"/>
      <c r="D10" s="7" t="s">
        <v>48</v>
      </c>
    </row>
    <row r="11" spans="1:9" x14ac:dyDescent="0.25">
      <c r="A11" s="58">
        <f t="shared" ref="A11:A14" si="0">IF(B11="Escolha uma porta",A10,A10+1)</f>
        <v>0</v>
      </c>
      <c r="B11" s="55" t="s">
        <v>306</v>
      </c>
      <c r="C11" s="23"/>
      <c r="D11" s="7" t="s">
        <v>48</v>
      </c>
    </row>
    <row r="12" spans="1:9" x14ac:dyDescent="0.25">
      <c r="A12" s="58">
        <f t="shared" si="0"/>
        <v>0</v>
      </c>
      <c r="B12" s="55" t="s">
        <v>306</v>
      </c>
      <c r="C12" s="23"/>
      <c r="D12" s="7" t="s">
        <v>48</v>
      </c>
    </row>
    <row r="13" spans="1:9" x14ac:dyDescent="0.25">
      <c r="A13" s="58">
        <f t="shared" si="0"/>
        <v>0</v>
      </c>
      <c r="B13" s="55" t="s">
        <v>306</v>
      </c>
      <c r="C13" s="23"/>
      <c r="D13" s="7" t="s">
        <v>48</v>
      </c>
    </row>
    <row r="14" spans="1:9" x14ac:dyDescent="0.25">
      <c r="A14" s="58">
        <f t="shared" si="0"/>
        <v>0</v>
      </c>
      <c r="B14" s="55" t="s">
        <v>306</v>
      </c>
      <c r="C14" s="23"/>
      <c r="D14" s="7" t="s">
        <v>48</v>
      </c>
    </row>
    <row r="15" spans="1:9" x14ac:dyDescent="0.25">
      <c r="A15" s="58">
        <f>IF(B15="Escolha uma porta",A14,A14+1)</f>
        <v>0</v>
      </c>
      <c r="B15" s="55" t="s">
        <v>306</v>
      </c>
      <c r="C15" s="23"/>
      <c r="D15" s="7" t="s">
        <v>48</v>
      </c>
    </row>
    <row r="16" spans="1:9" x14ac:dyDescent="0.25">
      <c r="A16" s="58">
        <f>IF(B16="Escolha uma porta",A15,A15+1)</f>
        <v>0</v>
      </c>
      <c r="B16" s="55" t="s">
        <v>306</v>
      </c>
      <c r="C16" s="23"/>
      <c r="D16" s="7" t="s">
        <v>48</v>
      </c>
    </row>
    <row r="17" spans="1:9" x14ac:dyDescent="0.25">
      <c r="A17" s="58">
        <f t="shared" ref="A17:A19" si="1">IF(B17="Escolha uma porta",A16,A16+1)</f>
        <v>0</v>
      </c>
      <c r="B17" s="55" t="s">
        <v>306</v>
      </c>
      <c r="C17" s="23"/>
      <c r="D17" s="7" t="s">
        <v>48</v>
      </c>
    </row>
    <row r="18" spans="1:9" x14ac:dyDescent="0.25">
      <c r="A18" s="58">
        <f t="shared" si="1"/>
        <v>0</v>
      </c>
      <c r="B18" s="55" t="s">
        <v>306</v>
      </c>
      <c r="C18" s="23"/>
      <c r="D18" s="7" t="s">
        <v>48</v>
      </c>
    </row>
    <row r="19" spans="1:9" x14ac:dyDescent="0.25">
      <c r="A19" s="58">
        <f t="shared" si="1"/>
        <v>0</v>
      </c>
      <c r="B19" s="55" t="s">
        <v>306</v>
      </c>
      <c r="C19" s="23"/>
      <c r="D19" s="7" t="s">
        <v>48</v>
      </c>
    </row>
    <row r="21" spans="1:9" s="20" customFormat="1" hidden="1" outlineLevel="1" x14ac:dyDescent="0.25">
      <c r="A21" s="59"/>
      <c r="B21" s="13" t="s">
        <v>275</v>
      </c>
      <c r="C21" s="13"/>
      <c r="D21" s="17"/>
      <c r="E21" s="17"/>
      <c r="F21" s="17"/>
      <c r="G21" s="17"/>
      <c r="H21" s="17"/>
    </row>
    <row r="22" spans="1:9" s="20" customFormat="1" hidden="1" outlineLevel="1" x14ac:dyDescent="0.25">
      <c r="A22" s="59"/>
      <c r="B22" s="17"/>
      <c r="C22" s="17"/>
      <c r="D22" s="17"/>
      <c r="E22" s="17"/>
      <c r="F22" s="17"/>
      <c r="G22" s="17"/>
      <c r="H22" s="17"/>
    </row>
    <row r="23" spans="1:9" s="97" customFormat="1" ht="30" hidden="1" outlineLevel="1" x14ac:dyDescent="0.25">
      <c r="A23" s="100"/>
      <c r="B23" s="102" t="s">
        <v>309</v>
      </c>
      <c r="C23" s="101" t="s">
        <v>186</v>
      </c>
      <c r="D23" s="101" t="s">
        <v>185</v>
      </c>
      <c r="E23" s="101" t="s">
        <v>184</v>
      </c>
      <c r="F23" s="101" t="s">
        <v>349</v>
      </c>
      <c r="G23" s="101" t="s">
        <v>182</v>
      </c>
      <c r="H23" s="101" t="s">
        <v>181</v>
      </c>
    </row>
    <row r="24" spans="1:9" s="20" customFormat="1" hidden="1" outlineLevel="1" x14ac:dyDescent="0.25">
      <c r="A24" s="59"/>
      <c r="B24" s="46" t="s">
        <v>985</v>
      </c>
      <c r="C24" s="46">
        <v>100</v>
      </c>
      <c r="D24" s="46">
        <v>100</v>
      </c>
      <c r="E24" s="18">
        <f t="shared" ref="E24:E67" si="2">C24/100*D24/100</f>
        <v>1</v>
      </c>
      <c r="F24" s="49">
        <f t="shared" ref="F24:F67" si="3">SUMIF($B$9:$B$19,B24,$C$9:$C$19)</f>
        <v>0</v>
      </c>
      <c r="G24" s="50">
        <f t="shared" ref="G24:G67" si="4">E24*F24</f>
        <v>0</v>
      </c>
      <c r="H24" s="50">
        <f t="shared" ref="H24:H67" si="5">F24*D24/100</f>
        <v>0</v>
      </c>
      <c r="I24" s="20" t="s">
        <v>350</v>
      </c>
    </row>
    <row r="25" spans="1:9" s="20" customFormat="1" hidden="1" outlineLevel="1" x14ac:dyDescent="0.25">
      <c r="A25" s="59"/>
      <c r="B25" s="46" t="s">
        <v>986</v>
      </c>
      <c r="C25" s="46">
        <v>100</v>
      </c>
      <c r="D25" s="46">
        <v>150</v>
      </c>
      <c r="E25" s="18">
        <f t="shared" si="2"/>
        <v>1.5</v>
      </c>
      <c r="F25" s="49">
        <f t="shared" si="3"/>
        <v>0</v>
      </c>
      <c r="G25" s="50">
        <f t="shared" si="4"/>
        <v>0</v>
      </c>
      <c r="H25" s="50">
        <f t="shared" si="5"/>
        <v>0</v>
      </c>
      <c r="I25" s="20" t="s">
        <v>350</v>
      </c>
    </row>
    <row r="26" spans="1:9" s="20" customFormat="1" hidden="1" outlineLevel="1" x14ac:dyDescent="0.25">
      <c r="A26" s="59"/>
      <c r="B26" s="46" t="s">
        <v>987</v>
      </c>
      <c r="C26" s="46">
        <v>40</v>
      </c>
      <c r="D26" s="46">
        <v>60</v>
      </c>
      <c r="E26" s="18">
        <f t="shared" si="2"/>
        <v>0.24</v>
      </c>
      <c r="F26" s="49">
        <f t="shared" si="3"/>
        <v>0</v>
      </c>
      <c r="G26" s="50">
        <f t="shared" si="4"/>
        <v>0</v>
      </c>
      <c r="H26" s="50">
        <f t="shared" si="5"/>
        <v>0</v>
      </c>
      <c r="I26" s="20" t="s">
        <v>350</v>
      </c>
    </row>
    <row r="27" spans="1:9" s="20" customFormat="1" hidden="1" outlineLevel="1" x14ac:dyDescent="0.25">
      <c r="A27" s="59"/>
      <c r="B27" s="46" t="s">
        <v>988</v>
      </c>
      <c r="C27" s="46">
        <v>60</v>
      </c>
      <c r="D27" s="46">
        <v>100</v>
      </c>
      <c r="E27" s="18">
        <f t="shared" si="2"/>
        <v>0.6</v>
      </c>
      <c r="F27" s="49">
        <f t="shared" si="3"/>
        <v>0</v>
      </c>
      <c r="G27" s="50">
        <f t="shared" si="4"/>
        <v>0</v>
      </c>
      <c r="H27" s="50">
        <f t="shared" si="5"/>
        <v>0</v>
      </c>
      <c r="I27" s="20" t="s">
        <v>350</v>
      </c>
    </row>
    <row r="28" spans="1:9" s="20" customFormat="1" hidden="1" outlineLevel="1" x14ac:dyDescent="0.25">
      <c r="A28" s="59"/>
      <c r="B28" s="46" t="s">
        <v>989</v>
      </c>
      <c r="C28" s="46">
        <v>60</v>
      </c>
      <c r="D28" s="46">
        <v>120</v>
      </c>
      <c r="E28" s="18">
        <f t="shared" si="2"/>
        <v>0.72</v>
      </c>
      <c r="F28" s="49">
        <f t="shared" si="3"/>
        <v>0</v>
      </c>
      <c r="G28" s="50">
        <f t="shared" si="4"/>
        <v>0</v>
      </c>
      <c r="H28" s="50">
        <f t="shared" si="5"/>
        <v>0</v>
      </c>
      <c r="I28" s="20" t="s">
        <v>350</v>
      </c>
    </row>
    <row r="29" spans="1:9" s="20" customFormat="1" hidden="1" outlineLevel="1" x14ac:dyDescent="0.25">
      <c r="A29" s="59"/>
      <c r="B29" s="46" t="s">
        <v>990</v>
      </c>
      <c r="C29" s="46">
        <v>60</v>
      </c>
      <c r="D29" s="46">
        <v>150</v>
      </c>
      <c r="E29" s="18">
        <f t="shared" si="2"/>
        <v>0.9</v>
      </c>
      <c r="F29" s="49">
        <f t="shared" si="3"/>
        <v>0</v>
      </c>
      <c r="G29" s="50">
        <f t="shared" si="4"/>
        <v>0</v>
      </c>
      <c r="H29" s="50">
        <f t="shared" si="5"/>
        <v>0</v>
      </c>
      <c r="I29" s="20" t="s">
        <v>350</v>
      </c>
    </row>
    <row r="30" spans="1:9" s="20" customFormat="1" hidden="1" outlineLevel="1" x14ac:dyDescent="0.25">
      <c r="A30" s="59"/>
      <c r="B30" s="46" t="s">
        <v>991</v>
      </c>
      <c r="C30" s="46">
        <v>60</v>
      </c>
      <c r="D30" s="46">
        <v>60</v>
      </c>
      <c r="E30" s="18">
        <f t="shared" si="2"/>
        <v>0.36</v>
      </c>
      <c r="F30" s="49">
        <f t="shared" si="3"/>
        <v>0</v>
      </c>
      <c r="G30" s="50">
        <f t="shared" si="4"/>
        <v>0</v>
      </c>
      <c r="H30" s="50">
        <f t="shared" si="5"/>
        <v>0</v>
      </c>
      <c r="I30" s="20" t="s">
        <v>350</v>
      </c>
    </row>
    <row r="31" spans="1:9" s="20" customFormat="1" hidden="1" outlineLevel="1" x14ac:dyDescent="0.25">
      <c r="A31" s="59"/>
      <c r="B31" s="46" t="s">
        <v>992</v>
      </c>
      <c r="C31" s="46">
        <v>60</v>
      </c>
      <c r="D31" s="46">
        <v>80</v>
      </c>
      <c r="E31" s="18">
        <f t="shared" si="2"/>
        <v>0.48</v>
      </c>
      <c r="F31" s="49">
        <f t="shared" si="3"/>
        <v>0</v>
      </c>
      <c r="G31" s="50">
        <f t="shared" si="4"/>
        <v>0</v>
      </c>
      <c r="H31" s="50">
        <f t="shared" si="5"/>
        <v>0</v>
      </c>
      <c r="I31" s="20" t="s">
        <v>350</v>
      </c>
    </row>
    <row r="32" spans="1:9" s="20" customFormat="1" hidden="1" outlineLevel="1" x14ac:dyDescent="0.25">
      <c r="A32" s="59"/>
      <c r="B32" s="46" t="s">
        <v>993</v>
      </c>
      <c r="C32" s="46">
        <v>80</v>
      </c>
      <c r="D32" s="46">
        <v>80</v>
      </c>
      <c r="E32" s="18">
        <f t="shared" si="2"/>
        <v>0.64</v>
      </c>
      <c r="F32" s="49">
        <f t="shared" si="3"/>
        <v>0</v>
      </c>
      <c r="G32" s="50">
        <f t="shared" si="4"/>
        <v>0</v>
      </c>
      <c r="H32" s="50">
        <f t="shared" si="5"/>
        <v>0</v>
      </c>
      <c r="I32" s="20" t="s">
        <v>350</v>
      </c>
    </row>
    <row r="33" spans="1:9" s="20" customFormat="1" hidden="1" outlineLevel="1" x14ac:dyDescent="0.25">
      <c r="A33" s="59"/>
      <c r="B33" s="46" t="s">
        <v>994</v>
      </c>
      <c r="C33" s="46">
        <v>100</v>
      </c>
      <c r="D33" s="46">
        <v>60</v>
      </c>
      <c r="E33" s="18">
        <f t="shared" si="2"/>
        <v>0.6</v>
      </c>
      <c r="F33" s="49">
        <f t="shared" si="3"/>
        <v>0</v>
      </c>
      <c r="G33" s="50">
        <f t="shared" si="4"/>
        <v>0</v>
      </c>
      <c r="H33" s="50">
        <f t="shared" si="5"/>
        <v>0</v>
      </c>
      <c r="I33" s="20" t="s">
        <v>350</v>
      </c>
    </row>
    <row r="34" spans="1:9" s="20" customFormat="1" hidden="1" outlineLevel="1" x14ac:dyDescent="0.25">
      <c r="A34" s="59"/>
      <c r="B34" s="46" t="s">
        <v>995</v>
      </c>
      <c r="C34" s="46">
        <v>120</v>
      </c>
      <c r="D34" s="46">
        <v>60</v>
      </c>
      <c r="E34" s="18">
        <f t="shared" si="2"/>
        <v>0.72</v>
      </c>
      <c r="F34" s="49">
        <f t="shared" si="3"/>
        <v>0</v>
      </c>
      <c r="G34" s="50">
        <f t="shared" si="4"/>
        <v>0</v>
      </c>
      <c r="H34" s="50">
        <f t="shared" si="5"/>
        <v>0</v>
      </c>
      <c r="I34" s="20" t="s">
        <v>350</v>
      </c>
    </row>
    <row r="35" spans="1:9" s="20" customFormat="1" hidden="1" outlineLevel="1" x14ac:dyDescent="0.25">
      <c r="A35" s="59"/>
      <c r="B35" s="46" t="s">
        <v>996</v>
      </c>
      <c r="C35" s="46">
        <v>140</v>
      </c>
      <c r="D35" s="46">
        <v>60</v>
      </c>
      <c r="E35" s="18">
        <f t="shared" si="2"/>
        <v>0.84</v>
      </c>
      <c r="F35" s="49">
        <f t="shared" si="3"/>
        <v>0</v>
      </c>
      <c r="G35" s="50">
        <f t="shared" si="4"/>
        <v>0</v>
      </c>
      <c r="H35" s="50">
        <f t="shared" si="5"/>
        <v>0</v>
      </c>
      <c r="I35" s="20" t="s">
        <v>350</v>
      </c>
    </row>
    <row r="36" spans="1:9" s="20" customFormat="1" hidden="1" outlineLevel="1" x14ac:dyDescent="0.25">
      <c r="A36" s="59"/>
      <c r="B36" s="46" t="s">
        <v>997</v>
      </c>
      <c r="C36" s="46">
        <v>146</v>
      </c>
      <c r="D36" s="46">
        <v>50</v>
      </c>
      <c r="E36" s="18">
        <f t="shared" si="2"/>
        <v>0.73</v>
      </c>
      <c r="F36" s="49">
        <f t="shared" si="3"/>
        <v>0</v>
      </c>
      <c r="G36" s="50">
        <f t="shared" si="4"/>
        <v>0</v>
      </c>
      <c r="H36" s="50">
        <f t="shared" si="5"/>
        <v>0</v>
      </c>
      <c r="I36" s="20" t="s">
        <v>350</v>
      </c>
    </row>
    <row r="37" spans="1:9" s="20" customFormat="1" hidden="1" outlineLevel="1" x14ac:dyDescent="0.25">
      <c r="A37" s="59"/>
      <c r="B37" s="46" t="s">
        <v>998</v>
      </c>
      <c r="C37" s="46">
        <v>40</v>
      </c>
      <c r="D37" s="46">
        <v>60</v>
      </c>
      <c r="E37" s="18">
        <f t="shared" si="2"/>
        <v>0.24</v>
      </c>
      <c r="F37" s="49">
        <f t="shared" si="3"/>
        <v>0</v>
      </c>
      <c r="G37" s="50">
        <f t="shared" si="4"/>
        <v>0</v>
      </c>
      <c r="H37" s="50">
        <f t="shared" si="5"/>
        <v>0</v>
      </c>
      <c r="I37" s="20" t="s">
        <v>350</v>
      </c>
    </row>
    <row r="38" spans="1:9" s="20" customFormat="1" hidden="1" outlineLevel="1" x14ac:dyDescent="0.25">
      <c r="A38" s="59"/>
      <c r="B38" s="46" t="s">
        <v>999</v>
      </c>
      <c r="C38" s="46">
        <v>50</v>
      </c>
      <c r="D38" s="46">
        <v>100</v>
      </c>
      <c r="E38" s="18">
        <f t="shared" si="2"/>
        <v>0.5</v>
      </c>
      <c r="F38" s="49">
        <f t="shared" si="3"/>
        <v>0</v>
      </c>
      <c r="G38" s="50">
        <f t="shared" si="4"/>
        <v>0</v>
      </c>
      <c r="H38" s="50">
        <f t="shared" si="5"/>
        <v>0</v>
      </c>
      <c r="I38" s="20" t="s">
        <v>350</v>
      </c>
    </row>
    <row r="39" spans="1:9" s="20" customFormat="1" hidden="1" outlineLevel="1" x14ac:dyDescent="0.25">
      <c r="A39" s="59"/>
      <c r="B39" s="46" t="s">
        <v>1000</v>
      </c>
      <c r="C39" s="46">
        <v>50</v>
      </c>
      <c r="D39" s="46">
        <v>146</v>
      </c>
      <c r="E39" s="18">
        <f t="shared" si="2"/>
        <v>0.73</v>
      </c>
      <c r="F39" s="49">
        <f t="shared" si="3"/>
        <v>0</v>
      </c>
      <c r="G39" s="50">
        <f t="shared" si="4"/>
        <v>0</v>
      </c>
      <c r="H39" s="50">
        <f t="shared" si="5"/>
        <v>0</v>
      </c>
      <c r="I39" s="20" t="s">
        <v>350</v>
      </c>
    </row>
    <row r="40" spans="1:9" s="20" customFormat="1" hidden="1" outlineLevel="1" x14ac:dyDescent="0.25">
      <c r="A40" s="59"/>
      <c r="B40" s="46" t="s">
        <v>1001</v>
      </c>
      <c r="C40" s="46">
        <v>50</v>
      </c>
      <c r="D40" s="46">
        <v>150</v>
      </c>
      <c r="E40" s="18">
        <f t="shared" si="2"/>
        <v>0.75</v>
      </c>
      <c r="F40" s="49">
        <f t="shared" si="3"/>
        <v>0</v>
      </c>
      <c r="G40" s="50">
        <f t="shared" si="4"/>
        <v>0</v>
      </c>
      <c r="H40" s="50">
        <f t="shared" si="5"/>
        <v>0</v>
      </c>
      <c r="I40" s="20" t="s">
        <v>350</v>
      </c>
    </row>
    <row r="41" spans="1:9" s="20" customFormat="1" hidden="1" outlineLevel="1" x14ac:dyDescent="0.25">
      <c r="A41" s="59"/>
      <c r="B41" s="46" t="s">
        <v>1002</v>
      </c>
      <c r="C41" s="46">
        <v>50</v>
      </c>
      <c r="D41" s="46">
        <v>50</v>
      </c>
      <c r="E41" s="18">
        <f t="shared" si="2"/>
        <v>0.25</v>
      </c>
      <c r="F41" s="49">
        <f t="shared" si="3"/>
        <v>0</v>
      </c>
      <c r="G41" s="50">
        <f t="shared" si="4"/>
        <v>0</v>
      </c>
      <c r="H41" s="50">
        <f t="shared" si="5"/>
        <v>0</v>
      </c>
      <c r="I41" s="20" t="s">
        <v>350</v>
      </c>
    </row>
    <row r="42" spans="1:9" s="20" customFormat="1" hidden="1" outlineLevel="1" x14ac:dyDescent="0.25">
      <c r="A42" s="59"/>
      <c r="B42" s="46" t="s">
        <v>1003</v>
      </c>
      <c r="C42" s="46">
        <v>50</v>
      </c>
      <c r="D42" s="46">
        <v>96</v>
      </c>
      <c r="E42" s="18">
        <f t="shared" si="2"/>
        <v>0.48</v>
      </c>
      <c r="F42" s="49">
        <f t="shared" si="3"/>
        <v>0</v>
      </c>
      <c r="G42" s="50">
        <f t="shared" si="4"/>
        <v>0</v>
      </c>
      <c r="H42" s="50">
        <f t="shared" si="5"/>
        <v>0</v>
      </c>
      <c r="I42" s="20" t="s">
        <v>350</v>
      </c>
    </row>
    <row r="43" spans="1:9" s="20" customFormat="1" hidden="1" outlineLevel="1" x14ac:dyDescent="0.25">
      <c r="A43" s="59"/>
      <c r="B43" s="46" t="s">
        <v>1004</v>
      </c>
      <c r="C43" s="46">
        <v>60</v>
      </c>
      <c r="D43" s="46">
        <v>100</v>
      </c>
      <c r="E43" s="18">
        <f t="shared" si="2"/>
        <v>0.6</v>
      </c>
      <c r="F43" s="49">
        <f t="shared" si="3"/>
        <v>0</v>
      </c>
      <c r="G43" s="50">
        <f t="shared" si="4"/>
        <v>0</v>
      </c>
      <c r="H43" s="50">
        <f t="shared" si="5"/>
        <v>0</v>
      </c>
      <c r="I43" s="20" t="s">
        <v>350</v>
      </c>
    </row>
    <row r="44" spans="1:9" s="20" customFormat="1" hidden="1" outlineLevel="1" x14ac:dyDescent="0.25">
      <c r="A44" s="59"/>
      <c r="B44" s="46" t="s">
        <v>1005</v>
      </c>
      <c r="C44" s="46">
        <v>60</v>
      </c>
      <c r="D44" s="46">
        <v>60</v>
      </c>
      <c r="E44" s="18">
        <f t="shared" si="2"/>
        <v>0.36</v>
      </c>
      <c r="F44" s="49">
        <f t="shared" si="3"/>
        <v>0</v>
      </c>
      <c r="G44" s="50">
        <f t="shared" si="4"/>
        <v>0</v>
      </c>
      <c r="H44" s="50">
        <f t="shared" si="5"/>
        <v>0</v>
      </c>
      <c r="I44" s="20" t="s">
        <v>350</v>
      </c>
    </row>
    <row r="45" spans="1:9" s="20" customFormat="1" hidden="1" outlineLevel="1" x14ac:dyDescent="0.25">
      <c r="A45" s="59"/>
      <c r="B45" s="46" t="s">
        <v>1006</v>
      </c>
      <c r="C45" s="46">
        <v>60</v>
      </c>
      <c r="D45" s="46">
        <v>80</v>
      </c>
      <c r="E45" s="18">
        <f t="shared" si="2"/>
        <v>0.48</v>
      </c>
      <c r="F45" s="49">
        <f t="shared" si="3"/>
        <v>0</v>
      </c>
      <c r="G45" s="50">
        <f t="shared" si="4"/>
        <v>0</v>
      </c>
      <c r="H45" s="50">
        <f t="shared" si="5"/>
        <v>0</v>
      </c>
      <c r="I45" s="20" t="s">
        <v>350</v>
      </c>
    </row>
    <row r="46" spans="1:9" s="20" customFormat="1" hidden="1" outlineLevel="1" x14ac:dyDescent="0.25">
      <c r="A46" s="59"/>
      <c r="B46" s="46" t="s">
        <v>1007</v>
      </c>
      <c r="C46" s="46">
        <v>96</v>
      </c>
      <c r="D46" s="46">
        <v>50</v>
      </c>
      <c r="E46" s="18">
        <f t="shared" si="2"/>
        <v>0.48</v>
      </c>
      <c r="F46" s="49">
        <f t="shared" si="3"/>
        <v>0</v>
      </c>
      <c r="G46" s="50">
        <f t="shared" si="4"/>
        <v>0</v>
      </c>
      <c r="H46" s="50">
        <f t="shared" si="5"/>
        <v>0</v>
      </c>
      <c r="I46" s="20" t="s">
        <v>350</v>
      </c>
    </row>
    <row r="47" spans="1:9" s="20" customFormat="1" hidden="1" outlineLevel="1" x14ac:dyDescent="0.25">
      <c r="A47" s="59"/>
      <c r="B47" s="46" t="s">
        <v>1012</v>
      </c>
      <c r="C47" s="46">
        <v>100</v>
      </c>
      <c r="D47" s="46">
        <v>120</v>
      </c>
      <c r="E47" s="18">
        <f t="shared" si="2"/>
        <v>1.2</v>
      </c>
      <c r="F47" s="49">
        <f t="shared" si="3"/>
        <v>0</v>
      </c>
      <c r="G47" s="50">
        <f t="shared" si="4"/>
        <v>0</v>
      </c>
      <c r="H47" s="50">
        <f t="shared" si="5"/>
        <v>0</v>
      </c>
      <c r="I47" s="20" t="s">
        <v>350</v>
      </c>
    </row>
    <row r="48" spans="1:9" s="20" customFormat="1" hidden="1" outlineLevel="1" x14ac:dyDescent="0.25">
      <c r="A48" s="59"/>
      <c r="B48" s="46" t="s">
        <v>1013</v>
      </c>
      <c r="C48" s="46">
        <v>100</v>
      </c>
      <c r="D48" s="46">
        <v>150</v>
      </c>
      <c r="E48" s="18">
        <f t="shared" si="2"/>
        <v>1.5</v>
      </c>
      <c r="F48" s="49">
        <f t="shared" si="3"/>
        <v>0</v>
      </c>
      <c r="G48" s="50">
        <f t="shared" si="4"/>
        <v>0</v>
      </c>
      <c r="H48" s="50">
        <f t="shared" si="5"/>
        <v>0</v>
      </c>
      <c r="I48" s="20" t="s">
        <v>350</v>
      </c>
    </row>
    <row r="49" spans="1:9" s="20" customFormat="1" hidden="1" outlineLevel="1" x14ac:dyDescent="0.25">
      <c r="A49" s="59"/>
      <c r="B49" s="46" t="s">
        <v>1014</v>
      </c>
      <c r="C49" s="46">
        <v>100</v>
      </c>
      <c r="D49" s="46">
        <v>200</v>
      </c>
      <c r="E49" s="18">
        <f t="shared" si="2"/>
        <v>2</v>
      </c>
      <c r="F49" s="49">
        <f t="shared" si="3"/>
        <v>0</v>
      </c>
      <c r="G49" s="50">
        <f t="shared" si="4"/>
        <v>0</v>
      </c>
      <c r="H49" s="50">
        <f t="shared" si="5"/>
        <v>0</v>
      </c>
      <c r="I49" s="20" t="s">
        <v>350</v>
      </c>
    </row>
    <row r="50" spans="1:9" s="20" customFormat="1" hidden="1" outlineLevel="1" x14ac:dyDescent="0.25">
      <c r="A50" s="59"/>
      <c r="B50" s="46" t="s">
        <v>1015</v>
      </c>
      <c r="C50" s="46">
        <v>120</v>
      </c>
      <c r="D50" s="46">
        <v>150</v>
      </c>
      <c r="E50" s="18">
        <f t="shared" si="2"/>
        <v>1.8</v>
      </c>
      <c r="F50" s="49">
        <f t="shared" si="3"/>
        <v>0</v>
      </c>
      <c r="G50" s="50">
        <f t="shared" si="4"/>
        <v>0</v>
      </c>
      <c r="H50" s="50">
        <f t="shared" si="5"/>
        <v>0</v>
      </c>
      <c r="I50" s="20" t="s">
        <v>350</v>
      </c>
    </row>
    <row r="51" spans="1:9" s="20" customFormat="1" hidden="1" outlineLevel="1" x14ac:dyDescent="0.25">
      <c r="A51" s="59"/>
      <c r="B51" s="46" t="s">
        <v>1016</v>
      </c>
      <c r="C51" s="46">
        <v>120</v>
      </c>
      <c r="D51" s="46">
        <v>200</v>
      </c>
      <c r="E51" s="18">
        <f t="shared" si="2"/>
        <v>2.4</v>
      </c>
      <c r="F51" s="49">
        <f t="shared" si="3"/>
        <v>0</v>
      </c>
      <c r="G51" s="50">
        <f t="shared" si="4"/>
        <v>0</v>
      </c>
      <c r="H51" s="50">
        <f t="shared" si="5"/>
        <v>0</v>
      </c>
      <c r="I51" s="20" t="s">
        <v>350</v>
      </c>
    </row>
    <row r="52" spans="1:9" s="20" customFormat="1" hidden="1" outlineLevel="1" x14ac:dyDescent="0.25">
      <c r="A52" s="59"/>
      <c r="B52" s="46" t="s">
        <v>1017</v>
      </c>
      <c r="C52" s="46">
        <v>100</v>
      </c>
      <c r="D52" s="46">
        <v>120</v>
      </c>
      <c r="E52" s="18">
        <f t="shared" si="2"/>
        <v>1.2</v>
      </c>
      <c r="F52" s="49">
        <f t="shared" si="3"/>
        <v>0</v>
      </c>
      <c r="G52" s="50">
        <f t="shared" si="4"/>
        <v>0</v>
      </c>
      <c r="H52" s="50">
        <f t="shared" si="5"/>
        <v>0</v>
      </c>
      <c r="I52" s="20" t="s">
        <v>350</v>
      </c>
    </row>
    <row r="53" spans="1:9" s="20" customFormat="1" hidden="1" outlineLevel="1" x14ac:dyDescent="0.25">
      <c r="A53" s="59"/>
      <c r="B53" s="46" t="s">
        <v>1018</v>
      </c>
      <c r="C53" s="46">
        <v>100</v>
      </c>
      <c r="D53" s="46">
        <v>150</v>
      </c>
      <c r="E53" s="18">
        <f t="shared" si="2"/>
        <v>1.5</v>
      </c>
      <c r="F53" s="49">
        <f t="shared" si="3"/>
        <v>0</v>
      </c>
      <c r="G53" s="50">
        <f t="shared" si="4"/>
        <v>0</v>
      </c>
      <c r="H53" s="50">
        <f t="shared" si="5"/>
        <v>0</v>
      </c>
      <c r="I53" s="20" t="s">
        <v>350</v>
      </c>
    </row>
    <row r="54" spans="1:9" s="20" customFormat="1" hidden="1" outlineLevel="1" x14ac:dyDescent="0.25">
      <c r="A54" s="59"/>
      <c r="B54" s="46" t="s">
        <v>1019</v>
      </c>
      <c r="C54" s="46">
        <v>100</v>
      </c>
      <c r="D54" s="46">
        <v>200</v>
      </c>
      <c r="E54" s="18">
        <f t="shared" si="2"/>
        <v>2</v>
      </c>
      <c r="F54" s="49">
        <f t="shared" si="3"/>
        <v>0</v>
      </c>
      <c r="G54" s="50">
        <f t="shared" si="4"/>
        <v>0</v>
      </c>
      <c r="H54" s="50">
        <f t="shared" si="5"/>
        <v>0</v>
      </c>
      <c r="I54" s="20" t="s">
        <v>350</v>
      </c>
    </row>
    <row r="55" spans="1:9" s="20" customFormat="1" hidden="1" outlineLevel="1" x14ac:dyDescent="0.25">
      <c r="A55" s="59"/>
      <c r="B55" s="46" t="s">
        <v>1020</v>
      </c>
      <c r="C55" s="46">
        <v>120</v>
      </c>
      <c r="D55" s="46">
        <v>100</v>
      </c>
      <c r="E55" s="18">
        <f t="shared" si="2"/>
        <v>1.2</v>
      </c>
      <c r="F55" s="49">
        <f t="shared" si="3"/>
        <v>0</v>
      </c>
      <c r="G55" s="50">
        <f t="shared" si="4"/>
        <v>0</v>
      </c>
      <c r="H55" s="50">
        <f t="shared" si="5"/>
        <v>0</v>
      </c>
      <c r="I55" s="20" t="s">
        <v>350</v>
      </c>
    </row>
    <row r="56" spans="1:9" s="20" customFormat="1" hidden="1" outlineLevel="1" x14ac:dyDescent="0.25">
      <c r="A56" s="59"/>
      <c r="B56" s="46" t="s">
        <v>1021</v>
      </c>
      <c r="C56" s="46">
        <v>120</v>
      </c>
      <c r="D56" s="46">
        <v>150</v>
      </c>
      <c r="E56" s="18">
        <f t="shared" si="2"/>
        <v>1.8</v>
      </c>
      <c r="F56" s="49">
        <f t="shared" si="3"/>
        <v>0</v>
      </c>
      <c r="G56" s="50">
        <f t="shared" si="4"/>
        <v>0</v>
      </c>
      <c r="H56" s="50">
        <f t="shared" si="5"/>
        <v>0</v>
      </c>
      <c r="I56" s="20" t="s">
        <v>350</v>
      </c>
    </row>
    <row r="57" spans="1:9" s="20" customFormat="1" hidden="1" outlineLevel="1" x14ac:dyDescent="0.25">
      <c r="A57" s="59"/>
      <c r="B57" s="46" t="s">
        <v>1022</v>
      </c>
      <c r="C57" s="46">
        <v>120</v>
      </c>
      <c r="D57" s="46">
        <v>200</v>
      </c>
      <c r="E57" s="18">
        <f t="shared" si="2"/>
        <v>2.4</v>
      </c>
      <c r="F57" s="49">
        <f t="shared" si="3"/>
        <v>0</v>
      </c>
      <c r="G57" s="50">
        <f t="shared" si="4"/>
        <v>0</v>
      </c>
      <c r="H57" s="50">
        <f t="shared" si="5"/>
        <v>0</v>
      </c>
      <c r="I57" s="20" t="s">
        <v>350</v>
      </c>
    </row>
    <row r="58" spans="1:9" s="20" customFormat="1" hidden="1" outlineLevel="1" x14ac:dyDescent="0.25">
      <c r="A58" s="59"/>
      <c r="B58" s="46" t="s">
        <v>1023</v>
      </c>
      <c r="C58" s="46">
        <v>60</v>
      </c>
      <c r="D58" s="46">
        <v>60</v>
      </c>
      <c r="E58" s="18">
        <f t="shared" si="2"/>
        <v>0.36</v>
      </c>
      <c r="F58" s="49">
        <f t="shared" si="3"/>
        <v>0</v>
      </c>
      <c r="G58" s="50">
        <f t="shared" si="4"/>
        <v>0</v>
      </c>
      <c r="H58" s="50">
        <f t="shared" si="5"/>
        <v>0</v>
      </c>
      <c r="I58" s="20" t="s">
        <v>350</v>
      </c>
    </row>
    <row r="59" spans="1:9" s="20" customFormat="1" hidden="1" outlineLevel="1" x14ac:dyDescent="0.25">
      <c r="A59" s="59"/>
      <c r="B59" s="46" t="s">
        <v>1024</v>
      </c>
      <c r="C59" s="46">
        <v>60</v>
      </c>
      <c r="D59" s="46">
        <v>80</v>
      </c>
      <c r="E59" s="18">
        <f t="shared" si="2"/>
        <v>0.48</v>
      </c>
      <c r="F59" s="49">
        <f t="shared" si="3"/>
        <v>0</v>
      </c>
      <c r="G59" s="50">
        <f t="shared" si="4"/>
        <v>0</v>
      </c>
      <c r="H59" s="50">
        <f t="shared" si="5"/>
        <v>0</v>
      </c>
      <c r="I59" s="20" t="s">
        <v>350</v>
      </c>
    </row>
    <row r="60" spans="1:9" s="20" customFormat="1" hidden="1" outlineLevel="1" x14ac:dyDescent="0.25">
      <c r="A60" s="59"/>
      <c r="B60" s="46" t="s">
        <v>1025</v>
      </c>
      <c r="C60" s="46">
        <v>40</v>
      </c>
      <c r="D60" s="46">
        <v>60</v>
      </c>
      <c r="E60" s="18">
        <f t="shared" si="2"/>
        <v>0.24</v>
      </c>
      <c r="F60" s="49">
        <f t="shared" si="3"/>
        <v>0</v>
      </c>
      <c r="G60" s="50">
        <f t="shared" si="4"/>
        <v>0</v>
      </c>
      <c r="H60" s="50">
        <f t="shared" si="5"/>
        <v>0</v>
      </c>
      <c r="I60" s="20" t="s">
        <v>350</v>
      </c>
    </row>
    <row r="61" spans="1:9" s="20" customFormat="1" hidden="1" outlineLevel="1" x14ac:dyDescent="0.25">
      <c r="A61" s="59"/>
      <c r="B61" s="46" t="s">
        <v>1026</v>
      </c>
      <c r="C61" s="46">
        <v>60</v>
      </c>
      <c r="D61" s="46">
        <v>100</v>
      </c>
      <c r="E61" s="18">
        <f t="shared" si="2"/>
        <v>0.6</v>
      </c>
      <c r="F61" s="49">
        <f t="shared" si="3"/>
        <v>0</v>
      </c>
      <c r="G61" s="50">
        <f t="shared" si="4"/>
        <v>0</v>
      </c>
      <c r="H61" s="50">
        <f t="shared" si="5"/>
        <v>0</v>
      </c>
      <c r="I61" s="20" t="s">
        <v>350</v>
      </c>
    </row>
    <row r="62" spans="1:9" s="20" customFormat="1" hidden="1" outlineLevel="1" x14ac:dyDescent="0.25">
      <c r="A62" s="59"/>
      <c r="B62" s="46" t="s">
        <v>1027</v>
      </c>
      <c r="C62" s="46">
        <v>60</v>
      </c>
      <c r="D62" s="46">
        <v>60</v>
      </c>
      <c r="E62" s="18">
        <f t="shared" si="2"/>
        <v>0.36</v>
      </c>
      <c r="F62" s="49">
        <f t="shared" si="3"/>
        <v>0</v>
      </c>
      <c r="G62" s="50">
        <f t="shared" si="4"/>
        <v>0</v>
      </c>
      <c r="H62" s="50">
        <f t="shared" si="5"/>
        <v>0</v>
      </c>
      <c r="I62" s="20" t="s">
        <v>350</v>
      </c>
    </row>
    <row r="63" spans="1:9" s="20" customFormat="1" hidden="1" outlineLevel="1" x14ac:dyDescent="0.25">
      <c r="A63" s="59"/>
      <c r="B63" s="46" t="s">
        <v>1028</v>
      </c>
      <c r="C63" s="46">
        <v>60</v>
      </c>
      <c r="D63" s="46">
        <v>80</v>
      </c>
      <c r="E63" s="18">
        <f t="shared" si="2"/>
        <v>0.48</v>
      </c>
      <c r="F63" s="49">
        <f t="shared" si="3"/>
        <v>0</v>
      </c>
      <c r="G63" s="50">
        <f t="shared" si="4"/>
        <v>0</v>
      </c>
      <c r="H63" s="50">
        <f t="shared" si="5"/>
        <v>0</v>
      </c>
      <c r="I63" s="20" t="s">
        <v>350</v>
      </c>
    </row>
    <row r="64" spans="1:9" s="20" customFormat="1" hidden="1" outlineLevel="1" x14ac:dyDescent="0.25">
      <c r="A64" s="59"/>
      <c r="B64" s="46" t="s">
        <v>1029</v>
      </c>
      <c r="C64" s="46">
        <v>100</v>
      </c>
      <c r="D64" s="46">
        <v>120</v>
      </c>
      <c r="E64" s="18">
        <f t="shared" si="2"/>
        <v>1.2</v>
      </c>
      <c r="F64" s="49">
        <f t="shared" si="3"/>
        <v>0</v>
      </c>
      <c r="G64" s="50">
        <f t="shared" si="4"/>
        <v>0</v>
      </c>
      <c r="H64" s="50">
        <f t="shared" si="5"/>
        <v>0</v>
      </c>
      <c r="I64" s="20" t="s">
        <v>350</v>
      </c>
    </row>
    <row r="65" spans="1:9" s="20" customFormat="1" hidden="1" outlineLevel="1" x14ac:dyDescent="0.25">
      <c r="A65" s="59"/>
      <c r="B65" s="46" t="s">
        <v>1030</v>
      </c>
      <c r="C65" s="46">
        <v>100</v>
      </c>
      <c r="D65" s="46">
        <v>150</v>
      </c>
      <c r="E65" s="18">
        <f t="shared" si="2"/>
        <v>1.5</v>
      </c>
      <c r="F65" s="49">
        <f t="shared" si="3"/>
        <v>0</v>
      </c>
      <c r="G65" s="50">
        <f t="shared" si="4"/>
        <v>0</v>
      </c>
      <c r="H65" s="50">
        <f t="shared" si="5"/>
        <v>0</v>
      </c>
      <c r="I65" s="20" t="s">
        <v>350</v>
      </c>
    </row>
    <row r="66" spans="1:9" s="20" customFormat="1" hidden="1" outlineLevel="1" x14ac:dyDescent="0.25">
      <c r="A66" s="59"/>
      <c r="B66" s="46" t="s">
        <v>1031</v>
      </c>
      <c r="C66" s="46">
        <v>100</v>
      </c>
      <c r="D66" s="46">
        <v>200</v>
      </c>
      <c r="E66" s="18">
        <f t="shared" si="2"/>
        <v>2</v>
      </c>
      <c r="F66" s="49">
        <f t="shared" si="3"/>
        <v>0</v>
      </c>
      <c r="G66" s="50">
        <f t="shared" si="4"/>
        <v>0</v>
      </c>
      <c r="H66" s="50">
        <f t="shared" si="5"/>
        <v>0</v>
      </c>
      <c r="I66" s="20" t="s">
        <v>350</v>
      </c>
    </row>
    <row r="67" spans="1:9" s="20" customFormat="1" hidden="1" outlineLevel="1" x14ac:dyDescent="0.25">
      <c r="A67" s="59"/>
      <c r="B67" s="46" t="s">
        <v>1032</v>
      </c>
      <c r="C67" s="46">
        <v>120</v>
      </c>
      <c r="D67" s="46">
        <v>150</v>
      </c>
      <c r="E67" s="18">
        <f t="shared" si="2"/>
        <v>1.8</v>
      </c>
      <c r="F67" s="49">
        <f t="shared" si="3"/>
        <v>0</v>
      </c>
      <c r="G67" s="50">
        <f t="shared" si="4"/>
        <v>0</v>
      </c>
      <c r="H67" s="50">
        <f t="shared" si="5"/>
        <v>0</v>
      </c>
      <c r="I67" s="20" t="s">
        <v>350</v>
      </c>
    </row>
    <row r="68" spans="1:9" s="20" customFormat="1" hidden="1" outlineLevel="1" x14ac:dyDescent="0.25">
      <c r="A68" s="59"/>
      <c r="B68" s="46" t="s">
        <v>1033</v>
      </c>
      <c r="C68" s="46">
        <v>120</v>
      </c>
      <c r="D68" s="46">
        <v>200</v>
      </c>
      <c r="E68" s="18">
        <f t="shared" ref="E68:E94" si="6">C68/100*D68/100</f>
        <v>2.4</v>
      </c>
      <c r="F68" s="49">
        <f t="shared" ref="F68:F94" si="7">SUMIF($B$9:$B$19,B68,$C$9:$C$19)</f>
        <v>0</v>
      </c>
      <c r="G68" s="50">
        <f t="shared" ref="G68:G94" si="8">E68*F68</f>
        <v>0</v>
      </c>
      <c r="H68" s="50">
        <f t="shared" ref="H68:H94" si="9">F68*D68/100</f>
        <v>0</v>
      </c>
      <c r="I68" s="20" t="s">
        <v>350</v>
      </c>
    </row>
    <row r="69" spans="1:9" s="20" customFormat="1" hidden="1" outlineLevel="1" x14ac:dyDescent="0.25">
      <c r="A69" s="59"/>
      <c r="B69" s="46" t="s">
        <v>1034</v>
      </c>
      <c r="C69" s="46">
        <v>100</v>
      </c>
      <c r="D69" s="46">
        <v>120</v>
      </c>
      <c r="E69" s="18">
        <f t="shared" si="6"/>
        <v>1.2</v>
      </c>
      <c r="F69" s="49">
        <f t="shared" si="7"/>
        <v>0</v>
      </c>
      <c r="G69" s="50">
        <f t="shared" si="8"/>
        <v>0</v>
      </c>
      <c r="H69" s="50">
        <f t="shared" si="9"/>
        <v>0</v>
      </c>
      <c r="I69" s="20" t="s">
        <v>350</v>
      </c>
    </row>
    <row r="70" spans="1:9" s="20" customFormat="1" hidden="1" outlineLevel="1" x14ac:dyDescent="0.25">
      <c r="A70" s="59"/>
      <c r="B70" s="46" t="s">
        <v>1035</v>
      </c>
      <c r="C70" s="46">
        <v>100</v>
      </c>
      <c r="D70" s="46">
        <v>150</v>
      </c>
      <c r="E70" s="18">
        <f t="shared" si="6"/>
        <v>1.5</v>
      </c>
      <c r="F70" s="49">
        <f t="shared" si="7"/>
        <v>0</v>
      </c>
      <c r="G70" s="50">
        <f t="shared" si="8"/>
        <v>0</v>
      </c>
      <c r="H70" s="50">
        <f t="shared" si="9"/>
        <v>0</v>
      </c>
      <c r="I70" s="20" t="s">
        <v>350</v>
      </c>
    </row>
    <row r="71" spans="1:9" s="20" customFormat="1" hidden="1" outlineLevel="1" x14ac:dyDescent="0.25">
      <c r="A71" s="59"/>
      <c r="B71" s="46" t="s">
        <v>1036</v>
      </c>
      <c r="C71" s="46">
        <v>100</v>
      </c>
      <c r="D71" s="46">
        <v>200</v>
      </c>
      <c r="E71" s="18">
        <f t="shared" si="6"/>
        <v>2</v>
      </c>
      <c r="F71" s="49">
        <f t="shared" si="7"/>
        <v>0</v>
      </c>
      <c r="G71" s="50">
        <f t="shared" si="8"/>
        <v>0</v>
      </c>
      <c r="H71" s="50">
        <f t="shared" si="9"/>
        <v>0</v>
      </c>
      <c r="I71" s="20" t="s">
        <v>350</v>
      </c>
    </row>
    <row r="72" spans="1:9" s="20" customFormat="1" hidden="1" outlineLevel="1" x14ac:dyDescent="0.25">
      <c r="A72" s="59"/>
      <c r="B72" s="46" t="s">
        <v>1037</v>
      </c>
      <c r="C72" s="46">
        <v>120</v>
      </c>
      <c r="D72" s="46">
        <v>150</v>
      </c>
      <c r="E72" s="18">
        <f t="shared" si="6"/>
        <v>1.8</v>
      </c>
      <c r="F72" s="49">
        <f t="shared" si="7"/>
        <v>0</v>
      </c>
      <c r="G72" s="50">
        <f t="shared" si="8"/>
        <v>0</v>
      </c>
      <c r="H72" s="50">
        <f t="shared" si="9"/>
        <v>0</v>
      </c>
      <c r="I72" s="20" t="s">
        <v>350</v>
      </c>
    </row>
    <row r="73" spans="1:9" s="20" customFormat="1" hidden="1" outlineLevel="1" x14ac:dyDescent="0.25">
      <c r="A73" s="59"/>
      <c r="B73" s="46" t="s">
        <v>1038</v>
      </c>
      <c r="C73" s="46">
        <v>120</v>
      </c>
      <c r="D73" s="46">
        <v>200</v>
      </c>
      <c r="E73" s="18">
        <f t="shared" si="6"/>
        <v>2.4</v>
      </c>
      <c r="F73" s="49">
        <f t="shared" si="7"/>
        <v>0</v>
      </c>
      <c r="G73" s="50">
        <f t="shared" si="8"/>
        <v>0</v>
      </c>
      <c r="H73" s="50">
        <f t="shared" si="9"/>
        <v>0</v>
      </c>
      <c r="I73" s="20" t="s">
        <v>350</v>
      </c>
    </row>
    <row r="74" spans="1:9" s="20" customFormat="1" hidden="1" outlineLevel="1" x14ac:dyDescent="0.25">
      <c r="A74" s="59"/>
      <c r="B74" s="46" t="s">
        <v>1008</v>
      </c>
      <c r="C74" s="46">
        <v>100</v>
      </c>
      <c r="D74" s="46">
        <v>150</v>
      </c>
      <c r="E74" s="18">
        <f t="shared" si="6"/>
        <v>1.5</v>
      </c>
      <c r="F74" s="49">
        <f t="shared" si="7"/>
        <v>0</v>
      </c>
      <c r="G74" s="50">
        <f t="shared" si="8"/>
        <v>0</v>
      </c>
      <c r="H74" s="50">
        <f t="shared" si="9"/>
        <v>0</v>
      </c>
      <c r="I74" s="20" t="s">
        <v>350</v>
      </c>
    </row>
    <row r="75" spans="1:9" s="20" customFormat="1" hidden="1" outlineLevel="1" x14ac:dyDescent="0.25">
      <c r="A75" s="59"/>
      <c r="B75" s="46" t="s">
        <v>1009</v>
      </c>
      <c r="C75" s="46">
        <v>100</v>
      </c>
      <c r="D75" s="46">
        <v>200</v>
      </c>
      <c r="E75" s="18">
        <f t="shared" si="6"/>
        <v>2</v>
      </c>
      <c r="F75" s="49">
        <f t="shared" si="7"/>
        <v>0</v>
      </c>
      <c r="G75" s="50">
        <f t="shared" si="8"/>
        <v>0</v>
      </c>
      <c r="H75" s="50">
        <f t="shared" si="9"/>
        <v>0</v>
      </c>
      <c r="I75" s="20" t="s">
        <v>350</v>
      </c>
    </row>
    <row r="76" spans="1:9" s="20" customFormat="1" hidden="1" outlineLevel="1" x14ac:dyDescent="0.25">
      <c r="A76" s="59"/>
      <c r="B76" s="46" t="s">
        <v>1010</v>
      </c>
      <c r="C76" s="46">
        <v>120</v>
      </c>
      <c r="D76" s="46">
        <v>150</v>
      </c>
      <c r="E76" s="18">
        <f t="shared" si="6"/>
        <v>1.8</v>
      </c>
      <c r="F76" s="49">
        <f t="shared" si="7"/>
        <v>0</v>
      </c>
      <c r="G76" s="50">
        <f t="shared" si="8"/>
        <v>0</v>
      </c>
      <c r="H76" s="50">
        <f t="shared" si="9"/>
        <v>0</v>
      </c>
      <c r="I76" s="20" t="s">
        <v>350</v>
      </c>
    </row>
    <row r="77" spans="1:9" s="20" customFormat="1" hidden="1" outlineLevel="1" x14ac:dyDescent="0.25">
      <c r="A77" s="59"/>
      <c r="B77" s="46" t="s">
        <v>1011</v>
      </c>
      <c r="C77" s="46">
        <v>120</v>
      </c>
      <c r="D77" s="46">
        <v>200</v>
      </c>
      <c r="E77" s="18">
        <f t="shared" si="6"/>
        <v>2.4</v>
      </c>
      <c r="F77" s="49">
        <f t="shared" si="7"/>
        <v>0</v>
      </c>
      <c r="G77" s="50">
        <f t="shared" si="8"/>
        <v>0</v>
      </c>
      <c r="H77" s="50">
        <f t="shared" si="9"/>
        <v>0</v>
      </c>
      <c r="I77" s="20" t="s">
        <v>350</v>
      </c>
    </row>
    <row r="78" spans="1:9" s="20" customFormat="1" hidden="1" outlineLevel="1" x14ac:dyDescent="0.25">
      <c r="A78" s="59"/>
      <c r="B78" s="46" t="s">
        <v>1039</v>
      </c>
      <c r="C78" s="46">
        <v>100</v>
      </c>
      <c r="D78" s="46">
        <v>120</v>
      </c>
      <c r="E78" s="18">
        <f t="shared" si="6"/>
        <v>1.2</v>
      </c>
      <c r="F78" s="49">
        <f t="shared" si="7"/>
        <v>0</v>
      </c>
      <c r="G78" s="50">
        <f t="shared" si="8"/>
        <v>0</v>
      </c>
      <c r="H78" s="50">
        <f t="shared" si="9"/>
        <v>0</v>
      </c>
      <c r="I78" s="20" t="s">
        <v>350</v>
      </c>
    </row>
    <row r="79" spans="1:9" s="20" customFormat="1" hidden="1" outlineLevel="1" x14ac:dyDescent="0.25">
      <c r="A79" s="59"/>
      <c r="B79" s="46" t="s">
        <v>1040</v>
      </c>
      <c r="C79" s="46">
        <v>100</v>
      </c>
      <c r="D79" s="46">
        <v>60</v>
      </c>
      <c r="E79" s="18">
        <f t="shared" si="6"/>
        <v>0.6</v>
      </c>
      <c r="F79" s="49">
        <f t="shared" si="7"/>
        <v>0</v>
      </c>
      <c r="G79" s="50">
        <f t="shared" si="8"/>
        <v>0</v>
      </c>
      <c r="H79" s="50">
        <f t="shared" si="9"/>
        <v>0</v>
      </c>
      <c r="I79" s="20" t="s">
        <v>350</v>
      </c>
    </row>
    <row r="80" spans="1:9" s="20" customFormat="1" hidden="1" outlineLevel="1" x14ac:dyDescent="0.25">
      <c r="A80" s="59"/>
      <c r="B80" s="46" t="s">
        <v>1041</v>
      </c>
      <c r="C80" s="46">
        <v>100</v>
      </c>
      <c r="D80" s="46">
        <v>80</v>
      </c>
      <c r="E80" s="18">
        <f t="shared" si="6"/>
        <v>0.8</v>
      </c>
      <c r="F80" s="49">
        <f t="shared" si="7"/>
        <v>0</v>
      </c>
      <c r="G80" s="50">
        <f t="shared" si="8"/>
        <v>0</v>
      </c>
      <c r="H80" s="50">
        <f t="shared" si="9"/>
        <v>0</v>
      </c>
      <c r="I80" s="20" t="s">
        <v>350</v>
      </c>
    </row>
    <row r="81" spans="1:9" s="20" customFormat="1" hidden="1" outlineLevel="1" x14ac:dyDescent="0.25">
      <c r="A81" s="59"/>
      <c r="B81" s="46" t="s">
        <v>1042</v>
      </c>
      <c r="C81" s="46">
        <v>60</v>
      </c>
      <c r="D81" s="46">
        <v>60</v>
      </c>
      <c r="E81" s="18">
        <f t="shared" si="6"/>
        <v>0.36</v>
      </c>
      <c r="F81" s="49">
        <f t="shared" si="7"/>
        <v>0</v>
      </c>
      <c r="G81" s="50">
        <f t="shared" si="8"/>
        <v>0</v>
      </c>
      <c r="H81" s="50">
        <f t="shared" si="9"/>
        <v>0</v>
      </c>
      <c r="I81" s="20" t="s">
        <v>350</v>
      </c>
    </row>
    <row r="82" spans="1:9" s="20" customFormat="1" hidden="1" outlineLevel="1" x14ac:dyDescent="0.25">
      <c r="A82" s="59"/>
      <c r="B82" s="46" t="s">
        <v>1043</v>
      </c>
      <c r="C82" s="46">
        <v>80</v>
      </c>
      <c r="D82" s="46">
        <v>60</v>
      </c>
      <c r="E82" s="18">
        <f t="shared" si="6"/>
        <v>0.48</v>
      </c>
      <c r="F82" s="49">
        <f t="shared" si="7"/>
        <v>0</v>
      </c>
      <c r="G82" s="50">
        <f t="shared" si="8"/>
        <v>0</v>
      </c>
      <c r="H82" s="50">
        <f t="shared" si="9"/>
        <v>0</v>
      </c>
      <c r="I82" s="20" t="s">
        <v>350</v>
      </c>
    </row>
    <row r="83" spans="1:9" s="20" customFormat="1" hidden="1" outlineLevel="1" x14ac:dyDescent="0.25">
      <c r="A83" s="59"/>
      <c r="B83" s="46" t="s">
        <v>1044</v>
      </c>
      <c r="C83" s="46">
        <v>80</v>
      </c>
      <c r="D83" s="46">
        <v>80</v>
      </c>
      <c r="E83" s="18">
        <f t="shared" si="6"/>
        <v>0.64</v>
      </c>
      <c r="F83" s="49">
        <f t="shared" si="7"/>
        <v>0</v>
      </c>
      <c r="G83" s="50">
        <f t="shared" si="8"/>
        <v>0</v>
      </c>
      <c r="H83" s="50">
        <f t="shared" si="9"/>
        <v>0</v>
      </c>
      <c r="I83" s="20" t="s">
        <v>350</v>
      </c>
    </row>
    <row r="84" spans="1:9" s="20" customFormat="1" hidden="1" outlineLevel="1" x14ac:dyDescent="0.25">
      <c r="A84" s="59"/>
      <c r="B84" s="46" t="s">
        <v>1045</v>
      </c>
      <c r="C84" s="46">
        <v>100</v>
      </c>
      <c r="D84" s="46">
        <v>60</v>
      </c>
      <c r="E84" s="18">
        <f t="shared" si="6"/>
        <v>0.6</v>
      </c>
      <c r="F84" s="49">
        <f t="shared" si="7"/>
        <v>0</v>
      </c>
      <c r="G84" s="50">
        <f t="shared" si="8"/>
        <v>0</v>
      </c>
      <c r="H84" s="50">
        <f t="shared" si="9"/>
        <v>0</v>
      </c>
      <c r="I84" s="20" t="s">
        <v>350</v>
      </c>
    </row>
    <row r="85" spans="1:9" s="20" customFormat="1" hidden="1" outlineLevel="1" x14ac:dyDescent="0.25">
      <c r="A85" s="59"/>
      <c r="B85" s="46" t="s">
        <v>1046</v>
      </c>
      <c r="C85" s="46">
        <v>120</v>
      </c>
      <c r="D85" s="46">
        <v>120</v>
      </c>
      <c r="E85" s="18">
        <f t="shared" si="6"/>
        <v>1.44</v>
      </c>
      <c r="F85" s="49">
        <f t="shared" si="7"/>
        <v>0</v>
      </c>
      <c r="G85" s="50">
        <f t="shared" si="8"/>
        <v>0</v>
      </c>
      <c r="H85" s="50">
        <f t="shared" si="9"/>
        <v>0</v>
      </c>
      <c r="I85" s="20" t="s">
        <v>350</v>
      </c>
    </row>
    <row r="86" spans="1:9" s="20" customFormat="1" hidden="1" outlineLevel="1" x14ac:dyDescent="0.25">
      <c r="A86" s="59"/>
      <c r="B86" s="46" t="s">
        <v>1047</v>
      </c>
      <c r="C86" s="46">
        <v>120</v>
      </c>
      <c r="D86" s="46">
        <v>60</v>
      </c>
      <c r="E86" s="18">
        <f t="shared" si="6"/>
        <v>0.72</v>
      </c>
      <c r="F86" s="49">
        <f t="shared" si="7"/>
        <v>0</v>
      </c>
      <c r="G86" s="50">
        <f t="shared" si="8"/>
        <v>0</v>
      </c>
      <c r="H86" s="50">
        <f t="shared" si="9"/>
        <v>0</v>
      </c>
      <c r="I86" s="20" t="s">
        <v>350</v>
      </c>
    </row>
    <row r="87" spans="1:9" s="20" customFormat="1" hidden="1" outlineLevel="1" x14ac:dyDescent="0.25">
      <c r="A87" s="59"/>
      <c r="B87" s="46" t="s">
        <v>1048</v>
      </c>
      <c r="C87" s="46">
        <v>40</v>
      </c>
      <c r="D87" s="46">
        <v>60</v>
      </c>
      <c r="E87" s="18">
        <f t="shared" si="6"/>
        <v>0.24</v>
      </c>
      <c r="F87" s="49">
        <f t="shared" si="7"/>
        <v>0</v>
      </c>
      <c r="G87" s="50">
        <f t="shared" si="8"/>
        <v>0</v>
      </c>
      <c r="H87" s="50">
        <f t="shared" si="9"/>
        <v>0</v>
      </c>
      <c r="I87" s="20" t="s">
        <v>350</v>
      </c>
    </row>
    <row r="88" spans="1:9" s="20" customFormat="1" hidden="1" outlineLevel="1" x14ac:dyDescent="0.25">
      <c r="A88" s="59"/>
      <c r="B88" s="46" t="s">
        <v>1049</v>
      </c>
      <c r="C88" s="46">
        <v>50</v>
      </c>
      <c r="D88" s="46">
        <v>50</v>
      </c>
      <c r="E88" s="18">
        <f t="shared" si="6"/>
        <v>0.25</v>
      </c>
      <c r="F88" s="49">
        <f t="shared" si="7"/>
        <v>0</v>
      </c>
      <c r="G88" s="50">
        <f t="shared" si="8"/>
        <v>0</v>
      </c>
      <c r="H88" s="50">
        <f t="shared" si="9"/>
        <v>0</v>
      </c>
      <c r="I88" s="20" t="s">
        <v>350</v>
      </c>
    </row>
    <row r="89" spans="1:9" s="20" customFormat="1" hidden="1" outlineLevel="1" x14ac:dyDescent="0.25">
      <c r="A89" s="59"/>
      <c r="B89" s="46" t="s">
        <v>1050</v>
      </c>
      <c r="C89" s="46">
        <v>60</v>
      </c>
      <c r="D89" s="46">
        <v>100</v>
      </c>
      <c r="E89" s="18">
        <f t="shared" si="6"/>
        <v>0.6</v>
      </c>
      <c r="F89" s="49">
        <f t="shared" si="7"/>
        <v>0</v>
      </c>
      <c r="G89" s="50">
        <f t="shared" si="8"/>
        <v>0</v>
      </c>
      <c r="H89" s="50">
        <f t="shared" si="9"/>
        <v>0</v>
      </c>
      <c r="I89" s="20" t="s">
        <v>350</v>
      </c>
    </row>
    <row r="90" spans="1:9" s="20" customFormat="1" hidden="1" outlineLevel="1" x14ac:dyDescent="0.25">
      <c r="A90" s="59"/>
      <c r="B90" s="46" t="s">
        <v>1051</v>
      </c>
      <c r="C90" s="46">
        <v>60</v>
      </c>
      <c r="D90" s="46">
        <v>120</v>
      </c>
      <c r="E90" s="18">
        <f t="shared" si="6"/>
        <v>0.72</v>
      </c>
      <c r="F90" s="49">
        <f t="shared" si="7"/>
        <v>0</v>
      </c>
      <c r="G90" s="50">
        <f t="shared" si="8"/>
        <v>0</v>
      </c>
      <c r="H90" s="50">
        <f t="shared" si="9"/>
        <v>0</v>
      </c>
      <c r="I90" s="20" t="s">
        <v>350</v>
      </c>
    </row>
    <row r="91" spans="1:9" s="20" customFormat="1" hidden="1" outlineLevel="1" x14ac:dyDescent="0.25">
      <c r="A91" s="59"/>
      <c r="B91" s="46" t="s">
        <v>1052</v>
      </c>
      <c r="C91" s="46">
        <v>60</v>
      </c>
      <c r="D91" s="46">
        <v>60</v>
      </c>
      <c r="E91" s="18">
        <f t="shared" si="6"/>
        <v>0.36</v>
      </c>
      <c r="F91" s="49">
        <f t="shared" si="7"/>
        <v>0</v>
      </c>
      <c r="G91" s="50">
        <f t="shared" si="8"/>
        <v>0</v>
      </c>
      <c r="H91" s="50">
        <f t="shared" si="9"/>
        <v>0</v>
      </c>
      <c r="I91" s="20" t="s">
        <v>350</v>
      </c>
    </row>
    <row r="92" spans="1:9" s="20" customFormat="1" hidden="1" outlineLevel="1" x14ac:dyDescent="0.25">
      <c r="A92" s="59"/>
      <c r="B92" s="46" t="s">
        <v>1053</v>
      </c>
      <c r="C92" s="46">
        <v>60</v>
      </c>
      <c r="D92" s="46">
        <v>80</v>
      </c>
      <c r="E92" s="18">
        <f t="shared" si="6"/>
        <v>0.48</v>
      </c>
      <c r="F92" s="49">
        <f t="shared" si="7"/>
        <v>0</v>
      </c>
      <c r="G92" s="50">
        <f t="shared" si="8"/>
        <v>0</v>
      </c>
      <c r="H92" s="50">
        <f t="shared" si="9"/>
        <v>0</v>
      </c>
      <c r="I92" s="20" t="s">
        <v>350</v>
      </c>
    </row>
    <row r="93" spans="1:9" s="20" customFormat="1" hidden="1" outlineLevel="1" x14ac:dyDescent="0.25">
      <c r="A93" s="59"/>
      <c r="B93" s="46" t="s">
        <v>1054</v>
      </c>
      <c r="C93" s="46">
        <v>80</v>
      </c>
      <c r="D93" s="46">
        <v>60</v>
      </c>
      <c r="E93" s="18">
        <f t="shared" si="6"/>
        <v>0.48</v>
      </c>
      <c r="F93" s="49">
        <f t="shared" si="7"/>
        <v>0</v>
      </c>
      <c r="G93" s="50">
        <f t="shared" si="8"/>
        <v>0</v>
      </c>
      <c r="H93" s="50">
        <f t="shared" si="9"/>
        <v>0</v>
      </c>
      <c r="I93" s="20" t="s">
        <v>350</v>
      </c>
    </row>
    <row r="94" spans="1:9" s="20" customFormat="1" hidden="1" outlineLevel="1" x14ac:dyDescent="0.25">
      <c r="A94" s="59"/>
      <c r="B94" s="46" t="s">
        <v>1055</v>
      </c>
      <c r="C94" s="46">
        <v>80</v>
      </c>
      <c r="D94" s="46">
        <v>80</v>
      </c>
      <c r="E94" s="18">
        <f t="shared" si="6"/>
        <v>0.64</v>
      </c>
      <c r="F94" s="49">
        <f t="shared" si="7"/>
        <v>0</v>
      </c>
      <c r="G94" s="50">
        <f t="shared" si="8"/>
        <v>0</v>
      </c>
      <c r="H94" s="50">
        <f t="shared" si="9"/>
        <v>0</v>
      </c>
      <c r="I94" s="20" t="s">
        <v>350</v>
      </c>
    </row>
    <row r="95" spans="1:9" s="20" customFormat="1" hidden="1" outlineLevel="1" x14ac:dyDescent="0.25">
      <c r="A95" s="59"/>
      <c r="B95" s="46" t="s">
        <v>1056</v>
      </c>
      <c r="C95" s="46">
        <v>100</v>
      </c>
      <c r="D95" s="46">
        <v>100</v>
      </c>
      <c r="E95" s="18">
        <f t="shared" ref="E95:E127" si="10">C95/100*D95/100</f>
        <v>1</v>
      </c>
      <c r="F95" s="49">
        <f t="shared" ref="F95:F127" si="11">SUMIF($B$9:$B$19,B95,$C$9:$C$19)</f>
        <v>0</v>
      </c>
      <c r="G95" s="50">
        <f t="shared" ref="G95:G127" si="12">E95*F95</f>
        <v>0</v>
      </c>
      <c r="H95" s="50">
        <f t="shared" ref="H95:H127" si="13">F95*D95/100</f>
        <v>0</v>
      </c>
      <c r="I95" s="20" t="s">
        <v>350</v>
      </c>
    </row>
    <row r="96" spans="1:9" s="20" customFormat="1" hidden="1" outlineLevel="1" x14ac:dyDescent="0.25">
      <c r="A96" s="59"/>
      <c r="B96" s="46" t="s">
        <v>1057</v>
      </c>
      <c r="C96" s="46">
        <v>100</v>
      </c>
      <c r="D96" s="46">
        <v>120</v>
      </c>
      <c r="E96" s="18">
        <f t="shared" si="10"/>
        <v>1.2</v>
      </c>
      <c r="F96" s="49">
        <f t="shared" si="11"/>
        <v>0</v>
      </c>
      <c r="G96" s="50">
        <f t="shared" si="12"/>
        <v>0</v>
      </c>
      <c r="H96" s="50">
        <f t="shared" si="13"/>
        <v>0</v>
      </c>
      <c r="I96" s="20" t="s">
        <v>350</v>
      </c>
    </row>
    <row r="97" spans="1:9" s="20" customFormat="1" hidden="1" outlineLevel="1" x14ac:dyDescent="0.25">
      <c r="A97" s="59"/>
      <c r="B97" s="46" t="s">
        <v>1058</v>
      </c>
      <c r="C97" s="46">
        <v>100</v>
      </c>
      <c r="D97" s="46">
        <v>150</v>
      </c>
      <c r="E97" s="18">
        <f t="shared" si="10"/>
        <v>1.5</v>
      </c>
      <c r="F97" s="49">
        <f t="shared" si="11"/>
        <v>0</v>
      </c>
      <c r="G97" s="50">
        <f t="shared" si="12"/>
        <v>0</v>
      </c>
      <c r="H97" s="50">
        <f t="shared" si="13"/>
        <v>0</v>
      </c>
      <c r="I97" s="20" t="s">
        <v>350</v>
      </c>
    </row>
    <row r="98" spans="1:9" s="20" customFormat="1" hidden="1" outlineLevel="1" x14ac:dyDescent="0.25">
      <c r="A98" s="59"/>
      <c r="B98" s="46" t="s">
        <v>1059</v>
      </c>
      <c r="C98" s="46">
        <v>100</v>
      </c>
      <c r="D98" s="46">
        <v>200</v>
      </c>
      <c r="E98" s="18">
        <f t="shared" si="10"/>
        <v>2</v>
      </c>
      <c r="F98" s="49">
        <f t="shared" si="11"/>
        <v>0</v>
      </c>
      <c r="G98" s="50">
        <f t="shared" si="12"/>
        <v>0</v>
      </c>
      <c r="H98" s="50">
        <f t="shared" si="13"/>
        <v>0</v>
      </c>
      <c r="I98" s="20" t="s">
        <v>350</v>
      </c>
    </row>
    <row r="99" spans="1:9" s="20" customFormat="1" hidden="1" outlineLevel="1" x14ac:dyDescent="0.25">
      <c r="A99" s="59"/>
      <c r="B99" s="46" t="s">
        <v>1060</v>
      </c>
      <c r="C99" s="46">
        <v>120</v>
      </c>
      <c r="D99" s="46">
        <v>120</v>
      </c>
      <c r="E99" s="18">
        <f t="shared" si="10"/>
        <v>1.44</v>
      </c>
      <c r="F99" s="49">
        <f t="shared" si="11"/>
        <v>0</v>
      </c>
      <c r="G99" s="50">
        <f t="shared" si="12"/>
        <v>0</v>
      </c>
      <c r="H99" s="50">
        <f t="shared" si="13"/>
        <v>0</v>
      </c>
      <c r="I99" s="20" t="s">
        <v>350</v>
      </c>
    </row>
    <row r="100" spans="1:9" s="20" customFormat="1" hidden="1" outlineLevel="1" x14ac:dyDescent="0.25">
      <c r="A100" s="59"/>
      <c r="B100" s="46" t="s">
        <v>1061</v>
      </c>
      <c r="C100" s="46">
        <v>120</v>
      </c>
      <c r="D100" s="46">
        <v>150</v>
      </c>
      <c r="E100" s="18">
        <f t="shared" si="10"/>
        <v>1.8</v>
      </c>
      <c r="F100" s="49">
        <f t="shared" si="11"/>
        <v>0</v>
      </c>
      <c r="G100" s="50">
        <f t="shared" si="12"/>
        <v>0</v>
      </c>
      <c r="H100" s="50">
        <f t="shared" si="13"/>
        <v>0</v>
      </c>
      <c r="I100" s="20" t="s">
        <v>350</v>
      </c>
    </row>
    <row r="101" spans="1:9" s="20" customFormat="1" hidden="1" outlineLevel="1" x14ac:dyDescent="0.25">
      <c r="A101" s="59"/>
      <c r="B101" s="46" t="s">
        <v>1062</v>
      </c>
      <c r="C101" s="46">
        <v>120</v>
      </c>
      <c r="D101" s="46">
        <v>200</v>
      </c>
      <c r="E101" s="18">
        <f t="shared" si="10"/>
        <v>2.4</v>
      </c>
      <c r="F101" s="49">
        <f t="shared" si="11"/>
        <v>0</v>
      </c>
      <c r="G101" s="50">
        <f t="shared" si="12"/>
        <v>0</v>
      </c>
      <c r="H101" s="50">
        <f t="shared" si="13"/>
        <v>0</v>
      </c>
      <c r="I101" s="20" t="s">
        <v>350</v>
      </c>
    </row>
    <row r="102" spans="1:9" s="20" customFormat="1" hidden="1" outlineLevel="1" x14ac:dyDescent="0.25">
      <c r="A102" s="59"/>
      <c r="B102" s="46" t="s">
        <v>1063</v>
      </c>
      <c r="C102" s="46">
        <v>100</v>
      </c>
      <c r="D102" s="46">
        <v>100</v>
      </c>
      <c r="E102" s="18">
        <f t="shared" si="10"/>
        <v>1</v>
      </c>
      <c r="F102" s="49">
        <f t="shared" si="11"/>
        <v>0</v>
      </c>
      <c r="G102" s="50">
        <f t="shared" si="12"/>
        <v>0</v>
      </c>
      <c r="H102" s="50">
        <f t="shared" si="13"/>
        <v>0</v>
      </c>
      <c r="I102" s="20" t="s">
        <v>350</v>
      </c>
    </row>
    <row r="103" spans="1:9" s="20" customFormat="1" hidden="1" outlineLevel="1" x14ac:dyDescent="0.25">
      <c r="A103" s="59"/>
      <c r="B103" s="46" t="s">
        <v>1064</v>
      </c>
      <c r="C103" s="46">
        <v>100</v>
      </c>
      <c r="D103" s="46">
        <v>120</v>
      </c>
      <c r="E103" s="18">
        <f t="shared" si="10"/>
        <v>1.2</v>
      </c>
      <c r="F103" s="49">
        <f t="shared" si="11"/>
        <v>0</v>
      </c>
      <c r="G103" s="50">
        <f t="shared" si="12"/>
        <v>0</v>
      </c>
      <c r="H103" s="50">
        <f t="shared" si="13"/>
        <v>0</v>
      </c>
      <c r="I103" s="20" t="s">
        <v>350</v>
      </c>
    </row>
    <row r="104" spans="1:9" s="20" customFormat="1" hidden="1" outlineLevel="1" x14ac:dyDescent="0.25">
      <c r="A104" s="59"/>
      <c r="B104" s="46" t="s">
        <v>1065</v>
      </c>
      <c r="C104" s="46">
        <v>100</v>
      </c>
      <c r="D104" s="46">
        <v>150</v>
      </c>
      <c r="E104" s="18">
        <f t="shared" si="10"/>
        <v>1.5</v>
      </c>
      <c r="F104" s="49">
        <f t="shared" si="11"/>
        <v>0</v>
      </c>
      <c r="G104" s="50">
        <f t="shared" si="12"/>
        <v>0</v>
      </c>
      <c r="H104" s="50">
        <f t="shared" si="13"/>
        <v>0</v>
      </c>
      <c r="I104" s="20" t="s">
        <v>350</v>
      </c>
    </row>
    <row r="105" spans="1:9" s="20" customFormat="1" hidden="1" outlineLevel="1" x14ac:dyDescent="0.25">
      <c r="A105" s="59"/>
      <c r="B105" s="46" t="s">
        <v>1066</v>
      </c>
      <c r="C105" s="46">
        <v>100</v>
      </c>
      <c r="D105" s="46">
        <v>200</v>
      </c>
      <c r="E105" s="18">
        <f t="shared" si="10"/>
        <v>2</v>
      </c>
      <c r="F105" s="49">
        <f t="shared" si="11"/>
        <v>0</v>
      </c>
      <c r="G105" s="50">
        <f t="shared" si="12"/>
        <v>0</v>
      </c>
      <c r="H105" s="50">
        <f t="shared" si="13"/>
        <v>0</v>
      </c>
      <c r="I105" s="20" t="s">
        <v>350</v>
      </c>
    </row>
    <row r="106" spans="1:9" s="20" customFormat="1" hidden="1" outlineLevel="1" x14ac:dyDescent="0.25">
      <c r="A106" s="59"/>
      <c r="B106" s="46" t="s">
        <v>1067</v>
      </c>
      <c r="C106" s="46">
        <v>120</v>
      </c>
      <c r="D106" s="46">
        <v>120</v>
      </c>
      <c r="E106" s="18">
        <f t="shared" si="10"/>
        <v>1.44</v>
      </c>
      <c r="F106" s="49">
        <f t="shared" si="11"/>
        <v>0</v>
      </c>
      <c r="G106" s="50">
        <f t="shared" si="12"/>
        <v>0</v>
      </c>
      <c r="H106" s="50">
        <f t="shared" si="13"/>
        <v>0</v>
      </c>
      <c r="I106" s="20" t="s">
        <v>350</v>
      </c>
    </row>
    <row r="107" spans="1:9" s="20" customFormat="1" hidden="1" outlineLevel="1" x14ac:dyDescent="0.25">
      <c r="A107" s="59"/>
      <c r="B107" s="46" t="s">
        <v>1068</v>
      </c>
      <c r="C107" s="46">
        <v>120</v>
      </c>
      <c r="D107" s="46">
        <v>150</v>
      </c>
      <c r="E107" s="18">
        <f t="shared" si="10"/>
        <v>1.8</v>
      </c>
      <c r="F107" s="49">
        <f t="shared" si="11"/>
        <v>0</v>
      </c>
      <c r="G107" s="50">
        <f t="shared" si="12"/>
        <v>0</v>
      </c>
      <c r="H107" s="50">
        <f t="shared" si="13"/>
        <v>0</v>
      </c>
      <c r="I107" s="20" t="s">
        <v>350</v>
      </c>
    </row>
    <row r="108" spans="1:9" s="20" customFormat="1" hidden="1" outlineLevel="1" x14ac:dyDescent="0.25">
      <c r="A108" s="59"/>
      <c r="B108" s="46" t="s">
        <v>1069</v>
      </c>
      <c r="C108" s="46">
        <v>120</v>
      </c>
      <c r="D108" s="46">
        <v>200</v>
      </c>
      <c r="E108" s="18">
        <f t="shared" si="10"/>
        <v>2.4</v>
      </c>
      <c r="F108" s="49">
        <f t="shared" si="11"/>
        <v>0</v>
      </c>
      <c r="G108" s="50">
        <f t="shared" si="12"/>
        <v>0</v>
      </c>
      <c r="H108" s="50">
        <f t="shared" si="13"/>
        <v>0</v>
      </c>
      <c r="I108" s="20" t="s">
        <v>350</v>
      </c>
    </row>
    <row r="109" spans="1:9" s="20" customFormat="1" hidden="1" outlineLevel="1" x14ac:dyDescent="0.25">
      <c r="A109" s="59"/>
      <c r="B109" s="46" t="s">
        <v>1070</v>
      </c>
      <c r="C109" s="46">
        <v>100</v>
      </c>
      <c r="D109" s="46">
        <v>120</v>
      </c>
      <c r="E109" s="18">
        <f t="shared" si="10"/>
        <v>1.2</v>
      </c>
      <c r="F109" s="49">
        <f t="shared" si="11"/>
        <v>0</v>
      </c>
      <c r="G109" s="50">
        <f t="shared" si="12"/>
        <v>0</v>
      </c>
      <c r="H109" s="50">
        <f t="shared" si="13"/>
        <v>0</v>
      </c>
      <c r="I109" s="20" t="s">
        <v>435</v>
      </c>
    </row>
    <row r="110" spans="1:9" s="20" customFormat="1" hidden="1" outlineLevel="1" x14ac:dyDescent="0.25">
      <c r="A110" s="59"/>
      <c r="B110" s="46" t="s">
        <v>1071</v>
      </c>
      <c r="C110" s="46">
        <v>100</v>
      </c>
      <c r="D110" s="46">
        <v>150</v>
      </c>
      <c r="E110" s="18">
        <f t="shared" si="10"/>
        <v>1.5</v>
      </c>
      <c r="F110" s="49">
        <f t="shared" si="11"/>
        <v>0</v>
      </c>
      <c r="G110" s="50">
        <f t="shared" si="12"/>
        <v>0</v>
      </c>
      <c r="H110" s="50">
        <f t="shared" si="13"/>
        <v>0</v>
      </c>
      <c r="I110" s="20" t="s">
        <v>435</v>
      </c>
    </row>
    <row r="111" spans="1:9" s="20" customFormat="1" hidden="1" outlineLevel="1" x14ac:dyDescent="0.25">
      <c r="A111" s="59"/>
      <c r="B111" s="46" t="s">
        <v>1072</v>
      </c>
      <c r="C111" s="46">
        <v>100</v>
      </c>
      <c r="D111" s="46">
        <v>45</v>
      </c>
      <c r="E111" s="18">
        <f t="shared" si="10"/>
        <v>0.45</v>
      </c>
      <c r="F111" s="49">
        <f t="shared" si="11"/>
        <v>0</v>
      </c>
      <c r="G111" s="50">
        <f t="shared" si="12"/>
        <v>0</v>
      </c>
      <c r="H111" s="50">
        <f t="shared" si="13"/>
        <v>0</v>
      </c>
      <c r="I111" s="20" t="s">
        <v>435</v>
      </c>
    </row>
    <row r="112" spans="1:9" s="20" customFormat="1" hidden="1" outlineLevel="1" x14ac:dyDescent="0.25">
      <c r="A112" s="59"/>
      <c r="B112" s="46" t="s">
        <v>1073</v>
      </c>
      <c r="C112" s="46">
        <v>110</v>
      </c>
      <c r="D112" s="46">
        <v>160</v>
      </c>
      <c r="E112" s="18">
        <f t="shared" si="10"/>
        <v>1.76</v>
      </c>
      <c r="F112" s="49">
        <f t="shared" si="11"/>
        <v>0</v>
      </c>
      <c r="G112" s="50">
        <f t="shared" si="12"/>
        <v>0</v>
      </c>
      <c r="H112" s="50">
        <f t="shared" si="13"/>
        <v>0</v>
      </c>
      <c r="I112" s="20" t="s">
        <v>435</v>
      </c>
    </row>
    <row r="113" spans="1:9" s="20" customFormat="1" hidden="1" outlineLevel="1" x14ac:dyDescent="0.25">
      <c r="A113" s="59"/>
      <c r="B113" s="46" t="s">
        <v>1074</v>
      </c>
      <c r="C113" s="46">
        <v>120</v>
      </c>
      <c r="D113" s="46">
        <v>120</v>
      </c>
      <c r="E113" s="18">
        <f t="shared" si="10"/>
        <v>1.44</v>
      </c>
      <c r="F113" s="49">
        <f t="shared" si="11"/>
        <v>0</v>
      </c>
      <c r="G113" s="50">
        <f t="shared" si="12"/>
        <v>0</v>
      </c>
      <c r="H113" s="50">
        <f t="shared" si="13"/>
        <v>0</v>
      </c>
      <c r="I113" s="20" t="s">
        <v>435</v>
      </c>
    </row>
    <row r="114" spans="1:9" s="20" customFormat="1" hidden="1" outlineLevel="1" x14ac:dyDescent="0.25">
      <c r="A114" s="59"/>
      <c r="B114" s="46" t="s">
        <v>1075</v>
      </c>
      <c r="C114" s="46">
        <v>120</v>
      </c>
      <c r="D114" s="46">
        <v>150</v>
      </c>
      <c r="E114" s="18">
        <f t="shared" si="10"/>
        <v>1.8</v>
      </c>
      <c r="F114" s="49">
        <f t="shared" si="11"/>
        <v>0</v>
      </c>
      <c r="G114" s="50">
        <f t="shared" si="12"/>
        <v>0</v>
      </c>
      <c r="H114" s="50">
        <f t="shared" si="13"/>
        <v>0</v>
      </c>
      <c r="I114" s="20" t="s">
        <v>435</v>
      </c>
    </row>
    <row r="115" spans="1:9" s="20" customFormat="1" hidden="1" outlineLevel="1" x14ac:dyDescent="0.25">
      <c r="A115" s="59"/>
      <c r="B115" s="46" t="s">
        <v>1076</v>
      </c>
      <c r="C115" s="46">
        <v>120</v>
      </c>
      <c r="D115" s="46">
        <v>45</v>
      </c>
      <c r="E115" s="18">
        <f t="shared" si="10"/>
        <v>0.54</v>
      </c>
      <c r="F115" s="49">
        <f t="shared" si="11"/>
        <v>0</v>
      </c>
      <c r="G115" s="50">
        <f t="shared" si="12"/>
        <v>0</v>
      </c>
      <c r="H115" s="50">
        <f t="shared" si="13"/>
        <v>0</v>
      </c>
      <c r="I115" s="20" t="s">
        <v>435</v>
      </c>
    </row>
    <row r="116" spans="1:9" s="20" customFormat="1" hidden="1" outlineLevel="1" x14ac:dyDescent="0.25">
      <c r="A116" s="59"/>
      <c r="B116" s="46" t="s">
        <v>1077</v>
      </c>
      <c r="C116" s="46">
        <v>160</v>
      </c>
      <c r="D116" s="46">
        <v>120</v>
      </c>
      <c r="E116" s="18">
        <f t="shared" si="10"/>
        <v>1.92</v>
      </c>
      <c r="F116" s="49">
        <f t="shared" si="11"/>
        <v>0</v>
      </c>
      <c r="G116" s="50">
        <f t="shared" si="12"/>
        <v>0</v>
      </c>
      <c r="H116" s="50">
        <f t="shared" si="13"/>
        <v>0</v>
      </c>
      <c r="I116" s="20" t="s">
        <v>435</v>
      </c>
    </row>
    <row r="117" spans="1:9" s="20" customFormat="1" hidden="1" outlineLevel="1" x14ac:dyDescent="0.25">
      <c r="A117" s="59"/>
      <c r="B117" s="46" t="s">
        <v>1078</v>
      </c>
      <c r="C117" s="46">
        <v>160</v>
      </c>
      <c r="D117" s="46">
        <v>140</v>
      </c>
      <c r="E117" s="18">
        <f t="shared" si="10"/>
        <v>2.2400000000000002</v>
      </c>
      <c r="F117" s="49">
        <f t="shared" si="11"/>
        <v>0</v>
      </c>
      <c r="G117" s="50">
        <f t="shared" si="12"/>
        <v>0</v>
      </c>
      <c r="H117" s="50">
        <f t="shared" si="13"/>
        <v>0</v>
      </c>
      <c r="I117" s="20" t="s">
        <v>435</v>
      </c>
    </row>
    <row r="118" spans="1:9" s="20" customFormat="1" hidden="1" outlineLevel="1" x14ac:dyDescent="0.25">
      <c r="A118" s="59"/>
      <c r="B118" s="46" t="s">
        <v>408</v>
      </c>
      <c r="C118" s="46">
        <v>100</v>
      </c>
      <c r="D118" s="46">
        <v>60</v>
      </c>
      <c r="E118" s="18">
        <f t="shared" si="10"/>
        <v>0.6</v>
      </c>
      <c r="F118" s="49">
        <f t="shared" si="11"/>
        <v>0</v>
      </c>
      <c r="G118" s="50">
        <f t="shared" si="12"/>
        <v>0</v>
      </c>
      <c r="H118" s="50">
        <f t="shared" si="13"/>
        <v>0</v>
      </c>
      <c r="I118" s="20" t="s">
        <v>435</v>
      </c>
    </row>
    <row r="119" spans="1:9" s="20" customFormat="1" hidden="1" outlineLevel="1" x14ac:dyDescent="0.25">
      <c r="A119" s="59"/>
      <c r="B119" s="46" t="s">
        <v>409</v>
      </c>
      <c r="C119" s="46">
        <v>100</v>
      </c>
      <c r="D119" s="46">
        <v>80</v>
      </c>
      <c r="E119" s="18">
        <f t="shared" si="10"/>
        <v>0.8</v>
      </c>
      <c r="F119" s="49">
        <f t="shared" si="11"/>
        <v>0</v>
      </c>
      <c r="G119" s="50">
        <f t="shared" si="12"/>
        <v>0</v>
      </c>
      <c r="H119" s="50">
        <f t="shared" si="13"/>
        <v>0</v>
      </c>
      <c r="I119" s="20" t="s">
        <v>435</v>
      </c>
    </row>
    <row r="120" spans="1:9" s="20" customFormat="1" hidden="1" outlineLevel="1" x14ac:dyDescent="0.25">
      <c r="A120" s="59"/>
      <c r="B120" s="46" t="s">
        <v>410</v>
      </c>
      <c r="C120" s="46">
        <v>120</v>
      </c>
      <c r="D120" s="46">
        <v>140</v>
      </c>
      <c r="E120" s="18">
        <f t="shared" si="10"/>
        <v>1.68</v>
      </c>
      <c r="F120" s="49">
        <f t="shared" si="11"/>
        <v>0</v>
      </c>
      <c r="G120" s="50">
        <f t="shared" si="12"/>
        <v>0</v>
      </c>
      <c r="H120" s="50">
        <f t="shared" si="13"/>
        <v>0</v>
      </c>
      <c r="I120" s="20" t="s">
        <v>435</v>
      </c>
    </row>
    <row r="121" spans="1:9" s="20" customFormat="1" hidden="1" outlineLevel="1" x14ac:dyDescent="0.25">
      <c r="A121" s="59"/>
      <c r="B121" s="46" t="s">
        <v>411</v>
      </c>
      <c r="C121" s="46">
        <v>60</v>
      </c>
      <c r="D121" s="46">
        <v>100</v>
      </c>
      <c r="E121" s="18">
        <f t="shared" si="10"/>
        <v>0.6</v>
      </c>
      <c r="F121" s="49">
        <f t="shared" si="11"/>
        <v>0</v>
      </c>
      <c r="G121" s="50">
        <f t="shared" si="12"/>
        <v>0</v>
      </c>
      <c r="H121" s="50">
        <f t="shared" si="13"/>
        <v>0</v>
      </c>
      <c r="I121" s="20" t="s">
        <v>435</v>
      </c>
    </row>
    <row r="122" spans="1:9" s="20" customFormat="1" hidden="1" outlineLevel="1" x14ac:dyDescent="0.25">
      <c r="A122" s="59"/>
      <c r="B122" s="46" t="s">
        <v>412</v>
      </c>
      <c r="C122" s="46">
        <v>60</v>
      </c>
      <c r="D122" s="46">
        <v>120</v>
      </c>
      <c r="E122" s="18">
        <f t="shared" si="10"/>
        <v>0.72</v>
      </c>
      <c r="F122" s="49">
        <f t="shared" si="11"/>
        <v>0</v>
      </c>
      <c r="G122" s="50">
        <f t="shared" si="12"/>
        <v>0</v>
      </c>
      <c r="H122" s="50">
        <f t="shared" si="13"/>
        <v>0</v>
      </c>
      <c r="I122" s="20" t="s">
        <v>435</v>
      </c>
    </row>
    <row r="123" spans="1:9" s="20" customFormat="1" hidden="1" outlineLevel="1" x14ac:dyDescent="0.25">
      <c r="A123" s="59"/>
      <c r="B123" s="46" t="s">
        <v>413</v>
      </c>
      <c r="C123" s="46">
        <v>60</v>
      </c>
      <c r="D123" s="46">
        <v>60</v>
      </c>
      <c r="E123" s="18">
        <f t="shared" si="10"/>
        <v>0.36</v>
      </c>
      <c r="F123" s="49">
        <f t="shared" si="11"/>
        <v>0</v>
      </c>
      <c r="G123" s="50">
        <f t="shared" si="12"/>
        <v>0</v>
      </c>
      <c r="H123" s="50">
        <f t="shared" si="13"/>
        <v>0</v>
      </c>
      <c r="I123" s="20" t="s">
        <v>435</v>
      </c>
    </row>
    <row r="124" spans="1:9" s="20" customFormat="1" hidden="1" outlineLevel="1" x14ac:dyDescent="0.25">
      <c r="A124" s="59"/>
      <c r="B124" s="46" t="s">
        <v>414</v>
      </c>
      <c r="C124" s="46">
        <v>60</v>
      </c>
      <c r="D124" s="46">
        <v>80</v>
      </c>
      <c r="E124" s="18">
        <f t="shared" si="10"/>
        <v>0.48</v>
      </c>
      <c r="F124" s="49">
        <f t="shared" si="11"/>
        <v>0</v>
      </c>
      <c r="G124" s="50">
        <f t="shared" si="12"/>
        <v>0</v>
      </c>
      <c r="H124" s="50">
        <f t="shared" si="13"/>
        <v>0</v>
      </c>
      <c r="I124" s="20" t="s">
        <v>435</v>
      </c>
    </row>
    <row r="125" spans="1:9" s="20" customFormat="1" hidden="1" outlineLevel="1" x14ac:dyDescent="0.25">
      <c r="A125" s="59"/>
      <c r="B125" s="46" t="s">
        <v>415</v>
      </c>
      <c r="C125" s="46">
        <v>80</v>
      </c>
      <c r="D125" s="46">
        <v>100</v>
      </c>
      <c r="E125" s="18">
        <f t="shared" si="10"/>
        <v>0.8</v>
      </c>
      <c r="F125" s="49">
        <f t="shared" si="11"/>
        <v>0</v>
      </c>
      <c r="G125" s="50">
        <f t="shared" si="12"/>
        <v>0</v>
      </c>
      <c r="H125" s="50">
        <f t="shared" si="13"/>
        <v>0</v>
      </c>
      <c r="I125" s="20" t="s">
        <v>435</v>
      </c>
    </row>
    <row r="126" spans="1:9" s="20" customFormat="1" hidden="1" outlineLevel="1" x14ac:dyDescent="0.25">
      <c r="A126" s="59"/>
      <c r="B126" s="46" t="s">
        <v>416</v>
      </c>
      <c r="C126" s="46">
        <v>80</v>
      </c>
      <c r="D126" s="46">
        <v>120</v>
      </c>
      <c r="E126" s="18">
        <f t="shared" si="10"/>
        <v>0.96</v>
      </c>
      <c r="F126" s="49">
        <f t="shared" si="11"/>
        <v>0</v>
      </c>
      <c r="G126" s="50">
        <f t="shared" si="12"/>
        <v>0</v>
      </c>
      <c r="H126" s="50">
        <f t="shared" si="13"/>
        <v>0</v>
      </c>
      <c r="I126" s="20" t="s">
        <v>435</v>
      </c>
    </row>
    <row r="127" spans="1:9" s="20" customFormat="1" hidden="1" outlineLevel="1" x14ac:dyDescent="0.25">
      <c r="A127" s="59"/>
      <c r="B127" s="46" t="s">
        <v>417</v>
      </c>
      <c r="C127" s="46">
        <v>80</v>
      </c>
      <c r="D127" s="46">
        <v>140</v>
      </c>
      <c r="E127" s="18">
        <f t="shared" si="10"/>
        <v>1.1200000000000001</v>
      </c>
      <c r="F127" s="49">
        <f t="shared" si="11"/>
        <v>0</v>
      </c>
      <c r="G127" s="50">
        <f t="shared" si="12"/>
        <v>0</v>
      </c>
      <c r="H127" s="50">
        <f t="shared" si="13"/>
        <v>0</v>
      </c>
      <c r="I127" s="20" t="s">
        <v>435</v>
      </c>
    </row>
    <row r="128" spans="1:9" s="20" customFormat="1" hidden="1" outlineLevel="1" x14ac:dyDescent="0.25">
      <c r="A128" s="59"/>
      <c r="B128" s="46" t="s">
        <v>418</v>
      </c>
      <c r="C128" s="46">
        <v>80</v>
      </c>
      <c r="D128" s="46">
        <v>60</v>
      </c>
      <c r="E128" s="18">
        <f t="shared" ref="E128:E161" si="14">C128/100*D128/100</f>
        <v>0.48</v>
      </c>
      <c r="F128" s="49">
        <f t="shared" ref="F128:F161" si="15">SUMIF($B$9:$B$19,B128,$C$9:$C$19)</f>
        <v>0</v>
      </c>
      <c r="G128" s="50">
        <f t="shared" ref="G128:G161" si="16">E128*F128</f>
        <v>0</v>
      </c>
      <c r="H128" s="50">
        <f t="shared" ref="H128:H161" si="17">F128*D128/100</f>
        <v>0</v>
      </c>
      <c r="I128" s="20" t="s">
        <v>435</v>
      </c>
    </row>
    <row r="129" spans="1:9" s="20" customFormat="1" hidden="1" outlineLevel="1" x14ac:dyDescent="0.25">
      <c r="A129" s="59"/>
      <c r="B129" s="46" t="s">
        <v>419</v>
      </c>
      <c r="C129" s="46">
        <v>80</v>
      </c>
      <c r="D129" s="46">
        <v>80</v>
      </c>
      <c r="E129" s="18">
        <f t="shared" si="14"/>
        <v>0.64</v>
      </c>
      <c r="F129" s="49">
        <f t="shared" si="15"/>
        <v>0</v>
      </c>
      <c r="G129" s="50">
        <f t="shared" si="16"/>
        <v>0</v>
      </c>
      <c r="H129" s="50">
        <f t="shared" si="17"/>
        <v>0</v>
      </c>
      <c r="I129" s="20" t="s">
        <v>435</v>
      </c>
    </row>
    <row r="130" spans="1:9" s="20" customFormat="1" hidden="1" outlineLevel="1" x14ac:dyDescent="0.25">
      <c r="A130" s="59"/>
      <c r="B130" s="46" t="s">
        <v>1079</v>
      </c>
      <c r="C130" s="46">
        <v>100</v>
      </c>
      <c r="D130" s="46">
        <v>120</v>
      </c>
      <c r="E130" s="18">
        <f t="shared" si="14"/>
        <v>1.2</v>
      </c>
      <c r="F130" s="49">
        <f t="shared" si="15"/>
        <v>0</v>
      </c>
      <c r="G130" s="50">
        <f t="shared" si="16"/>
        <v>0</v>
      </c>
      <c r="H130" s="50">
        <f t="shared" si="17"/>
        <v>0</v>
      </c>
      <c r="I130" s="20" t="s">
        <v>435</v>
      </c>
    </row>
    <row r="131" spans="1:9" s="20" customFormat="1" hidden="1" outlineLevel="1" x14ac:dyDescent="0.25">
      <c r="A131" s="59"/>
      <c r="B131" s="46" t="s">
        <v>1079</v>
      </c>
      <c r="C131" s="46">
        <v>100</v>
      </c>
      <c r="D131" s="46">
        <v>120</v>
      </c>
      <c r="E131" s="18">
        <f t="shared" si="14"/>
        <v>1.2</v>
      </c>
      <c r="F131" s="49">
        <f t="shared" si="15"/>
        <v>0</v>
      </c>
      <c r="G131" s="50">
        <f t="shared" si="16"/>
        <v>0</v>
      </c>
      <c r="H131" s="50">
        <f t="shared" si="17"/>
        <v>0</v>
      </c>
      <c r="I131" s="20" t="s">
        <v>435</v>
      </c>
    </row>
    <row r="132" spans="1:9" s="20" customFormat="1" hidden="1" outlineLevel="1" x14ac:dyDescent="0.25">
      <c r="A132" s="59"/>
      <c r="B132" s="46" t="s">
        <v>1080</v>
      </c>
      <c r="C132" s="46">
        <v>100</v>
      </c>
      <c r="D132" s="46">
        <v>140</v>
      </c>
      <c r="E132" s="18">
        <f t="shared" si="14"/>
        <v>1.4</v>
      </c>
      <c r="F132" s="49">
        <f t="shared" si="15"/>
        <v>0</v>
      </c>
      <c r="G132" s="50">
        <f t="shared" si="16"/>
        <v>0</v>
      </c>
      <c r="H132" s="50">
        <f t="shared" si="17"/>
        <v>0</v>
      </c>
      <c r="I132" s="20" t="s">
        <v>435</v>
      </c>
    </row>
    <row r="133" spans="1:9" s="20" customFormat="1" hidden="1" outlineLevel="1" x14ac:dyDescent="0.25">
      <c r="A133" s="59"/>
      <c r="B133" s="46" t="s">
        <v>1081</v>
      </c>
      <c r="C133" s="46">
        <v>100</v>
      </c>
      <c r="D133" s="46">
        <v>160</v>
      </c>
      <c r="E133" s="18">
        <f t="shared" si="14"/>
        <v>1.6</v>
      </c>
      <c r="F133" s="49">
        <f t="shared" si="15"/>
        <v>0</v>
      </c>
      <c r="G133" s="50">
        <f t="shared" si="16"/>
        <v>0</v>
      </c>
      <c r="H133" s="50">
        <f t="shared" si="17"/>
        <v>0</v>
      </c>
      <c r="I133" s="20" t="s">
        <v>435</v>
      </c>
    </row>
    <row r="134" spans="1:9" s="20" customFormat="1" hidden="1" outlineLevel="1" x14ac:dyDescent="0.25">
      <c r="A134" s="59"/>
      <c r="B134" s="46" t="s">
        <v>1082</v>
      </c>
      <c r="C134" s="46">
        <v>110</v>
      </c>
      <c r="D134" s="46">
        <v>140</v>
      </c>
      <c r="E134" s="18">
        <f t="shared" si="14"/>
        <v>1.54</v>
      </c>
      <c r="F134" s="49">
        <f t="shared" si="15"/>
        <v>0</v>
      </c>
      <c r="G134" s="50">
        <f t="shared" si="16"/>
        <v>0</v>
      </c>
      <c r="H134" s="50">
        <f t="shared" si="17"/>
        <v>0</v>
      </c>
      <c r="I134" s="20" t="s">
        <v>435</v>
      </c>
    </row>
    <row r="135" spans="1:9" s="20" customFormat="1" hidden="1" outlineLevel="1" x14ac:dyDescent="0.25">
      <c r="A135" s="59"/>
      <c r="B135" s="46" t="s">
        <v>1083</v>
      </c>
      <c r="C135" s="46">
        <v>110</v>
      </c>
      <c r="D135" s="46">
        <v>160</v>
      </c>
      <c r="E135" s="18">
        <f t="shared" si="14"/>
        <v>1.76</v>
      </c>
      <c r="F135" s="49">
        <f t="shared" si="15"/>
        <v>0</v>
      </c>
      <c r="G135" s="50">
        <f t="shared" si="16"/>
        <v>0</v>
      </c>
      <c r="H135" s="50">
        <f t="shared" si="17"/>
        <v>0</v>
      </c>
      <c r="I135" s="20" t="s">
        <v>435</v>
      </c>
    </row>
    <row r="136" spans="1:9" s="20" customFormat="1" hidden="1" outlineLevel="1" x14ac:dyDescent="0.25">
      <c r="A136" s="59"/>
      <c r="B136" s="46" t="s">
        <v>1084</v>
      </c>
      <c r="C136" s="46">
        <v>110</v>
      </c>
      <c r="D136" s="46">
        <v>200</v>
      </c>
      <c r="E136" s="18">
        <f t="shared" si="14"/>
        <v>2.2000000000000002</v>
      </c>
      <c r="F136" s="49">
        <f t="shared" si="15"/>
        <v>0</v>
      </c>
      <c r="G136" s="50">
        <f t="shared" si="16"/>
        <v>0</v>
      </c>
      <c r="H136" s="50">
        <f t="shared" si="17"/>
        <v>0</v>
      </c>
      <c r="I136" s="20" t="s">
        <v>435</v>
      </c>
    </row>
    <row r="137" spans="1:9" s="20" customFormat="1" hidden="1" outlineLevel="1" x14ac:dyDescent="0.25">
      <c r="A137" s="59"/>
      <c r="B137" s="46" t="s">
        <v>1085</v>
      </c>
      <c r="C137" s="46">
        <v>110</v>
      </c>
      <c r="D137" s="46">
        <v>240</v>
      </c>
      <c r="E137" s="18">
        <f t="shared" si="14"/>
        <v>2.64</v>
      </c>
      <c r="F137" s="49">
        <f t="shared" si="15"/>
        <v>0</v>
      </c>
      <c r="G137" s="50">
        <f t="shared" si="16"/>
        <v>0</v>
      </c>
      <c r="H137" s="50">
        <f t="shared" si="17"/>
        <v>0</v>
      </c>
      <c r="I137" s="20" t="s">
        <v>435</v>
      </c>
    </row>
    <row r="138" spans="1:9" s="20" customFormat="1" hidden="1" outlineLevel="1" x14ac:dyDescent="0.25">
      <c r="A138" s="59"/>
      <c r="B138" s="46" t="s">
        <v>1086</v>
      </c>
      <c r="C138" s="46">
        <v>120</v>
      </c>
      <c r="D138" s="46">
        <v>120</v>
      </c>
      <c r="E138" s="18">
        <f t="shared" si="14"/>
        <v>1.44</v>
      </c>
      <c r="F138" s="49">
        <f t="shared" si="15"/>
        <v>0</v>
      </c>
      <c r="G138" s="50">
        <f t="shared" si="16"/>
        <v>0</v>
      </c>
      <c r="H138" s="50">
        <f t="shared" si="17"/>
        <v>0</v>
      </c>
      <c r="I138" s="20" t="s">
        <v>435</v>
      </c>
    </row>
    <row r="139" spans="1:9" s="20" customFormat="1" hidden="1" outlineLevel="1" x14ac:dyDescent="0.25">
      <c r="A139" s="59"/>
      <c r="B139" s="46" t="s">
        <v>1087</v>
      </c>
      <c r="C139" s="46">
        <v>120</v>
      </c>
      <c r="D139" s="46">
        <v>140</v>
      </c>
      <c r="E139" s="18">
        <f t="shared" si="14"/>
        <v>1.68</v>
      </c>
      <c r="F139" s="49">
        <f t="shared" si="15"/>
        <v>0</v>
      </c>
      <c r="G139" s="50">
        <f t="shared" si="16"/>
        <v>0</v>
      </c>
      <c r="H139" s="50">
        <f t="shared" si="17"/>
        <v>0</v>
      </c>
      <c r="I139" s="20" t="s">
        <v>435</v>
      </c>
    </row>
    <row r="140" spans="1:9" s="20" customFormat="1" hidden="1" outlineLevel="1" x14ac:dyDescent="0.25">
      <c r="A140" s="59"/>
      <c r="B140" s="46" t="s">
        <v>1088</v>
      </c>
      <c r="C140" s="46">
        <v>120</v>
      </c>
      <c r="D140" s="46">
        <v>160</v>
      </c>
      <c r="E140" s="18">
        <f t="shared" si="14"/>
        <v>1.92</v>
      </c>
      <c r="F140" s="49">
        <f t="shared" si="15"/>
        <v>0</v>
      </c>
      <c r="G140" s="50">
        <f t="shared" si="16"/>
        <v>0</v>
      </c>
      <c r="H140" s="50">
        <f t="shared" si="17"/>
        <v>0</v>
      </c>
      <c r="I140" s="20" t="s">
        <v>435</v>
      </c>
    </row>
    <row r="141" spans="1:9" s="20" customFormat="1" hidden="1" outlineLevel="1" x14ac:dyDescent="0.25">
      <c r="A141" s="59"/>
      <c r="B141" s="46" t="s">
        <v>1089</v>
      </c>
      <c r="C141" s="46">
        <v>120</v>
      </c>
      <c r="D141" s="46">
        <v>180</v>
      </c>
      <c r="E141" s="18">
        <f t="shared" si="14"/>
        <v>2.16</v>
      </c>
      <c r="F141" s="49">
        <f t="shared" si="15"/>
        <v>0</v>
      </c>
      <c r="G141" s="50">
        <f t="shared" si="16"/>
        <v>0</v>
      </c>
      <c r="H141" s="50">
        <f t="shared" si="17"/>
        <v>0</v>
      </c>
      <c r="I141" s="20" t="s">
        <v>435</v>
      </c>
    </row>
    <row r="142" spans="1:9" s="20" customFormat="1" hidden="1" outlineLevel="1" x14ac:dyDescent="0.25">
      <c r="A142" s="59"/>
      <c r="B142" s="46" t="s">
        <v>1090</v>
      </c>
      <c r="C142" s="46">
        <v>120</v>
      </c>
      <c r="D142" s="46">
        <v>200</v>
      </c>
      <c r="E142" s="18">
        <f t="shared" si="14"/>
        <v>2.4</v>
      </c>
      <c r="F142" s="49">
        <f t="shared" si="15"/>
        <v>0</v>
      </c>
      <c r="G142" s="50">
        <f t="shared" si="16"/>
        <v>0</v>
      </c>
      <c r="H142" s="50">
        <f t="shared" si="17"/>
        <v>0</v>
      </c>
      <c r="I142" s="20" t="s">
        <v>435</v>
      </c>
    </row>
    <row r="143" spans="1:9" s="20" customFormat="1" hidden="1" outlineLevel="1" x14ac:dyDescent="0.25">
      <c r="A143" s="59"/>
      <c r="B143" s="46" t="s">
        <v>1091</v>
      </c>
      <c r="C143" s="46">
        <v>120</v>
      </c>
      <c r="D143" s="46">
        <v>240</v>
      </c>
      <c r="E143" s="18">
        <f t="shared" si="14"/>
        <v>2.88</v>
      </c>
      <c r="F143" s="49">
        <f t="shared" si="15"/>
        <v>0</v>
      </c>
      <c r="G143" s="50">
        <f t="shared" si="16"/>
        <v>0</v>
      </c>
      <c r="H143" s="50">
        <f t="shared" si="17"/>
        <v>0</v>
      </c>
      <c r="I143" s="20" t="s">
        <v>435</v>
      </c>
    </row>
    <row r="144" spans="1:9" s="20" customFormat="1" hidden="1" outlineLevel="1" x14ac:dyDescent="0.25">
      <c r="A144" s="59"/>
      <c r="B144" s="46" t="s">
        <v>1092</v>
      </c>
      <c r="C144" s="46">
        <v>130</v>
      </c>
      <c r="D144" s="46">
        <v>140</v>
      </c>
      <c r="E144" s="18">
        <f t="shared" si="14"/>
        <v>1.82</v>
      </c>
      <c r="F144" s="49">
        <f t="shared" si="15"/>
        <v>0</v>
      </c>
      <c r="G144" s="50">
        <f t="shared" si="16"/>
        <v>0</v>
      </c>
      <c r="H144" s="50">
        <f t="shared" si="17"/>
        <v>0</v>
      </c>
      <c r="I144" s="20" t="s">
        <v>435</v>
      </c>
    </row>
    <row r="145" spans="1:9" s="20" customFormat="1" hidden="1" outlineLevel="1" x14ac:dyDescent="0.25">
      <c r="A145" s="59"/>
      <c r="B145" s="46" t="s">
        <v>1093</v>
      </c>
      <c r="C145" s="46">
        <v>130</v>
      </c>
      <c r="D145" s="46">
        <v>160</v>
      </c>
      <c r="E145" s="18">
        <f t="shared" si="14"/>
        <v>2.08</v>
      </c>
      <c r="F145" s="49">
        <f t="shared" si="15"/>
        <v>0</v>
      </c>
      <c r="G145" s="50">
        <f t="shared" si="16"/>
        <v>0</v>
      </c>
      <c r="H145" s="50">
        <f t="shared" si="17"/>
        <v>0</v>
      </c>
      <c r="I145" s="20" t="s">
        <v>435</v>
      </c>
    </row>
    <row r="146" spans="1:9" s="20" customFormat="1" hidden="1" outlineLevel="1" x14ac:dyDescent="0.25">
      <c r="A146" s="59"/>
      <c r="B146" s="46" t="s">
        <v>1094</v>
      </c>
      <c r="C146" s="46">
        <v>130</v>
      </c>
      <c r="D146" s="46">
        <v>200</v>
      </c>
      <c r="E146" s="18">
        <f t="shared" si="14"/>
        <v>2.6</v>
      </c>
      <c r="F146" s="49">
        <f t="shared" si="15"/>
        <v>0</v>
      </c>
      <c r="G146" s="50">
        <f t="shared" si="16"/>
        <v>0</v>
      </c>
      <c r="H146" s="50">
        <f t="shared" si="17"/>
        <v>0</v>
      </c>
      <c r="I146" s="20" t="s">
        <v>435</v>
      </c>
    </row>
    <row r="147" spans="1:9" s="20" customFormat="1" hidden="1" outlineLevel="1" x14ac:dyDescent="0.25">
      <c r="A147" s="59"/>
      <c r="B147" s="46" t="s">
        <v>420</v>
      </c>
      <c r="C147" s="46">
        <v>100</v>
      </c>
      <c r="D147" s="46">
        <v>40</v>
      </c>
      <c r="E147" s="18">
        <f t="shared" si="14"/>
        <v>0.4</v>
      </c>
      <c r="F147" s="49">
        <f t="shared" si="15"/>
        <v>0</v>
      </c>
      <c r="G147" s="50">
        <f t="shared" si="16"/>
        <v>0</v>
      </c>
      <c r="H147" s="50">
        <f t="shared" si="17"/>
        <v>0</v>
      </c>
      <c r="I147" s="20" t="s">
        <v>435</v>
      </c>
    </row>
    <row r="148" spans="1:9" s="20" customFormat="1" hidden="1" outlineLevel="1" x14ac:dyDescent="0.25">
      <c r="A148" s="59"/>
      <c r="B148" s="46" t="s">
        <v>421</v>
      </c>
      <c r="C148" s="46">
        <v>100</v>
      </c>
      <c r="D148" s="46">
        <v>45</v>
      </c>
      <c r="E148" s="18">
        <f t="shared" si="14"/>
        <v>0.45</v>
      </c>
      <c r="F148" s="49">
        <f t="shared" si="15"/>
        <v>0</v>
      </c>
      <c r="G148" s="50">
        <f t="shared" si="16"/>
        <v>0</v>
      </c>
      <c r="H148" s="50">
        <f t="shared" si="17"/>
        <v>0</v>
      </c>
      <c r="I148" s="20" t="s">
        <v>435</v>
      </c>
    </row>
    <row r="149" spans="1:9" s="20" customFormat="1" hidden="1" outlineLevel="1" x14ac:dyDescent="0.25">
      <c r="A149" s="59"/>
      <c r="B149" s="46" t="s">
        <v>422</v>
      </c>
      <c r="C149" s="46">
        <v>110</v>
      </c>
      <c r="D149" s="46">
        <v>50</v>
      </c>
      <c r="E149" s="18">
        <f t="shared" si="14"/>
        <v>0.55000000000000004</v>
      </c>
      <c r="F149" s="49">
        <f t="shared" si="15"/>
        <v>0</v>
      </c>
      <c r="G149" s="50">
        <f t="shared" si="16"/>
        <v>0</v>
      </c>
      <c r="H149" s="50">
        <f t="shared" si="17"/>
        <v>0</v>
      </c>
      <c r="I149" s="20" t="s">
        <v>435</v>
      </c>
    </row>
    <row r="150" spans="1:9" s="20" customFormat="1" hidden="1" outlineLevel="1" x14ac:dyDescent="0.25">
      <c r="A150" s="59"/>
      <c r="B150" s="46" t="s">
        <v>423</v>
      </c>
      <c r="C150" s="46">
        <v>120</v>
      </c>
      <c r="D150" s="46">
        <v>40</v>
      </c>
      <c r="E150" s="18">
        <f t="shared" si="14"/>
        <v>0.48</v>
      </c>
      <c r="F150" s="49">
        <f t="shared" si="15"/>
        <v>0</v>
      </c>
      <c r="G150" s="50">
        <f t="shared" si="16"/>
        <v>0</v>
      </c>
      <c r="H150" s="50">
        <f t="shared" si="17"/>
        <v>0</v>
      </c>
      <c r="I150" s="20" t="s">
        <v>435</v>
      </c>
    </row>
    <row r="151" spans="1:9" s="20" customFormat="1" hidden="1" outlineLevel="1" x14ac:dyDescent="0.25">
      <c r="A151" s="59"/>
      <c r="B151" s="46" t="s">
        <v>424</v>
      </c>
      <c r="C151" s="46">
        <v>140</v>
      </c>
      <c r="D151" s="46">
        <v>45</v>
      </c>
      <c r="E151" s="18">
        <f t="shared" si="14"/>
        <v>0.62999999999999989</v>
      </c>
      <c r="F151" s="49">
        <f t="shared" si="15"/>
        <v>0</v>
      </c>
      <c r="G151" s="50">
        <f t="shared" si="16"/>
        <v>0</v>
      </c>
      <c r="H151" s="50">
        <f t="shared" si="17"/>
        <v>0</v>
      </c>
      <c r="I151" s="20" t="s">
        <v>435</v>
      </c>
    </row>
    <row r="152" spans="1:9" s="20" customFormat="1" hidden="1" outlineLevel="1" x14ac:dyDescent="0.25">
      <c r="A152" s="59"/>
      <c r="B152" s="46" t="s">
        <v>425</v>
      </c>
      <c r="C152" s="46">
        <v>80</v>
      </c>
      <c r="D152" s="46">
        <v>40</v>
      </c>
      <c r="E152" s="18">
        <f t="shared" si="14"/>
        <v>0.32</v>
      </c>
      <c r="F152" s="49">
        <f t="shared" si="15"/>
        <v>0</v>
      </c>
      <c r="G152" s="50">
        <f t="shared" si="16"/>
        <v>0</v>
      </c>
      <c r="H152" s="50">
        <f t="shared" si="17"/>
        <v>0</v>
      </c>
      <c r="I152" s="20" t="s">
        <v>435</v>
      </c>
    </row>
    <row r="153" spans="1:9" s="20" customFormat="1" hidden="1" outlineLevel="1" x14ac:dyDescent="0.25">
      <c r="A153" s="59"/>
      <c r="B153" s="46" t="s">
        <v>426</v>
      </c>
      <c r="C153" s="46">
        <v>80</v>
      </c>
      <c r="D153" s="46">
        <v>50</v>
      </c>
      <c r="E153" s="18">
        <f t="shared" si="14"/>
        <v>0.4</v>
      </c>
      <c r="F153" s="49">
        <f t="shared" si="15"/>
        <v>0</v>
      </c>
      <c r="G153" s="50">
        <f t="shared" si="16"/>
        <v>0</v>
      </c>
      <c r="H153" s="50">
        <f t="shared" si="17"/>
        <v>0</v>
      </c>
      <c r="I153" s="20" t="s">
        <v>435</v>
      </c>
    </row>
    <row r="154" spans="1:9" s="20" customFormat="1" hidden="1" outlineLevel="1" x14ac:dyDescent="0.25">
      <c r="A154" s="59"/>
      <c r="B154" s="46" t="s">
        <v>1095</v>
      </c>
      <c r="C154" s="46">
        <v>60</v>
      </c>
      <c r="D154" s="46">
        <v>60</v>
      </c>
      <c r="E154" s="18">
        <f t="shared" si="14"/>
        <v>0.36</v>
      </c>
      <c r="F154" s="49">
        <f t="shared" si="15"/>
        <v>0</v>
      </c>
      <c r="G154" s="50">
        <f t="shared" si="16"/>
        <v>0</v>
      </c>
      <c r="H154" s="50">
        <f t="shared" si="17"/>
        <v>0</v>
      </c>
      <c r="I154" s="20" t="s">
        <v>350</v>
      </c>
    </row>
    <row r="155" spans="1:9" s="20" customFormat="1" hidden="1" outlineLevel="1" x14ac:dyDescent="0.25">
      <c r="A155" s="59"/>
      <c r="B155" s="46" t="s">
        <v>427</v>
      </c>
      <c r="C155" s="46">
        <v>100</v>
      </c>
      <c r="D155" s="46">
        <v>100</v>
      </c>
      <c r="E155" s="18">
        <f t="shared" si="14"/>
        <v>1</v>
      </c>
      <c r="F155" s="49">
        <f t="shared" si="15"/>
        <v>0</v>
      </c>
      <c r="G155" s="50">
        <f t="shared" si="16"/>
        <v>0</v>
      </c>
      <c r="H155" s="50">
        <f t="shared" si="17"/>
        <v>0</v>
      </c>
      <c r="I155" s="20" t="s">
        <v>350</v>
      </c>
    </row>
    <row r="156" spans="1:9" s="20" customFormat="1" hidden="1" outlineLevel="1" x14ac:dyDescent="0.25">
      <c r="A156" s="59"/>
      <c r="B156" s="46" t="s">
        <v>428</v>
      </c>
      <c r="C156" s="46">
        <v>100</v>
      </c>
      <c r="D156" s="46">
        <v>120</v>
      </c>
      <c r="E156" s="18">
        <f t="shared" si="14"/>
        <v>1.2</v>
      </c>
      <c r="F156" s="49">
        <f t="shared" si="15"/>
        <v>0</v>
      </c>
      <c r="G156" s="50">
        <f t="shared" si="16"/>
        <v>0</v>
      </c>
      <c r="H156" s="50">
        <f t="shared" si="17"/>
        <v>0</v>
      </c>
      <c r="I156" s="20" t="s">
        <v>350</v>
      </c>
    </row>
    <row r="157" spans="1:9" s="20" customFormat="1" hidden="1" outlineLevel="1" x14ac:dyDescent="0.25">
      <c r="A157" s="59"/>
      <c r="B157" s="46" t="s">
        <v>429</v>
      </c>
      <c r="C157" s="46">
        <v>100</v>
      </c>
      <c r="D157" s="46">
        <v>160</v>
      </c>
      <c r="E157" s="18">
        <f t="shared" si="14"/>
        <v>1.6</v>
      </c>
      <c r="F157" s="49">
        <f t="shared" si="15"/>
        <v>0</v>
      </c>
      <c r="G157" s="50">
        <f t="shared" si="16"/>
        <v>0</v>
      </c>
      <c r="H157" s="50">
        <f t="shared" si="17"/>
        <v>0</v>
      </c>
      <c r="I157" s="20" t="s">
        <v>350</v>
      </c>
    </row>
    <row r="158" spans="1:9" s="20" customFormat="1" hidden="1" outlineLevel="1" x14ac:dyDescent="0.25">
      <c r="A158" s="59"/>
      <c r="B158" s="46" t="s">
        <v>430</v>
      </c>
      <c r="C158" s="46">
        <v>100</v>
      </c>
      <c r="D158" s="46">
        <v>200</v>
      </c>
      <c r="E158" s="18">
        <f t="shared" si="14"/>
        <v>2</v>
      </c>
      <c r="F158" s="49">
        <f t="shared" si="15"/>
        <v>0</v>
      </c>
      <c r="G158" s="50">
        <f t="shared" si="16"/>
        <v>0</v>
      </c>
      <c r="H158" s="50">
        <f t="shared" si="17"/>
        <v>0</v>
      </c>
      <c r="I158" s="20" t="s">
        <v>350</v>
      </c>
    </row>
    <row r="159" spans="1:9" s="20" customFormat="1" hidden="1" outlineLevel="1" x14ac:dyDescent="0.25">
      <c r="A159" s="59"/>
      <c r="B159" s="46" t="s">
        <v>431</v>
      </c>
      <c r="C159" s="46">
        <v>120</v>
      </c>
      <c r="D159" s="46">
        <v>120</v>
      </c>
      <c r="E159" s="18">
        <f t="shared" si="14"/>
        <v>1.44</v>
      </c>
      <c r="F159" s="49">
        <f t="shared" si="15"/>
        <v>0</v>
      </c>
      <c r="G159" s="50">
        <f t="shared" si="16"/>
        <v>0</v>
      </c>
      <c r="H159" s="50">
        <f t="shared" si="17"/>
        <v>0</v>
      </c>
      <c r="I159" s="20" t="s">
        <v>350</v>
      </c>
    </row>
    <row r="160" spans="1:9" s="20" customFormat="1" hidden="1" outlineLevel="1" x14ac:dyDescent="0.25">
      <c r="A160" s="59"/>
      <c r="B160" s="46" t="s">
        <v>432</v>
      </c>
      <c r="C160" s="46">
        <v>120</v>
      </c>
      <c r="D160" s="46">
        <v>160</v>
      </c>
      <c r="E160" s="18">
        <f t="shared" si="14"/>
        <v>1.92</v>
      </c>
      <c r="F160" s="49">
        <f t="shared" si="15"/>
        <v>0</v>
      </c>
      <c r="G160" s="50">
        <f t="shared" si="16"/>
        <v>0</v>
      </c>
      <c r="H160" s="50">
        <f t="shared" si="17"/>
        <v>0</v>
      </c>
      <c r="I160" s="20" t="s">
        <v>350</v>
      </c>
    </row>
    <row r="161" spans="1:9" s="20" customFormat="1" hidden="1" outlineLevel="1" x14ac:dyDescent="0.25">
      <c r="A161" s="59"/>
      <c r="B161" s="46" t="s">
        <v>433</v>
      </c>
      <c r="C161" s="46">
        <v>120</v>
      </c>
      <c r="D161" s="46">
        <v>200</v>
      </c>
      <c r="E161" s="18">
        <f t="shared" si="14"/>
        <v>2.4</v>
      </c>
      <c r="F161" s="49">
        <f t="shared" si="15"/>
        <v>0</v>
      </c>
      <c r="G161" s="50">
        <f t="shared" si="16"/>
        <v>0</v>
      </c>
      <c r="H161" s="50">
        <f t="shared" si="17"/>
        <v>0</v>
      </c>
      <c r="I161" s="20" t="s">
        <v>350</v>
      </c>
    </row>
    <row r="162" spans="1:9" s="20" customFormat="1" hidden="1" outlineLevel="1" x14ac:dyDescent="0.25">
      <c r="A162" s="59"/>
      <c r="B162" s="46"/>
      <c r="C162" s="46"/>
      <c r="D162" s="46"/>
      <c r="E162" s="18"/>
      <c r="F162" s="49"/>
      <c r="G162" s="50"/>
      <c r="H162" s="50"/>
    </row>
    <row r="163" spans="1:9" s="20" customFormat="1" hidden="1" outlineLevel="1" x14ac:dyDescent="0.25">
      <c r="A163" s="59"/>
      <c r="B163" s="46" t="s">
        <v>1098</v>
      </c>
      <c r="C163" s="57">
        <f>SUM(F24:F161)</f>
        <v>0</v>
      </c>
      <c r="D163" s="46"/>
      <c r="E163" s="18"/>
      <c r="F163" s="49"/>
      <c r="G163" s="50"/>
      <c r="H163" s="50"/>
    </row>
    <row r="164" spans="1:9" s="20" customFormat="1" hidden="1" outlineLevel="1" x14ac:dyDescent="0.25">
      <c r="A164" s="59"/>
      <c r="B164" s="46" t="s">
        <v>1097</v>
      </c>
      <c r="C164" s="57">
        <f>SUMIF(I24:I161,"Espuma",F24:F161)</f>
        <v>0</v>
      </c>
      <c r="D164" s="46"/>
      <c r="E164" s="18"/>
      <c r="F164" s="49"/>
      <c r="G164" s="50"/>
      <c r="H164" s="50"/>
    </row>
    <row r="165" spans="1:9" s="20" customFormat="1" hidden="1" outlineLevel="1" x14ac:dyDescent="0.25">
      <c r="A165" s="59"/>
      <c r="B165" s="46" t="s">
        <v>1096</v>
      </c>
      <c r="C165" s="57">
        <f>SUMIF(I24:I161,"Kit janela de madeira",F24:F161)</f>
        <v>0</v>
      </c>
      <c r="D165" s="46"/>
      <c r="E165" s="18"/>
      <c r="F165" s="49"/>
      <c r="G165" s="50"/>
      <c r="H165" s="50"/>
    </row>
    <row r="166" spans="1:9" s="20" customFormat="1" hidden="1" outlineLevel="1" x14ac:dyDescent="0.25">
      <c r="A166" s="59"/>
      <c r="B166" s="46"/>
      <c r="C166" s="46"/>
      <c r="D166" s="46"/>
      <c r="E166" s="18"/>
      <c r="F166" s="49"/>
      <c r="G166" s="50"/>
      <c r="H166" s="50"/>
    </row>
    <row r="167" spans="1:9" s="20" customFormat="1" hidden="1" outlineLevel="1" x14ac:dyDescent="0.25">
      <c r="A167" s="59"/>
      <c r="B167" s="13" t="s">
        <v>352</v>
      </c>
      <c r="C167" s="46"/>
      <c r="D167" s="46"/>
      <c r="E167" s="18"/>
      <c r="F167" s="49"/>
      <c r="G167" s="50"/>
      <c r="H167" s="50"/>
    </row>
    <row r="168" spans="1:9" s="20" customFormat="1" hidden="1" outlineLevel="1" x14ac:dyDescent="0.25">
      <c r="A168" s="59"/>
      <c r="B168" s="46"/>
      <c r="C168" s="46"/>
      <c r="D168" s="46"/>
      <c r="E168" s="18"/>
      <c r="F168" s="49"/>
      <c r="G168" s="50"/>
      <c r="H168" s="50"/>
    </row>
    <row r="169" spans="1:9" s="20" customFormat="1" hidden="1" outlineLevel="1" x14ac:dyDescent="0.25">
      <c r="A169" s="59">
        <v>1</v>
      </c>
      <c r="B169" s="46" t="str">
        <f t="shared" ref="B169:B178" si="18">IFERROR(VLOOKUP(A169,$A$9:$C$19,2,0),"")</f>
        <v/>
      </c>
      <c r="C169" s="46" t="str">
        <f t="shared" ref="C169:C178" si="19">IFERROR(VLOOKUP(A169,$A$9:$C$19,3,0),"")</f>
        <v/>
      </c>
      <c r="D169" s="46"/>
      <c r="E169" s="18"/>
      <c r="F169" s="49"/>
      <c r="G169" s="50"/>
      <c r="H169" s="50"/>
    </row>
    <row r="170" spans="1:9" s="20" customFormat="1" hidden="1" outlineLevel="1" x14ac:dyDescent="0.25">
      <c r="A170" s="59">
        <v>2</v>
      </c>
      <c r="B170" s="46" t="str">
        <f t="shared" si="18"/>
        <v/>
      </c>
      <c r="C170" s="46" t="str">
        <f t="shared" si="19"/>
        <v/>
      </c>
      <c r="D170" s="46"/>
      <c r="E170" s="18"/>
      <c r="F170" s="49"/>
      <c r="G170" s="50"/>
      <c r="H170" s="50"/>
    </row>
    <row r="171" spans="1:9" s="20" customFormat="1" hidden="1" outlineLevel="1" x14ac:dyDescent="0.25">
      <c r="A171" s="59">
        <v>3</v>
      </c>
      <c r="B171" s="46" t="str">
        <f t="shared" si="18"/>
        <v/>
      </c>
      <c r="C171" s="46" t="str">
        <f t="shared" si="19"/>
        <v/>
      </c>
      <c r="D171" s="46"/>
      <c r="E171" s="18"/>
      <c r="F171" s="49"/>
      <c r="G171" s="50"/>
      <c r="H171" s="50"/>
    </row>
    <row r="172" spans="1:9" s="20" customFormat="1" hidden="1" outlineLevel="1" x14ac:dyDescent="0.25">
      <c r="A172" s="59">
        <v>4</v>
      </c>
      <c r="B172" s="46" t="str">
        <f t="shared" si="18"/>
        <v/>
      </c>
      <c r="C172" s="46" t="str">
        <f t="shared" si="19"/>
        <v/>
      </c>
      <c r="D172" s="46"/>
      <c r="E172" s="18"/>
      <c r="F172" s="49"/>
      <c r="G172" s="50"/>
      <c r="H172" s="50"/>
    </row>
    <row r="173" spans="1:9" s="20" customFormat="1" hidden="1" outlineLevel="1" x14ac:dyDescent="0.25">
      <c r="A173" s="59">
        <v>5</v>
      </c>
      <c r="B173" s="46" t="str">
        <f t="shared" si="18"/>
        <v/>
      </c>
      <c r="C173" s="46" t="str">
        <f t="shared" si="19"/>
        <v/>
      </c>
      <c r="D173" s="46"/>
      <c r="E173" s="18"/>
      <c r="F173" s="49"/>
      <c r="G173" s="50"/>
      <c r="H173" s="50"/>
    </row>
    <row r="174" spans="1:9" s="20" customFormat="1" hidden="1" outlineLevel="1" x14ac:dyDescent="0.25">
      <c r="A174" s="59">
        <v>6</v>
      </c>
      <c r="B174" s="46" t="str">
        <f t="shared" si="18"/>
        <v/>
      </c>
      <c r="C174" s="46" t="str">
        <f t="shared" si="19"/>
        <v/>
      </c>
      <c r="D174" s="46"/>
      <c r="E174" s="18"/>
      <c r="F174" s="49"/>
      <c r="G174" s="50"/>
      <c r="H174" s="50"/>
    </row>
    <row r="175" spans="1:9" s="20" customFormat="1" hidden="1" outlineLevel="1" x14ac:dyDescent="0.25">
      <c r="A175" s="59">
        <v>7</v>
      </c>
      <c r="B175" s="46" t="str">
        <f t="shared" si="18"/>
        <v/>
      </c>
      <c r="C175" s="46" t="str">
        <f t="shared" si="19"/>
        <v/>
      </c>
      <c r="D175" s="46"/>
      <c r="E175" s="18"/>
      <c r="F175" s="49"/>
      <c r="G175" s="50"/>
      <c r="H175" s="50"/>
    </row>
    <row r="176" spans="1:9" s="20" customFormat="1" hidden="1" outlineLevel="1" x14ac:dyDescent="0.25">
      <c r="A176" s="59">
        <v>8</v>
      </c>
      <c r="B176" s="46" t="str">
        <f t="shared" si="18"/>
        <v/>
      </c>
      <c r="C176" s="46" t="str">
        <f t="shared" si="19"/>
        <v/>
      </c>
      <c r="D176" s="46"/>
      <c r="E176" s="18"/>
      <c r="F176" s="49"/>
      <c r="G176" s="50"/>
      <c r="H176" s="50"/>
    </row>
    <row r="177" spans="1:8" s="20" customFormat="1" hidden="1" outlineLevel="1" x14ac:dyDescent="0.25">
      <c r="A177" s="59">
        <v>9</v>
      </c>
      <c r="B177" s="46" t="str">
        <f t="shared" si="18"/>
        <v/>
      </c>
      <c r="C177" s="46" t="str">
        <f t="shared" si="19"/>
        <v/>
      </c>
      <c r="D177" s="46"/>
      <c r="E177" s="18"/>
      <c r="F177" s="49"/>
      <c r="G177" s="50"/>
      <c r="H177" s="50"/>
    </row>
    <row r="178" spans="1:8" s="20" customFormat="1" hidden="1" outlineLevel="1" x14ac:dyDescent="0.25">
      <c r="A178" s="59">
        <v>10</v>
      </c>
      <c r="B178" s="46" t="str">
        <f t="shared" si="18"/>
        <v/>
      </c>
      <c r="C178" s="46" t="str">
        <f t="shared" si="19"/>
        <v/>
      </c>
      <c r="D178" s="46"/>
      <c r="E178" s="18"/>
      <c r="F178" s="49"/>
      <c r="G178" s="50"/>
      <c r="H178" s="50"/>
    </row>
    <row r="179" spans="1:8" hidden="1" outlineLevel="1" collapsed="1" x14ac:dyDescent="0.25">
      <c r="B179" s="2"/>
      <c r="C179" s="2"/>
      <c r="D179" s="2"/>
      <c r="E179" s="2"/>
      <c r="F179" s="2"/>
      <c r="G179" s="2"/>
      <c r="H179" s="2"/>
    </row>
    <row r="180" spans="1:8" collapsed="1" x14ac:dyDescent="0.25">
      <c r="B180" s="27" t="s">
        <v>5</v>
      </c>
      <c r="C180" s="28" t="s">
        <v>46</v>
      </c>
      <c r="D180" s="28" t="s">
        <v>6</v>
      </c>
    </row>
    <row r="181" spans="1:8" x14ac:dyDescent="0.25">
      <c r="B181" s="88" t="s">
        <v>272</v>
      </c>
      <c r="C181" s="91" t="s">
        <v>274</v>
      </c>
      <c r="D181" s="87">
        <f>C164</f>
        <v>0</v>
      </c>
    </row>
    <row r="182" spans="1:8" x14ac:dyDescent="0.25">
      <c r="B182" s="88" t="s">
        <v>436</v>
      </c>
      <c r="C182" s="91" t="s">
        <v>50</v>
      </c>
      <c r="D182" s="87">
        <f>C165</f>
        <v>0</v>
      </c>
    </row>
    <row r="183" spans="1:8" x14ac:dyDescent="0.25">
      <c r="B183" s="88" t="s">
        <v>277</v>
      </c>
      <c r="C183" s="91" t="s">
        <v>50</v>
      </c>
      <c r="D183" s="87">
        <f>C163</f>
        <v>0</v>
      </c>
    </row>
    <row r="184" spans="1:8" x14ac:dyDescent="0.25">
      <c r="B184" s="88" t="str">
        <f>IF(B169="","",B169)</f>
        <v/>
      </c>
      <c r="C184" s="91" t="str">
        <f>IF(B184="","","Peça")</f>
        <v/>
      </c>
      <c r="D184" s="87" t="str">
        <f>IF(C169="","",C169)</f>
        <v/>
      </c>
    </row>
    <row r="185" spans="1:8" x14ac:dyDescent="0.25">
      <c r="B185" s="88" t="str">
        <f t="shared" ref="B185:B193" si="20">IF(B170="","",B170)</f>
        <v/>
      </c>
      <c r="C185" s="91" t="str">
        <f t="shared" ref="C185:C193" si="21">IF(B185="","","Peça")</f>
        <v/>
      </c>
      <c r="D185" s="87" t="str">
        <f t="shared" ref="D185:D193" si="22">IF(C170="","",C170)</f>
        <v/>
      </c>
    </row>
    <row r="186" spans="1:8" x14ac:dyDescent="0.25">
      <c r="B186" s="88" t="str">
        <f t="shared" si="20"/>
        <v/>
      </c>
      <c r="C186" s="91" t="str">
        <f t="shared" si="21"/>
        <v/>
      </c>
      <c r="D186" s="87" t="str">
        <f t="shared" si="22"/>
        <v/>
      </c>
    </row>
    <row r="187" spans="1:8" x14ac:dyDescent="0.25">
      <c r="B187" s="88" t="str">
        <f t="shared" si="20"/>
        <v/>
      </c>
      <c r="C187" s="91" t="str">
        <f t="shared" si="21"/>
        <v/>
      </c>
      <c r="D187" s="87" t="str">
        <f t="shared" si="22"/>
        <v/>
      </c>
    </row>
    <row r="188" spans="1:8" x14ac:dyDescent="0.25">
      <c r="B188" s="88" t="str">
        <f t="shared" si="20"/>
        <v/>
      </c>
      <c r="C188" s="91" t="str">
        <f t="shared" si="21"/>
        <v/>
      </c>
      <c r="D188" s="87" t="str">
        <f t="shared" si="22"/>
        <v/>
      </c>
    </row>
    <row r="189" spans="1:8" x14ac:dyDescent="0.25">
      <c r="B189" s="88" t="str">
        <f t="shared" si="20"/>
        <v/>
      </c>
      <c r="C189" s="91" t="str">
        <f t="shared" si="21"/>
        <v/>
      </c>
      <c r="D189" s="87" t="str">
        <f t="shared" si="22"/>
        <v/>
      </c>
    </row>
    <row r="190" spans="1:8" x14ac:dyDescent="0.25">
      <c r="B190" s="88" t="str">
        <f t="shared" si="20"/>
        <v/>
      </c>
      <c r="C190" s="91" t="str">
        <f t="shared" si="21"/>
        <v/>
      </c>
      <c r="D190" s="87" t="str">
        <f t="shared" si="22"/>
        <v/>
      </c>
    </row>
    <row r="191" spans="1:8" x14ac:dyDescent="0.25">
      <c r="B191" s="88" t="str">
        <f t="shared" si="20"/>
        <v/>
      </c>
      <c r="C191" s="91" t="str">
        <f t="shared" si="21"/>
        <v/>
      </c>
      <c r="D191" s="87" t="str">
        <f t="shared" si="22"/>
        <v/>
      </c>
    </row>
    <row r="192" spans="1:8" x14ac:dyDescent="0.25">
      <c r="B192" s="88" t="str">
        <f t="shared" si="20"/>
        <v/>
      </c>
      <c r="C192" s="91" t="str">
        <f t="shared" si="21"/>
        <v/>
      </c>
      <c r="D192" s="87" t="str">
        <f t="shared" si="22"/>
        <v/>
      </c>
    </row>
    <row r="193" spans="2:4" x14ac:dyDescent="0.25">
      <c r="B193" s="88" t="str">
        <f t="shared" si="20"/>
        <v/>
      </c>
      <c r="C193" s="91" t="str">
        <f t="shared" si="21"/>
        <v/>
      </c>
      <c r="D193" s="87" t="str">
        <f t="shared" si="22"/>
        <v/>
      </c>
    </row>
  </sheetData>
  <mergeCells count="3">
    <mergeCell ref="B2:E2"/>
    <mergeCell ref="B4:E4"/>
    <mergeCell ref="B5:E5"/>
  </mergeCells>
  <dataValidations disablePrompts="1" count="1">
    <dataValidation type="list" allowBlank="1" showInputMessage="1" showErrorMessage="1" sqref="B10:B19" xr:uid="{00000000-0002-0000-0F00-000000000000}">
      <formula1>$B$24:$B$161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8"/>
  <sheetViews>
    <sheetView showGridLines="0" zoomScale="130" zoomScaleNormal="130" workbookViewId="0">
      <selection activeCell="E12" sqref="E12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29.28515625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441</v>
      </c>
      <c r="C2" s="130"/>
      <c r="D2" s="131"/>
    </row>
    <row r="4" spans="1:8" ht="45.75" customHeight="1" x14ac:dyDescent="0.25">
      <c r="B4" s="128" t="s">
        <v>442</v>
      </c>
      <c r="C4" s="128"/>
      <c r="D4" s="128"/>
    </row>
    <row r="5" spans="1:8" s="5" customFormat="1" ht="18.75" x14ac:dyDescent="0.3">
      <c r="A5" s="7"/>
      <c r="B5" s="132" t="s">
        <v>571</v>
      </c>
      <c r="C5" s="132"/>
      <c r="D5" s="132"/>
      <c r="E5" s="7"/>
      <c r="F5" s="7"/>
      <c r="H5" s="22"/>
    </row>
    <row r="6" spans="1:8" s="5" customFormat="1" x14ac:dyDescent="0.25">
      <c r="A6" s="7"/>
      <c r="B6" s="7"/>
      <c r="C6" s="7"/>
      <c r="D6" s="7"/>
      <c r="E6" s="7"/>
      <c r="F6" s="7"/>
      <c r="H6" s="22"/>
    </row>
    <row r="7" spans="1:8" x14ac:dyDescent="0.25">
      <c r="B7" s="9" t="s">
        <v>2</v>
      </c>
    </row>
    <row r="9" spans="1:8" x14ac:dyDescent="0.25">
      <c r="B9" s="7" t="s">
        <v>437</v>
      </c>
      <c r="C9" s="33">
        <v>10</v>
      </c>
      <c r="D9" s="7" t="s">
        <v>53</v>
      </c>
    </row>
    <row r="10" spans="1:8" x14ac:dyDescent="0.25">
      <c r="B10" s="7" t="s">
        <v>438</v>
      </c>
      <c r="C10" s="33">
        <v>25</v>
      </c>
      <c r="D10" s="7" t="s">
        <v>53</v>
      </c>
    </row>
    <row r="11" spans="1:8" x14ac:dyDescent="0.25">
      <c r="B11" s="7" t="s">
        <v>439</v>
      </c>
      <c r="C11" s="112" t="s">
        <v>369</v>
      </c>
    </row>
    <row r="13" spans="1:8" s="20" customFormat="1" hidden="1" outlineLevel="1" x14ac:dyDescent="0.25">
      <c r="B13" s="19" t="s">
        <v>606</v>
      </c>
    </row>
    <row r="14" spans="1:8" s="20" customFormat="1" hidden="1" outlineLevel="1" x14ac:dyDescent="0.25">
      <c r="B14" s="19"/>
    </row>
    <row r="15" spans="1:8" s="20" customFormat="1" hidden="1" outlineLevel="1" x14ac:dyDescent="0.25">
      <c r="B15" s="20" t="s">
        <v>443</v>
      </c>
      <c r="C15" s="21">
        <f>VLOOKUP($C$11,$B$28:$F$40,2,0)</f>
        <v>32</v>
      </c>
      <c r="D15" s="20" t="s">
        <v>56</v>
      </c>
    </row>
    <row r="16" spans="1:8" s="20" customFormat="1" hidden="1" outlineLevel="1" x14ac:dyDescent="0.25">
      <c r="B16" s="20" t="s">
        <v>444</v>
      </c>
      <c r="C16" s="21">
        <f>VLOOKUP($C$11,$B$28:$F$40,3,0)</f>
        <v>30</v>
      </c>
    </row>
    <row r="17" spans="2:7" s="20" customFormat="1" hidden="1" outlineLevel="1" x14ac:dyDescent="0.25">
      <c r="B17" s="20" t="s">
        <v>775</v>
      </c>
      <c r="C17" s="21">
        <f>VLOOKUP($C$11,$B$28:$F$40,4,0)</f>
        <v>10</v>
      </c>
      <c r="D17" s="20" t="s">
        <v>835</v>
      </c>
    </row>
    <row r="18" spans="2:7" s="20" customFormat="1" hidden="1" outlineLevel="1" x14ac:dyDescent="0.25">
      <c r="B18" s="20" t="s">
        <v>845</v>
      </c>
      <c r="C18" s="23">
        <v>50</v>
      </c>
      <c r="D18" s="20" t="s">
        <v>56</v>
      </c>
    </row>
    <row r="19" spans="2:7" s="20" customFormat="1" hidden="1" outlineLevel="1" x14ac:dyDescent="0.25">
      <c r="B19" s="20" t="s">
        <v>777</v>
      </c>
      <c r="C19" s="21">
        <f>C9*C10</f>
        <v>250</v>
      </c>
      <c r="D19" s="20" t="s">
        <v>643</v>
      </c>
    </row>
    <row r="20" spans="2:7" s="20" customFormat="1" hidden="1" outlineLevel="1" x14ac:dyDescent="0.25">
      <c r="B20" s="20" t="s">
        <v>389</v>
      </c>
      <c r="C20" s="21">
        <f>VLOOKUP($C$11,$B$28:$F$40,5,0)</f>
        <v>1.044</v>
      </c>
    </row>
    <row r="21" spans="2:7" s="20" customFormat="1" hidden="1" outlineLevel="1" x14ac:dyDescent="0.25">
      <c r="B21" s="20" t="s">
        <v>776</v>
      </c>
      <c r="C21" s="21">
        <f>C19*C20</f>
        <v>261</v>
      </c>
      <c r="D21" s="20" t="s">
        <v>643</v>
      </c>
    </row>
    <row r="22" spans="2:7" s="20" customFormat="1" hidden="1" outlineLevel="1" x14ac:dyDescent="0.25">
      <c r="B22" s="20" t="s">
        <v>388</v>
      </c>
      <c r="C22" s="25">
        <f>C17*C21</f>
        <v>2610</v>
      </c>
      <c r="D22" s="20" t="s">
        <v>644</v>
      </c>
    </row>
    <row r="23" spans="2:7" s="20" customFormat="1" hidden="1" outlineLevel="1" x14ac:dyDescent="0.25">
      <c r="B23" s="20" t="s">
        <v>780</v>
      </c>
      <c r="C23" s="25">
        <f>C22*(1+'LEIA-ME'!$D$31)</f>
        <v>2740.5</v>
      </c>
      <c r="D23" s="20" t="s">
        <v>644</v>
      </c>
    </row>
    <row r="24" spans="2:7" s="20" customFormat="1" hidden="1" outlineLevel="1" x14ac:dyDescent="0.25">
      <c r="B24" s="20" t="s">
        <v>778</v>
      </c>
      <c r="C24" s="23">
        <v>3</v>
      </c>
      <c r="D24" s="20" t="s">
        <v>667</v>
      </c>
    </row>
    <row r="25" spans="2:7" s="20" customFormat="1" hidden="1" outlineLevel="1" x14ac:dyDescent="0.25">
      <c r="B25" s="20" t="s">
        <v>387</v>
      </c>
      <c r="C25" s="21">
        <f>C10*C24</f>
        <v>75</v>
      </c>
      <c r="D25" s="20" t="s">
        <v>644</v>
      </c>
    </row>
    <row r="26" spans="2:7" s="20" customFormat="1" hidden="1" outlineLevel="1" x14ac:dyDescent="0.25">
      <c r="B26" s="20" t="s">
        <v>779</v>
      </c>
      <c r="C26" s="21">
        <f>C25*(1+'LEIA-ME'!$D$31)</f>
        <v>78.75</v>
      </c>
      <c r="D26" s="20" t="s">
        <v>644</v>
      </c>
    </row>
    <row r="27" spans="2:7" s="20" customFormat="1" hidden="1" outlineLevel="1" x14ac:dyDescent="0.25"/>
    <row r="28" spans="2:7" s="20" customFormat="1" hidden="1" outlineLevel="1" x14ac:dyDescent="0.25">
      <c r="B28" s="19" t="s">
        <v>386</v>
      </c>
      <c r="C28" s="19" t="s">
        <v>385</v>
      </c>
      <c r="D28" s="19" t="s">
        <v>367</v>
      </c>
      <c r="E28" s="19" t="s">
        <v>384</v>
      </c>
      <c r="F28" s="19" t="s">
        <v>383</v>
      </c>
      <c r="G28" s="19" t="s">
        <v>382</v>
      </c>
    </row>
    <row r="29" spans="2:7" s="20" customFormat="1" hidden="1" outlineLevel="1" x14ac:dyDescent="0.25">
      <c r="B29" s="31" t="s">
        <v>381</v>
      </c>
      <c r="C29" s="61">
        <v>38</v>
      </c>
      <c r="D29" s="61">
        <v>34</v>
      </c>
      <c r="E29" s="61">
        <v>13</v>
      </c>
      <c r="F29" s="61">
        <v>1.056</v>
      </c>
      <c r="G29" s="20" t="s">
        <v>370</v>
      </c>
    </row>
    <row r="30" spans="2:7" s="20" customFormat="1" hidden="1" outlineLevel="1" x14ac:dyDescent="0.25">
      <c r="B30" s="31" t="s">
        <v>380</v>
      </c>
      <c r="C30" s="61">
        <v>38</v>
      </c>
      <c r="D30" s="61">
        <v>34</v>
      </c>
      <c r="E30" s="61">
        <v>12</v>
      </c>
      <c r="F30" s="61">
        <v>1.056</v>
      </c>
      <c r="G30" s="20" t="s">
        <v>370</v>
      </c>
    </row>
    <row r="31" spans="2:7" s="20" customFormat="1" hidden="1" outlineLevel="1" x14ac:dyDescent="0.25">
      <c r="B31" s="31" t="s">
        <v>379</v>
      </c>
      <c r="C31" s="61">
        <v>38</v>
      </c>
      <c r="D31" s="61">
        <v>30</v>
      </c>
      <c r="E31" s="61">
        <v>24</v>
      </c>
      <c r="F31" s="61">
        <v>1.044</v>
      </c>
      <c r="G31" s="20" t="s">
        <v>370</v>
      </c>
    </row>
    <row r="32" spans="2:7" s="20" customFormat="1" hidden="1" outlineLevel="1" x14ac:dyDescent="0.25">
      <c r="B32" s="31" t="s">
        <v>378</v>
      </c>
      <c r="C32" s="61">
        <v>38</v>
      </c>
      <c r="D32" s="61">
        <v>34</v>
      </c>
      <c r="E32" s="61">
        <v>13</v>
      </c>
      <c r="F32" s="61">
        <v>1.056</v>
      </c>
      <c r="G32" s="20" t="s">
        <v>370</v>
      </c>
    </row>
    <row r="33" spans="2:7" s="20" customFormat="1" hidden="1" outlineLevel="1" x14ac:dyDescent="0.25">
      <c r="B33" s="31" t="s">
        <v>377</v>
      </c>
      <c r="C33" s="61">
        <v>38</v>
      </c>
      <c r="D33" s="61">
        <v>36</v>
      </c>
      <c r="E33" s="61">
        <v>16</v>
      </c>
      <c r="F33" s="61">
        <v>1.0629999999999999</v>
      </c>
      <c r="G33" s="20" t="s">
        <v>370</v>
      </c>
    </row>
    <row r="34" spans="2:7" s="20" customFormat="1" hidden="1" outlineLevel="1" x14ac:dyDescent="0.25">
      <c r="B34" s="31" t="s">
        <v>376</v>
      </c>
      <c r="C34" s="61">
        <v>38</v>
      </c>
      <c r="D34" s="61">
        <v>30</v>
      </c>
      <c r="E34" s="61">
        <v>14</v>
      </c>
      <c r="F34" s="61">
        <v>1.044</v>
      </c>
      <c r="G34" s="20" t="s">
        <v>370</v>
      </c>
    </row>
    <row r="35" spans="2:7" s="20" customFormat="1" hidden="1" outlineLevel="1" x14ac:dyDescent="0.25">
      <c r="B35" s="31" t="s">
        <v>375</v>
      </c>
      <c r="C35" s="61">
        <v>38</v>
      </c>
      <c r="D35" s="61">
        <v>30</v>
      </c>
      <c r="E35" s="61">
        <v>12</v>
      </c>
      <c r="F35" s="61">
        <v>1.044</v>
      </c>
      <c r="G35" s="20" t="s">
        <v>370</v>
      </c>
    </row>
    <row r="36" spans="2:7" s="20" customFormat="1" hidden="1" outlineLevel="1" x14ac:dyDescent="0.25">
      <c r="B36" s="31" t="s">
        <v>374</v>
      </c>
      <c r="C36" s="61">
        <v>38</v>
      </c>
      <c r="D36" s="61">
        <v>25</v>
      </c>
      <c r="E36" s="61">
        <v>26</v>
      </c>
      <c r="F36" s="61">
        <v>1.044</v>
      </c>
      <c r="G36" s="20" t="s">
        <v>370</v>
      </c>
    </row>
    <row r="37" spans="2:7" s="20" customFormat="1" hidden="1" outlineLevel="1" x14ac:dyDescent="0.25">
      <c r="B37" s="31" t="s">
        <v>373</v>
      </c>
      <c r="C37" s="61">
        <v>41</v>
      </c>
      <c r="D37" s="61">
        <v>30</v>
      </c>
      <c r="E37" s="61">
        <v>28</v>
      </c>
      <c r="F37" s="61">
        <v>1.044</v>
      </c>
      <c r="G37" s="20" t="s">
        <v>370</v>
      </c>
    </row>
    <row r="38" spans="2:7" s="20" customFormat="1" hidden="1" outlineLevel="1" x14ac:dyDescent="0.25">
      <c r="B38" s="31" t="s">
        <v>372</v>
      </c>
      <c r="C38" s="61">
        <v>38</v>
      </c>
      <c r="D38" s="61">
        <v>30</v>
      </c>
      <c r="E38" s="61">
        <v>17</v>
      </c>
      <c r="F38" s="61">
        <v>1.044</v>
      </c>
      <c r="G38" s="20" t="s">
        <v>370</v>
      </c>
    </row>
    <row r="39" spans="2:7" s="20" customFormat="1" hidden="1" outlineLevel="1" x14ac:dyDescent="0.25">
      <c r="B39" s="31" t="s">
        <v>371</v>
      </c>
      <c r="C39" s="61">
        <v>38</v>
      </c>
      <c r="D39" s="61">
        <v>26</v>
      </c>
      <c r="E39" s="61">
        <v>16</v>
      </c>
      <c r="F39" s="61">
        <v>1.044</v>
      </c>
      <c r="G39" s="20" t="s">
        <v>370</v>
      </c>
    </row>
    <row r="40" spans="2:7" s="20" customFormat="1" hidden="1" outlineLevel="1" x14ac:dyDescent="0.25">
      <c r="B40" s="31" t="s">
        <v>369</v>
      </c>
      <c r="C40" s="61">
        <v>32</v>
      </c>
      <c r="D40" s="61">
        <v>30</v>
      </c>
      <c r="E40" s="61">
        <v>10</v>
      </c>
      <c r="F40" s="61">
        <v>1.044</v>
      </c>
      <c r="G40" s="20" t="s">
        <v>368</v>
      </c>
    </row>
    <row r="41" spans="2:7" s="20" customFormat="1" hidden="1" outlineLevel="1" x14ac:dyDescent="0.25"/>
    <row r="42" spans="2:7" s="20" customFormat="1" hidden="1" outlineLevel="1" x14ac:dyDescent="0.25">
      <c r="B42" s="51" t="s">
        <v>440</v>
      </c>
      <c r="C42" s="51"/>
      <c r="D42" s="51"/>
    </row>
    <row r="43" spans="2:7" s="20" customFormat="1" hidden="1" outlineLevel="1" x14ac:dyDescent="0.25"/>
    <row r="44" spans="2:7" s="20" customFormat="1" hidden="1" outlineLevel="1" x14ac:dyDescent="0.25">
      <c r="B44" s="20" t="s">
        <v>782</v>
      </c>
      <c r="C44" s="85">
        <v>1.2</v>
      </c>
      <c r="D44" s="20" t="s">
        <v>53</v>
      </c>
    </row>
    <row r="45" spans="2:7" s="20" customFormat="1" hidden="1" outlineLevel="1" x14ac:dyDescent="0.25">
      <c r="B45" s="20" t="s">
        <v>783</v>
      </c>
      <c r="C45" s="85">
        <v>0.5</v>
      </c>
      <c r="D45" s="20" t="s">
        <v>53</v>
      </c>
    </row>
    <row r="46" spans="2:7" s="20" customFormat="1" hidden="1" outlineLevel="1" x14ac:dyDescent="0.25">
      <c r="B46" s="20" t="s">
        <v>784</v>
      </c>
      <c r="C46" s="21">
        <f>C15/100</f>
        <v>0.32</v>
      </c>
      <c r="D46" s="20" t="s">
        <v>53</v>
      </c>
    </row>
    <row r="47" spans="2:7" s="20" customFormat="1" hidden="1" outlineLevel="1" x14ac:dyDescent="0.25">
      <c r="B47" s="20" t="s">
        <v>785</v>
      </c>
      <c r="C47" s="85">
        <v>2</v>
      </c>
      <c r="D47" s="20" t="s">
        <v>53</v>
      </c>
    </row>
    <row r="48" spans="2:7" s="20" customFormat="1" hidden="1" outlineLevel="1" x14ac:dyDescent="0.25">
      <c r="B48" s="20" t="s">
        <v>781</v>
      </c>
      <c r="C48" s="21">
        <f>C10/C47</f>
        <v>12.5</v>
      </c>
      <c r="D48" s="20" t="s">
        <v>644</v>
      </c>
    </row>
    <row r="49" spans="2:4" s="20" customFormat="1" hidden="1" outlineLevel="1" x14ac:dyDescent="0.25"/>
    <row r="50" spans="2:4" s="20" customFormat="1" hidden="1" outlineLevel="1" x14ac:dyDescent="0.25">
      <c r="B50" s="19" t="s">
        <v>607</v>
      </c>
    </row>
    <row r="51" spans="2:4" s="20" customFormat="1" hidden="1" outlineLevel="1" x14ac:dyDescent="0.25"/>
    <row r="52" spans="2:4" s="20" customFormat="1" hidden="1" outlineLevel="1" x14ac:dyDescent="0.25">
      <c r="B52" s="20" t="s">
        <v>53</v>
      </c>
      <c r="C52" s="21">
        <f>$C$9/2</f>
        <v>5</v>
      </c>
    </row>
    <row r="53" spans="2:4" s="20" customFormat="1" hidden="1" outlineLevel="1" x14ac:dyDescent="0.25">
      <c r="B53" s="20" t="s">
        <v>366</v>
      </c>
      <c r="C53" s="21">
        <f>((C54)*(TAN(RADIANS(C16))))</f>
        <v>5.7735026918962573</v>
      </c>
    </row>
    <row r="54" spans="2:4" s="20" customFormat="1" hidden="1" outlineLevel="1" x14ac:dyDescent="0.25">
      <c r="B54" s="20" t="s">
        <v>365</v>
      </c>
      <c r="C54" s="21">
        <f>$C$9</f>
        <v>10</v>
      </c>
    </row>
    <row r="55" spans="2:4" s="20" customFormat="1" hidden="1" outlineLevel="1" x14ac:dyDescent="0.25">
      <c r="B55" s="20" t="s">
        <v>364</v>
      </c>
      <c r="C55" s="21">
        <f>((C53^2)+(C54^2))^0.5</f>
        <v>11.547005383792515</v>
      </c>
    </row>
    <row r="56" spans="2:4" s="20" customFormat="1" hidden="1" outlineLevel="1" x14ac:dyDescent="0.25">
      <c r="B56" s="20" t="s">
        <v>363</v>
      </c>
      <c r="C56" s="21">
        <f>C53/2</f>
        <v>2.8867513459481287</v>
      </c>
    </row>
    <row r="57" spans="2:4" s="20" customFormat="1" hidden="1" outlineLevel="1" x14ac:dyDescent="0.25">
      <c r="B57" s="20" t="s">
        <v>362</v>
      </c>
      <c r="C57" s="21">
        <f>(((C56^2)+(C52^2))^0.5)</f>
        <v>5.7735026918962573</v>
      </c>
    </row>
    <row r="58" spans="2:4" s="20" customFormat="1" hidden="1" outlineLevel="1" x14ac:dyDescent="0.25"/>
    <row r="59" spans="2:4" s="20" customFormat="1" hidden="1" outlineLevel="1" x14ac:dyDescent="0.25">
      <c r="B59" s="20" t="s">
        <v>361</v>
      </c>
      <c r="C59" s="21">
        <f>$C$9</f>
        <v>10</v>
      </c>
      <c r="D59" s="20" t="s">
        <v>53</v>
      </c>
    </row>
    <row r="60" spans="2:4" s="20" customFormat="1" hidden="1" outlineLevel="1" x14ac:dyDescent="0.25">
      <c r="B60" s="20" t="s">
        <v>360</v>
      </c>
      <c r="C60" s="21">
        <f>C53</f>
        <v>5.7735026918962573</v>
      </c>
      <c r="D60" s="20" t="s">
        <v>53</v>
      </c>
    </row>
    <row r="61" spans="2:4" s="20" customFormat="1" hidden="1" outlineLevel="1" x14ac:dyDescent="0.25">
      <c r="B61" s="20" t="s">
        <v>359</v>
      </c>
      <c r="C61" s="21">
        <f>C55</f>
        <v>11.547005383792515</v>
      </c>
      <c r="D61" s="20" t="s">
        <v>53</v>
      </c>
    </row>
    <row r="62" spans="2:4" s="20" customFormat="1" hidden="1" outlineLevel="1" x14ac:dyDescent="0.25">
      <c r="B62" s="20" t="s">
        <v>358</v>
      </c>
      <c r="C62" s="21">
        <f>C56</f>
        <v>2.8867513459481287</v>
      </c>
      <c r="D62" s="20" t="s">
        <v>53</v>
      </c>
    </row>
    <row r="63" spans="2:4" s="20" customFormat="1" hidden="1" outlineLevel="1" x14ac:dyDescent="0.25">
      <c r="B63" s="20" t="s">
        <v>357</v>
      </c>
      <c r="C63" s="21">
        <f>C57</f>
        <v>5.7735026918962573</v>
      </c>
      <c r="D63" s="20" t="s">
        <v>53</v>
      </c>
    </row>
    <row r="64" spans="2:4" s="20" customFormat="1" hidden="1" outlineLevel="1" x14ac:dyDescent="0.25"/>
    <row r="65" spans="2:4" s="20" customFormat="1" hidden="1" outlineLevel="1" x14ac:dyDescent="0.25">
      <c r="B65" s="20" t="s">
        <v>356</v>
      </c>
      <c r="C65" s="21">
        <f>(((((C61)/($C$44))*$C$10)))</f>
        <v>240.56261216234404</v>
      </c>
      <c r="D65" s="20" t="s">
        <v>53</v>
      </c>
    </row>
    <row r="66" spans="2:4" s="20" customFormat="1" hidden="1" outlineLevel="1" x14ac:dyDescent="0.25">
      <c r="B66" s="20" t="s">
        <v>355</v>
      </c>
      <c r="C66" s="21">
        <f>((((C61)+($C$18/100))*($C$10/$C$45)))</f>
        <v>602.35026918962569</v>
      </c>
      <c r="D66" s="20" t="s">
        <v>53</v>
      </c>
    </row>
    <row r="67" spans="2:4" s="20" customFormat="1" hidden="1" outlineLevel="1" x14ac:dyDescent="0.25">
      <c r="B67" s="20" t="s">
        <v>354</v>
      </c>
      <c r="C67" s="21">
        <f>(($C$10)*((((C61)+($C$18/100))/$C$46)))</f>
        <v>941.17229560879014</v>
      </c>
      <c r="D67" s="20" t="s">
        <v>53</v>
      </c>
    </row>
    <row r="68" spans="2:4" s="20" customFormat="1" hidden="1" outlineLevel="1" x14ac:dyDescent="0.25">
      <c r="C68" s="21"/>
    </row>
    <row r="69" spans="2:4" s="20" customFormat="1" hidden="1" outlineLevel="1" x14ac:dyDescent="0.25">
      <c r="B69" s="20" t="s">
        <v>787</v>
      </c>
      <c r="C69" s="33">
        <v>3</v>
      </c>
      <c r="D69" s="20" t="s">
        <v>53</v>
      </c>
    </row>
    <row r="70" spans="2:4" s="20" customFormat="1" hidden="1" outlineLevel="1" x14ac:dyDescent="0.25">
      <c r="B70" s="20" t="s">
        <v>786</v>
      </c>
      <c r="C70" s="21">
        <f>((C59+C60+C61+C62+C63)*$C$48)/C69</f>
        <v>149.91984213972145</v>
      </c>
      <c r="D70" s="20" t="s">
        <v>644</v>
      </c>
    </row>
    <row r="71" spans="2:4" s="20" customFormat="1" hidden="1" outlineLevel="1" x14ac:dyDescent="0.25">
      <c r="B71" s="20" t="s">
        <v>788</v>
      </c>
      <c r="C71" s="33">
        <v>3</v>
      </c>
      <c r="D71" s="20" t="s">
        <v>53</v>
      </c>
    </row>
    <row r="72" spans="2:4" s="20" customFormat="1" hidden="1" outlineLevel="1" x14ac:dyDescent="0.25">
      <c r="B72" s="20" t="s">
        <v>789</v>
      </c>
      <c r="C72" s="21">
        <f>C65/C71</f>
        <v>80.187537387448018</v>
      </c>
      <c r="D72" s="20" t="s">
        <v>644</v>
      </c>
    </row>
    <row r="73" spans="2:4" s="20" customFormat="1" hidden="1" outlineLevel="1" x14ac:dyDescent="0.25">
      <c r="B73" s="20" t="s">
        <v>791</v>
      </c>
      <c r="C73" s="33">
        <v>3</v>
      </c>
      <c r="D73" s="20" t="s">
        <v>53</v>
      </c>
    </row>
    <row r="74" spans="2:4" s="20" customFormat="1" hidden="1" outlineLevel="1" x14ac:dyDescent="0.25">
      <c r="B74" s="20" t="s">
        <v>790</v>
      </c>
      <c r="C74" s="21">
        <f>C66/C73</f>
        <v>200.78342306320857</v>
      </c>
      <c r="D74" s="20" t="s">
        <v>644</v>
      </c>
    </row>
    <row r="75" spans="2:4" s="20" customFormat="1" hidden="1" outlineLevel="1" x14ac:dyDescent="0.25">
      <c r="C75" s="21"/>
    </row>
    <row r="76" spans="2:4" s="20" customFormat="1" hidden="1" outlineLevel="1" x14ac:dyDescent="0.25">
      <c r="B76" s="19" t="s">
        <v>493</v>
      </c>
      <c r="C76" s="21"/>
    </row>
    <row r="77" spans="2:4" s="20" customFormat="1" hidden="1" outlineLevel="1" x14ac:dyDescent="0.25">
      <c r="C77" s="21"/>
    </row>
    <row r="78" spans="2:4" s="20" customFormat="1" hidden="1" outlineLevel="1" x14ac:dyDescent="0.25">
      <c r="B78" s="20" t="s">
        <v>792</v>
      </c>
      <c r="C78" s="92">
        <v>0.10344827586206896</v>
      </c>
      <c r="D78" s="20" t="s">
        <v>720</v>
      </c>
    </row>
    <row r="79" spans="2:4" s="20" customFormat="1" hidden="1" outlineLevel="1" x14ac:dyDescent="0.25">
      <c r="B79" s="20" t="s">
        <v>614</v>
      </c>
      <c r="C79" s="21">
        <f>C78*C21</f>
        <v>27</v>
      </c>
      <c r="D79" s="20" t="s">
        <v>49</v>
      </c>
    </row>
    <row r="80" spans="2:4" hidden="1" outlineLevel="1" x14ac:dyDescent="0.25"/>
    <row r="81" spans="2:6" collapsed="1" x14ac:dyDescent="0.25">
      <c r="B81" s="27" t="s">
        <v>5</v>
      </c>
      <c r="C81" s="28" t="s">
        <v>46</v>
      </c>
      <c r="D81" s="28" t="s">
        <v>6</v>
      </c>
    </row>
    <row r="82" spans="2:6" x14ac:dyDescent="0.25">
      <c r="B82" s="88" t="str">
        <f>IF(C11=0,"",C11)</f>
        <v>Telha concreto</v>
      </c>
      <c r="C82" s="91" t="s">
        <v>50</v>
      </c>
      <c r="D82" s="87">
        <f>IFERROR(C23,0)</f>
        <v>2740.5</v>
      </c>
    </row>
    <row r="83" spans="2:6" x14ac:dyDescent="0.25">
      <c r="B83" s="88" t="str">
        <f>IFERROR("Telha "&amp;VLOOKUP(C11,B29:G40,6,0)&amp;" cumeeira","")</f>
        <v>Telha concreto cumeeira</v>
      </c>
      <c r="C83" s="91" t="s">
        <v>50</v>
      </c>
      <c r="D83" s="87">
        <f>C26</f>
        <v>78.75</v>
      </c>
    </row>
    <row r="84" spans="2:6" x14ac:dyDescent="0.25">
      <c r="B84" s="88" t="s">
        <v>632</v>
      </c>
      <c r="C84" s="91" t="s">
        <v>612</v>
      </c>
      <c r="D84" s="87">
        <f>IFERROR(C70,0)</f>
        <v>149.91984213972145</v>
      </c>
      <c r="F84" s="60"/>
    </row>
    <row r="85" spans="2:6" x14ac:dyDescent="0.25">
      <c r="B85" s="88" t="s">
        <v>633</v>
      </c>
      <c r="C85" s="91" t="s">
        <v>612</v>
      </c>
      <c r="D85" s="87">
        <f>IFERROR(C72,0)</f>
        <v>80.187537387448018</v>
      </c>
      <c r="F85" s="60"/>
    </row>
    <row r="86" spans="2:6" x14ac:dyDescent="0.25">
      <c r="B86" s="88" t="s">
        <v>634</v>
      </c>
      <c r="C86" s="91" t="s">
        <v>612</v>
      </c>
      <c r="D86" s="87">
        <f>IFERROR(C74,0)</f>
        <v>200.78342306320857</v>
      </c>
      <c r="F86" s="60"/>
    </row>
    <row r="87" spans="2:6" x14ac:dyDescent="0.25">
      <c r="B87" s="88" t="s">
        <v>635</v>
      </c>
      <c r="C87" s="91" t="s">
        <v>492</v>
      </c>
      <c r="D87" s="87">
        <f>IFERROR(C67,0)</f>
        <v>941.17229560879014</v>
      </c>
      <c r="F87" s="60"/>
    </row>
    <row r="88" spans="2:6" x14ac:dyDescent="0.25">
      <c r="B88" s="88" t="s">
        <v>636</v>
      </c>
      <c r="C88" s="91" t="s">
        <v>49</v>
      </c>
      <c r="D88" s="87">
        <f>IFERROR(C79,0)</f>
        <v>27</v>
      </c>
    </row>
  </sheetData>
  <mergeCells count="3">
    <mergeCell ref="B2:D2"/>
    <mergeCell ref="B4:D4"/>
    <mergeCell ref="B5:D5"/>
  </mergeCells>
  <dataValidations count="1">
    <dataValidation type="list" allowBlank="1" showInputMessage="1" showErrorMessage="1" sqref="C11" xr:uid="{00000000-0002-0000-1000-000000000000}">
      <formula1>$B$29:$B$40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6"/>
  <sheetViews>
    <sheetView showGridLines="0" zoomScale="130" zoomScaleNormal="130" workbookViewId="0">
      <selection activeCell="G12" sqref="G12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9.7109375" style="7" customWidth="1"/>
    <col min="4" max="4" width="12.5703125" style="7" customWidth="1"/>
    <col min="5" max="5" width="14.42578125" style="7" customWidth="1"/>
    <col min="6" max="16384" width="8.85546875" style="7"/>
  </cols>
  <sheetData>
    <row r="1" spans="1:15" ht="15.75" thickBot="1" x14ac:dyDescent="0.3"/>
    <row r="2" spans="1:15" ht="21.75" thickBot="1" x14ac:dyDescent="0.4">
      <c r="B2" s="129" t="s">
        <v>460</v>
      </c>
      <c r="C2" s="130"/>
      <c r="D2" s="131"/>
    </row>
    <row r="4" spans="1:15" ht="45.75" customHeight="1" x14ac:dyDescent="0.25">
      <c r="B4" s="128" t="s">
        <v>462</v>
      </c>
      <c r="C4" s="128"/>
      <c r="D4" s="128"/>
    </row>
    <row r="5" spans="1:15" s="5" customFormat="1" ht="18.75" x14ac:dyDescent="0.3">
      <c r="A5" s="7"/>
      <c r="B5" s="132" t="s">
        <v>572</v>
      </c>
      <c r="C5" s="132"/>
      <c r="D5" s="132"/>
      <c r="E5" s="7"/>
      <c r="F5" s="7"/>
      <c r="H5" s="22"/>
    </row>
    <row r="6" spans="1:15" s="5" customFormat="1" x14ac:dyDescent="0.25">
      <c r="A6" s="7"/>
      <c r="B6" s="45" t="s">
        <v>203</v>
      </c>
      <c r="C6" s="7"/>
      <c r="D6" s="7"/>
      <c r="E6" s="7"/>
      <c r="F6" s="7"/>
      <c r="H6" s="22"/>
    </row>
    <row r="7" spans="1:15" s="5" customFormat="1" x14ac:dyDescent="0.25">
      <c r="A7" s="7"/>
      <c r="B7" s="7"/>
      <c r="C7" s="7"/>
      <c r="D7" s="7"/>
      <c r="E7" s="7"/>
      <c r="F7" s="7"/>
      <c r="H7" s="22"/>
    </row>
    <row r="8" spans="1:15" x14ac:dyDescent="0.25">
      <c r="B8" s="9" t="s">
        <v>2</v>
      </c>
    </row>
    <row r="10" spans="1:15" x14ac:dyDescent="0.25">
      <c r="B10" s="7" t="s">
        <v>1161</v>
      </c>
      <c r="C10" s="33"/>
      <c r="D10" s="7" t="s">
        <v>53</v>
      </c>
    </row>
    <row r="11" spans="1:15" x14ac:dyDescent="0.25">
      <c r="B11" s="7" t="s">
        <v>197</v>
      </c>
      <c r="C11" s="33"/>
      <c r="D11" s="7" t="s">
        <v>53</v>
      </c>
      <c r="G11" s="24"/>
    </row>
    <row r="12" spans="1:15" x14ac:dyDescent="0.25">
      <c r="B12" s="7" t="s">
        <v>447</v>
      </c>
      <c r="C12" s="29"/>
      <c r="M12" s="4"/>
      <c r="N12" s="4"/>
      <c r="O12" s="4"/>
    </row>
    <row r="13" spans="1:15" x14ac:dyDescent="0.25">
      <c r="B13" s="7" t="s">
        <v>453</v>
      </c>
      <c r="C13" s="41"/>
      <c r="M13" s="4"/>
      <c r="N13" s="4"/>
      <c r="O13" s="4"/>
    </row>
    <row r="14" spans="1:15" x14ac:dyDescent="0.25">
      <c r="B14" s="3" t="s">
        <v>448</v>
      </c>
      <c r="C14" s="41"/>
    </row>
    <row r="15" spans="1:15" x14ac:dyDescent="0.25">
      <c r="M15" s="4"/>
      <c r="N15" s="4"/>
      <c r="O15" s="4"/>
    </row>
    <row r="16" spans="1:15" s="20" customFormat="1" hidden="1" outlineLevel="1" x14ac:dyDescent="0.25">
      <c r="B16" s="19" t="s">
        <v>446</v>
      </c>
      <c r="M16" s="31"/>
      <c r="N16" s="31"/>
      <c r="O16" s="31"/>
    </row>
    <row r="17" spans="2:15" s="20" customFormat="1" hidden="1" outlineLevel="1" x14ac:dyDescent="0.25">
      <c r="M17" s="31"/>
      <c r="N17" s="31"/>
      <c r="O17" s="31"/>
    </row>
    <row r="18" spans="2:15" s="20" customFormat="1" hidden="1" outlineLevel="1" x14ac:dyDescent="0.25">
      <c r="B18" s="20" t="s">
        <v>722</v>
      </c>
      <c r="C18" s="21">
        <f>'16. Pintura'!C10*'16. Pintura'!C11</f>
        <v>0</v>
      </c>
      <c r="D18" s="20" t="s">
        <v>643</v>
      </c>
      <c r="M18" s="31"/>
      <c r="N18" s="31"/>
      <c r="O18" s="31"/>
    </row>
    <row r="19" spans="2:15" s="20" customFormat="1" hidden="1" outlineLevel="1" x14ac:dyDescent="0.25">
      <c r="B19" s="20" t="s">
        <v>180</v>
      </c>
      <c r="C19" s="21">
        <f>SUM('13. Portas'!$K$26:$K$191)*2</f>
        <v>0</v>
      </c>
      <c r="D19" s="20" t="s">
        <v>643</v>
      </c>
      <c r="M19" s="31"/>
      <c r="N19" s="31"/>
      <c r="O19" s="31"/>
    </row>
    <row r="20" spans="2:15" s="20" customFormat="1" hidden="1" outlineLevel="1" x14ac:dyDescent="0.25">
      <c r="B20" s="20" t="s">
        <v>179</v>
      </c>
      <c r="C20" s="21">
        <f>SUM('14. Janelas'!$G$24:$G$161)</f>
        <v>0</v>
      </c>
      <c r="D20" s="20" t="s">
        <v>643</v>
      </c>
      <c r="M20" s="31"/>
      <c r="N20" s="31"/>
      <c r="O20" s="31"/>
    </row>
    <row r="21" spans="2:15" s="20" customFormat="1" hidden="1" outlineLevel="1" x14ac:dyDescent="0.25">
      <c r="B21" s="20" t="s">
        <v>178</v>
      </c>
      <c r="C21" s="21">
        <f>C18-C19-C20</f>
        <v>0</v>
      </c>
      <c r="D21" s="20" t="s">
        <v>643</v>
      </c>
      <c r="M21" s="31"/>
      <c r="N21" s="31"/>
      <c r="O21" s="31"/>
    </row>
    <row r="22" spans="2:15" s="20" customFormat="1" hidden="1" outlineLevel="1" x14ac:dyDescent="0.25">
      <c r="B22" s="20" t="s">
        <v>723</v>
      </c>
      <c r="C22" s="21">
        <f>C21*(1+'LEIA-ME'!$D$31)</f>
        <v>0</v>
      </c>
      <c r="D22" s="20" t="s">
        <v>643</v>
      </c>
      <c r="M22" s="31"/>
      <c r="N22" s="31"/>
      <c r="O22" s="31"/>
    </row>
    <row r="23" spans="2:15" s="20" customFormat="1" hidden="1" outlineLevel="1" x14ac:dyDescent="0.25"/>
    <row r="24" spans="2:15" s="20" customFormat="1" hidden="1" outlineLevel="1" x14ac:dyDescent="0.25">
      <c r="B24" s="19" t="s">
        <v>846</v>
      </c>
    </row>
    <row r="25" spans="2:15" s="20" customFormat="1" hidden="1" outlineLevel="1" x14ac:dyDescent="0.25"/>
    <row r="26" spans="2:15" s="73" customFormat="1" ht="30" hidden="1" outlineLevel="1" x14ac:dyDescent="0.25">
      <c r="B26" s="73" t="s">
        <v>394</v>
      </c>
      <c r="C26" s="97" t="s">
        <v>393</v>
      </c>
      <c r="D26" s="97" t="s">
        <v>395</v>
      </c>
      <c r="E26" s="97" t="s">
        <v>454</v>
      </c>
    </row>
    <row r="27" spans="2:15" s="20" customFormat="1" hidden="1" outlineLevel="1" x14ac:dyDescent="0.25">
      <c r="B27" s="20" t="s">
        <v>455</v>
      </c>
      <c r="C27" s="92">
        <v>0.11</v>
      </c>
      <c r="D27" s="21">
        <f>$C$22*C27</f>
        <v>0</v>
      </c>
      <c r="E27" s="21">
        <f>D27*$C$13</f>
        <v>0</v>
      </c>
    </row>
    <row r="28" spans="2:15" s="20" customFormat="1" hidden="1" outlineLevel="1" x14ac:dyDescent="0.25">
      <c r="B28" s="20" t="s">
        <v>456</v>
      </c>
      <c r="C28" s="92">
        <v>9.5000000000000001E-2</v>
      </c>
      <c r="D28" s="21">
        <f>$C$22*C28</f>
        <v>0</v>
      </c>
      <c r="E28" s="21">
        <f>D28*$C$13</f>
        <v>0</v>
      </c>
    </row>
    <row r="29" spans="2:15" s="20" customFormat="1" hidden="1" outlineLevel="1" x14ac:dyDescent="0.25">
      <c r="B29" s="20" t="s">
        <v>457</v>
      </c>
      <c r="C29" s="92">
        <v>0.112</v>
      </c>
      <c r="D29" s="21">
        <f>$C$22*C29</f>
        <v>0</v>
      </c>
      <c r="E29" s="21">
        <f>D29*$C$13</f>
        <v>0</v>
      </c>
    </row>
    <row r="30" spans="2:15" s="20" customFormat="1" hidden="1" outlineLevel="1" x14ac:dyDescent="0.25">
      <c r="B30" s="20" t="s">
        <v>458</v>
      </c>
      <c r="C30" s="92">
        <v>7.1999999999999995E-2</v>
      </c>
      <c r="D30" s="21">
        <f>$C$22*C30</f>
        <v>0</v>
      </c>
      <c r="E30" s="21">
        <f>D30*$C$13</f>
        <v>0</v>
      </c>
    </row>
    <row r="31" spans="2:15" s="20" customFormat="1" hidden="1" outlineLevel="1" x14ac:dyDescent="0.25">
      <c r="B31" s="20" t="s">
        <v>851</v>
      </c>
      <c r="C31" s="92">
        <v>9.5000000000000001E-2</v>
      </c>
      <c r="D31" s="21">
        <f>$C$22*C31</f>
        <v>0</v>
      </c>
      <c r="E31" s="21">
        <f>D31*$C$13</f>
        <v>0</v>
      </c>
    </row>
    <row r="32" spans="2:15" s="20" customFormat="1" hidden="1" outlineLevel="1" x14ac:dyDescent="0.25"/>
    <row r="33" spans="2:5" s="20" customFormat="1" hidden="1" outlineLevel="1" x14ac:dyDescent="0.25">
      <c r="B33" s="19" t="s">
        <v>847</v>
      </c>
    </row>
    <row r="34" spans="2:5" s="20" customFormat="1" hidden="1" outlineLevel="1" x14ac:dyDescent="0.25"/>
    <row r="35" spans="2:5" s="73" customFormat="1" ht="30" hidden="1" outlineLevel="1" x14ac:dyDescent="0.25">
      <c r="B35" s="73" t="s">
        <v>297</v>
      </c>
      <c r="C35" s="97" t="s">
        <v>393</v>
      </c>
      <c r="D35" s="97" t="s">
        <v>392</v>
      </c>
      <c r="E35" s="97"/>
    </row>
    <row r="36" spans="2:5" s="20" customFormat="1" hidden="1" outlineLevel="1" x14ac:dyDescent="0.25">
      <c r="B36" s="20" t="s">
        <v>390</v>
      </c>
      <c r="C36" s="92">
        <v>0.13</v>
      </c>
      <c r="D36" s="64">
        <f>$C$22*C36</f>
        <v>0</v>
      </c>
    </row>
    <row r="37" spans="2:5" s="20" customFormat="1" hidden="1" outlineLevel="1" x14ac:dyDescent="0.25">
      <c r="C37" s="63"/>
      <c r="D37" s="64"/>
    </row>
    <row r="38" spans="2:5" s="20" customFormat="1" hidden="1" outlineLevel="1" x14ac:dyDescent="0.25">
      <c r="B38" s="19" t="s">
        <v>848</v>
      </c>
      <c r="C38" s="63"/>
      <c r="D38" s="64"/>
    </row>
    <row r="39" spans="2:5" s="20" customFormat="1" hidden="1" outlineLevel="1" x14ac:dyDescent="0.25">
      <c r="C39" s="63"/>
      <c r="D39" s="64"/>
    </row>
    <row r="40" spans="2:5" s="20" customFormat="1" hidden="1" outlineLevel="1" x14ac:dyDescent="0.25">
      <c r="B40" s="20" t="s">
        <v>793</v>
      </c>
      <c r="C40" s="92">
        <v>2.7777777777777776E-2</v>
      </c>
      <c r="D40" s="64" t="s">
        <v>833</v>
      </c>
    </row>
    <row r="41" spans="2:5" s="20" customFormat="1" hidden="1" outlineLevel="1" x14ac:dyDescent="0.25">
      <c r="B41" s="20" t="s">
        <v>485</v>
      </c>
      <c r="C41" s="63">
        <f>ROUNDUP(C40*D50,0)</f>
        <v>0</v>
      </c>
      <c r="D41" s="64" t="s">
        <v>644</v>
      </c>
    </row>
    <row r="42" spans="2:5" s="20" customFormat="1" hidden="1" outlineLevel="1" x14ac:dyDescent="0.25">
      <c r="B42" s="20" t="s">
        <v>794</v>
      </c>
      <c r="C42" s="92">
        <v>2.7777777777777776E-2</v>
      </c>
      <c r="D42" s="64" t="s">
        <v>833</v>
      </c>
    </row>
    <row r="43" spans="2:5" s="20" customFormat="1" hidden="1" outlineLevel="1" x14ac:dyDescent="0.25">
      <c r="B43" s="20" t="s">
        <v>486</v>
      </c>
      <c r="C43" s="63">
        <f>ROUNDUP(C42*D50,0)</f>
        <v>0</v>
      </c>
      <c r="D43" s="64" t="s">
        <v>644</v>
      </c>
    </row>
    <row r="44" spans="2:5" s="20" customFormat="1" hidden="1" outlineLevel="1" x14ac:dyDescent="0.25">
      <c r="B44" s="20" t="s">
        <v>795</v>
      </c>
      <c r="C44" s="92">
        <v>0.02</v>
      </c>
      <c r="D44" s="64" t="s">
        <v>833</v>
      </c>
    </row>
    <row r="45" spans="2:5" s="20" customFormat="1" hidden="1" outlineLevel="1" x14ac:dyDescent="0.25">
      <c r="B45" s="20" t="s">
        <v>487</v>
      </c>
      <c r="C45" s="63">
        <f>C44*C22</f>
        <v>0</v>
      </c>
      <c r="D45" s="64" t="s">
        <v>644</v>
      </c>
    </row>
    <row r="46" spans="2:5" s="20" customFormat="1" hidden="1" outlineLevel="1" x14ac:dyDescent="0.25">
      <c r="B46" s="20" t="s">
        <v>796</v>
      </c>
      <c r="C46" s="92">
        <v>0.05</v>
      </c>
      <c r="D46" s="64" t="s">
        <v>834</v>
      </c>
    </row>
    <row r="47" spans="2:5" s="20" customFormat="1" hidden="1" outlineLevel="1" x14ac:dyDescent="0.25">
      <c r="B47" s="20" t="s">
        <v>488</v>
      </c>
      <c r="C47" s="63">
        <f>C46*C22</f>
        <v>0</v>
      </c>
      <c r="D47" s="64" t="s">
        <v>644</v>
      </c>
    </row>
    <row r="48" spans="2:5" hidden="1" outlineLevel="1" x14ac:dyDescent="0.25">
      <c r="D48" s="42"/>
    </row>
    <row r="49" spans="1:15" collapsed="1" x14ac:dyDescent="0.25">
      <c r="B49" s="27" t="s">
        <v>5</v>
      </c>
      <c r="C49" s="28" t="s">
        <v>46</v>
      </c>
      <c r="D49" s="28" t="s">
        <v>6</v>
      </c>
    </row>
    <row r="50" spans="1:15" x14ac:dyDescent="0.25">
      <c r="B50" s="88" t="str">
        <f>"Tinta "&amp;C14</f>
        <v xml:space="preserve">Tinta </v>
      </c>
      <c r="C50" s="91" t="s">
        <v>79</v>
      </c>
      <c r="D50" s="87">
        <f>IFERROR(VLOOKUP(C14,B26:E31,4,0),0)</f>
        <v>0</v>
      </c>
    </row>
    <row r="51" spans="1:15" x14ac:dyDescent="0.25">
      <c r="B51" s="88" t="s">
        <v>459</v>
      </c>
      <c r="C51" s="91" t="s">
        <v>79</v>
      </c>
      <c r="D51" s="87">
        <f>IF(C12="Reboco",D36,0)</f>
        <v>0</v>
      </c>
    </row>
    <row r="52" spans="1:15" x14ac:dyDescent="0.25">
      <c r="B52" s="88" t="s">
        <v>489</v>
      </c>
      <c r="C52" s="91" t="s">
        <v>50</v>
      </c>
      <c r="D52" s="87">
        <f>C41</f>
        <v>0</v>
      </c>
    </row>
    <row r="53" spans="1:15" x14ac:dyDescent="0.25">
      <c r="B53" s="88" t="s">
        <v>490</v>
      </c>
      <c r="C53" s="91" t="s">
        <v>50</v>
      </c>
      <c r="D53" s="87">
        <f>C43</f>
        <v>0</v>
      </c>
    </row>
    <row r="54" spans="1:15" x14ac:dyDescent="0.25">
      <c r="B54" s="88" t="s">
        <v>849</v>
      </c>
      <c r="C54" s="91" t="s">
        <v>50</v>
      </c>
      <c r="D54" s="87">
        <f>C45</f>
        <v>0</v>
      </c>
    </row>
    <row r="55" spans="1:15" x14ac:dyDescent="0.25">
      <c r="B55" s="88" t="s">
        <v>491</v>
      </c>
      <c r="C55" s="91" t="s">
        <v>50</v>
      </c>
      <c r="D55" s="87">
        <f>C47</f>
        <v>0</v>
      </c>
    </row>
    <row r="56" spans="1:15" x14ac:dyDescent="0.25">
      <c r="M56" s="4"/>
      <c r="N56" s="4"/>
      <c r="O56" s="4"/>
    </row>
    <row r="58" spans="1:15" s="5" customFormat="1" ht="18.75" x14ac:dyDescent="0.3">
      <c r="A58" s="7"/>
      <c r="B58" s="132" t="s">
        <v>573</v>
      </c>
      <c r="C58" s="132"/>
      <c r="D58" s="132"/>
      <c r="E58" s="7"/>
      <c r="F58" s="7"/>
      <c r="H58" s="22"/>
    </row>
    <row r="59" spans="1:15" s="5" customFormat="1" x14ac:dyDescent="0.25">
      <c r="A59" s="7"/>
      <c r="B59" s="45" t="s">
        <v>203</v>
      </c>
      <c r="C59" s="7"/>
      <c r="D59" s="7"/>
      <c r="E59" s="7"/>
      <c r="F59" s="7"/>
      <c r="H59" s="22"/>
    </row>
    <row r="60" spans="1:15" s="5" customFormat="1" x14ac:dyDescent="0.25">
      <c r="A60" s="7"/>
      <c r="B60" s="7"/>
      <c r="C60" s="7"/>
      <c r="D60" s="7"/>
      <c r="E60" s="7"/>
      <c r="F60" s="7"/>
      <c r="H60" s="22"/>
    </row>
    <row r="61" spans="1:15" x14ac:dyDescent="0.25">
      <c r="B61" s="9" t="s">
        <v>2</v>
      </c>
    </row>
    <row r="63" spans="1:15" x14ac:dyDescent="0.25">
      <c r="B63" s="7" t="s">
        <v>1160</v>
      </c>
      <c r="C63" s="33"/>
      <c r="D63" s="7" t="s">
        <v>53</v>
      </c>
    </row>
    <row r="64" spans="1:15" x14ac:dyDescent="0.25">
      <c r="B64" s="7" t="s">
        <v>197</v>
      </c>
      <c r="C64" s="33"/>
      <c r="D64" s="7" t="s">
        <v>53</v>
      </c>
      <c r="G64" s="24"/>
    </row>
    <row r="65" spans="2:15" x14ac:dyDescent="0.25">
      <c r="B65" s="7" t="s">
        <v>453</v>
      </c>
      <c r="C65" s="41"/>
      <c r="M65" s="4"/>
      <c r="N65" s="4"/>
      <c r="O65" s="4"/>
    </row>
    <row r="66" spans="2:15" x14ac:dyDescent="0.25">
      <c r="B66" s="3" t="s">
        <v>448</v>
      </c>
      <c r="C66" s="41"/>
    </row>
    <row r="67" spans="2:15" x14ac:dyDescent="0.25">
      <c r="M67" s="4"/>
      <c r="N67" s="4"/>
      <c r="O67" s="4"/>
    </row>
    <row r="68" spans="2:15" s="20" customFormat="1" hidden="1" outlineLevel="1" x14ac:dyDescent="0.25">
      <c r="B68" s="19" t="s">
        <v>445</v>
      </c>
      <c r="M68" s="31"/>
      <c r="N68" s="31"/>
      <c r="O68" s="31"/>
    </row>
    <row r="69" spans="2:15" s="20" customFormat="1" hidden="1" outlineLevel="1" x14ac:dyDescent="0.25">
      <c r="M69" s="31"/>
      <c r="N69" s="31"/>
      <c r="O69" s="31"/>
    </row>
    <row r="70" spans="2:15" s="20" customFormat="1" hidden="1" outlineLevel="1" x14ac:dyDescent="0.25">
      <c r="B70" s="20" t="s">
        <v>722</v>
      </c>
      <c r="C70" s="21">
        <f>'16. Pintura'!C63*'16. Pintura'!C64</f>
        <v>0</v>
      </c>
      <c r="D70" s="20" t="s">
        <v>643</v>
      </c>
      <c r="M70" s="31"/>
      <c r="N70" s="31"/>
      <c r="O70" s="31"/>
    </row>
    <row r="71" spans="2:15" s="20" customFormat="1" hidden="1" outlineLevel="1" x14ac:dyDescent="0.25">
      <c r="B71" s="20" t="s">
        <v>180</v>
      </c>
      <c r="C71" s="21">
        <f>SUM('13. Portas'!$M$26:$M$191)</f>
        <v>0</v>
      </c>
      <c r="D71" s="20" t="s">
        <v>643</v>
      </c>
      <c r="M71" s="31"/>
      <c r="N71" s="31"/>
      <c r="O71" s="31"/>
    </row>
    <row r="72" spans="2:15" s="20" customFormat="1" hidden="1" outlineLevel="1" x14ac:dyDescent="0.25">
      <c r="B72" s="20" t="s">
        <v>179</v>
      </c>
      <c r="C72" s="21">
        <f>SUM('14. Janelas'!$G$24:$G$161)</f>
        <v>0</v>
      </c>
      <c r="D72" s="20" t="s">
        <v>643</v>
      </c>
      <c r="M72" s="31"/>
      <c r="N72" s="31"/>
      <c r="O72" s="31"/>
    </row>
    <row r="73" spans="2:15" s="20" customFormat="1" hidden="1" outlineLevel="1" x14ac:dyDescent="0.25">
      <c r="B73" s="20" t="s">
        <v>178</v>
      </c>
      <c r="C73" s="21">
        <f>C70-C71-C72</f>
        <v>0</v>
      </c>
      <c r="D73" s="20" t="s">
        <v>643</v>
      </c>
      <c r="M73" s="31"/>
      <c r="N73" s="31"/>
      <c r="O73" s="31"/>
    </row>
    <row r="74" spans="2:15" s="20" customFormat="1" hidden="1" outlineLevel="1" x14ac:dyDescent="0.25">
      <c r="B74" s="20" t="s">
        <v>723</v>
      </c>
      <c r="C74" s="21">
        <f>C73*(1+'LEIA-ME'!$D$31)</f>
        <v>0</v>
      </c>
      <c r="D74" s="20" t="s">
        <v>643</v>
      </c>
      <c r="M74" s="31"/>
      <c r="N74" s="31"/>
      <c r="O74" s="31"/>
    </row>
    <row r="75" spans="2:15" s="20" customFormat="1" hidden="1" outlineLevel="1" x14ac:dyDescent="0.25"/>
    <row r="76" spans="2:15" s="20" customFormat="1" hidden="1" outlineLevel="1" x14ac:dyDescent="0.25">
      <c r="B76" s="19" t="s">
        <v>850</v>
      </c>
    </row>
    <row r="77" spans="2:15" s="20" customFormat="1" hidden="1" outlineLevel="1" x14ac:dyDescent="0.25"/>
    <row r="78" spans="2:15" s="73" customFormat="1" ht="30" hidden="1" outlineLevel="1" x14ac:dyDescent="0.25">
      <c r="B78" s="73" t="s">
        <v>394</v>
      </c>
      <c r="C78" s="97" t="s">
        <v>393</v>
      </c>
      <c r="D78" s="97" t="s">
        <v>395</v>
      </c>
      <c r="E78" s="97" t="s">
        <v>454</v>
      </c>
    </row>
    <row r="79" spans="2:15" s="20" customFormat="1" hidden="1" outlineLevel="1" x14ac:dyDescent="0.25">
      <c r="B79" s="20" t="s">
        <v>455</v>
      </c>
      <c r="C79" s="92">
        <v>0.11</v>
      </c>
      <c r="D79" s="21">
        <f>$C$74*C79</f>
        <v>0</v>
      </c>
      <c r="E79" s="21">
        <f>D79*$C$65</f>
        <v>0</v>
      </c>
    </row>
    <row r="80" spans="2:15" s="20" customFormat="1" hidden="1" outlineLevel="1" x14ac:dyDescent="0.25">
      <c r="B80" s="20" t="s">
        <v>456</v>
      </c>
      <c r="C80" s="92">
        <v>9.5000000000000001E-2</v>
      </c>
      <c r="D80" s="21">
        <f>$C$74*C80</f>
        <v>0</v>
      </c>
      <c r="E80" s="21">
        <f>D80*$C$65</f>
        <v>0</v>
      </c>
    </row>
    <row r="81" spans="2:5" s="20" customFormat="1" hidden="1" outlineLevel="1" x14ac:dyDescent="0.25">
      <c r="B81" s="20" t="s">
        <v>457</v>
      </c>
      <c r="C81" s="92">
        <v>0.112</v>
      </c>
      <c r="D81" s="21">
        <f>$C$74*C81</f>
        <v>0</v>
      </c>
      <c r="E81" s="21">
        <f>D81*$C$65</f>
        <v>0</v>
      </c>
    </row>
    <row r="82" spans="2:5" s="20" customFormat="1" hidden="1" outlineLevel="1" x14ac:dyDescent="0.25">
      <c r="B82" s="20" t="s">
        <v>458</v>
      </c>
      <c r="C82" s="92">
        <v>7.1999999999999995E-2</v>
      </c>
      <c r="D82" s="21">
        <f>$C$74*C82</f>
        <v>0</v>
      </c>
      <c r="E82" s="21">
        <f>D82*$C$65</f>
        <v>0</v>
      </c>
    </row>
    <row r="83" spans="2:5" s="20" customFormat="1" hidden="1" outlineLevel="1" x14ac:dyDescent="0.25">
      <c r="B83" s="20" t="s">
        <v>851</v>
      </c>
      <c r="C83" s="92">
        <v>9.5000000000000001E-2</v>
      </c>
      <c r="D83" s="21">
        <f>$C$74*C83</f>
        <v>0</v>
      </c>
      <c r="E83" s="21">
        <f>D83*$C$65</f>
        <v>0</v>
      </c>
    </row>
    <row r="84" spans="2:5" s="20" customFormat="1" hidden="1" outlineLevel="1" x14ac:dyDescent="0.25"/>
    <row r="85" spans="2:5" s="20" customFormat="1" hidden="1" outlineLevel="1" x14ac:dyDescent="0.25">
      <c r="B85" s="19" t="s">
        <v>847</v>
      </c>
    </row>
    <row r="86" spans="2:5" s="20" customFormat="1" hidden="1" outlineLevel="1" x14ac:dyDescent="0.25"/>
    <row r="87" spans="2:5" s="73" customFormat="1" ht="30" hidden="1" outlineLevel="1" x14ac:dyDescent="0.25">
      <c r="B87" s="73" t="s">
        <v>297</v>
      </c>
      <c r="C87" s="97" t="s">
        <v>393</v>
      </c>
      <c r="D87" s="97" t="s">
        <v>392</v>
      </c>
      <c r="E87" s="97"/>
    </row>
    <row r="88" spans="2:5" s="20" customFormat="1" hidden="1" outlineLevel="1" x14ac:dyDescent="0.25">
      <c r="B88" s="20" t="s">
        <v>390</v>
      </c>
      <c r="C88" s="92">
        <v>0.13</v>
      </c>
      <c r="D88" s="64">
        <f>$C$74*C88</f>
        <v>0</v>
      </c>
    </row>
    <row r="89" spans="2:5" s="20" customFormat="1" hidden="1" outlineLevel="1" x14ac:dyDescent="0.25">
      <c r="C89" s="63"/>
      <c r="D89" s="64"/>
    </row>
    <row r="90" spans="2:5" s="20" customFormat="1" hidden="1" outlineLevel="1" x14ac:dyDescent="0.25">
      <c r="B90" s="19" t="s">
        <v>848</v>
      </c>
      <c r="C90" s="63"/>
      <c r="D90" s="64"/>
    </row>
    <row r="91" spans="2:5" s="20" customFormat="1" hidden="1" outlineLevel="1" x14ac:dyDescent="0.25">
      <c r="C91" s="63"/>
      <c r="D91" s="64"/>
    </row>
    <row r="92" spans="2:5" s="20" customFormat="1" hidden="1" outlineLevel="1" x14ac:dyDescent="0.25">
      <c r="B92" s="20" t="s">
        <v>793</v>
      </c>
      <c r="C92" s="92">
        <v>2.7777777777777776E-2</v>
      </c>
      <c r="D92" s="64" t="s">
        <v>833</v>
      </c>
    </row>
    <row r="93" spans="2:5" s="20" customFormat="1" hidden="1" outlineLevel="1" x14ac:dyDescent="0.25">
      <c r="B93" s="20" t="s">
        <v>485</v>
      </c>
      <c r="C93" s="63">
        <f>ROUNDUP(C92*D102,0)</f>
        <v>0</v>
      </c>
      <c r="D93" s="64" t="s">
        <v>644</v>
      </c>
    </row>
    <row r="94" spans="2:5" s="20" customFormat="1" hidden="1" outlineLevel="1" x14ac:dyDescent="0.25">
      <c r="B94" s="20" t="s">
        <v>794</v>
      </c>
      <c r="C94" s="92">
        <v>2.7777777777777776E-2</v>
      </c>
      <c r="D94" s="64" t="s">
        <v>833</v>
      </c>
    </row>
    <row r="95" spans="2:5" s="20" customFormat="1" hidden="1" outlineLevel="1" x14ac:dyDescent="0.25">
      <c r="B95" s="20" t="s">
        <v>486</v>
      </c>
      <c r="C95" s="63">
        <f>ROUNDUP(C94*D102,0)</f>
        <v>0</v>
      </c>
      <c r="D95" s="64" t="s">
        <v>644</v>
      </c>
    </row>
    <row r="96" spans="2:5" s="20" customFormat="1" hidden="1" outlineLevel="1" x14ac:dyDescent="0.25">
      <c r="B96" s="20" t="s">
        <v>795</v>
      </c>
      <c r="C96" s="92">
        <v>0.02</v>
      </c>
      <c r="D96" s="64" t="s">
        <v>833</v>
      </c>
    </row>
    <row r="97" spans="1:15" s="20" customFormat="1" hidden="1" outlineLevel="1" x14ac:dyDescent="0.25">
      <c r="B97" s="20" t="s">
        <v>487</v>
      </c>
      <c r="C97" s="63">
        <f>C96*C74</f>
        <v>0</v>
      </c>
      <c r="D97" s="64" t="s">
        <v>644</v>
      </c>
    </row>
    <row r="98" spans="1:15" s="20" customFormat="1" hidden="1" outlineLevel="1" x14ac:dyDescent="0.25">
      <c r="B98" s="20" t="s">
        <v>796</v>
      </c>
      <c r="C98" s="92">
        <v>0.05</v>
      </c>
      <c r="D98" s="64" t="s">
        <v>834</v>
      </c>
    </row>
    <row r="99" spans="1:15" s="20" customFormat="1" hidden="1" outlineLevel="1" x14ac:dyDescent="0.25">
      <c r="B99" s="20" t="s">
        <v>488</v>
      </c>
      <c r="C99" s="63">
        <f>C98*C74</f>
        <v>0</v>
      </c>
      <c r="D99" s="64" t="s">
        <v>644</v>
      </c>
    </row>
    <row r="100" spans="1:15" hidden="1" outlineLevel="1" x14ac:dyDescent="0.25">
      <c r="D100" s="42"/>
    </row>
    <row r="101" spans="1:15" collapsed="1" x14ac:dyDescent="0.25">
      <c r="B101" s="27" t="s">
        <v>5</v>
      </c>
      <c r="C101" s="28" t="s">
        <v>46</v>
      </c>
      <c r="D101" s="28" t="s">
        <v>6</v>
      </c>
    </row>
    <row r="102" spans="1:15" x14ac:dyDescent="0.25">
      <c r="B102" s="88" t="str">
        <f>"Tinta "&amp;C66</f>
        <v xml:space="preserve">Tinta </v>
      </c>
      <c r="C102" s="91" t="s">
        <v>79</v>
      </c>
      <c r="D102" s="87">
        <f>IFERROR(VLOOKUP(C66,B78:E83,4,0),0)</f>
        <v>0</v>
      </c>
    </row>
    <row r="103" spans="1:15" x14ac:dyDescent="0.25">
      <c r="B103" s="88" t="s">
        <v>459</v>
      </c>
      <c r="C103" s="91" t="s">
        <v>79</v>
      </c>
      <c r="D103" s="87">
        <f>D88</f>
        <v>0</v>
      </c>
    </row>
    <row r="104" spans="1:15" x14ac:dyDescent="0.25">
      <c r="B104" s="88" t="s">
        <v>489</v>
      </c>
      <c r="C104" s="91" t="s">
        <v>50</v>
      </c>
      <c r="D104" s="87">
        <f>C93</f>
        <v>0</v>
      </c>
    </row>
    <row r="105" spans="1:15" x14ac:dyDescent="0.25">
      <c r="B105" s="88" t="s">
        <v>490</v>
      </c>
      <c r="C105" s="91" t="s">
        <v>50</v>
      </c>
      <c r="D105" s="87">
        <f>C95</f>
        <v>0</v>
      </c>
    </row>
    <row r="106" spans="1:15" x14ac:dyDescent="0.25">
      <c r="B106" s="88" t="s">
        <v>849</v>
      </c>
      <c r="C106" s="91" t="s">
        <v>50</v>
      </c>
      <c r="D106" s="87">
        <f>C97</f>
        <v>0</v>
      </c>
    </row>
    <row r="107" spans="1:15" x14ac:dyDescent="0.25">
      <c r="B107" s="88" t="s">
        <v>491</v>
      </c>
      <c r="C107" s="91" t="s">
        <v>50</v>
      </c>
      <c r="D107" s="87">
        <f>C99</f>
        <v>0</v>
      </c>
    </row>
    <row r="108" spans="1:15" x14ac:dyDescent="0.25">
      <c r="M108" s="4"/>
      <c r="N108" s="4"/>
      <c r="O108" s="4"/>
    </row>
    <row r="110" spans="1:15" s="5" customFormat="1" ht="18.75" x14ac:dyDescent="0.3">
      <c r="A110" s="7"/>
      <c r="B110" s="132" t="s">
        <v>574</v>
      </c>
      <c r="C110" s="132"/>
      <c r="D110" s="132"/>
      <c r="E110" s="7"/>
      <c r="F110" s="7"/>
      <c r="H110" s="22"/>
    </row>
    <row r="111" spans="1:15" s="5" customFormat="1" x14ac:dyDescent="0.25">
      <c r="A111" s="7"/>
      <c r="B111" s="7"/>
      <c r="C111" s="7"/>
      <c r="D111" s="7"/>
      <c r="E111" s="7"/>
      <c r="F111" s="7"/>
      <c r="H111" s="22"/>
    </row>
    <row r="112" spans="1:15" x14ac:dyDescent="0.25">
      <c r="B112" s="9" t="s">
        <v>2</v>
      </c>
    </row>
    <row r="114" spans="2:15" x14ac:dyDescent="0.25">
      <c r="B114" s="7" t="s">
        <v>304</v>
      </c>
      <c r="C114" s="85"/>
      <c r="D114" s="7" t="s">
        <v>53</v>
      </c>
    </row>
    <row r="115" spans="2:15" x14ac:dyDescent="0.25">
      <c r="B115" s="7" t="s">
        <v>305</v>
      </c>
      <c r="C115" s="85"/>
      <c r="D115" s="7" t="s">
        <v>53</v>
      </c>
      <c r="G115" s="24"/>
    </row>
    <row r="116" spans="2:15" x14ac:dyDescent="0.25">
      <c r="B116" s="7" t="s">
        <v>447</v>
      </c>
      <c r="C116" s="29"/>
      <c r="M116" s="4"/>
      <c r="N116" s="4"/>
      <c r="O116" s="4"/>
    </row>
    <row r="117" spans="2:15" x14ac:dyDescent="0.25">
      <c r="B117" s="7" t="s">
        <v>453</v>
      </c>
      <c r="C117" s="41"/>
      <c r="M117" s="4"/>
      <c r="N117" s="4"/>
      <c r="O117" s="4"/>
    </row>
    <row r="118" spans="2:15" x14ac:dyDescent="0.25">
      <c r="B118" s="3" t="s">
        <v>448</v>
      </c>
      <c r="C118" s="41"/>
    </row>
    <row r="119" spans="2:15" x14ac:dyDescent="0.25">
      <c r="M119" s="4"/>
      <c r="N119" s="4"/>
      <c r="O119" s="4"/>
    </row>
    <row r="120" spans="2:15" s="20" customFormat="1" hidden="1" outlineLevel="1" x14ac:dyDescent="0.25">
      <c r="B120" s="19" t="s">
        <v>461</v>
      </c>
      <c r="M120" s="31"/>
      <c r="N120" s="31"/>
      <c r="O120" s="31"/>
    </row>
    <row r="121" spans="2:15" s="20" customFormat="1" hidden="1" outlineLevel="1" x14ac:dyDescent="0.25">
      <c r="M121" s="31"/>
      <c r="N121" s="31"/>
      <c r="O121" s="31"/>
    </row>
    <row r="122" spans="2:15" s="20" customFormat="1" hidden="1" outlineLevel="1" x14ac:dyDescent="0.25">
      <c r="B122" s="20" t="s">
        <v>797</v>
      </c>
      <c r="C122" s="21">
        <f>'16. Pintura'!C114*'16. Pintura'!C115</f>
        <v>0</v>
      </c>
      <c r="D122" s="20" t="s">
        <v>643</v>
      </c>
      <c r="M122" s="31"/>
      <c r="N122" s="31"/>
      <c r="O122" s="31"/>
    </row>
    <row r="123" spans="2:15" s="20" customFormat="1" hidden="1" outlineLevel="1" x14ac:dyDescent="0.25">
      <c r="B123" s="20" t="s">
        <v>798</v>
      </c>
      <c r="C123" s="21">
        <f>C122*(1+'LEIA-ME'!$D$31)</f>
        <v>0</v>
      </c>
      <c r="D123" s="20" t="s">
        <v>643</v>
      </c>
      <c r="M123" s="31"/>
      <c r="N123" s="31"/>
      <c r="O123" s="31"/>
    </row>
    <row r="124" spans="2:15" s="20" customFormat="1" hidden="1" outlineLevel="1" x14ac:dyDescent="0.25"/>
    <row r="125" spans="2:15" s="20" customFormat="1" hidden="1" outlineLevel="1" x14ac:dyDescent="0.25">
      <c r="B125" s="19" t="s">
        <v>852</v>
      </c>
    </row>
    <row r="126" spans="2:15" s="20" customFormat="1" hidden="1" outlineLevel="1" x14ac:dyDescent="0.25"/>
    <row r="127" spans="2:15" s="73" customFormat="1" ht="30" hidden="1" outlineLevel="1" x14ac:dyDescent="0.25">
      <c r="B127" s="73" t="s">
        <v>394</v>
      </c>
      <c r="C127" s="97" t="s">
        <v>393</v>
      </c>
      <c r="D127" s="97" t="s">
        <v>395</v>
      </c>
      <c r="E127" s="97" t="s">
        <v>454</v>
      </c>
    </row>
    <row r="128" spans="2:15" s="20" customFormat="1" hidden="1" outlineLevel="1" x14ac:dyDescent="0.25">
      <c r="B128" s="20" t="s">
        <v>455</v>
      </c>
      <c r="C128" s="92">
        <v>0.11</v>
      </c>
      <c r="D128" s="21">
        <f>$C$123*C128</f>
        <v>0</v>
      </c>
      <c r="E128" s="21">
        <f>D128*$C$117</f>
        <v>0</v>
      </c>
    </row>
    <row r="129" spans="2:5" s="20" customFormat="1" hidden="1" outlineLevel="1" x14ac:dyDescent="0.25">
      <c r="B129" s="20" t="s">
        <v>456</v>
      </c>
      <c r="C129" s="92">
        <v>9.5000000000000001E-2</v>
      </c>
      <c r="D129" s="21">
        <f>$C$123*C129</f>
        <v>0</v>
      </c>
      <c r="E129" s="21">
        <f>D129*$C$117</f>
        <v>0</v>
      </c>
    </row>
    <row r="130" spans="2:5" s="20" customFormat="1" hidden="1" outlineLevel="1" x14ac:dyDescent="0.25">
      <c r="B130" s="20" t="s">
        <v>457</v>
      </c>
      <c r="C130" s="92">
        <v>0.112</v>
      </c>
      <c r="D130" s="21">
        <f>$C$123*C130</f>
        <v>0</v>
      </c>
      <c r="E130" s="21">
        <f>D130*$C$117</f>
        <v>0</v>
      </c>
    </row>
    <row r="131" spans="2:5" s="20" customFormat="1" hidden="1" outlineLevel="1" x14ac:dyDescent="0.25">
      <c r="B131" s="20" t="s">
        <v>458</v>
      </c>
      <c r="C131" s="92">
        <v>7.1999999999999995E-2</v>
      </c>
      <c r="D131" s="21">
        <f>$C$123*C131</f>
        <v>0</v>
      </c>
      <c r="E131" s="21">
        <f>D131*$C$117</f>
        <v>0</v>
      </c>
    </row>
    <row r="132" spans="2:5" s="20" customFormat="1" hidden="1" outlineLevel="1" x14ac:dyDescent="0.25">
      <c r="B132" s="20" t="s">
        <v>851</v>
      </c>
      <c r="C132" s="92">
        <v>9.5000000000000001E-2</v>
      </c>
      <c r="D132" s="21">
        <f>$C$123*C132</f>
        <v>0</v>
      </c>
      <c r="E132" s="21">
        <f>D132*$C$117</f>
        <v>0</v>
      </c>
    </row>
    <row r="133" spans="2:5" s="20" customFormat="1" hidden="1" outlineLevel="1" x14ac:dyDescent="0.25"/>
    <row r="134" spans="2:5" s="20" customFormat="1" hidden="1" outlineLevel="1" x14ac:dyDescent="0.25">
      <c r="B134" s="19" t="s">
        <v>847</v>
      </c>
    </row>
    <row r="135" spans="2:5" s="20" customFormat="1" hidden="1" outlineLevel="1" x14ac:dyDescent="0.25"/>
    <row r="136" spans="2:5" s="73" customFormat="1" ht="30" hidden="1" outlineLevel="1" x14ac:dyDescent="0.25">
      <c r="B136" s="73" t="s">
        <v>297</v>
      </c>
      <c r="C136" s="97" t="s">
        <v>393</v>
      </c>
      <c r="D136" s="97" t="s">
        <v>392</v>
      </c>
      <c r="E136" s="97"/>
    </row>
    <row r="137" spans="2:5" s="20" customFormat="1" hidden="1" outlineLevel="1" x14ac:dyDescent="0.25">
      <c r="B137" s="20" t="s">
        <v>390</v>
      </c>
      <c r="C137" s="92">
        <v>0.13</v>
      </c>
      <c r="D137" s="64">
        <f>$C$123*C137</f>
        <v>0</v>
      </c>
    </row>
    <row r="138" spans="2:5" s="20" customFormat="1" hidden="1" outlineLevel="1" x14ac:dyDescent="0.25">
      <c r="C138" s="63"/>
      <c r="D138" s="64"/>
    </row>
    <row r="139" spans="2:5" s="20" customFormat="1" hidden="1" outlineLevel="1" x14ac:dyDescent="0.25">
      <c r="B139" s="19" t="s">
        <v>848</v>
      </c>
      <c r="C139" s="63"/>
      <c r="D139" s="64"/>
    </row>
    <row r="140" spans="2:5" s="20" customFormat="1" hidden="1" outlineLevel="1" x14ac:dyDescent="0.25">
      <c r="C140" s="63"/>
      <c r="D140" s="64"/>
    </row>
    <row r="141" spans="2:5" s="20" customFormat="1" hidden="1" outlineLevel="1" x14ac:dyDescent="0.25">
      <c r="B141" s="20" t="s">
        <v>793</v>
      </c>
      <c r="C141" s="92">
        <v>2.7777777777777776E-2</v>
      </c>
      <c r="D141" s="64" t="s">
        <v>833</v>
      </c>
    </row>
    <row r="142" spans="2:5" s="20" customFormat="1" hidden="1" outlineLevel="1" x14ac:dyDescent="0.25">
      <c r="B142" s="20" t="s">
        <v>485</v>
      </c>
      <c r="C142" s="63">
        <f>ROUNDUP(C141*D151,0)</f>
        <v>0</v>
      </c>
      <c r="D142" s="64" t="s">
        <v>644</v>
      </c>
    </row>
    <row r="143" spans="2:5" s="20" customFormat="1" hidden="1" outlineLevel="1" x14ac:dyDescent="0.25">
      <c r="B143" s="20" t="s">
        <v>794</v>
      </c>
      <c r="C143" s="92">
        <v>2.7777777777777776E-2</v>
      </c>
      <c r="D143" s="64" t="s">
        <v>833</v>
      </c>
    </row>
    <row r="144" spans="2:5" s="20" customFormat="1" hidden="1" outlineLevel="1" x14ac:dyDescent="0.25">
      <c r="B144" s="20" t="s">
        <v>486</v>
      </c>
      <c r="C144" s="63">
        <f>ROUNDUP(C143*D151,0)</f>
        <v>0</v>
      </c>
      <c r="D144" s="64" t="s">
        <v>644</v>
      </c>
    </row>
    <row r="145" spans="2:4" s="20" customFormat="1" hidden="1" outlineLevel="1" x14ac:dyDescent="0.25">
      <c r="B145" s="20" t="s">
        <v>795</v>
      </c>
      <c r="C145" s="92">
        <v>0.02</v>
      </c>
      <c r="D145" s="64" t="s">
        <v>833</v>
      </c>
    </row>
    <row r="146" spans="2:4" s="20" customFormat="1" hidden="1" outlineLevel="1" x14ac:dyDescent="0.25">
      <c r="B146" s="20" t="s">
        <v>487</v>
      </c>
      <c r="C146" s="63">
        <f>C145*C123</f>
        <v>0</v>
      </c>
      <c r="D146" s="64" t="s">
        <v>644</v>
      </c>
    </row>
    <row r="147" spans="2:4" s="20" customFormat="1" hidden="1" outlineLevel="1" x14ac:dyDescent="0.25">
      <c r="B147" s="20" t="s">
        <v>796</v>
      </c>
      <c r="C147" s="92">
        <v>0.05</v>
      </c>
      <c r="D147" s="64" t="s">
        <v>834</v>
      </c>
    </row>
    <row r="148" spans="2:4" s="20" customFormat="1" hidden="1" outlineLevel="1" x14ac:dyDescent="0.25">
      <c r="B148" s="20" t="s">
        <v>488</v>
      </c>
      <c r="C148" s="63">
        <f>C147*C123</f>
        <v>0</v>
      </c>
      <c r="D148" s="64" t="s">
        <v>644</v>
      </c>
    </row>
    <row r="149" spans="2:4" hidden="1" outlineLevel="1" x14ac:dyDescent="0.25">
      <c r="D149" s="42"/>
    </row>
    <row r="150" spans="2:4" collapsed="1" x14ac:dyDescent="0.25">
      <c r="B150" s="27" t="s">
        <v>5</v>
      </c>
      <c r="C150" s="28" t="s">
        <v>46</v>
      </c>
      <c r="D150" s="28" t="s">
        <v>6</v>
      </c>
    </row>
    <row r="151" spans="2:4" x14ac:dyDescent="0.25">
      <c r="B151" s="88" t="str">
        <f>"Tinta "&amp;C118</f>
        <v xml:space="preserve">Tinta </v>
      </c>
      <c r="C151" s="91" t="s">
        <v>79</v>
      </c>
      <c r="D151" s="87">
        <f>IFERROR(VLOOKUP(C118,B127:E132,4,0),0)</f>
        <v>0</v>
      </c>
    </row>
    <row r="152" spans="2:4" x14ac:dyDescent="0.25">
      <c r="B152" s="88" t="s">
        <v>459</v>
      </c>
      <c r="C152" s="91" t="s">
        <v>79</v>
      </c>
      <c r="D152" s="87">
        <f>IF(C116="Reboco",D137,0)</f>
        <v>0</v>
      </c>
    </row>
    <row r="153" spans="2:4" x14ac:dyDescent="0.25">
      <c r="B153" s="88" t="s">
        <v>489</v>
      </c>
      <c r="C153" s="91" t="s">
        <v>50</v>
      </c>
      <c r="D153" s="87">
        <f>C142</f>
        <v>0</v>
      </c>
    </row>
    <row r="154" spans="2:4" x14ac:dyDescent="0.25">
      <c r="B154" s="88" t="s">
        <v>490</v>
      </c>
      <c r="C154" s="91" t="s">
        <v>50</v>
      </c>
      <c r="D154" s="87">
        <f>C144</f>
        <v>0</v>
      </c>
    </row>
    <row r="155" spans="2:4" x14ac:dyDescent="0.25">
      <c r="B155" s="88" t="s">
        <v>849</v>
      </c>
      <c r="C155" s="91" t="s">
        <v>50</v>
      </c>
      <c r="D155" s="87">
        <f>C146</f>
        <v>0</v>
      </c>
    </row>
    <row r="156" spans="2:4" x14ac:dyDescent="0.25">
      <c r="B156" s="88" t="s">
        <v>491</v>
      </c>
      <c r="C156" s="91" t="s">
        <v>50</v>
      </c>
      <c r="D156" s="87">
        <f>C148</f>
        <v>0</v>
      </c>
    </row>
  </sheetData>
  <mergeCells count="5">
    <mergeCell ref="B58:D58"/>
    <mergeCell ref="B110:D110"/>
    <mergeCell ref="B2:D2"/>
    <mergeCell ref="B4:D4"/>
    <mergeCell ref="B5:D5"/>
  </mergeCells>
  <dataValidations count="4">
    <dataValidation type="list" allowBlank="1" showInputMessage="1" showErrorMessage="1" sqref="C12 C116" xr:uid="{00000000-0002-0000-1100-000000000000}">
      <formula1>"Reboco,Gesso"</formula1>
    </dataValidation>
    <dataValidation type="list" allowBlank="1" showInputMessage="1" showErrorMessage="1" sqref="C13 C65 C117" xr:uid="{00000000-0002-0000-1100-000001000000}">
      <formula1>"1,2,3,4"</formula1>
    </dataValidation>
    <dataValidation type="list" allowBlank="1" showInputMessage="1" showErrorMessage="1" sqref="C14 C66" xr:uid="{00000000-0002-0000-1100-000002000000}">
      <formula1>$B$27:$B$31</formula1>
    </dataValidation>
    <dataValidation type="list" allowBlank="1" showInputMessage="1" showErrorMessage="1" sqref="C118" xr:uid="{00000000-0002-0000-1100-000003000000}">
      <formula1>$B$128:$B$132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4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61"/>
  <sheetViews>
    <sheetView showGridLines="0" zoomScale="130" zoomScaleNormal="130" workbookViewId="0">
      <selection activeCell="G9" sqref="G9"/>
    </sheetView>
  </sheetViews>
  <sheetFormatPr defaultColWidth="8.85546875" defaultRowHeight="15" outlineLevelRow="1" x14ac:dyDescent="0.25"/>
  <cols>
    <col min="1" max="1" width="2" style="7" customWidth="1"/>
    <col min="2" max="2" width="29.140625" style="7" customWidth="1"/>
    <col min="3" max="4" width="13.7109375" style="7" customWidth="1"/>
    <col min="5" max="7" width="12.7109375" style="7" customWidth="1"/>
    <col min="8" max="8" width="11.85546875" style="7" customWidth="1"/>
    <col min="9" max="16384" width="8.85546875" style="7"/>
  </cols>
  <sheetData>
    <row r="1" spans="1:9" ht="15.75" thickBot="1" x14ac:dyDescent="0.3"/>
    <row r="2" spans="1:9" ht="21.75" thickBot="1" x14ac:dyDescent="0.4">
      <c r="B2" s="129" t="s">
        <v>8</v>
      </c>
      <c r="C2" s="130"/>
      <c r="D2" s="130"/>
      <c r="E2" s="131"/>
    </row>
    <row r="3" spans="1:9" ht="11.25" customHeight="1" x14ac:dyDescent="0.25"/>
    <row r="4" spans="1:9" ht="45.75" customHeight="1" x14ac:dyDescent="0.25">
      <c r="B4" s="128" t="s">
        <v>525</v>
      </c>
      <c r="C4" s="128"/>
      <c r="D4" s="128"/>
      <c r="E4" s="128"/>
    </row>
    <row r="5" spans="1:9" s="5" customFormat="1" ht="18.75" x14ac:dyDescent="0.3">
      <c r="A5" s="7"/>
      <c r="B5" s="132" t="s">
        <v>513</v>
      </c>
      <c r="C5" s="132"/>
      <c r="D5" s="132"/>
      <c r="E5" s="132"/>
      <c r="F5" s="7"/>
      <c r="G5" s="7"/>
      <c r="I5" s="22"/>
    </row>
    <row r="6" spans="1:9" s="5" customFormat="1" x14ac:dyDescent="0.25">
      <c r="A6" s="7"/>
      <c r="B6" s="7"/>
      <c r="C6" s="7"/>
      <c r="D6" s="7"/>
      <c r="E6" s="7"/>
      <c r="F6" s="7"/>
      <c r="G6" s="7"/>
      <c r="I6" s="22"/>
    </row>
    <row r="7" spans="1:9" x14ac:dyDescent="0.25">
      <c r="B7" s="9" t="s">
        <v>2</v>
      </c>
      <c r="C7" s="9"/>
    </row>
    <row r="9" spans="1:9" ht="30" x14ac:dyDescent="0.25">
      <c r="C9" s="67" t="s">
        <v>533</v>
      </c>
      <c r="D9" s="67" t="s">
        <v>512</v>
      </c>
      <c r="E9" s="67" t="s">
        <v>511</v>
      </c>
    </row>
    <row r="10" spans="1:9" x14ac:dyDescent="0.25">
      <c r="B10" s="7" t="s">
        <v>505</v>
      </c>
      <c r="C10" s="33"/>
      <c r="D10" s="23"/>
      <c r="E10" s="23"/>
    </row>
    <row r="11" spans="1:9" x14ac:dyDescent="0.25">
      <c r="B11" s="7" t="s">
        <v>499</v>
      </c>
      <c r="C11" s="33"/>
      <c r="D11" s="23"/>
      <c r="E11" s="23"/>
    </row>
    <row r="12" spans="1:9" x14ac:dyDescent="0.25">
      <c r="B12" s="7" t="s">
        <v>498</v>
      </c>
      <c r="C12" s="33"/>
      <c r="D12" s="23"/>
      <c r="E12" s="23"/>
    </row>
    <row r="14" spans="1:9" s="20" customFormat="1" hidden="1" outlineLevel="1" x14ac:dyDescent="0.25">
      <c r="B14" s="19" t="s">
        <v>510</v>
      </c>
    </row>
    <row r="15" spans="1:9" s="20" customFormat="1" hidden="1" outlineLevel="1" x14ac:dyDescent="0.25">
      <c r="B15" s="19"/>
    </row>
    <row r="16" spans="1:9" s="97" customFormat="1" ht="45" hidden="1" outlineLevel="1" x14ac:dyDescent="0.25">
      <c r="B16" s="74" t="s">
        <v>799</v>
      </c>
      <c r="C16" s="97" t="s">
        <v>175</v>
      </c>
      <c r="D16" s="97" t="s">
        <v>400</v>
      </c>
      <c r="E16" s="97" t="s">
        <v>509</v>
      </c>
      <c r="F16" s="97" t="s">
        <v>508</v>
      </c>
      <c r="G16" s="97" t="s">
        <v>507</v>
      </c>
      <c r="H16" s="97" t="s">
        <v>506</v>
      </c>
    </row>
    <row r="17" spans="2:8" s="20" customFormat="1" hidden="1" outlineLevel="1" x14ac:dyDescent="0.25">
      <c r="B17" s="20" t="s">
        <v>505</v>
      </c>
      <c r="C17" s="21">
        <f>C10*1.1</f>
        <v>0</v>
      </c>
      <c r="D17" s="21">
        <f>(('17. Pisos'!D10/100)*('17. Pisos'!E10/100))</f>
        <v>0</v>
      </c>
      <c r="E17" s="23">
        <f>IF(D17&lt;0.09,5,10)</f>
        <v>5</v>
      </c>
      <c r="F17" s="21">
        <f>E17*C17</f>
        <v>0</v>
      </c>
      <c r="G17" s="20">
        <f>F17/20</f>
        <v>0</v>
      </c>
      <c r="H17" s="20" t="s">
        <v>504</v>
      </c>
    </row>
    <row r="18" spans="2:8" s="20" customFormat="1" hidden="1" outlineLevel="1" x14ac:dyDescent="0.25">
      <c r="B18" s="20" t="s">
        <v>499</v>
      </c>
      <c r="C18" s="21">
        <f>C11*1.1</f>
        <v>0</v>
      </c>
      <c r="D18" s="21">
        <f>(('17. Pisos'!D11/100)*('17. Pisos'!E11/100))</f>
        <v>0</v>
      </c>
      <c r="E18" s="23">
        <f>IF(D18&lt;0.09,5,10)</f>
        <v>5</v>
      </c>
      <c r="F18" s="21">
        <f>E18*C18</f>
        <v>0</v>
      </c>
      <c r="G18" s="20">
        <f>F18/20</f>
        <v>0</v>
      </c>
      <c r="H18" s="20" t="s">
        <v>504</v>
      </c>
    </row>
    <row r="19" spans="2:8" s="20" customFormat="1" hidden="1" outlineLevel="1" x14ac:dyDescent="0.25">
      <c r="B19" s="20" t="s">
        <v>498</v>
      </c>
      <c r="C19" s="21">
        <f>C12*1.1</f>
        <v>0</v>
      </c>
      <c r="D19" s="21">
        <f>(('17. Pisos'!D12/100)*('17. Pisos'!E12/100))</f>
        <v>0</v>
      </c>
      <c r="E19" s="23">
        <f>IF(D19&lt;0.09,5,10)</f>
        <v>5</v>
      </c>
      <c r="F19" s="21">
        <f>E19*C19</f>
        <v>0</v>
      </c>
      <c r="G19" s="20">
        <f>F19/20</f>
        <v>0</v>
      </c>
      <c r="H19" s="20" t="s">
        <v>504</v>
      </c>
    </row>
    <row r="20" spans="2:8" s="20" customFormat="1" hidden="1" outlineLevel="1" x14ac:dyDescent="0.25"/>
    <row r="21" spans="2:8" s="20" customFormat="1" hidden="1" outlineLevel="1" x14ac:dyDescent="0.25">
      <c r="B21" s="19" t="s">
        <v>503</v>
      </c>
    </row>
    <row r="22" spans="2:8" s="20" customFormat="1" hidden="1" outlineLevel="1" x14ac:dyDescent="0.25">
      <c r="B22" s="19"/>
    </row>
    <row r="23" spans="2:8" s="97" customFormat="1" ht="60" hidden="1" outlineLevel="1" x14ac:dyDescent="0.25">
      <c r="B23" s="74" t="s">
        <v>799</v>
      </c>
      <c r="C23" s="97" t="s">
        <v>175</v>
      </c>
      <c r="D23" s="97" t="s">
        <v>404</v>
      </c>
      <c r="E23" s="97" t="s">
        <v>502</v>
      </c>
      <c r="F23" s="97" t="s">
        <v>501</v>
      </c>
    </row>
    <row r="24" spans="2:8" s="20" customFormat="1" hidden="1" outlineLevel="1" x14ac:dyDescent="0.25">
      <c r="B24" s="20" t="s">
        <v>500</v>
      </c>
      <c r="C24" s="21">
        <f>C17</f>
        <v>0</v>
      </c>
      <c r="D24" s="85">
        <v>0.36</v>
      </c>
      <c r="E24" s="21">
        <f>C24*D24</f>
        <v>0</v>
      </c>
      <c r="F24" s="21">
        <f>E24/5</f>
        <v>0</v>
      </c>
    </row>
    <row r="25" spans="2:8" s="20" customFormat="1" hidden="1" outlineLevel="1" x14ac:dyDescent="0.25">
      <c r="B25" s="20" t="s">
        <v>499</v>
      </c>
      <c r="C25" s="21">
        <f>C18</f>
        <v>0</v>
      </c>
      <c r="D25" s="85">
        <v>0.36</v>
      </c>
      <c r="E25" s="21">
        <f>C25*D25</f>
        <v>0</v>
      </c>
      <c r="F25" s="21">
        <f>E25/5</f>
        <v>0</v>
      </c>
    </row>
    <row r="26" spans="2:8" s="20" customFormat="1" hidden="1" outlineLevel="1" x14ac:dyDescent="0.25">
      <c r="B26" s="20" t="s">
        <v>498</v>
      </c>
      <c r="C26" s="21">
        <f>C19</f>
        <v>0</v>
      </c>
      <c r="D26" s="85">
        <v>0.36</v>
      </c>
      <c r="E26" s="21">
        <f>C26*D26</f>
        <v>0</v>
      </c>
      <c r="F26" s="21">
        <f>E26/5</f>
        <v>0</v>
      </c>
    </row>
    <row r="27" spans="2:8" s="20" customFormat="1" hidden="1" outlineLevel="1" x14ac:dyDescent="0.25"/>
    <row r="28" spans="2:8" s="20" customFormat="1" hidden="1" outlineLevel="1" x14ac:dyDescent="0.25">
      <c r="B28" s="19" t="s">
        <v>853</v>
      </c>
    </row>
    <row r="29" spans="2:8" s="20" customFormat="1" hidden="1" outlineLevel="1" x14ac:dyDescent="0.25"/>
    <row r="30" spans="2:8" s="97" customFormat="1" ht="45" hidden="1" outlineLevel="1" x14ac:dyDescent="0.25">
      <c r="B30" s="74" t="s">
        <v>799</v>
      </c>
      <c r="C30" s="97" t="s">
        <v>175</v>
      </c>
      <c r="D30" s="97" t="s">
        <v>407</v>
      </c>
      <c r="E30" s="97" t="s">
        <v>854</v>
      </c>
      <c r="F30" s="97" t="s">
        <v>855</v>
      </c>
      <c r="G30" s="97" t="s">
        <v>856</v>
      </c>
    </row>
    <row r="31" spans="2:8" s="20" customFormat="1" hidden="1" outlineLevel="1" x14ac:dyDescent="0.25">
      <c r="B31" s="20" t="s">
        <v>500</v>
      </c>
      <c r="C31" s="21">
        <f>C24</f>
        <v>0</v>
      </c>
      <c r="D31" s="21" t="e">
        <f>C31/D17</f>
        <v>#DIV/0!</v>
      </c>
      <c r="E31" s="23">
        <v>1</v>
      </c>
      <c r="F31" s="21" t="e">
        <f>E31*D31</f>
        <v>#DIV/0!</v>
      </c>
      <c r="G31" s="21" t="e">
        <f>F31/50</f>
        <v>#DIV/0!</v>
      </c>
    </row>
    <row r="32" spans="2:8" s="20" customFormat="1" hidden="1" outlineLevel="1" x14ac:dyDescent="0.25">
      <c r="B32" s="20" t="s">
        <v>499</v>
      </c>
      <c r="C32" s="21">
        <f>C25</f>
        <v>0</v>
      </c>
      <c r="D32" s="21" t="e">
        <f t="shared" ref="D32:D33" si="0">C32/D18</f>
        <v>#DIV/0!</v>
      </c>
      <c r="E32" s="23">
        <v>1</v>
      </c>
      <c r="F32" s="21" t="e">
        <f t="shared" ref="F32:F33" si="1">E32*D32</f>
        <v>#DIV/0!</v>
      </c>
      <c r="G32" s="21" t="e">
        <f t="shared" ref="G32:G33" si="2">F32/50</f>
        <v>#DIV/0!</v>
      </c>
    </row>
    <row r="33" spans="1:9" s="20" customFormat="1" hidden="1" outlineLevel="1" x14ac:dyDescent="0.25">
      <c r="B33" s="20" t="s">
        <v>498</v>
      </c>
      <c r="C33" s="21">
        <f>C26</f>
        <v>0</v>
      </c>
      <c r="D33" s="21" t="e">
        <f t="shared" si="0"/>
        <v>#DIV/0!</v>
      </c>
      <c r="E33" s="23">
        <v>1</v>
      </c>
      <c r="F33" s="21" t="e">
        <f t="shared" si="1"/>
        <v>#DIV/0!</v>
      </c>
      <c r="G33" s="21" t="e">
        <f t="shared" si="2"/>
        <v>#DIV/0!</v>
      </c>
    </row>
    <row r="34" spans="1:9" hidden="1" outlineLevel="1" x14ac:dyDescent="0.25"/>
    <row r="35" spans="1:9" collapsed="1" x14ac:dyDescent="0.25">
      <c r="B35" s="27" t="s">
        <v>5</v>
      </c>
      <c r="C35" s="28" t="s">
        <v>46</v>
      </c>
      <c r="D35" s="28" t="s">
        <v>6</v>
      </c>
    </row>
    <row r="36" spans="1:9" x14ac:dyDescent="0.25">
      <c r="B36" s="88" t="str">
        <f>B10&amp;", "&amp;D10&amp;" x "&amp;E10&amp;" cm"</f>
        <v>Piso cerâmico,  x  cm</v>
      </c>
      <c r="C36" s="91" t="s">
        <v>298</v>
      </c>
      <c r="D36" s="87">
        <f>C10</f>
        <v>0</v>
      </c>
    </row>
    <row r="37" spans="1:9" x14ac:dyDescent="0.25">
      <c r="B37" s="88" t="str">
        <f>B11&amp;", "&amp;D11&amp;" x "&amp;E11&amp;" cm"</f>
        <v>Porcelanato,  x  cm</v>
      </c>
      <c r="C37" s="91" t="s">
        <v>298</v>
      </c>
      <c r="D37" s="87">
        <f>C11</f>
        <v>0</v>
      </c>
    </row>
    <row r="38" spans="1:9" x14ac:dyDescent="0.25">
      <c r="B38" s="88" t="str">
        <f>B12&amp;", "&amp;D12&amp;" x "&amp;E12&amp;" cm"</f>
        <v>Piso cimentício,  x  cm</v>
      </c>
      <c r="C38" s="91" t="s">
        <v>298</v>
      </c>
      <c r="D38" s="87">
        <f>C12</f>
        <v>0</v>
      </c>
    </row>
    <row r="39" spans="1:9" x14ac:dyDescent="0.25">
      <c r="B39" s="88" t="s">
        <v>515</v>
      </c>
      <c r="C39" s="91" t="s">
        <v>290</v>
      </c>
      <c r="D39" s="87">
        <f>SUM(G17:G19)</f>
        <v>0</v>
      </c>
      <c r="F39" s="5"/>
    </row>
    <row r="40" spans="1:9" x14ac:dyDescent="0.25">
      <c r="B40" s="88" t="s">
        <v>403</v>
      </c>
      <c r="C40" s="91" t="s">
        <v>518</v>
      </c>
      <c r="D40" s="87">
        <f>SUM(F24:F26)</f>
        <v>0</v>
      </c>
      <c r="F40" s="5"/>
    </row>
    <row r="41" spans="1:9" x14ac:dyDescent="0.25">
      <c r="B41" s="88" t="s">
        <v>638</v>
      </c>
      <c r="C41" s="91" t="s">
        <v>640</v>
      </c>
      <c r="D41" s="87">
        <f>IFERROR(SUM(G31:G33),0)</f>
        <v>0</v>
      </c>
      <c r="F41" s="5"/>
    </row>
    <row r="42" spans="1:9" x14ac:dyDescent="0.25">
      <c r="B42" s="3"/>
      <c r="C42" s="43"/>
      <c r="D42" s="43"/>
    </row>
    <row r="44" spans="1:9" s="5" customFormat="1" ht="18.75" x14ac:dyDescent="0.3">
      <c r="A44" s="7"/>
      <c r="B44" s="132" t="s">
        <v>514</v>
      </c>
      <c r="C44" s="132"/>
      <c r="D44" s="132"/>
      <c r="E44" s="132"/>
      <c r="F44" s="7"/>
      <c r="G44" s="7"/>
      <c r="I44" s="22"/>
    </row>
    <row r="45" spans="1:9" s="5" customFormat="1" x14ac:dyDescent="0.25">
      <c r="A45" s="7"/>
      <c r="B45" s="7"/>
      <c r="C45" s="7"/>
      <c r="D45" s="7"/>
      <c r="E45" s="7"/>
      <c r="F45" s="7"/>
      <c r="G45" s="7"/>
      <c r="I45" s="22"/>
    </row>
    <row r="46" spans="1:9" x14ac:dyDescent="0.25">
      <c r="B46" s="9" t="s">
        <v>2</v>
      </c>
      <c r="C46" s="9"/>
    </row>
    <row r="48" spans="1:9" ht="30" x14ac:dyDescent="0.25">
      <c r="C48" s="67" t="s">
        <v>533</v>
      </c>
      <c r="D48" s="67" t="s">
        <v>512</v>
      </c>
      <c r="E48" s="67" t="s">
        <v>511</v>
      </c>
    </row>
    <row r="49" spans="2:8" x14ac:dyDescent="0.25">
      <c r="B49" s="7" t="s">
        <v>505</v>
      </c>
      <c r="C49" s="33"/>
      <c r="D49" s="23"/>
      <c r="E49" s="23"/>
    </row>
    <row r="50" spans="2:8" x14ac:dyDescent="0.25">
      <c r="B50" s="7" t="s">
        <v>499</v>
      </c>
      <c r="C50" s="33"/>
      <c r="D50" s="23"/>
      <c r="E50" s="23"/>
    </row>
    <row r="51" spans="2:8" x14ac:dyDescent="0.25">
      <c r="B51" s="7" t="s">
        <v>498</v>
      </c>
      <c r="C51" s="33"/>
      <c r="D51" s="23"/>
      <c r="E51" s="23"/>
    </row>
    <row r="53" spans="2:8" s="20" customFormat="1" hidden="1" outlineLevel="1" x14ac:dyDescent="0.25">
      <c r="B53" s="19" t="s">
        <v>510</v>
      </c>
    </row>
    <row r="54" spans="2:8" s="20" customFormat="1" hidden="1" outlineLevel="1" x14ac:dyDescent="0.25">
      <c r="B54" s="19"/>
    </row>
    <row r="55" spans="2:8" s="97" customFormat="1" ht="45" hidden="1" outlineLevel="1" x14ac:dyDescent="0.25">
      <c r="B55" s="74" t="s">
        <v>799</v>
      </c>
      <c r="C55" s="97" t="s">
        <v>175</v>
      </c>
      <c r="D55" s="97" t="s">
        <v>400</v>
      </c>
      <c r="E55" s="97" t="s">
        <v>509</v>
      </c>
      <c r="F55" s="97" t="s">
        <v>508</v>
      </c>
      <c r="G55" s="97" t="s">
        <v>507</v>
      </c>
      <c r="H55" s="97" t="s">
        <v>506</v>
      </c>
    </row>
    <row r="56" spans="2:8" s="20" customFormat="1" hidden="1" outlineLevel="1" x14ac:dyDescent="0.25">
      <c r="B56" s="20" t="s">
        <v>505</v>
      </c>
      <c r="C56" s="20">
        <f>C49*1.1</f>
        <v>0</v>
      </c>
      <c r="D56" s="20">
        <f>(('17. Pisos'!D49/100)*('17. Pisos'!E49/100))</f>
        <v>0</v>
      </c>
      <c r="E56" s="23">
        <f>IF(D56&lt;0.09,5,10)</f>
        <v>5</v>
      </c>
      <c r="F56" s="20">
        <f>E56*C56</f>
        <v>0</v>
      </c>
      <c r="G56" s="20">
        <f>F56/20</f>
        <v>0</v>
      </c>
      <c r="H56" s="20" t="str">
        <f>IF(D56&lt;0.36,"AC I","AC II")</f>
        <v>AC I</v>
      </c>
    </row>
    <row r="57" spans="2:8" s="20" customFormat="1" hidden="1" outlineLevel="1" x14ac:dyDescent="0.25">
      <c r="B57" s="20" t="s">
        <v>499</v>
      </c>
      <c r="C57" s="20">
        <f>C50*1.1</f>
        <v>0</v>
      </c>
      <c r="D57" s="20">
        <f>(('17. Pisos'!D50/100)*('17. Pisos'!E50/100))</f>
        <v>0</v>
      </c>
      <c r="E57" s="23">
        <f>IF(D57&lt;0.09,5,10)</f>
        <v>5</v>
      </c>
      <c r="F57" s="20">
        <f>E57*C57</f>
        <v>0</v>
      </c>
      <c r="G57" s="20">
        <f>F57/20</f>
        <v>0</v>
      </c>
      <c r="H57" s="20" t="str">
        <f t="shared" ref="H57:H58" si="3">IF(D57&lt;0.36,"AC I","AC II")</f>
        <v>AC I</v>
      </c>
    </row>
    <row r="58" spans="2:8" s="20" customFormat="1" hidden="1" outlineLevel="1" x14ac:dyDescent="0.25">
      <c r="B58" s="20" t="s">
        <v>498</v>
      </c>
      <c r="C58" s="20">
        <f>C51*1.1</f>
        <v>0</v>
      </c>
      <c r="D58" s="20">
        <f>(('17. Pisos'!D51/100)*('17. Pisos'!E51/100))</f>
        <v>0</v>
      </c>
      <c r="E58" s="23">
        <f>IF(D58&lt;0.09,5,10)</f>
        <v>5</v>
      </c>
      <c r="F58" s="20">
        <f>E58*C58</f>
        <v>0</v>
      </c>
      <c r="G58" s="20">
        <f>F58/20</f>
        <v>0</v>
      </c>
      <c r="H58" s="20" t="str">
        <f t="shared" si="3"/>
        <v>AC I</v>
      </c>
    </row>
    <row r="59" spans="2:8" s="20" customFormat="1" hidden="1" outlineLevel="1" x14ac:dyDescent="0.25"/>
    <row r="60" spans="2:8" s="20" customFormat="1" hidden="1" outlineLevel="1" x14ac:dyDescent="0.25">
      <c r="B60" s="19" t="s">
        <v>503</v>
      </c>
    </row>
    <row r="61" spans="2:8" s="20" customFormat="1" hidden="1" outlineLevel="1" x14ac:dyDescent="0.25">
      <c r="B61" s="19"/>
    </row>
    <row r="62" spans="2:8" s="97" customFormat="1" ht="60" hidden="1" outlineLevel="1" x14ac:dyDescent="0.25">
      <c r="B62" s="74" t="s">
        <v>799</v>
      </c>
      <c r="C62" s="97" t="s">
        <v>175</v>
      </c>
      <c r="D62" s="97" t="s">
        <v>404</v>
      </c>
      <c r="E62" s="97" t="s">
        <v>502</v>
      </c>
      <c r="F62" s="97" t="s">
        <v>501</v>
      </c>
    </row>
    <row r="63" spans="2:8" s="20" customFormat="1" hidden="1" outlineLevel="1" x14ac:dyDescent="0.25">
      <c r="B63" s="20" t="s">
        <v>500</v>
      </c>
      <c r="C63" s="21">
        <f>C56</f>
        <v>0</v>
      </c>
      <c r="D63" s="85">
        <v>0.33</v>
      </c>
      <c r="E63" s="21">
        <f>C63*D63</f>
        <v>0</v>
      </c>
      <c r="F63" s="21">
        <f>E63/5</f>
        <v>0</v>
      </c>
    </row>
    <row r="64" spans="2:8" s="20" customFormat="1" hidden="1" outlineLevel="1" x14ac:dyDescent="0.25">
      <c r="B64" s="20" t="s">
        <v>499</v>
      </c>
      <c r="C64" s="21">
        <f>C57</f>
        <v>0</v>
      </c>
      <c r="D64" s="85">
        <v>0.2</v>
      </c>
      <c r="E64" s="21">
        <f>C64*D64</f>
        <v>0</v>
      </c>
      <c r="F64" s="21">
        <f>E64/5</f>
        <v>0</v>
      </c>
    </row>
    <row r="65" spans="2:7" s="20" customFormat="1" hidden="1" outlineLevel="1" x14ac:dyDescent="0.25">
      <c r="B65" s="20" t="s">
        <v>498</v>
      </c>
      <c r="C65" s="21">
        <f>C58</f>
        <v>0</v>
      </c>
      <c r="D65" s="85">
        <v>0.2</v>
      </c>
      <c r="E65" s="21">
        <f>C65*D65</f>
        <v>0</v>
      </c>
      <c r="F65" s="21">
        <f>E65/5</f>
        <v>0</v>
      </c>
    </row>
    <row r="66" spans="2:7" s="20" customFormat="1" hidden="1" outlineLevel="1" x14ac:dyDescent="0.25"/>
    <row r="67" spans="2:7" s="20" customFormat="1" hidden="1" outlineLevel="1" x14ac:dyDescent="0.25">
      <c r="B67" s="19" t="s">
        <v>853</v>
      </c>
    </row>
    <row r="68" spans="2:7" s="20" customFormat="1" hidden="1" outlineLevel="1" x14ac:dyDescent="0.25"/>
    <row r="69" spans="2:7" s="97" customFormat="1" ht="45" hidden="1" outlineLevel="1" x14ac:dyDescent="0.25">
      <c r="B69" s="74" t="s">
        <v>799</v>
      </c>
      <c r="C69" s="97" t="s">
        <v>175</v>
      </c>
      <c r="D69" s="97" t="s">
        <v>407</v>
      </c>
      <c r="E69" s="97" t="s">
        <v>854</v>
      </c>
      <c r="F69" s="97" t="s">
        <v>855</v>
      </c>
      <c r="G69" s="97" t="s">
        <v>856</v>
      </c>
    </row>
    <row r="70" spans="2:7" s="20" customFormat="1" hidden="1" outlineLevel="1" x14ac:dyDescent="0.25">
      <c r="B70" s="20" t="s">
        <v>500</v>
      </c>
      <c r="C70" s="21">
        <f>C63</f>
        <v>0</v>
      </c>
      <c r="D70" s="21" t="e">
        <f>C70/D56</f>
        <v>#DIV/0!</v>
      </c>
      <c r="E70" s="23">
        <v>1</v>
      </c>
      <c r="F70" s="21" t="e">
        <f>E70*D70</f>
        <v>#DIV/0!</v>
      </c>
      <c r="G70" s="21" t="e">
        <f>F70/50</f>
        <v>#DIV/0!</v>
      </c>
    </row>
    <row r="71" spans="2:7" s="20" customFormat="1" hidden="1" outlineLevel="1" x14ac:dyDescent="0.25">
      <c r="B71" s="20" t="s">
        <v>499</v>
      </c>
      <c r="C71" s="21">
        <f>C64</f>
        <v>0</v>
      </c>
      <c r="D71" s="21" t="e">
        <f t="shared" ref="D71:D72" si="4">C71/D57</f>
        <v>#DIV/0!</v>
      </c>
      <c r="E71" s="23">
        <v>1</v>
      </c>
      <c r="F71" s="21" t="e">
        <f t="shared" ref="F71:F72" si="5">E71*D71</f>
        <v>#DIV/0!</v>
      </c>
      <c r="G71" s="21" t="e">
        <f t="shared" ref="G71:G72" si="6">F71/50</f>
        <v>#DIV/0!</v>
      </c>
    </row>
    <row r="72" spans="2:7" s="20" customFormat="1" hidden="1" outlineLevel="1" x14ac:dyDescent="0.25">
      <c r="B72" s="20" t="s">
        <v>498</v>
      </c>
      <c r="C72" s="21">
        <f>C65</f>
        <v>0</v>
      </c>
      <c r="D72" s="21" t="e">
        <f t="shared" si="4"/>
        <v>#DIV/0!</v>
      </c>
      <c r="E72" s="23">
        <v>1</v>
      </c>
      <c r="F72" s="21" t="e">
        <f t="shared" si="5"/>
        <v>#DIV/0!</v>
      </c>
      <c r="G72" s="21" t="e">
        <f t="shared" si="6"/>
        <v>#DIV/0!</v>
      </c>
    </row>
    <row r="73" spans="2:7" hidden="1" outlineLevel="1" x14ac:dyDescent="0.25"/>
    <row r="74" spans="2:7" collapsed="1" x14ac:dyDescent="0.25">
      <c r="B74" s="27" t="s">
        <v>5</v>
      </c>
      <c r="C74" s="28" t="s">
        <v>46</v>
      </c>
      <c r="D74" s="28" t="s">
        <v>6</v>
      </c>
    </row>
    <row r="75" spans="2:7" x14ac:dyDescent="0.25">
      <c r="B75" s="88" t="str">
        <f>B49&amp;", "&amp;D49&amp;" x "&amp;E49&amp;" cm"</f>
        <v>Piso cerâmico,  x  cm</v>
      </c>
      <c r="C75" s="91" t="s">
        <v>298</v>
      </c>
      <c r="D75" s="87">
        <f>C49</f>
        <v>0</v>
      </c>
    </row>
    <row r="76" spans="2:7" x14ac:dyDescent="0.25">
      <c r="B76" s="88" t="str">
        <f>B50&amp;", "&amp;D50&amp;" x "&amp;E50&amp;" cm"</f>
        <v>Porcelanato,  x  cm</v>
      </c>
      <c r="C76" s="91" t="s">
        <v>298</v>
      </c>
      <c r="D76" s="87">
        <f>C50</f>
        <v>0</v>
      </c>
    </row>
    <row r="77" spans="2:7" x14ac:dyDescent="0.25">
      <c r="B77" s="88" t="str">
        <f>B51&amp;", "&amp;D51&amp;" x "&amp;E51&amp;" cm"</f>
        <v>Piso cimentício,  x  cm</v>
      </c>
      <c r="C77" s="91" t="s">
        <v>298</v>
      </c>
      <c r="D77" s="87">
        <f>C51</f>
        <v>0</v>
      </c>
    </row>
    <row r="78" spans="2:7" x14ac:dyDescent="0.25">
      <c r="B78" s="88" t="s">
        <v>515</v>
      </c>
      <c r="C78" s="91" t="s">
        <v>290</v>
      </c>
      <c r="D78" s="87">
        <f>SUMIF(H56:H58,"AC I",G56:G58)</f>
        <v>0</v>
      </c>
      <c r="F78" s="5"/>
    </row>
    <row r="79" spans="2:7" x14ac:dyDescent="0.25">
      <c r="B79" s="88" t="s">
        <v>406</v>
      </c>
      <c r="C79" s="91" t="s">
        <v>290</v>
      </c>
      <c r="D79" s="87">
        <f>SUMIF(H56:H58,"AC II",G56:G58)</f>
        <v>0</v>
      </c>
      <c r="F79" s="5"/>
    </row>
    <row r="80" spans="2:7" x14ac:dyDescent="0.25">
      <c r="B80" s="88" t="s">
        <v>401</v>
      </c>
      <c r="C80" s="91" t="s">
        <v>518</v>
      </c>
      <c r="D80" s="87">
        <f>SUM(F63:F65)</f>
        <v>0</v>
      </c>
      <c r="F80" s="5"/>
    </row>
    <row r="81" spans="1:9" x14ac:dyDescent="0.25">
      <c r="B81" s="88" t="s">
        <v>638</v>
      </c>
      <c r="C81" s="91" t="s">
        <v>640</v>
      </c>
      <c r="D81" s="87">
        <f>IFERROR(SUM(G70:G72),0)</f>
        <v>0</v>
      </c>
      <c r="F81" s="5"/>
    </row>
    <row r="82" spans="1:9" x14ac:dyDescent="0.25">
      <c r="B82" s="3"/>
      <c r="C82" s="3"/>
      <c r="D82" s="43"/>
    </row>
    <row r="84" spans="1:9" s="5" customFormat="1" ht="18.75" x14ac:dyDescent="0.3">
      <c r="A84" s="7"/>
      <c r="B84" s="132" t="s">
        <v>519</v>
      </c>
      <c r="C84" s="132"/>
      <c r="D84" s="132"/>
      <c r="E84" s="132"/>
      <c r="F84" s="7"/>
      <c r="G84" s="7"/>
      <c r="I84" s="22"/>
    </row>
    <row r="85" spans="1:9" s="5" customFormat="1" x14ac:dyDescent="0.25">
      <c r="A85" s="7"/>
      <c r="B85" s="7"/>
      <c r="C85" s="7"/>
      <c r="D85" s="7"/>
      <c r="E85" s="7"/>
      <c r="F85" s="7"/>
      <c r="G85" s="7"/>
      <c r="I85" s="22"/>
    </row>
    <row r="86" spans="1:9" x14ac:dyDescent="0.25">
      <c r="B86" s="9" t="s">
        <v>2</v>
      </c>
      <c r="C86" s="9"/>
    </row>
    <row r="88" spans="1:9" ht="30" x14ac:dyDescent="0.25">
      <c r="C88" s="67" t="s">
        <v>533</v>
      </c>
      <c r="D88" s="67" t="s">
        <v>512</v>
      </c>
      <c r="E88" s="67" t="s">
        <v>511</v>
      </c>
    </row>
    <row r="89" spans="1:9" x14ac:dyDescent="0.25">
      <c r="B89" s="7" t="s">
        <v>505</v>
      </c>
      <c r="C89" s="33"/>
      <c r="D89" s="23"/>
      <c r="E89" s="23"/>
    </row>
    <row r="90" spans="1:9" x14ac:dyDescent="0.25">
      <c r="B90" s="7" t="s">
        <v>499</v>
      </c>
      <c r="C90" s="33"/>
      <c r="D90" s="23"/>
      <c r="E90" s="23"/>
    </row>
    <row r="91" spans="1:9" x14ac:dyDescent="0.25">
      <c r="B91" s="7" t="s">
        <v>498</v>
      </c>
      <c r="C91" s="33"/>
      <c r="D91" s="23"/>
      <c r="E91" s="23"/>
    </row>
    <row r="93" spans="1:9" s="20" customFormat="1" hidden="1" outlineLevel="1" x14ac:dyDescent="0.25">
      <c r="B93" s="19" t="s">
        <v>510</v>
      </c>
    </row>
    <row r="94" spans="1:9" s="20" customFormat="1" hidden="1" outlineLevel="1" x14ac:dyDescent="0.25">
      <c r="B94" s="19"/>
    </row>
    <row r="95" spans="1:9" s="97" customFormat="1" ht="45" hidden="1" outlineLevel="1" x14ac:dyDescent="0.25">
      <c r="B95" s="74" t="s">
        <v>799</v>
      </c>
      <c r="C95" s="97" t="s">
        <v>175</v>
      </c>
      <c r="D95" s="97" t="s">
        <v>400</v>
      </c>
      <c r="E95" s="97" t="s">
        <v>509</v>
      </c>
      <c r="F95" s="97" t="s">
        <v>508</v>
      </c>
      <c r="G95" s="97" t="s">
        <v>507</v>
      </c>
      <c r="H95" s="97" t="s">
        <v>506</v>
      </c>
    </row>
    <row r="96" spans="1:9" s="20" customFormat="1" hidden="1" outlineLevel="1" x14ac:dyDescent="0.25">
      <c r="B96" s="20" t="s">
        <v>505</v>
      </c>
      <c r="C96" s="20">
        <f>C89*1.1</f>
        <v>0</v>
      </c>
      <c r="D96" s="20">
        <f>(('17. Pisos'!D89/100)*('17. Pisos'!E89/100))</f>
        <v>0</v>
      </c>
      <c r="E96" s="23">
        <f>IF(D96&lt;0.09,5,10)</f>
        <v>5</v>
      </c>
      <c r="F96" s="20">
        <f>E96*C96</f>
        <v>0</v>
      </c>
      <c r="G96" s="20">
        <f>F96/20</f>
        <v>0</v>
      </c>
      <c r="H96" s="20" t="s">
        <v>520</v>
      </c>
    </row>
    <row r="97" spans="2:8" s="20" customFormat="1" hidden="1" outlineLevel="1" x14ac:dyDescent="0.25">
      <c r="B97" s="20" t="s">
        <v>499</v>
      </c>
      <c r="C97" s="20">
        <f>C90*1.1</f>
        <v>0</v>
      </c>
      <c r="D97" s="20">
        <f>(('17. Pisos'!D90/100)*('17. Pisos'!E90/100))</f>
        <v>0</v>
      </c>
      <c r="E97" s="23">
        <f>IF(D97&lt;0.09,5,10)</f>
        <v>5</v>
      </c>
      <c r="F97" s="20">
        <f>E97*C97</f>
        <v>0</v>
      </c>
      <c r="G97" s="20">
        <f>F97/20</f>
        <v>0</v>
      </c>
      <c r="H97" s="20" t="s">
        <v>520</v>
      </c>
    </row>
    <row r="98" spans="2:8" s="20" customFormat="1" hidden="1" outlineLevel="1" x14ac:dyDescent="0.25">
      <c r="B98" s="20" t="s">
        <v>498</v>
      </c>
      <c r="C98" s="20">
        <f>C91*1.1</f>
        <v>0</v>
      </c>
      <c r="D98" s="20">
        <f>(('17. Pisos'!D91/100)*('17. Pisos'!E91/100))</f>
        <v>0</v>
      </c>
      <c r="E98" s="23">
        <f>IF(D98&lt;0.09,5,10)</f>
        <v>5</v>
      </c>
      <c r="F98" s="20">
        <f>E98*C98</f>
        <v>0</v>
      </c>
      <c r="G98" s="20">
        <f>F98/20</f>
        <v>0</v>
      </c>
      <c r="H98" s="20" t="s">
        <v>520</v>
      </c>
    </row>
    <row r="99" spans="2:8" s="20" customFormat="1" hidden="1" outlineLevel="1" x14ac:dyDescent="0.25"/>
    <row r="100" spans="2:8" s="20" customFormat="1" hidden="1" outlineLevel="1" x14ac:dyDescent="0.25">
      <c r="B100" s="19" t="s">
        <v>503</v>
      </c>
    </row>
    <row r="101" spans="2:8" s="20" customFormat="1" hidden="1" outlineLevel="1" x14ac:dyDescent="0.25">
      <c r="B101" s="19"/>
    </row>
    <row r="102" spans="2:8" s="97" customFormat="1" ht="60" hidden="1" outlineLevel="1" x14ac:dyDescent="0.25">
      <c r="B102" s="74" t="s">
        <v>799</v>
      </c>
      <c r="C102" s="97" t="s">
        <v>175</v>
      </c>
      <c r="D102" s="97" t="s">
        <v>404</v>
      </c>
      <c r="E102" s="97" t="s">
        <v>502</v>
      </c>
      <c r="F102" s="97" t="s">
        <v>501</v>
      </c>
    </row>
    <row r="103" spans="2:8" s="20" customFormat="1" hidden="1" outlineLevel="1" x14ac:dyDescent="0.25">
      <c r="B103" s="20" t="s">
        <v>500</v>
      </c>
      <c r="C103" s="21">
        <f>C96</f>
        <v>0</v>
      </c>
      <c r="D103" s="85">
        <v>0.33</v>
      </c>
      <c r="E103" s="21">
        <f>C103*D103</f>
        <v>0</v>
      </c>
      <c r="F103" s="21">
        <f>E103/5</f>
        <v>0</v>
      </c>
    </row>
    <row r="104" spans="2:8" s="20" customFormat="1" hidden="1" outlineLevel="1" x14ac:dyDescent="0.25">
      <c r="B104" s="20" t="s">
        <v>499</v>
      </c>
      <c r="C104" s="21">
        <f>C97</f>
        <v>0</v>
      </c>
      <c r="D104" s="85">
        <v>0.2</v>
      </c>
      <c r="E104" s="21">
        <f>C104*D104</f>
        <v>0</v>
      </c>
      <c r="F104" s="21">
        <f>E104/5</f>
        <v>0</v>
      </c>
    </row>
    <row r="105" spans="2:8" s="20" customFormat="1" hidden="1" outlineLevel="1" x14ac:dyDescent="0.25">
      <c r="B105" s="20" t="s">
        <v>498</v>
      </c>
      <c r="C105" s="21">
        <f>C98</f>
        <v>0</v>
      </c>
      <c r="D105" s="85">
        <v>0.2</v>
      </c>
      <c r="E105" s="21">
        <f>C105*D105</f>
        <v>0</v>
      </c>
      <c r="F105" s="21">
        <f>E105/5</f>
        <v>0</v>
      </c>
    </row>
    <row r="106" spans="2:8" s="20" customFormat="1" hidden="1" outlineLevel="1" x14ac:dyDescent="0.25"/>
    <row r="107" spans="2:8" s="20" customFormat="1" hidden="1" outlineLevel="1" x14ac:dyDescent="0.25">
      <c r="B107" s="19" t="s">
        <v>853</v>
      </c>
    </row>
    <row r="108" spans="2:8" s="20" customFormat="1" hidden="1" outlineLevel="1" x14ac:dyDescent="0.25"/>
    <row r="109" spans="2:8" s="97" customFormat="1" ht="45" hidden="1" outlineLevel="1" x14ac:dyDescent="0.25">
      <c r="B109" s="74" t="s">
        <v>799</v>
      </c>
      <c r="C109" s="97" t="s">
        <v>175</v>
      </c>
      <c r="D109" s="97" t="s">
        <v>407</v>
      </c>
      <c r="E109" s="97" t="s">
        <v>854</v>
      </c>
      <c r="F109" s="97" t="s">
        <v>855</v>
      </c>
      <c r="G109" s="97" t="s">
        <v>856</v>
      </c>
    </row>
    <row r="110" spans="2:8" s="20" customFormat="1" hidden="1" outlineLevel="1" x14ac:dyDescent="0.25">
      <c r="B110" s="20" t="s">
        <v>500</v>
      </c>
      <c r="C110" s="21">
        <f>C103</f>
        <v>0</v>
      </c>
      <c r="D110" s="21" t="e">
        <f>C110/D96</f>
        <v>#DIV/0!</v>
      </c>
      <c r="E110" s="23">
        <v>1</v>
      </c>
      <c r="F110" s="21" t="e">
        <f>E110*D110</f>
        <v>#DIV/0!</v>
      </c>
      <c r="G110" s="21" t="e">
        <f>F110/50</f>
        <v>#DIV/0!</v>
      </c>
    </row>
    <row r="111" spans="2:8" s="20" customFormat="1" hidden="1" outlineLevel="1" x14ac:dyDescent="0.25">
      <c r="B111" s="20" t="s">
        <v>499</v>
      </c>
      <c r="C111" s="21">
        <f>C104</f>
        <v>0</v>
      </c>
      <c r="D111" s="21" t="e">
        <f t="shared" ref="D111:D112" si="7">C111/D97</f>
        <v>#DIV/0!</v>
      </c>
      <c r="E111" s="23">
        <v>1</v>
      </c>
      <c r="F111" s="21" t="e">
        <f t="shared" ref="F111:F112" si="8">E111*D111</f>
        <v>#DIV/0!</v>
      </c>
      <c r="G111" s="21" t="e">
        <f t="shared" ref="G111:G112" si="9">F111/50</f>
        <v>#DIV/0!</v>
      </c>
    </row>
    <row r="112" spans="2:8" s="20" customFormat="1" hidden="1" outlineLevel="1" x14ac:dyDescent="0.25">
      <c r="B112" s="20" t="s">
        <v>498</v>
      </c>
      <c r="C112" s="21">
        <f>C105</f>
        <v>0</v>
      </c>
      <c r="D112" s="21" t="e">
        <f t="shared" si="7"/>
        <v>#DIV/0!</v>
      </c>
      <c r="E112" s="23">
        <v>1</v>
      </c>
      <c r="F112" s="21" t="e">
        <f t="shared" si="8"/>
        <v>#DIV/0!</v>
      </c>
      <c r="G112" s="21" t="e">
        <f t="shared" si="9"/>
        <v>#DIV/0!</v>
      </c>
    </row>
    <row r="113" spans="1:9" hidden="1" outlineLevel="1" x14ac:dyDescent="0.25"/>
    <row r="114" spans="1:9" collapsed="1" x14ac:dyDescent="0.25">
      <c r="B114" s="27" t="s">
        <v>5</v>
      </c>
      <c r="C114" s="28" t="s">
        <v>46</v>
      </c>
      <c r="D114" s="28" t="s">
        <v>6</v>
      </c>
    </row>
    <row r="115" spans="1:9" x14ac:dyDescent="0.25">
      <c r="B115" s="88" t="str">
        <f>B89&amp;", "&amp;D89&amp;" x "&amp;E89&amp;" cm"</f>
        <v>Piso cerâmico,  x  cm</v>
      </c>
      <c r="C115" s="91" t="s">
        <v>298</v>
      </c>
      <c r="D115" s="87">
        <f>C89</f>
        <v>0</v>
      </c>
    </row>
    <row r="116" spans="1:9" x14ac:dyDescent="0.25">
      <c r="B116" s="88" t="str">
        <f>B90&amp;", "&amp;D90&amp;" x "&amp;E90&amp;" cm"</f>
        <v>Porcelanato,  x  cm</v>
      </c>
      <c r="C116" s="91" t="s">
        <v>298</v>
      </c>
      <c r="D116" s="87">
        <f>C90</f>
        <v>0</v>
      </c>
    </row>
    <row r="117" spans="1:9" x14ac:dyDescent="0.25">
      <c r="B117" s="88" t="str">
        <f>B91&amp;", "&amp;D91&amp;" x "&amp;E91&amp;" cm"</f>
        <v>Piso cimentício,  x  cm</v>
      </c>
      <c r="C117" s="91" t="s">
        <v>298</v>
      </c>
      <c r="D117" s="87">
        <f>C91</f>
        <v>0</v>
      </c>
    </row>
    <row r="118" spans="1:9" x14ac:dyDescent="0.25">
      <c r="B118" s="88" t="s">
        <v>406</v>
      </c>
      <c r="C118" s="91" t="s">
        <v>290</v>
      </c>
      <c r="D118" s="87">
        <f>SUM(G96:G98)</f>
        <v>0</v>
      </c>
      <c r="F118" s="5"/>
    </row>
    <row r="119" spans="1:9" x14ac:dyDescent="0.25">
      <c r="B119" s="88" t="s">
        <v>401</v>
      </c>
      <c r="C119" s="91" t="s">
        <v>518</v>
      </c>
      <c r="D119" s="87">
        <f>SUM(F103:F105)</f>
        <v>0</v>
      </c>
      <c r="F119" s="5"/>
    </row>
    <row r="120" spans="1:9" x14ac:dyDescent="0.25">
      <c r="B120" s="88" t="s">
        <v>638</v>
      </c>
      <c r="C120" s="91" t="s">
        <v>640</v>
      </c>
      <c r="D120" s="87">
        <f>IFERROR(SUM(G110:G112),0)</f>
        <v>0</v>
      </c>
      <c r="F120" s="5"/>
    </row>
    <row r="121" spans="1:9" x14ac:dyDescent="0.25">
      <c r="B121" s="3"/>
      <c r="C121" s="43"/>
      <c r="D121" s="43"/>
    </row>
    <row r="123" spans="1:9" s="5" customFormat="1" ht="18.75" x14ac:dyDescent="0.3">
      <c r="A123" s="7"/>
      <c r="B123" s="132" t="s">
        <v>521</v>
      </c>
      <c r="C123" s="132"/>
      <c r="D123" s="132"/>
      <c r="E123" s="132"/>
      <c r="F123" s="7"/>
      <c r="G123" s="7"/>
      <c r="I123" s="22"/>
    </row>
    <row r="124" spans="1:9" s="5" customFormat="1" x14ac:dyDescent="0.25">
      <c r="A124" s="7"/>
      <c r="B124" s="7"/>
      <c r="C124" s="7"/>
      <c r="D124" s="7"/>
      <c r="E124" s="7"/>
      <c r="F124" s="7"/>
      <c r="G124" s="7"/>
      <c r="I124" s="22"/>
    </row>
    <row r="125" spans="1:9" x14ac:dyDescent="0.25">
      <c r="B125" s="9" t="s">
        <v>2</v>
      </c>
      <c r="C125" s="9"/>
    </row>
    <row r="127" spans="1:9" ht="30" x14ac:dyDescent="0.25">
      <c r="C127" s="67" t="s">
        <v>533</v>
      </c>
      <c r="D127" s="67" t="s">
        <v>512</v>
      </c>
      <c r="E127" s="67" t="s">
        <v>511</v>
      </c>
    </row>
    <row r="128" spans="1:9" x14ac:dyDescent="0.25">
      <c r="B128" s="7" t="s">
        <v>505</v>
      </c>
      <c r="C128" s="33"/>
      <c r="D128" s="23"/>
      <c r="E128" s="23"/>
    </row>
    <row r="129" spans="2:8" x14ac:dyDescent="0.25">
      <c r="B129" s="7" t="s">
        <v>499</v>
      </c>
      <c r="C129" s="33"/>
      <c r="D129" s="23"/>
      <c r="E129" s="23"/>
    </row>
    <row r="130" spans="2:8" x14ac:dyDescent="0.25">
      <c r="B130" s="7" t="s">
        <v>498</v>
      </c>
      <c r="C130" s="33"/>
      <c r="D130" s="23"/>
      <c r="E130" s="23"/>
    </row>
    <row r="132" spans="2:8" s="20" customFormat="1" hidden="1" outlineLevel="1" x14ac:dyDescent="0.25">
      <c r="B132" s="19" t="s">
        <v>510</v>
      </c>
    </row>
    <row r="133" spans="2:8" s="20" customFormat="1" hidden="1" outlineLevel="1" x14ac:dyDescent="0.25">
      <c r="B133" s="19"/>
    </row>
    <row r="134" spans="2:8" s="97" customFormat="1" ht="45" hidden="1" outlineLevel="1" x14ac:dyDescent="0.25">
      <c r="B134" s="74" t="s">
        <v>799</v>
      </c>
      <c r="C134" s="97" t="s">
        <v>175</v>
      </c>
      <c r="D134" s="97" t="s">
        <v>400</v>
      </c>
      <c r="E134" s="97" t="s">
        <v>509</v>
      </c>
      <c r="F134" s="97" t="s">
        <v>508</v>
      </c>
      <c r="G134" s="97" t="s">
        <v>507</v>
      </c>
      <c r="H134" s="97" t="s">
        <v>506</v>
      </c>
    </row>
    <row r="135" spans="2:8" s="20" customFormat="1" hidden="1" outlineLevel="1" x14ac:dyDescent="0.25">
      <c r="B135" s="20" t="s">
        <v>505</v>
      </c>
      <c r="C135" s="20">
        <f>C128*1.1</f>
        <v>0</v>
      </c>
      <c r="D135" s="20">
        <f>(('17. Pisos'!D128/100)*('17. Pisos'!E128/100))</f>
        <v>0</v>
      </c>
      <c r="E135" s="23">
        <f>IF(D135&lt;0.09,5,10)</f>
        <v>5</v>
      </c>
      <c r="F135" s="20">
        <f>E135*C135</f>
        <v>0</v>
      </c>
      <c r="G135" s="20">
        <f>F135/20</f>
        <v>0</v>
      </c>
      <c r="H135" s="20" t="str">
        <f>IF(D135&lt;0.36,"AC II","AC III")</f>
        <v>AC II</v>
      </c>
    </row>
    <row r="136" spans="2:8" s="20" customFormat="1" hidden="1" outlineLevel="1" x14ac:dyDescent="0.25">
      <c r="B136" s="20" t="s">
        <v>499</v>
      </c>
      <c r="C136" s="20">
        <f>C129*1.1</f>
        <v>0</v>
      </c>
      <c r="D136" s="20">
        <f>(('17. Pisos'!D129/100)*('17. Pisos'!E129/100))</f>
        <v>0</v>
      </c>
      <c r="E136" s="23">
        <f>IF(D136&lt;0.09,5,10)</f>
        <v>5</v>
      </c>
      <c r="F136" s="20">
        <f>E136*C136</f>
        <v>0</v>
      </c>
      <c r="G136" s="20">
        <f>F136/20</f>
        <v>0</v>
      </c>
      <c r="H136" s="20" t="str">
        <f t="shared" ref="H136:H137" si="10">IF(D136&lt;0.36,"AC II","AC III")</f>
        <v>AC II</v>
      </c>
    </row>
    <row r="137" spans="2:8" s="20" customFormat="1" hidden="1" outlineLevel="1" x14ac:dyDescent="0.25">
      <c r="B137" s="20" t="s">
        <v>498</v>
      </c>
      <c r="C137" s="20">
        <f>C130*1.1</f>
        <v>0</v>
      </c>
      <c r="D137" s="20">
        <f>(('17. Pisos'!D130/100)*('17. Pisos'!E130/100))</f>
        <v>0</v>
      </c>
      <c r="E137" s="23">
        <f>IF(D137&lt;0.09,5,10)</f>
        <v>5</v>
      </c>
      <c r="F137" s="20">
        <f>E137*C137</f>
        <v>0</v>
      </c>
      <c r="G137" s="20">
        <f>F137/20</f>
        <v>0</v>
      </c>
      <c r="H137" s="20" t="str">
        <f t="shared" si="10"/>
        <v>AC II</v>
      </c>
    </row>
    <row r="138" spans="2:8" s="20" customFormat="1" hidden="1" outlineLevel="1" x14ac:dyDescent="0.25"/>
    <row r="139" spans="2:8" s="20" customFormat="1" hidden="1" outlineLevel="1" x14ac:dyDescent="0.25">
      <c r="B139" s="19" t="s">
        <v>503</v>
      </c>
    </row>
    <row r="140" spans="2:8" s="20" customFormat="1" hidden="1" outlineLevel="1" x14ac:dyDescent="0.25">
      <c r="B140" s="19"/>
    </row>
    <row r="141" spans="2:8" s="97" customFormat="1" ht="60" hidden="1" outlineLevel="1" x14ac:dyDescent="0.25">
      <c r="B141" s="74" t="s">
        <v>799</v>
      </c>
      <c r="C141" s="97" t="s">
        <v>175</v>
      </c>
      <c r="D141" s="97" t="s">
        <v>404</v>
      </c>
      <c r="E141" s="97" t="s">
        <v>502</v>
      </c>
      <c r="F141" s="97" t="s">
        <v>501</v>
      </c>
    </row>
    <row r="142" spans="2:8" s="20" customFormat="1" hidden="1" outlineLevel="1" x14ac:dyDescent="0.25">
      <c r="B142" s="20" t="s">
        <v>500</v>
      </c>
      <c r="C142" s="21">
        <f>C135</f>
        <v>0</v>
      </c>
      <c r="D142" s="85">
        <v>0.33</v>
      </c>
      <c r="E142" s="21">
        <f>C142*D142</f>
        <v>0</v>
      </c>
      <c r="F142" s="21">
        <f>E142/5</f>
        <v>0</v>
      </c>
    </row>
    <row r="143" spans="2:8" s="20" customFormat="1" hidden="1" outlineLevel="1" x14ac:dyDescent="0.25">
      <c r="B143" s="20" t="s">
        <v>499</v>
      </c>
      <c r="C143" s="21">
        <f>C136</f>
        <v>0</v>
      </c>
      <c r="D143" s="85">
        <v>0.17</v>
      </c>
      <c r="E143" s="21">
        <f>C143*D143</f>
        <v>0</v>
      </c>
      <c r="F143" s="21">
        <f>E143/5</f>
        <v>0</v>
      </c>
    </row>
    <row r="144" spans="2:8" s="20" customFormat="1" hidden="1" outlineLevel="1" x14ac:dyDescent="0.25">
      <c r="B144" s="20" t="s">
        <v>498</v>
      </c>
      <c r="C144" s="21">
        <f>C137</f>
        <v>0</v>
      </c>
      <c r="D144" s="85">
        <v>0.17</v>
      </c>
      <c r="E144" s="21">
        <f>C144*D144</f>
        <v>0</v>
      </c>
      <c r="F144" s="21">
        <f>E144/5</f>
        <v>0</v>
      </c>
    </row>
    <row r="145" spans="2:7" s="20" customFormat="1" hidden="1" outlineLevel="1" x14ac:dyDescent="0.25"/>
    <row r="146" spans="2:7" s="20" customFormat="1" hidden="1" outlineLevel="1" x14ac:dyDescent="0.25">
      <c r="B146" s="19" t="s">
        <v>853</v>
      </c>
    </row>
    <row r="147" spans="2:7" s="20" customFormat="1" hidden="1" outlineLevel="1" x14ac:dyDescent="0.25"/>
    <row r="148" spans="2:7" s="97" customFormat="1" ht="45" hidden="1" outlineLevel="1" x14ac:dyDescent="0.25">
      <c r="B148" s="74" t="s">
        <v>799</v>
      </c>
      <c r="C148" s="97" t="s">
        <v>175</v>
      </c>
      <c r="D148" s="97" t="s">
        <v>407</v>
      </c>
      <c r="E148" s="97" t="s">
        <v>854</v>
      </c>
      <c r="F148" s="97" t="s">
        <v>855</v>
      </c>
      <c r="G148" s="97" t="s">
        <v>856</v>
      </c>
    </row>
    <row r="149" spans="2:7" s="20" customFormat="1" hidden="1" outlineLevel="1" x14ac:dyDescent="0.25">
      <c r="B149" s="20" t="s">
        <v>500</v>
      </c>
      <c r="C149" s="21">
        <f>C142</f>
        <v>0</v>
      </c>
      <c r="D149" s="21" t="e">
        <f>C149/D135</f>
        <v>#DIV/0!</v>
      </c>
      <c r="E149" s="23">
        <v>1</v>
      </c>
      <c r="F149" s="21" t="e">
        <f>E149*D149</f>
        <v>#DIV/0!</v>
      </c>
      <c r="G149" s="21" t="e">
        <f>F149/50</f>
        <v>#DIV/0!</v>
      </c>
    </row>
    <row r="150" spans="2:7" s="20" customFormat="1" hidden="1" outlineLevel="1" x14ac:dyDescent="0.25">
      <c r="B150" s="20" t="s">
        <v>499</v>
      </c>
      <c r="C150" s="21">
        <f>C143</f>
        <v>0</v>
      </c>
      <c r="D150" s="21" t="e">
        <f t="shared" ref="D150:D151" si="11">C150/D136</f>
        <v>#DIV/0!</v>
      </c>
      <c r="E150" s="23">
        <v>1</v>
      </c>
      <c r="F150" s="21" t="e">
        <f t="shared" ref="F150:F151" si="12">E150*D150</f>
        <v>#DIV/0!</v>
      </c>
      <c r="G150" s="21" t="e">
        <f t="shared" ref="G150:G151" si="13">F150/50</f>
        <v>#DIV/0!</v>
      </c>
    </row>
    <row r="151" spans="2:7" s="20" customFormat="1" hidden="1" outlineLevel="1" x14ac:dyDescent="0.25">
      <c r="B151" s="20" t="s">
        <v>498</v>
      </c>
      <c r="C151" s="21">
        <f>C144</f>
        <v>0</v>
      </c>
      <c r="D151" s="21" t="e">
        <f t="shared" si="11"/>
        <v>#DIV/0!</v>
      </c>
      <c r="E151" s="23">
        <v>1</v>
      </c>
      <c r="F151" s="21" t="e">
        <f t="shared" si="12"/>
        <v>#DIV/0!</v>
      </c>
      <c r="G151" s="21" t="e">
        <f t="shared" si="13"/>
        <v>#DIV/0!</v>
      </c>
    </row>
    <row r="152" spans="2:7" hidden="1" outlineLevel="1" x14ac:dyDescent="0.25"/>
    <row r="153" spans="2:7" collapsed="1" x14ac:dyDescent="0.25">
      <c r="B153" s="27" t="s">
        <v>5</v>
      </c>
      <c r="C153" s="28" t="s">
        <v>46</v>
      </c>
      <c r="D153" s="28" t="s">
        <v>6</v>
      </c>
    </row>
    <row r="154" spans="2:7" x14ac:dyDescent="0.25">
      <c r="B154" s="88" t="str">
        <f>B128&amp;", "&amp;D128&amp;" x "&amp;E128&amp;" cm"</f>
        <v>Piso cerâmico,  x  cm</v>
      </c>
      <c r="C154" s="91" t="s">
        <v>298</v>
      </c>
      <c r="D154" s="87">
        <f>C128</f>
        <v>0</v>
      </c>
    </row>
    <row r="155" spans="2:7" x14ac:dyDescent="0.25">
      <c r="B155" s="88" t="str">
        <f>B129&amp;", "&amp;D129&amp;" x "&amp;E129&amp;" cm"</f>
        <v>Porcelanato,  x  cm</v>
      </c>
      <c r="C155" s="91" t="s">
        <v>298</v>
      </c>
      <c r="D155" s="87">
        <f>C129</f>
        <v>0</v>
      </c>
    </row>
    <row r="156" spans="2:7" x14ac:dyDescent="0.25">
      <c r="B156" s="88" t="str">
        <f>B130&amp;", "&amp;D130&amp;" x "&amp;E130&amp;" cm"</f>
        <v>Piso cimentício,  x  cm</v>
      </c>
      <c r="C156" s="91" t="s">
        <v>298</v>
      </c>
      <c r="D156" s="87">
        <f>C130</f>
        <v>0</v>
      </c>
    </row>
    <row r="157" spans="2:7" x14ac:dyDescent="0.25">
      <c r="B157" s="88" t="s">
        <v>406</v>
      </c>
      <c r="C157" s="91" t="s">
        <v>290</v>
      </c>
      <c r="D157" s="87">
        <f>SUMIF(H135:H137,"AC II",G135:G137)</f>
        <v>0</v>
      </c>
      <c r="F157" s="5"/>
    </row>
    <row r="158" spans="2:7" x14ac:dyDescent="0.25">
      <c r="B158" s="88" t="s">
        <v>405</v>
      </c>
      <c r="C158" s="91" t="s">
        <v>290</v>
      </c>
      <c r="D158" s="87">
        <f>SUMIF(H135:H137,"AC III",G135:G137)</f>
        <v>0</v>
      </c>
      <c r="F158" s="5"/>
    </row>
    <row r="159" spans="2:7" x14ac:dyDescent="0.25">
      <c r="B159" s="88" t="s">
        <v>398</v>
      </c>
      <c r="C159" s="91" t="s">
        <v>518</v>
      </c>
      <c r="D159" s="87">
        <f>SUM(F142:F144)</f>
        <v>0</v>
      </c>
      <c r="F159" s="5"/>
    </row>
    <row r="160" spans="2:7" x14ac:dyDescent="0.25">
      <c r="B160" s="88" t="s">
        <v>638</v>
      </c>
      <c r="C160" s="91" t="s">
        <v>640</v>
      </c>
      <c r="D160" s="87">
        <f>IFERROR(SUM(G149:G151),0)</f>
        <v>0</v>
      </c>
      <c r="F160" s="5"/>
    </row>
    <row r="161" spans="2:4" x14ac:dyDescent="0.25">
      <c r="B161" s="3"/>
      <c r="C161" s="3"/>
      <c r="D161" s="43"/>
    </row>
  </sheetData>
  <mergeCells count="6">
    <mergeCell ref="B84:E84"/>
    <mergeCell ref="B123:E123"/>
    <mergeCell ref="B2:E2"/>
    <mergeCell ref="B4:E4"/>
    <mergeCell ref="B5:E5"/>
    <mergeCell ref="B44:E4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7:E19 E135:E137 E96:E98 E56:E58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61"/>
  <sheetViews>
    <sheetView showGridLines="0" zoomScale="130" zoomScaleNormal="130" workbookViewId="0">
      <selection activeCell="G12" sqref="G12"/>
    </sheetView>
  </sheetViews>
  <sheetFormatPr defaultColWidth="8.85546875" defaultRowHeight="15" outlineLevelRow="1" x14ac:dyDescent="0.25"/>
  <cols>
    <col min="1" max="1" width="2" style="7" customWidth="1"/>
    <col min="2" max="2" width="29.140625" style="7" customWidth="1"/>
    <col min="3" max="8" width="13.7109375" style="7" customWidth="1"/>
    <col min="9" max="16384" width="8.85546875" style="7"/>
  </cols>
  <sheetData>
    <row r="1" spans="1:9" ht="15.75" thickBot="1" x14ac:dyDescent="0.3"/>
    <row r="2" spans="1:9" ht="21.75" thickBot="1" x14ac:dyDescent="0.4">
      <c r="B2" s="129" t="s">
        <v>527</v>
      </c>
      <c r="C2" s="130"/>
      <c r="D2" s="130"/>
      <c r="E2" s="131"/>
    </row>
    <row r="4" spans="1:9" ht="45.75" customHeight="1" x14ac:dyDescent="0.25">
      <c r="B4" s="128" t="s">
        <v>526</v>
      </c>
      <c r="C4" s="128"/>
      <c r="D4" s="128"/>
      <c r="E4" s="128"/>
    </row>
    <row r="5" spans="1:9" s="5" customFormat="1" ht="18.75" x14ac:dyDescent="0.3">
      <c r="A5" s="7"/>
      <c r="B5" s="132" t="s">
        <v>528</v>
      </c>
      <c r="C5" s="132"/>
      <c r="D5" s="132"/>
      <c r="E5" s="132"/>
      <c r="F5" s="7"/>
      <c r="G5" s="7"/>
      <c r="I5" s="22"/>
    </row>
    <row r="6" spans="1:9" s="5" customFormat="1" x14ac:dyDescent="0.25">
      <c r="A6" s="7"/>
      <c r="B6" s="7"/>
      <c r="C6" s="7"/>
      <c r="D6" s="7"/>
      <c r="E6" s="7"/>
      <c r="F6" s="7"/>
      <c r="G6" s="7"/>
      <c r="I6" s="22"/>
    </row>
    <row r="7" spans="1:9" x14ac:dyDescent="0.25">
      <c r="B7" s="9" t="s">
        <v>2</v>
      </c>
      <c r="C7" s="9"/>
    </row>
    <row r="9" spans="1:9" ht="30" x14ac:dyDescent="0.25">
      <c r="C9" s="67" t="s">
        <v>533</v>
      </c>
      <c r="D9" s="67" t="s">
        <v>512</v>
      </c>
      <c r="E9" s="67" t="s">
        <v>511</v>
      </c>
    </row>
    <row r="10" spans="1:9" x14ac:dyDescent="0.25">
      <c r="B10" s="7" t="s">
        <v>532</v>
      </c>
      <c r="C10" s="33"/>
      <c r="D10" s="23"/>
      <c r="E10" s="23"/>
    </row>
    <row r="11" spans="1:9" x14ac:dyDescent="0.25">
      <c r="B11" s="7" t="s">
        <v>499</v>
      </c>
      <c r="C11" s="33"/>
      <c r="D11" s="23"/>
      <c r="E11" s="23"/>
    </row>
    <row r="12" spans="1:9" x14ac:dyDescent="0.25">
      <c r="B12" s="7" t="s">
        <v>399</v>
      </c>
      <c r="C12" s="33"/>
      <c r="D12" s="23"/>
      <c r="E12" s="23"/>
    </row>
    <row r="14" spans="1:9" s="20" customFormat="1" hidden="1" outlineLevel="1" x14ac:dyDescent="0.25">
      <c r="B14" s="19" t="s">
        <v>510</v>
      </c>
    </row>
    <row r="15" spans="1:9" s="20" customFormat="1" hidden="1" outlineLevel="1" x14ac:dyDescent="0.25">
      <c r="B15" s="19"/>
    </row>
    <row r="16" spans="1:9" s="97" customFormat="1" ht="45" hidden="1" outlineLevel="1" x14ac:dyDescent="0.25">
      <c r="B16" s="74" t="s">
        <v>799</v>
      </c>
      <c r="C16" s="97" t="s">
        <v>175</v>
      </c>
      <c r="D16" s="97" t="s">
        <v>400</v>
      </c>
      <c r="E16" s="97" t="s">
        <v>509</v>
      </c>
      <c r="F16" s="97" t="s">
        <v>508</v>
      </c>
      <c r="G16" s="97" t="s">
        <v>507</v>
      </c>
      <c r="H16" s="97" t="s">
        <v>506</v>
      </c>
    </row>
    <row r="17" spans="2:8" s="20" customFormat="1" hidden="1" outlineLevel="1" x14ac:dyDescent="0.25">
      <c r="B17" s="20" t="s">
        <v>532</v>
      </c>
      <c r="C17" s="21">
        <f>C10*1.1</f>
        <v>0</v>
      </c>
      <c r="D17" s="21">
        <f>(('18. Revestimentos'!D10/100)*('18. Revestimentos'!E10/100))</f>
        <v>0</v>
      </c>
      <c r="E17" s="23">
        <f>IF(D17&lt;0.09,5,10)</f>
        <v>5</v>
      </c>
      <c r="F17" s="21">
        <f>E17*C17</f>
        <v>0</v>
      </c>
      <c r="G17" s="20">
        <f>F17/20</f>
        <v>0</v>
      </c>
      <c r="H17" s="20" t="s">
        <v>504</v>
      </c>
    </row>
    <row r="18" spans="2:8" s="20" customFormat="1" hidden="1" outlineLevel="1" x14ac:dyDescent="0.25">
      <c r="B18" s="20" t="s">
        <v>499</v>
      </c>
      <c r="C18" s="21">
        <f>C11*1.1</f>
        <v>0</v>
      </c>
      <c r="D18" s="21">
        <f>(('18. Revestimentos'!D11/100)*('18. Revestimentos'!E11/100))</f>
        <v>0</v>
      </c>
      <c r="E18" s="23">
        <f>IF(D18&lt;0.09,5,10)</f>
        <v>5</v>
      </c>
      <c r="F18" s="21">
        <f>E18*C18</f>
        <v>0</v>
      </c>
      <c r="G18" s="20">
        <f>F18/20</f>
        <v>0</v>
      </c>
      <c r="H18" s="20" t="s">
        <v>504</v>
      </c>
    </row>
    <row r="19" spans="2:8" s="20" customFormat="1" hidden="1" outlineLevel="1" x14ac:dyDescent="0.25">
      <c r="B19" s="20" t="s">
        <v>399</v>
      </c>
      <c r="C19" s="21">
        <f>C12*1.1</f>
        <v>0</v>
      </c>
      <c r="D19" s="21">
        <f>(('18. Revestimentos'!D12/100)*('18. Revestimentos'!E12/100))</f>
        <v>0</v>
      </c>
      <c r="E19" s="23">
        <f>IF(D19&lt;0.09,5,10)</f>
        <v>5</v>
      </c>
      <c r="F19" s="21">
        <f>E19*C19</f>
        <v>0</v>
      </c>
      <c r="G19" s="20">
        <f>F19/20</f>
        <v>0</v>
      </c>
      <c r="H19" s="20" t="s">
        <v>504</v>
      </c>
    </row>
    <row r="20" spans="2:8" s="20" customFormat="1" hidden="1" outlineLevel="1" x14ac:dyDescent="0.25"/>
    <row r="21" spans="2:8" s="20" customFormat="1" hidden="1" outlineLevel="1" x14ac:dyDescent="0.25">
      <c r="B21" s="19" t="s">
        <v>503</v>
      </c>
    </row>
    <row r="22" spans="2:8" s="20" customFormat="1" hidden="1" outlineLevel="1" x14ac:dyDescent="0.25">
      <c r="B22" s="19"/>
    </row>
    <row r="23" spans="2:8" s="97" customFormat="1" ht="60" hidden="1" outlineLevel="1" x14ac:dyDescent="0.25">
      <c r="B23" s="74"/>
      <c r="C23" s="97" t="s">
        <v>175</v>
      </c>
      <c r="D23" s="97" t="s">
        <v>404</v>
      </c>
      <c r="E23" s="97" t="s">
        <v>502</v>
      </c>
      <c r="F23" s="97" t="s">
        <v>501</v>
      </c>
    </row>
    <row r="24" spans="2:8" s="20" customFormat="1" hidden="1" outlineLevel="1" x14ac:dyDescent="0.25">
      <c r="B24" s="20" t="s">
        <v>532</v>
      </c>
      <c r="C24" s="21">
        <f>C17</f>
        <v>0</v>
      </c>
      <c r="D24" s="85">
        <v>0.36</v>
      </c>
      <c r="E24" s="21">
        <f>C24*D24</f>
        <v>0</v>
      </c>
      <c r="F24" s="21">
        <f>E24/5</f>
        <v>0</v>
      </c>
    </row>
    <row r="25" spans="2:8" s="20" customFormat="1" hidden="1" outlineLevel="1" x14ac:dyDescent="0.25">
      <c r="B25" s="20" t="s">
        <v>499</v>
      </c>
      <c r="C25" s="21">
        <f>C18</f>
        <v>0</v>
      </c>
      <c r="D25" s="85">
        <v>0.36</v>
      </c>
      <c r="E25" s="21">
        <f>C25*D25</f>
        <v>0</v>
      </c>
      <c r="F25" s="21">
        <f>E25/5</f>
        <v>0</v>
      </c>
    </row>
    <row r="26" spans="2:8" s="20" customFormat="1" hidden="1" outlineLevel="1" x14ac:dyDescent="0.25">
      <c r="B26" s="20" t="s">
        <v>399</v>
      </c>
      <c r="C26" s="21">
        <f>C19</f>
        <v>0</v>
      </c>
      <c r="D26" s="85">
        <v>0.37</v>
      </c>
      <c r="E26" s="21">
        <f>C26*D26</f>
        <v>0</v>
      </c>
      <c r="F26" s="21">
        <f>E26/5</f>
        <v>0</v>
      </c>
    </row>
    <row r="27" spans="2:8" s="20" customFormat="1" hidden="1" outlineLevel="1" x14ac:dyDescent="0.25"/>
    <row r="28" spans="2:8" s="20" customFormat="1" hidden="1" outlineLevel="1" x14ac:dyDescent="0.25">
      <c r="B28" s="19" t="s">
        <v>853</v>
      </c>
    </row>
    <row r="29" spans="2:8" s="20" customFormat="1" hidden="1" outlineLevel="1" x14ac:dyDescent="0.25"/>
    <row r="30" spans="2:8" s="97" customFormat="1" ht="45" hidden="1" outlineLevel="1" x14ac:dyDescent="0.25">
      <c r="B30" s="74"/>
      <c r="C30" s="97" t="s">
        <v>175</v>
      </c>
      <c r="D30" s="97" t="s">
        <v>407</v>
      </c>
      <c r="E30" s="97" t="s">
        <v>854</v>
      </c>
      <c r="F30" s="97" t="s">
        <v>855</v>
      </c>
      <c r="G30" s="97" t="s">
        <v>856</v>
      </c>
    </row>
    <row r="31" spans="2:8" s="20" customFormat="1" hidden="1" outlineLevel="1" x14ac:dyDescent="0.25">
      <c r="B31" s="20" t="s">
        <v>532</v>
      </c>
      <c r="C31" s="21">
        <f>C24</f>
        <v>0</v>
      </c>
      <c r="D31" s="21" t="e">
        <f>C31/D17</f>
        <v>#DIV/0!</v>
      </c>
      <c r="E31" s="23">
        <v>1</v>
      </c>
      <c r="F31" s="21" t="e">
        <f>E31*D31</f>
        <v>#DIV/0!</v>
      </c>
      <c r="G31" s="21" t="e">
        <f>F31/50</f>
        <v>#DIV/0!</v>
      </c>
    </row>
    <row r="32" spans="2:8" s="20" customFormat="1" hidden="1" outlineLevel="1" x14ac:dyDescent="0.25">
      <c r="B32" s="20" t="s">
        <v>499</v>
      </c>
      <c r="C32" s="21">
        <f>C25</f>
        <v>0</v>
      </c>
      <c r="D32" s="21" t="e">
        <f t="shared" ref="D32:D33" si="0">C32/D18</f>
        <v>#DIV/0!</v>
      </c>
      <c r="E32" s="23">
        <v>1</v>
      </c>
      <c r="F32" s="21" t="e">
        <f t="shared" ref="F32:F33" si="1">E32*D32</f>
        <v>#DIV/0!</v>
      </c>
      <c r="G32" s="21" t="e">
        <f t="shared" ref="G32:G33" si="2">F32/50</f>
        <v>#DIV/0!</v>
      </c>
    </row>
    <row r="33" spans="1:9" s="20" customFormat="1" hidden="1" outlineLevel="1" x14ac:dyDescent="0.25">
      <c r="B33" s="20" t="s">
        <v>399</v>
      </c>
      <c r="C33" s="21">
        <f>C26</f>
        <v>0</v>
      </c>
      <c r="D33" s="21" t="e">
        <f t="shared" si="0"/>
        <v>#DIV/0!</v>
      </c>
      <c r="E33" s="23">
        <v>1</v>
      </c>
      <c r="F33" s="21" t="e">
        <f t="shared" si="1"/>
        <v>#DIV/0!</v>
      </c>
      <c r="G33" s="21" t="e">
        <f t="shared" si="2"/>
        <v>#DIV/0!</v>
      </c>
    </row>
    <row r="34" spans="1:9" hidden="1" outlineLevel="1" x14ac:dyDescent="0.25"/>
    <row r="35" spans="1:9" collapsed="1" x14ac:dyDescent="0.25">
      <c r="B35" s="27" t="s">
        <v>5</v>
      </c>
      <c r="C35" s="28" t="s">
        <v>46</v>
      </c>
      <c r="D35" s="28" t="s">
        <v>6</v>
      </c>
    </row>
    <row r="36" spans="1:9" x14ac:dyDescent="0.25">
      <c r="B36" s="88" t="str">
        <f>B10&amp;", "&amp;D10&amp;" x "&amp;E10&amp;" cm"</f>
        <v>Azulejos,  x  cm</v>
      </c>
      <c r="C36" s="91" t="s">
        <v>298</v>
      </c>
      <c r="D36" s="87">
        <f>C10</f>
        <v>0</v>
      </c>
    </row>
    <row r="37" spans="1:9" x14ac:dyDescent="0.25">
      <c r="B37" s="88" t="str">
        <f>B11&amp;", "&amp;D11&amp;" x "&amp;E11&amp;" cm"</f>
        <v>Porcelanato,  x  cm</v>
      </c>
      <c r="C37" s="91" t="s">
        <v>298</v>
      </c>
      <c r="D37" s="87">
        <f>C11</f>
        <v>0</v>
      </c>
    </row>
    <row r="38" spans="1:9" x14ac:dyDescent="0.25">
      <c r="B38" s="88" t="str">
        <f>B12&amp;", "&amp;D12&amp;" x "&amp;E12&amp;" cm"</f>
        <v>Pastilhas,  x  cm</v>
      </c>
      <c r="C38" s="91" t="s">
        <v>298</v>
      </c>
      <c r="D38" s="87">
        <f>C12</f>
        <v>0</v>
      </c>
    </row>
    <row r="39" spans="1:9" x14ac:dyDescent="0.25">
      <c r="B39" s="88" t="s">
        <v>515</v>
      </c>
      <c r="C39" s="91" t="s">
        <v>290</v>
      </c>
      <c r="D39" s="87">
        <f>SUM(G17:G19)</f>
        <v>0</v>
      </c>
      <c r="F39" s="5"/>
    </row>
    <row r="40" spans="1:9" x14ac:dyDescent="0.25">
      <c r="B40" s="88" t="s">
        <v>403</v>
      </c>
      <c r="C40" s="91" t="s">
        <v>518</v>
      </c>
      <c r="D40" s="87">
        <f>SUM(F24:F26)</f>
        <v>0</v>
      </c>
      <c r="F40" s="5"/>
    </row>
    <row r="41" spans="1:9" x14ac:dyDescent="0.25">
      <c r="B41" s="88" t="s">
        <v>638</v>
      </c>
      <c r="C41" s="91" t="s">
        <v>640</v>
      </c>
      <c r="D41" s="87">
        <f>IFERROR(SUM(G31:G33),0)</f>
        <v>0</v>
      </c>
      <c r="F41" s="5"/>
    </row>
    <row r="42" spans="1:9" x14ac:dyDescent="0.25">
      <c r="B42" s="3"/>
      <c r="C42" s="43"/>
      <c r="D42" s="43"/>
    </row>
    <row r="44" spans="1:9" s="5" customFormat="1" ht="18.75" x14ac:dyDescent="0.3">
      <c r="A44" s="7"/>
      <c r="B44" s="132" t="s">
        <v>529</v>
      </c>
      <c r="C44" s="132"/>
      <c r="D44" s="132"/>
      <c r="E44" s="132"/>
      <c r="F44" s="7"/>
      <c r="G44" s="7"/>
      <c r="I44" s="22"/>
    </row>
    <row r="45" spans="1:9" s="5" customFormat="1" x14ac:dyDescent="0.25">
      <c r="A45" s="7"/>
      <c r="B45" s="7"/>
      <c r="C45" s="7"/>
      <c r="D45" s="7"/>
      <c r="E45" s="7"/>
      <c r="F45" s="7"/>
      <c r="G45" s="7"/>
      <c r="I45" s="22"/>
    </row>
    <row r="46" spans="1:9" x14ac:dyDescent="0.25">
      <c r="B46" s="9" t="s">
        <v>2</v>
      </c>
      <c r="C46" s="9"/>
    </row>
    <row r="48" spans="1:9" ht="30" x14ac:dyDescent="0.25">
      <c r="C48" s="67" t="s">
        <v>533</v>
      </c>
      <c r="D48" s="67" t="s">
        <v>512</v>
      </c>
      <c r="E48" s="67" t="s">
        <v>511</v>
      </c>
    </row>
    <row r="49" spans="2:8" x14ac:dyDescent="0.25">
      <c r="B49" s="7" t="s">
        <v>532</v>
      </c>
      <c r="C49" s="33"/>
      <c r="D49" s="23"/>
      <c r="E49" s="23"/>
    </row>
    <row r="50" spans="2:8" x14ac:dyDescent="0.25">
      <c r="B50" s="7" t="s">
        <v>499</v>
      </c>
      <c r="C50" s="33"/>
      <c r="D50" s="23"/>
      <c r="E50" s="23"/>
    </row>
    <row r="51" spans="2:8" x14ac:dyDescent="0.25">
      <c r="B51" s="7" t="s">
        <v>399</v>
      </c>
      <c r="C51" s="33"/>
      <c r="D51" s="23"/>
      <c r="E51" s="23"/>
    </row>
    <row r="53" spans="2:8" s="20" customFormat="1" hidden="1" outlineLevel="1" x14ac:dyDescent="0.25">
      <c r="B53" s="19" t="s">
        <v>510</v>
      </c>
    </row>
    <row r="54" spans="2:8" s="20" customFormat="1" hidden="1" outlineLevel="1" x14ac:dyDescent="0.25">
      <c r="B54" s="19"/>
    </row>
    <row r="55" spans="2:8" s="97" customFormat="1" ht="45" hidden="1" outlineLevel="1" x14ac:dyDescent="0.25">
      <c r="B55" s="74" t="s">
        <v>799</v>
      </c>
      <c r="C55" s="97" t="s">
        <v>175</v>
      </c>
      <c r="D55" s="97" t="s">
        <v>400</v>
      </c>
      <c r="E55" s="97" t="s">
        <v>509</v>
      </c>
      <c r="F55" s="97" t="s">
        <v>508</v>
      </c>
      <c r="G55" s="97" t="s">
        <v>507</v>
      </c>
      <c r="H55" s="97" t="s">
        <v>506</v>
      </c>
    </row>
    <row r="56" spans="2:8" s="20" customFormat="1" hidden="1" outlineLevel="1" x14ac:dyDescent="0.25">
      <c r="B56" s="20" t="s">
        <v>532</v>
      </c>
      <c r="C56" s="21">
        <f>C49*1.1</f>
        <v>0</v>
      </c>
      <c r="D56" s="21">
        <f>(('18. Revestimentos'!D49/100)*('18. Revestimentos'!E49/100))</f>
        <v>0</v>
      </c>
      <c r="E56" s="23">
        <f>IF(D56&lt;0.09,5,10)</f>
        <v>5</v>
      </c>
      <c r="F56" s="21">
        <f>E56*C56</f>
        <v>0</v>
      </c>
      <c r="G56" s="20">
        <f>F56/20</f>
        <v>0</v>
      </c>
      <c r="H56" s="20" t="str">
        <f>IF(D56&lt;0.36,"AC I","AC II")</f>
        <v>AC I</v>
      </c>
    </row>
    <row r="57" spans="2:8" s="20" customFormat="1" hidden="1" outlineLevel="1" x14ac:dyDescent="0.25">
      <c r="B57" s="20" t="s">
        <v>499</v>
      </c>
      <c r="C57" s="21">
        <f>C50*1.1</f>
        <v>0</v>
      </c>
      <c r="D57" s="21">
        <f>(('18. Revestimentos'!D50/100)*('18. Revestimentos'!E50/100))</f>
        <v>0</v>
      </c>
      <c r="E57" s="23">
        <f>IF(D57&lt;0.09,5,10)</f>
        <v>5</v>
      </c>
      <c r="F57" s="21">
        <f>E57*C57</f>
        <v>0</v>
      </c>
      <c r="G57" s="20">
        <f>F57/20</f>
        <v>0</v>
      </c>
      <c r="H57" s="20" t="str">
        <f t="shared" ref="H57:H58" si="3">IF(D57&lt;0.36,"AC I","AC II")</f>
        <v>AC I</v>
      </c>
    </row>
    <row r="58" spans="2:8" s="20" customFormat="1" hidden="1" outlineLevel="1" x14ac:dyDescent="0.25">
      <c r="B58" s="20" t="s">
        <v>399</v>
      </c>
      <c r="C58" s="21">
        <f>C51*1.1</f>
        <v>0</v>
      </c>
      <c r="D58" s="21">
        <f>(('18. Revestimentos'!D51/100)*('18. Revestimentos'!E51/100))</f>
        <v>0</v>
      </c>
      <c r="E58" s="23">
        <f>IF(D58&lt;0.09,5,10)</f>
        <v>5</v>
      </c>
      <c r="F58" s="21">
        <f>E58*C58</f>
        <v>0</v>
      </c>
      <c r="G58" s="20">
        <f>F58/20</f>
        <v>0</v>
      </c>
      <c r="H58" s="20" t="str">
        <f t="shared" si="3"/>
        <v>AC I</v>
      </c>
    </row>
    <row r="59" spans="2:8" s="20" customFormat="1" hidden="1" outlineLevel="1" x14ac:dyDescent="0.25"/>
    <row r="60" spans="2:8" s="20" customFormat="1" hidden="1" outlineLevel="1" x14ac:dyDescent="0.25">
      <c r="B60" s="19" t="s">
        <v>503</v>
      </c>
    </row>
    <row r="61" spans="2:8" s="20" customFormat="1" hidden="1" outlineLevel="1" x14ac:dyDescent="0.25">
      <c r="B61" s="19"/>
    </row>
    <row r="62" spans="2:8" s="97" customFormat="1" ht="60" hidden="1" outlineLevel="1" x14ac:dyDescent="0.25">
      <c r="B62" s="74"/>
      <c r="C62" s="97" t="s">
        <v>175</v>
      </c>
      <c r="D62" s="97" t="s">
        <v>402</v>
      </c>
      <c r="E62" s="97" t="s">
        <v>516</v>
      </c>
      <c r="F62" s="97" t="s">
        <v>517</v>
      </c>
    </row>
    <row r="63" spans="2:8" s="20" customFormat="1" hidden="1" outlineLevel="1" x14ac:dyDescent="0.25">
      <c r="B63" s="20" t="s">
        <v>532</v>
      </c>
      <c r="C63" s="21">
        <f>C56</f>
        <v>0</v>
      </c>
      <c r="D63" s="85">
        <v>0.33</v>
      </c>
      <c r="E63" s="21">
        <f>C63*D63</f>
        <v>0</v>
      </c>
      <c r="F63" s="21">
        <f>E63/5</f>
        <v>0</v>
      </c>
    </row>
    <row r="64" spans="2:8" s="20" customFormat="1" hidden="1" outlineLevel="1" x14ac:dyDescent="0.25">
      <c r="B64" s="20" t="s">
        <v>499</v>
      </c>
      <c r="C64" s="21">
        <f>C57</f>
        <v>0</v>
      </c>
      <c r="D64" s="85">
        <v>0.2</v>
      </c>
      <c r="E64" s="21">
        <f>C64*D64</f>
        <v>0</v>
      </c>
      <c r="F64" s="21">
        <f>E64/5</f>
        <v>0</v>
      </c>
    </row>
    <row r="65" spans="2:7" s="20" customFormat="1" hidden="1" outlineLevel="1" x14ac:dyDescent="0.25">
      <c r="B65" s="20" t="s">
        <v>399</v>
      </c>
      <c r="C65" s="21">
        <f>C58</f>
        <v>0</v>
      </c>
      <c r="D65" s="85">
        <v>0.2</v>
      </c>
      <c r="E65" s="21">
        <f>C65*D65</f>
        <v>0</v>
      </c>
      <c r="F65" s="21">
        <f>E65/5</f>
        <v>0</v>
      </c>
    </row>
    <row r="66" spans="2:7" s="20" customFormat="1" hidden="1" outlineLevel="1" x14ac:dyDescent="0.25"/>
    <row r="67" spans="2:7" s="20" customFormat="1" hidden="1" outlineLevel="1" x14ac:dyDescent="0.25">
      <c r="B67" s="19" t="s">
        <v>853</v>
      </c>
    </row>
    <row r="68" spans="2:7" s="20" customFormat="1" hidden="1" outlineLevel="1" x14ac:dyDescent="0.25"/>
    <row r="69" spans="2:7" s="97" customFormat="1" ht="45" hidden="1" outlineLevel="1" x14ac:dyDescent="0.25">
      <c r="B69" s="74"/>
      <c r="C69" s="97" t="s">
        <v>175</v>
      </c>
      <c r="D69" s="97" t="s">
        <v>407</v>
      </c>
      <c r="E69" s="97" t="s">
        <v>854</v>
      </c>
      <c r="F69" s="97" t="s">
        <v>855</v>
      </c>
      <c r="G69" s="97" t="s">
        <v>856</v>
      </c>
    </row>
    <row r="70" spans="2:7" s="20" customFormat="1" hidden="1" outlineLevel="1" x14ac:dyDescent="0.25">
      <c r="B70" s="20" t="s">
        <v>532</v>
      </c>
      <c r="C70" s="21">
        <f>C63</f>
        <v>0</v>
      </c>
      <c r="D70" s="21" t="e">
        <f>C70/D56</f>
        <v>#DIV/0!</v>
      </c>
      <c r="E70" s="23">
        <v>1</v>
      </c>
      <c r="F70" s="21" t="e">
        <f>E70*D70</f>
        <v>#DIV/0!</v>
      </c>
      <c r="G70" s="21" t="e">
        <f>F70/50</f>
        <v>#DIV/0!</v>
      </c>
    </row>
    <row r="71" spans="2:7" s="20" customFormat="1" hidden="1" outlineLevel="1" x14ac:dyDescent="0.25">
      <c r="B71" s="20" t="s">
        <v>499</v>
      </c>
      <c r="C71" s="21">
        <f>C64</f>
        <v>0</v>
      </c>
      <c r="D71" s="21" t="e">
        <f t="shared" ref="D71:D72" si="4">C71/D57</f>
        <v>#DIV/0!</v>
      </c>
      <c r="E71" s="23">
        <v>1</v>
      </c>
      <c r="F71" s="21" t="e">
        <f t="shared" ref="F71:F72" si="5">E71*D71</f>
        <v>#DIV/0!</v>
      </c>
      <c r="G71" s="21" t="e">
        <f t="shared" ref="G71:G72" si="6">F71/50</f>
        <v>#DIV/0!</v>
      </c>
    </row>
    <row r="72" spans="2:7" s="20" customFormat="1" hidden="1" outlineLevel="1" x14ac:dyDescent="0.25">
      <c r="B72" s="20" t="s">
        <v>399</v>
      </c>
      <c r="C72" s="21">
        <f>C65</f>
        <v>0</v>
      </c>
      <c r="D72" s="21" t="e">
        <f t="shared" si="4"/>
        <v>#DIV/0!</v>
      </c>
      <c r="E72" s="23">
        <v>1</v>
      </c>
      <c r="F72" s="21" t="e">
        <f t="shared" si="5"/>
        <v>#DIV/0!</v>
      </c>
      <c r="G72" s="21" t="e">
        <f t="shared" si="6"/>
        <v>#DIV/0!</v>
      </c>
    </row>
    <row r="73" spans="2:7" hidden="1" outlineLevel="1" x14ac:dyDescent="0.25"/>
    <row r="74" spans="2:7" collapsed="1" x14ac:dyDescent="0.25">
      <c r="B74" s="27" t="s">
        <v>5</v>
      </c>
      <c r="C74" s="28" t="s">
        <v>46</v>
      </c>
      <c r="D74" s="28" t="s">
        <v>6</v>
      </c>
    </row>
    <row r="75" spans="2:7" x14ac:dyDescent="0.25">
      <c r="B75" s="88" t="str">
        <f>B49&amp;", "&amp;D49&amp;" x "&amp;E49&amp;" cm"</f>
        <v>Azulejos,  x  cm</v>
      </c>
      <c r="C75" s="91" t="s">
        <v>298</v>
      </c>
      <c r="D75" s="87">
        <f>C49</f>
        <v>0</v>
      </c>
    </row>
    <row r="76" spans="2:7" x14ac:dyDescent="0.25">
      <c r="B76" s="88" t="str">
        <f>B50&amp;", "&amp;D50&amp;" x "&amp;E50&amp;" cm"</f>
        <v>Porcelanato,  x  cm</v>
      </c>
      <c r="C76" s="91" t="s">
        <v>298</v>
      </c>
      <c r="D76" s="87">
        <f>C50</f>
        <v>0</v>
      </c>
    </row>
    <row r="77" spans="2:7" x14ac:dyDescent="0.25">
      <c r="B77" s="88" t="str">
        <f>B51&amp;", "&amp;D51&amp;" x "&amp;E51&amp;" cm"</f>
        <v>Pastilhas,  x  cm</v>
      </c>
      <c r="C77" s="91" t="s">
        <v>298</v>
      </c>
      <c r="D77" s="87">
        <f>C51</f>
        <v>0</v>
      </c>
    </row>
    <row r="78" spans="2:7" x14ac:dyDescent="0.25">
      <c r="B78" s="88" t="s">
        <v>515</v>
      </c>
      <c r="C78" s="91" t="s">
        <v>290</v>
      </c>
      <c r="D78" s="87">
        <f>SUMIF(H56:H58,"AC I",G56:G58)</f>
        <v>0</v>
      </c>
      <c r="F78" s="5"/>
    </row>
    <row r="79" spans="2:7" x14ac:dyDescent="0.25">
      <c r="B79" s="88" t="s">
        <v>406</v>
      </c>
      <c r="C79" s="91" t="s">
        <v>290</v>
      </c>
      <c r="D79" s="87">
        <f>SUMIF(H56:H58,"AC II",G56:G58)</f>
        <v>0</v>
      </c>
      <c r="F79" s="5"/>
    </row>
    <row r="80" spans="2:7" x14ac:dyDescent="0.25">
      <c r="B80" s="88" t="s">
        <v>401</v>
      </c>
      <c r="C80" s="91" t="s">
        <v>518</v>
      </c>
      <c r="D80" s="87">
        <f>SUM(F63:F65)</f>
        <v>0</v>
      </c>
      <c r="F80" s="5"/>
    </row>
    <row r="81" spans="1:9" x14ac:dyDescent="0.25">
      <c r="B81" s="88" t="s">
        <v>638</v>
      </c>
      <c r="C81" s="91" t="s">
        <v>640</v>
      </c>
      <c r="D81" s="87">
        <f>IFERROR(SUM(G70:G72),0)</f>
        <v>0</v>
      </c>
      <c r="F81" s="5"/>
    </row>
    <row r="82" spans="1:9" x14ac:dyDescent="0.25">
      <c r="B82" s="3"/>
      <c r="C82" s="3"/>
      <c r="D82" s="43"/>
    </row>
    <row r="84" spans="1:9" s="5" customFormat="1" ht="18.75" x14ac:dyDescent="0.3">
      <c r="A84" s="7"/>
      <c r="B84" s="132" t="s">
        <v>530</v>
      </c>
      <c r="C84" s="132"/>
      <c r="D84" s="132"/>
      <c r="E84" s="132"/>
      <c r="F84" s="7"/>
      <c r="G84" s="7"/>
      <c r="I84" s="22"/>
    </row>
    <row r="85" spans="1:9" s="5" customFormat="1" x14ac:dyDescent="0.25">
      <c r="A85" s="7"/>
      <c r="B85" s="7"/>
      <c r="C85" s="7"/>
      <c r="D85" s="7"/>
      <c r="E85" s="7"/>
      <c r="F85" s="7"/>
      <c r="G85" s="7"/>
      <c r="I85" s="22"/>
    </row>
    <row r="86" spans="1:9" x14ac:dyDescent="0.25">
      <c r="B86" s="9" t="s">
        <v>2</v>
      </c>
      <c r="C86" s="9"/>
    </row>
    <row r="88" spans="1:9" ht="30" x14ac:dyDescent="0.25">
      <c r="C88" s="67" t="s">
        <v>533</v>
      </c>
      <c r="D88" s="67" t="s">
        <v>512</v>
      </c>
      <c r="E88" s="67" t="s">
        <v>511</v>
      </c>
    </row>
    <row r="89" spans="1:9" x14ac:dyDescent="0.25">
      <c r="B89" s="7" t="s">
        <v>532</v>
      </c>
      <c r="C89" s="33"/>
      <c r="D89" s="23"/>
      <c r="E89" s="23"/>
    </row>
    <row r="90" spans="1:9" x14ac:dyDescent="0.25">
      <c r="B90" s="7" t="s">
        <v>499</v>
      </c>
      <c r="C90" s="33"/>
      <c r="D90" s="23"/>
      <c r="E90" s="23"/>
    </row>
    <row r="91" spans="1:9" x14ac:dyDescent="0.25">
      <c r="B91" s="7" t="s">
        <v>399</v>
      </c>
      <c r="C91" s="33"/>
      <c r="D91" s="23"/>
      <c r="E91" s="23"/>
    </row>
    <row r="93" spans="1:9" s="20" customFormat="1" hidden="1" outlineLevel="1" x14ac:dyDescent="0.25">
      <c r="B93" s="19" t="s">
        <v>510</v>
      </c>
    </row>
    <row r="94" spans="1:9" s="20" customFormat="1" hidden="1" outlineLevel="1" x14ac:dyDescent="0.25">
      <c r="B94" s="19"/>
    </row>
    <row r="95" spans="1:9" s="97" customFormat="1" ht="45" hidden="1" outlineLevel="1" x14ac:dyDescent="0.25">
      <c r="B95" s="74"/>
      <c r="C95" s="97" t="s">
        <v>175</v>
      </c>
      <c r="D95" s="97" t="s">
        <v>400</v>
      </c>
      <c r="E95" s="97" t="s">
        <v>509</v>
      </c>
      <c r="F95" s="97" t="s">
        <v>508</v>
      </c>
      <c r="G95" s="97" t="s">
        <v>507</v>
      </c>
      <c r="H95" s="97" t="s">
        <v>506</v>
      </c>
    </row>
    <row r="96" spans="1:9" s="20" customFormat="1" hidden="1" outlineLevel="1" x14ac:dyDescent="0.25">
      <c r="B96" s="20" t="s">
        <v>532</v>
      </c>
      <c r="C96" s="21">
        <f>C89*1.1</f>
        <v>0</v>
      </c>
      <c r="D96" s="21">
        <f>(('18. Revestimentos'!D89/100)*('18. Revestimentos'!E89/100))</f>
        <v>0</v>
      </c>
      <c r="E96" s="23">
        <f>IF(D96&lt;0.09,5,10)</f>
        <v>5</v>
      </c>
      <c r="F96" s="21">
        <f>E96*C96</f>
        <v>0</v>
      </c>
      <c r="G96" s="20">
        <f>F96/20</f>
        <v>0</v>
      </c>
      <c r="H96" s="20" t="s">
        <v>520</v>
      </c>
    </row>
    <row r="97" spans="2:8" s="20" customFormat="1" hidden="1" outlineLevel="1" x14ac:dyDescent="0.25">
      <c r="B97" s="20" t="s">
        <v>499</v>
      </c>
      <c r="C97" s="21">
        <f>C90*1.1</f>
        <v>0</v>
      </c>
      <c r="D97" s="21">
        <f>(('18. Revestimentos'!D90/100)*('18. Revestimentos'!E90/100))</f>
        <v>0</v>
      </c>
      <c r="E97" s="23">
        <f>IF(D97&lt;0.09,5,10)</f>
        <v>5</v>
      </c>
      <c r="F97" s="21">
        <f>E97*C97</f>
        <v>0</v>
      </c>
      <c r="G97" s="20">
        <f>F97/20</f>
        <v>0</v>
      </c>
      <c r="H97" s="20" t="s">
        <v>520</v>
      </c>
    </row>
    <row r="98" spans="2:8" s="20" customFormat="1" hidden="1" outlineLevel="1" x14ac:dyDescent="0.25">
      <c r="B98" s="20" t="s">
        <v>399</v>
      </c>
      <c r="C98" s="21">
        <f>C91*1.1</f>
        <v>0</v>
      </c>
      <c r="D98" s="21">
        <f>(('18. Revestimentos'!D91/100)*('18. Revestimentos'!E91/100))</f>
        <v>0</v>
      </c>
      <c r="E98" s="23">
        <f>IF(D98&lt;0.09,5,10)</f>
        <v>5</v>
      </c>
      <c r="F98" s="21">
        <f>E98*C98</f>
        <v>0</v>
      </c>
      <c r="G98" s="20">
        <f>F98/20</f>
        <v>0</v>
      </c>
      <c r="H98" s="20" t="s">
        <v>520</v>
      </c>
    </row>
    <row r="99" spans="2:8" s="20" customFormat="1" hidden="1" outlineLevel="1" x14ac:dyDescent="0.25"/>
    <row r="100" spans="2:8" s="20" customFormat="1" hidden="1" outlineLevel="1" x14ac:dyDescent="0.25">
      <c r="B100" s="19" t="s">
        <v>503</v>
      </c>
    </row>
    <row r="101" spans="2:8" s="20" customFormat="1" hidden="1" outlineLevel="1" x14ac:dyDescent="0.25">
      <c r="B101" s="19"/>
    </row>
    <row r="102" spans="2:8" s="97" customFormat="1" ht="60" hidden="1" outlineLevel="1" x14ac:dyDescent="0.25">
      <c r="B102" s="74"/>
      <c r="C102" s="97" t="s">
        <v>175</v>
      </c>
      <c r="D102" s="97" t="s">
        <v>402</v>
      </c>
      <c r="E102" s="97" t="s">
        <v>516</v>
      </c>
      <c r="F102" s="97" t="s">
        <v>517</v>
      </c>
    </row>
    <row r="103" spans="2:8" s="20" customFormat="1" hidden="1" outlineLevel="1" x14ac:dyDescent="0.25">
      <c r="B103" s="20" t="s">
        <v>532</v>
      </c>
      <c r="C103" s="21">
        <f>C96</f>
        <v>0</v>
      </c>
      <c r="D103" s="85">
        <v>0.33</v>
      </c>
      <c r="E103" s="21">
        <f>C103*D103</f>
        <v>0</v>
      </c>
      <c r="F103" s="21">
        <f>E103/5</f>
        <v>0</v>
      </c>
    </row>
    <row r="104" spans="2:8" s="20" customFormat="1" hidden="1" outlineLevel="1" x14ac:dyDescent="0.25">
      <c r="B104" s="20" t="s">
        <v>499</v>
      </c>
      <c r="C104" s="21">
        <f>C97</f>
        <v>0</v>
      </c>
      <c r="D104" s="85">
        <v>0.2</v>
      </c>
      <c r="E104" s="21">
        <f>C104*D104</f>
        <v>0</v>
      </c>
      <c r="F104" s="21">
        <f>E104/5</f>
        <v>0</v>
      </c>
    </row>
    <row r="105" spans="2:8" s="20" customFormat="1" hidden="1" outlineLevel="1" x14ac:dyDescent="0.25">
      <c r="B105" s="20" t="s">
        <v>399</v>
      </c>
      <c r="C105" s="21">
        <f>C98</f>
        <v>0</v>
      </c>
      <c r="D105" s="85">
        <v>0.2</v>
      </c>
      <c r="E105" s="21">
        <f>C105*D105</f>
        <v>0</v>
      </c>
      <c r="F105" s="21">
        <f>E105/5</f>
        <v>0</v>
      </c>
    </row>
    <row r="106" spans="2:8" s="20" customFormat="1" hidden="1" outlineLevel="1" x14ac:dyDescent="0.25"/>
    <row r="107" spans="2:8" s="20" customFormat="1" hidden="1" outlineLevel="1" x14ac:dyDescent="0.25">
      <c r="B107" s="19" t="s">
        <v>853</v>
      </c>
    </row>
    <row r="108" spans="2:8" s="20" customFormat="1" hidden="1" outlineLevel="1" x14ac:dyDescent="0.25"/>
    <row r="109" spans="2:8" s="97" customFormat="1" ht="45" hidden="1" outlineLevel="1" x14ac:dyDescent="0.25">
      <c r="B109" s="74"/>
      <c r="C109" s="97" t="s">
        <v>175</v>
      </c>
      <c r="D109" s="97" t="s">
        <v>407</v>
      </c>
      <c r="E109" s="97" t="s">
        <v>854</v>
      </c>
      <c r="F109" s="97" t="s">
        <v>855</v>
      </c>
      <c r="G109" s="97" t="s">
        <v>856</v>
      </c>
    </row>
    <row r="110" spans="2:8" s="20" customFormat="1" hidden="1" outlineLevel="1" x14ac:dyDescent="0.25">
      <c r="B110" s="20" t="s">
        <v>532</v>
      </c>
      <c r="C110" s="21">
        <f>C103</f>
        <v>0</v>
      </c>
      <c r="D110" s="21" t="e">
        <f>C110/D96</f>
        <v>#DIV/0!</v>
      </c>
      <c r="E110" s="23">
        <v>1</v>
      </c>
      <c r="F110" s="21" t="e">
        <f>E110*D110</f>
        <v>#DIV/0!</v>
      </c>
      <c r="G110" s="21" t="e">
        <f>F110/50</f>
        <v>#DIV/0!</v>
      </c>
    </row>
    <row r="111" spans="2:8" s="20" customFormat="1" hidden="1" outlineLevel="1" x14ac:dyDescent="0.25">
      <c r="B111" s="20" t="s">
        <v>499</v>
      </c>
      <c r="C111" s="21">
        <f>C104</f>
        <v>0</v>
      </c>
      <c r="D111" s="21" t="e">
        <f t="shared" ref="D111:D112" si="7">C111/D97</f>
        <v>#DIV/0!</v>
      </c>
      <c r="E111" s="23">
        <v>1</v>
      </c>
      <c r="F111" s="21" t="e">
        <f t="shared" ref="F111:F112" si="8">E111*D111</f>
        <v>#DIV/0!</v>
      </c>
      <c r="G111" s="21" t="e">
        <f t="shared" ref="G111:G112" si="9">F111/50</f>
        <v>#DIV/0!</v>
      </c>
    </row>
    <row r="112" spans="2:8" s="20" customFormat="1" hidden="1" outlineLevel="1" x14ac:dyDescent="0.25">
      <c r="B112" s="20" t="s">
        <v>399</v>
      </c>
      <c r="C112" s="21">
        <f>C105</f>
        <v>0</v>
      </c>
      <c r="D112" s="21" t="e">
        <f t="shared" si="7"/>
        <v>#DIV/0!</v>
      </c>
      <c r="E112" s="23">
        <v>1</v>
      </c>
      <c r="F112" s="21" t="e">
        <f t="shared" si="8"/>
        <v>#DIV/0!</v>
      </c>
      <c r="G112" s="21" t="e">
        <f t="shared" si="9"/>
        <v>#DIV/0!</v>
      </c>
    </row>
    <row r="113" spans="1:9" hidden="1" outlineLevel="1" x14ac:dyDescent="0.25"/>
    <row r="114" spans="1:9" collapsed="1" x14ac:dyDescent="0.25">
      <c r="B114" s="27" t="s">
        <v>5</v>
      </c>
      <c r="C114" s="28" t="s">
        <v>46</v>
      </c>
      <c r="D114" s="28" t="s">
        <v>6</v>
      </c>
    </row>
    <row r="115" spans="1:9" x14ac:dyDescent="0.25">
      <c r="B115" s="88" t="str">
        <f>B89&amp;", "&amp;D89&amp;" x "&amp;E89&amp;" cm"</f>
        <v>Azulejos,  x  cm</v>
      </c>
      <c r="C115" s="91" t="s">
        <v>298</v>
      </c>
      <c r="D115" s="87">
        <f>C89</f>
        <v>0</v>
      </c>
    </row>
    <row r="116" spans="1:9" x14ac:dyDescent="0.25">
      <c r="B116" s="88" t="str">
        <f>B90&amp;", "&amp;D90&amp;" x "&amp;E90&amp;" cm"</f>
        <v>Porcelanato,  x  cm</v>
      </c>
      <c r="C116" s="91" t="s">
        <v>298</v>
      </c>
      <c r="D116" s="87">
        <f>C90</f>
        <v>0</v>
      </c>
    </row>
    <row r="117" spans="1:9" x14ac:dyDescent="0.25">
      <c r="B117" s="88" t="str">
        <f>B91&amp;", "&amp;D91&amp;" x "&amp;E91&amp;" cm"</f>
        <v>Pastilhas,  x  cm</v>
      </c>
      <c r="C117" s="91" t="s">
        <v>298</v>
      </c>
      <c r="D117" s="87">
        <f>C91</f>
        <v>0</v>
      </c>
    </row>
    <row r="118" spans="1:9" x14ac:dyDescent="0.25">
      <c r="B118" s="88" t="s">
        <v>406</v>
      </c>
      <c r="C118" s="91" t="s">
        <v>290</v>
      </c>
      <c r="D118" s="87">
        <f>SUM(G96:G98)</f>
        <v>0</v>
      </c>
      <c r="F118" s="5"/>
    </row>
    <row r="119" spans="1:9" x14ac:dyDescent="0.25">
      <c r="B119" s="88" t="s">
        <v>401</v>
      </c>
      <c r="C119" s="91" t="s">
        <v>518</v>
      </c>
      <c r="D119" s="87">
        <f>SUM(F103:F105)</f>
        <v>0</v>
      </c>
      <c r="F119" s="5"/>
    </row>
    <row r="120" spans="1:9" x14ac:dyDescent="0.25">
      <c r="B120" s="88" t="s">
        <v>638</v>
      </c>
      <c r="C120" s="91" t="s">
        <v>640</v>
      </c>
      <c r="D120" s="87">
        <f>IFERROR(SUM(G110:G112),0)</f>
        <v>0</v>
      </c>
      <c r="F120" s="5"/>
    </row>
    <row r="121" spans="1:9" x14ac:dyDescent="0.25">
      <c r="B121" s="3"/>
      <c r="C121" s="43"/>
      <c r="D121" s="43"/>
    </row>
    <row r="123" spans="1:9" s="5" customFormat="1" ht="18.75" x14ac:dyDescent="0.3">
      <c r="A123" s="7"/>
      <c r="B123" s="132" t="s">
        <v>531</v>
      </c>
      <c r="C123" s="132"/>
      <c r="D123" s="132"/>
      <c r="E123" s="132"/>
      <c r="F123" s="7"/>
      <c r="G123" s="7"/>
      <c r="I123" s="22"/>
    </row>
    <row r="124" spans="1:9" s="5" customFormat="1" x14ac:dyDescent="0.25">
      <c r="A124" s="7"/>
      <c r="B124" s="7"/>
      <c r="C124" s="7"/>
      <c r="D124" s="7"/>
      <c r="E124" s="7"/>
      <c r="F124" s="7"/>
      <c r="G124" s="7"/>
      <c r="I124" s="22"/>
    </row>
    <row r="125" spans="1:9" x14ac:dyDescent="0.25">
      <c r="B125" s="9" t="s">
        <v>2</v>
      </c>
      <c r="C125" s="9"/>
    </row>
    <row r="127" spans="1:9" ht="30" x14ac:dyDescent="0.25">
      <c r="C127" s="67" t="s">
        <v>533</v>
      </c>
      <c r="D127" s="67" t="s">
        <v>512</v>
      </c>
      <c r="E127" s="67" t="s">
        <v>511</v>
      </c>
    </row>
    <row r="128" spans="1:9" x14ac:dyDescent="0.25">
      <c r="B128" s="7" t="s">
        <v>532</v>
      </c>
      <c r="C128" s="33"/>
      <c r="D128" s="23"/>
      <c r="E128" s="23"/>
    </row>
    <row r="129" spans="2:8" x14ac:dyDescent="0.25">
      <c r="B129" s="7" t="s">
        <v>499</v>
      </c>
      <c r="C129" s="33"/>
      <c r="D129" s="23"/>
      <c r="E129" s="23"/>
    </row>
    <row r="130" spans="2:8" x14ac:dyDescent="0.25">
      <c r="B130" s="7" t="s">
        <v>399</v>
      </c>
      <c r="C130" s="33"/>
      <c r="D130" s="23"/>
      <c r="E130" s="23"/>
    </row>
    <row r="132" spans="2:8" s="20" customFormat="1" hidden="1" outlineLevel="1" x14ac:dyDescent="0.25">
      <c r="B132" s="19" t="s">
        <v>510</v>
      </c>
    </row>
    <row r="133" spans="2:8" s="20" customFormat="1" hidden="1" outlineLevel="1" x14ac:dyDescent="0.25">
      <c r="B133" s="19"/>
    </row>
    <row r="134" spans="2:8" s="97" customFormat="1" ht="45" hidden="1" outlineLevel="1" x14ac:dyDescent="0.25">
      <c r="B134" s="74"/>
      <c r="C134" s="97" t="s">
        <v>175</v>
      </c>
      <c r="D134" s="97" t="s">
        <v>400</v>
      </c>
      <c r="E134" s="97" t="s">
        <v>509</v>
      </c>
      <c r="F134" s="97" t="s">
        <v>508</v>
      </c>
      <c r="G134" s="97" t="s">
        <v>507</v>
      </c>
      <c r="H134" s="97" t="s">
        <v>506</v>
      </c>
    </row>
    <row r="135" spans="2:8" s="20" customFormat="1" hidden="1" outlineLevel="1" x14ac:dyDescent="0.25">
      <c r="B135" s="20" t="s">
        <v>532</v>
      </c>
      <c r="C135" s="21">
        <f>C128*1.1</f>
        <v>0</v>
      </c>
      <c r="D135" s="21">
        <f>(('18. Revestimentos'!D128/100)*('18. Revestimentos'!E128/100))</f>
        <v>0</v>
      </c>
      <c r="E135" s="23">
        <f>IF(D135&lt;0.09,5,10)</f>
        <v>5</v>
      </c>
      <c r="F135" s="21">
        <f>E135*C135</f>
        <v>0</v>
      </c>
      <c r="G135" s="20">
        <f>F135/20</f>
        <v>0</v>
      </c>
      <c r="H135" s="20" t="str">
        <f>IF(D135&lt;0.36,"AC II","AC III")</f>
        <v>AC II</v>
      </c>
    </row>
    <row r="136" spans="2:8" s="20" customFormat="1" hidden="1" outlineLevel="1" x14ac:dyDescent="0.25">
      <c r="B136" s="20" t="s">
        <v>499</v>
      </c>
      <c r="C136" s="21">
        <f>C129*1.1</f>
        <v>0</v>
      </c>
      <c r="D136" s="21">
        <f>(('18. Revestimentos'!D129/100)*('18. Revestimentos'!E129/100))</f>
        <v>0</v>
      </c>
      <c r="E136" s="23">
        <f>IF(D136&lt;0.09,5,10)</f>
        <v>5</v>
      </c>
      <c r="F136" s="21">
        <f>E136*C136</f>
        <v>0</v>
      </c>
      <c r="G136" s="20">
        <f>F136/20</f>
        <v>0</v>
      </c>
      <c r="H136" s="20" t="str">
        <f t="shared" ref="H136:H137" si="10">IF(D136&lt;0.36,"AC II","AC III")</f>
        <v>AC II</v>
      </c>
    </row>
    <row r="137" spans="2:8" s="20" customFormat="1" hidden="1" outlineLevel="1" x14ac:dyDescent="0.25">
      <c r="B137" s="20" t="s">
        <v>399</v>
      </c>
      <c r="C137" s="21">
        <f>C130*1.1</f>
        <v>0</v>
      </c>
      <c r="D137" s="21">
        <f>(('18. Revestimentos'!D130/100)*('18. Revestimentos'!E130/100))</f>
        <v>0</v>
      </c>
      <c r="E137" s="23">
        <f>IF(D137&lt;0.09,5,10)</f>
        <v>5</v>
      </c>
      <c r="F137" s="21">
        <f>E137*C137</f>
        <v>0</v>
      </c>
      <c r="G137" s="20">
        <f>F137/20</f>
        <v>0</v>
      </c>
      <c r="H137" s="20" t="str">
        <f t="shared" si="10"/>
        <v>AC II</v>
      </c>
    </row>
    <row r="138" spans="2:8" s="20" customFormat="1" hidden="1" outlineLevel="1" x14ac:dyDescent="0.25"/>
    <row r="139" spans="2:8" s="20" customFormat="1" hidden="1" outlineLevel="1" x14ac:dyDescent="0.25">
      <c r="B139" s="19" t="s">
        <v>503</v>
      </c>
    </row>
    <row r="140" spans="2:8" s="20" customFormat="1" hidden="1" outlineLevel="1" x14ac:dyDescent="0.25">
      <c r="B140" s="19"/>
    </row>
    <row r="141" spans="2:8" s="97" customFormat="1" ht="45" hidden="1" outlineLevel="1" x14ac:dyDescent="0.25">
      <c r="B141" s="74"/>
      <c r="C141" s="97" t="s">
        <v>175</v>
      </c>
      <c r="D141" s="97" t="s">
        <v>522</v>
      </c>
      <c r="E141" s="97" t="s">
        <v>523</v>
      </c>
      <c r="F141" s="97" t="s">
        <v>524</v>
      </c>
    </row>
    <row r="142" spans="2:8" s="20" customFormat="1" hidden="1" outlineLevel="1" x14ac:dyDescent="0.25">
      <c r="B142" s="20" t="s">
        <v>532</v>
      </c>
      <c r="C142" s="21">
        <f>C135</f>
        <v>0</v>
      </c>
      <c r="D142" s="85">
        <v>0.33</v>
      </c>
      <c r="E142" s="21">
        <f>C142*D142</f>
        <v>0</v>
      </c>
      <c r="F142" s="21">
        <f>E142/5</f>
        <v>0</v>
      </c>
    </row>
    <row r="143" spans="2:8" s="20" customFormat="1" hidden="1" outlineLevel="1" x14ac:dyDescent="0.25">
      <c r="B143" s="20" t="s">
        <v>499</v>
      </c>
      <c r="C143" s="21">
        <f>C136</f>
        <v>0</v>
      </c>
      <c r="D143" s="85">
        <v>0.17</v>
      </c>
      <c r="E143" s="21">
        <f>C143*D143</f>
        <v>0</v>
      </c>
      <c r="F143" s="21">
        <f>E143/5</f>
        <v>0</v>
      </c>
    </row>
    <row r="144" spans="2:8" s="20" customFormat="1" hidden="1" outlineLevel="1" x14ac:dyDescent="0.25">
      <c r="B144" s="20" t="s">
        <v>399</v>
      </c>
      <c r="C144" s="21">
        <f>C137</f>
        <v>0</v>
      </c>
      <c r="D144" s="85">
        <v>0.21</v>
      </c>
      <c r="E144" s="21">
        <f>C144*D144</f>
        <v>0</v>
      </c>
      <c r="F144" s="21">
        <f>E144/5</f>
        <v>0</v>
      </c>
    </row>
    <row r="145" spans="2:7" s="20" customFormat="1" hidden="1" outlineLevel="1" x14ac:dyDescent="0.25"/>
    <row r="146" spans="2:7" s="20" customFormat="1" hidden="1" outlineLevel="1" x14ac:dyDescent="0.25">
      <c r="B146" s="19" t="s">
        <v>853</v>
      </c>
    </row>
    <row r="147" spans="2:7" s="20" customFormat="1" hidden="1" outlineLevel="1" x14ac:dyDescent="0.25"/>
    <row r="148" spans="2:7" s="97" customFormat="1" ht="45" hidden="1" outlineLevel="1" x14ac:dyDescent="0.25">
      <c r="B148" s="74"/>
      <c r="C148" s="97" t="s">
        <v>175</v>
      </c>
      <c r="D148" s="97" t="s">
        <v>407</v>
      </c>
      <c r="E148" s="97" t="s">
        <v>854</v>
      </c>
      <c r="F148" s="97" t="s">
        <v>855</v>
      </c>
      <c r="G148" s="97" t="s">
        <v>856</v>
      </c>
    </row>
    <row r="149" spans="2:7" s="20" customFormat="1" hidden="1" outlineLevel="1" x14ac:dyDescent="0.25">
      <c r="B149" s="20" t="s">
        <v>532</v>
      </c>
      <c r="C149" s="21">
        <f>C142</f>
        <v>0</v>
      </c>
      <c r="D149" s="21" t="e">
        <f>C149/D135</f>
        <v>#DIV/0!</v>
      </c>
      <c r="E149" s="23">
        <v>1</v>
      </c>
      <c r="F149" s="21" t="e">
        <f>E149*D149</f>
        <v>#DIV/0!</v>
      </c>
      <c r="G149" s="21" t="e">
        <f>F149/50</f>
        <v>#DIV/0!</v>
      </c>
    </row>
    <row r="150" spans="2:7" s="20" customFormat="1" hidden="1" outlineLevel="1" x14ac:dyDescent="0.25">
      <c r="B150" s="20" t="s">
        <v>499</v>
      </c>
      <c r="C150" s="21">
        <f>C143</f>
        <v>0</v>
      </c>
      <c r="D150" s="21" t="e">
        <f t="shared" ref="D150:D151" si="11">C150/D136</f>
        <v>#DIV/0!</v>
      </c>
      <c r="E150" s="23">
        <v>1</v>
      </c>
      <c r="F150" s="21" t="e">
        <f t="shared" ref="F150:F151" si="12">E150*D150</f>
        <v>#DIV/0!</v>
      </c>
      <c r="G150" s="21" t="e">
        <f t="shared" ref="G150:G151" si="13">F150/50</f>
        <v>#DIV/0!</v>
      </c>
    </row>
    <row r="151" spans="2:7" s="20" customFormat="1" hidden="1" outlineLevel="1" x14ac:dyDescent="0.25">
      <c r="B151" s="20" t="s">
        <v>399</v>
      </c>
      <c r="C151" s="21">
        <f>C144</f>
        <v>0</v>
      </c>
      <c r="D151" s="21" t="e">
        <f t="shared" si="11"/>
        <v>#DIV/0!</v>
      </c>
      <c r="E151" s="23">
        <v>1</v>
      </c>
      <c r="F151" s="21" t="e">
        <f t="shared" si="12"/>
        <v>#DIV/0!</v>
      </c>
      <c r="G151" s="21" t="e">
        <f t="shared" si="13"/>
        <v>#DIV/0!</v>
      </c>
    </row>
    <row r="152" spans="2:7" hidden="1" outlineLevel="1" x14ac:dyDescent="0.25"/>
    <row r="153" spans="2:7" collapsed="1" x14ac:dyDescent="0.25">
      <c r="B153" s="27" t="s">
        <v>5</v>
      </c>
      <c r="C153" s="28" t="s">
        <v>46</v>
      </c>
      <c r="D153" s="28" t="s">
        <v>6</v>
      </c>
    </row>
    <row r="154" spans="2:7" x14ac:dyDescent="0.25">
      <c r="B154" s="88" t="str">
        <f>B128&amp;", "&amp;D128&amp;" x "&amp;E128&amp;" cm"</f>
        <v>Azulejos,  x  cm</v>
      </c>
      <c r="C154" s="91" t="s">
        <v>298</v>
      </c>
      <c r="D154" s="87">
        <f>C128</f>
        <v>0</v>
      </c>
    </row>
    <row r="155" spans="2:7" x14ac:dyDescent="0.25">
      <c r="B155" s="88" t="str">
        <f>B129&amp;", "&amp;D129&amp;" x "&amp;E129&amp;" cm"</f>
        <v>Porcelanato,  x  cm</v>
      </c>
      <c r="C155" s="91" t="s">
        <v>298</v>
      </c>
      <c r="D155" s="87">
        <f>C129</f>
        <v>0</v>
      </c>
    </row>
    <row r="156" spans="2:7" x14ac:dyDescent="0.25">
      <c r="B156" s="88" t="str">
        <f>B130&amp;", "&amp;D130&amp;" x "&amp;E130&amp;" cm"</f>
        <v>Pastilhas,  x  cm</v>
      </c>
      <c r="C156" s="91" t="s">
        <v>298</v>
      </c>
      <c r="D156" s="87">
        <f>C130</f>
        <v>0</v>
      </c>
    </row>
    <row r="157" spans="2:7" x14ac:dyDescent="0.25">
      <c r="B157" s="88" t="s">
        <v>406</v>
      </c>
      <c r="C157" s="91" t="s">
        <v>290</v>
      </c>
      <c r="D157" s="87">
        <f>SUMIF(H135:H137,"AC II",G135:G137)</f>
        <v>0</v>
      </c>
      <c r="F157" s="5"/>
    </row>
    <row r="158" spans="2:7" x14ac:dyDescent="0.25">
      <c r="B158" s="88" t="s">
        <v>405</v>
      </c>
      <c r="C158" s="91" t="s">
        <v>290</v>
      </c>
      <c r="D158" s="87">
        <f>SUMIF(H135:H137,"AC III",G135:G137)</f>
        <v>0</v>
      </c>
      <c r="F158" s="5"/>
    </row>
    <row r="159" spans="2:7" x14ac:dyDescent="0.25">
      <c r="B159" s="88" t="s">
        <v>398</v>
      </c>
      <c r="C159" s="91" t="s">
        <v>518</v>
      </c>
      <c r="D159" s="87">
        <f>SUM(F142:F144)</f>
        <v>0</v>
      </c>
      <c r="F159" s="5"/>
    </row>
    <row r="160" spans="2:7" x14ac:dyDescent="0.25">
      <c r="B160" s="88" t="s">
        <v>638</v>
      </c>
      <c r="C160" s="91" t="s">
        <v>640</v>
      </c>
      <c r="D160" s="87">
        <f>IFERROR(SUM(G149:G151),0)</f>
        <v>0</v>
      </c>
      <c r="F160" s="5"/>
    </row>
    <row r="161" spans="2:4" x14ac:dyDescent="0.25">
      <c r="B161" s="3"/>
      <c r="C161" s="3"/>
      <c r="D161" s="43"/>
    </row>
  </sheetData>
  <mergeCells count="6">
    <mergeCell ref="B123:E123"/>
    <mergeCell ref="B2:E2"/>
    <mergeCell ref="B4:E4"/>
    <mergeCell ref="B5:E5"/>
    <mergeCell ref="B44:E44"/>
    <mergeCell ref="B84:E8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35:E137 E96:E98 E56:E58 E17:E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showGridLines="0" zoomScale="130" zoomScaleNormal="130" workbookViewId="0">
      <selection activeCell="E12" sqref="E11:E12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4</v>
      </c>
      <c r="C2" s="130"/>
      <c r="D2" s="131"/>
    </row>
    <row r="3" spans="1:8" ht="9.75" customHeight="1" x14ac:dyDescent="0.25"/>
    <row r="4" spans="1:8" ht="45.75" customHeight="1" x14ac:dyDescent="0.25">
      <c r="B4" s="128" t="s">
        <v>3</v>
      </c>
      <c r="C4" s="128"/>
      <c r="D4" s="128"/>
    </row>
    <row r="6" spans="1:8" s="5" customFormat="1" ht="18.75" x14ac:dyDescent="0.3">
      <c r="A6" s="7"/>
      <c r="B6" s="132" t="s">
        <v>541</v>
      </c>
      <c r="C6" s="132"/>
      <c r="D6" s="132"/>
      <c r="E6" s="7"/>
      <c r="F6" s="7"/>
      <c r="H6" s="22"/>
    </row>
    <row r="7" spans="1:8" s="5" customFormat="1" x14ac:dyDescent="0.25">
      <c r="A7" s="7"/>
      <c r="B7" s="7"/>
      <c r="C7" s="7"/>
      <c r="D7" s="7"/>
      <c r="E7" s="7"/>
      <c r="F7" s="7"/>
      <c r="H7" s="22"/>
    </row>
    <row r="8" spans="1:8" x14ac:dyDescent="0.25">
      <c r="B8" s="9" t="s">
        <v>2</v>
      </c>
    </row>
    <row r="10" spans="1:8" x14ac:dyDescent="0.25">
      <c r="B10" s="7" t="s">
        <v>69</v>
      </c>
      <c r="C10" s="33">
        <v>10</v>
      </c>
      <c r="D10" s="7" t="s">
        <v>53</v>
      </c>
    </row>
    <row r="11" spans="1:8" x14ac:dyDescent="0.25">
      <c r="B11" s="7" t="s">
        <v>68</v>
      </c>
      <c r="C11" s="33">
        <v>25</v>
      </c>
      <c r="D11" s="7" t="s">
        <v>53</v>
      </c>
    </row>
    <row r="13" spans="1:8" s="20" customFormat="1" hidden="1" outlineLevel="1" x14ac:dyDescent="0.25">
      <c r="B13" s="19" t="s">
        <v>595</v>
      </c>
    </row>
    <row r="14" spans="1:8" s="20" customFormat="1" hidden="1" outlineLevel="1" x14ac:dyDescent="0.25"/>
    <row r="15" spans="1:8" s="20" customFormat="1" hidden="1" outlineLevel="1" x14ac:dyDescent="0.25">
      <c r="B15" s="20" t="s">
        <v>648</v>
      </c>
      <c r="C15" s="33">
        <v>3</v>
      </c>
      <c r="D15" s="20" t="s">
        <v>53</v>
      </c>
    </row>
    <row r="16" spans="1:8" s="20" customFormat="1" hidden="1" outlineLevel="1" x14ac:dyDescent="0.25">
      <c r="B16" s="20" t="s">
        <v>647</v>
      </c>
      <c r="C16" s="21">
        <f>(((C10+C15)*(C11+C15)))</f>
        <v>364</v>
      </c>
      <c r="D16" s="20" t="s">
        <v>643</v>
      </c>
    </row>
    <row r="17" spans="2:4" s="20" customFormat="1" hidden="1" outlineLevel="1" x14ac:dyDescent="0.25">
      <c r="B17" s="20" t="s">
        <v>646</v>
      </c>
      <c r="C17" s="21">
        <f>(((C10+C15)*2)+((C11+C15)*2))</f>
        <v>82</v>
      </c>
      <c r="D17" s="20" t="s">
        <v>53</v>
      </c>
    </row>
    <row r="18" spans="2:4" s="20" customFormat="1" hidden="1" outlineLevel="1" x14ac:dyDescent="0.25">
      <c r="B18" s="20" t="s">
        <v>670</v>
      </c>
      <c r="C18" s="33">
        <v>2</v>
      </c>
      <c r="D18" s="20" t="s">
        <v>53</v>
      </c>
    </row>
    <row r="19" spans="2:4" s="20" customFormat="1" hidden="1" outlineLevel="1" x14ac:dyDescent="0.25">
      <c r="B19" s="20" t="s">
        <v>1146</v>
      </c>
      <c r="C19" s="33">
        <v>1.5</v>
      </c>
      <c r="D19" s="20" t="s">
        <v>53</v>
      </c>
    </row>
    <row r="20" spans="2:4" s="20" customFormat="1" hidden="1" outlineLevel="1" x14ac:dyDescent="0.25">
      <c r="B20" s="20" t="s">
        <v>1147</v>
      </c>
      <c r="C20" s="21">
        <f>INT(C15/C19)</f>
        <v>2</v>
      </c>
      <c r="D20" s="20" t="s">
        <v>644</v>
      </c>
    </row>
    <row r="21" spans="2:4" s="20" customFormat="1" hidden="1" outlineLevel="1" x14ac:dyDescent="0.25">
      <c r="B21" s="20" t="s">
        <v>645</v>
      </c>
      <c r="C21" s="21">
        <f>C17/C18/C20</f>
        <v>20.5</v>
      </c>
      <c r="D21" s="20" t="s">
        <v>644</v>
      </c>
    </row>
    <row r="22" spans="2:4" s="20" customFormat="1" hidden="1" outlineLevel="1" x14ac:dyDescent="0.25">
      <c r="B22" s="20" t="s">
        <v>1148</v>
      </c>
      <c r="C22" s="21">
        <f>C21*(1+'LEIA-ME'!$D$31)</f>
        <v>21.525000000000002</v>
      </c>
      <c r="D22" s="20" t="s">
        <v>644</v>
      </c>
    </row>
    <row r="23" spans="2:4" s="20" customFormat="1" hidden="1" outlineLevel="1" x14ac:dyDescent="0.25">
      <c r="C23" s="21"/>
    </row>
    <row r="24" spans="2:4" s="20" customFormat="1" hidden="1" outlineLevel="1" x14ac:dyDescent="0.25">
      <c r="B24" s="19" t="s">
        <v>594</v>
      </c>
      <c r="C24" s="21"/>
    </row>
    <row r="25" spans="2:4" s="20" customFormat="1" hidden="1" outlineLevel="1" x14ac:dyDescent="0.25">
      <c r="C25" s="21"/>
    </row>
    <row r="26" spans="2:4" s="20" customFormat="1" hidden="1" outlineLevel="1" x14ac:dyDescent="0.25">
      <c r="B26" s="20" t="s">
        <v>611</v>
      </c>
      <c r="C26" s="21">
        <f>C17*(1+'LEIA-ME'!$D$31)</f>
        <v>86.100000000000009</v>
      </c>
      <c r="D26" s="20" t="s">
        <v>643</v>
      </c>
    </row>
    <row r="27" spans="2:4" s="20" customFormat="1" hidden="1" outlineLevel="1" x14ac:dyDescent="0.25">
      <c r="B27" s="20" t="s">
        <v>649</v>
      </c>
      <c r="C27" s="33">
        <v>3</v>
      </c>
      <c r="D27" s="20" t="s">
        <v>53</v>
      </c>
    </row>
    <row r="28" spans="2:4" s="20" customFormat="1" hidden="1" outlineLevel="1" x14ac:dyDescent="0.25">
      <c r="B28" s="20" t="s">
        <v>229</v>
      </c>
      <c r="C28" s="21">
        <f>C26/C27</f>
        <v>28.700000000000003</v>
      </c>
      <c r="D28" s="20" t="s">
        <v>644</v>
      </c>
    </row>
    <row r="29" spans="2:4" s="20" customFormat="1" hidden="1" outlineLevel="1" x14ac:dyDescent="0.25">
      <c r="C29" s="21"/>
    </row>
    <row r="30" spans="2:4" s="20" customFormat="1" hidden="1" outlineLevel="1" x14ac:dyDescent="0.25">
      <c r="B30" s="19" t="s">
        <v>52</v>
      </c>
      <c r="C30" s="21"/>
    </row>
    <row r="31" spans="2:4" s="20" customFormat="1" hidden="1" outlineLevel="1" x14ac:dyDescent="0.25">
      <c r="C31" s="21"/>
    </row>
    <row r="32" spans="2:4" s="20" customFormat="1" hidden="1" outlineLevel="1" x14ac:dyDescent="0.25">
      <c r="B32" s="20" t="s">
        <v>652</v>
      </c>
      <c r="C32" s="85">
        <v>0.02</v>
      </c>
      <c r="D32" s="20" t="s">
        <v>650</v>
      </c>
    </row>
    <row r="33" spans="2:4" s="20" customFormat="1" hidden="1" outlineLevel="1" x14ac:dyDescent="0.25">
      <c r="B33" s="20" t="s">
        <v>653</v>
      </c>
      <c r="C33" s="21">
        <f>(C17)*C32</f>
        <v>1.6400000000000001</v>
      </c>
      <c r="D33" s="20" t="s">
        <v>49</v>
      </c>
    </row>
    <row r="34" spans="2:4" s="20" customFormat="1" hidden="1" outlineLevel="1" x14ac:dyDescent="0.25">
      <c r="B34" s="20" t="s">
        <v>651</v>
      </c>
      <c r="C34" s="85">
        <v>7.5</v>
      </c>
      <c r="D34" s="20" t="s">
        <v>53</v>
      </c>
    </row>
    <row r="35" spans="2:4" s="20" customFormat="1" hidden="1" outlineLevel="1" x14ac:dyDescent="0.25">
      <c r="B35" s="20" t="s">
        <v>654</v>
      </c>
      <c r="C35" s="21">
        <f>(C17*C34)</f>
        <v>615</v>
      </c>
      <c r="D35" s="20" t="s">
        <v>53</v>
      </c>
    </row>
    <row r="36" spans="2:4" s="20" customFormat="1" hidden="1" outlineLevel="1" x14ac:dyDescent="0.25">
      <c r="B36" s="20" t="s">
        <v>839</v>
      </c>
      <c r="C36" s="85">
        <v>100</v>
      </c>
      <c r="D36" s="20" t="s">
        <v>53</v>
      </c>
    </row>
    <row r="37" spans="2:4" s="20" customFormat="1" hidden="1" outlineLevel="1" x14ac:dyDescent="0.25">
      <c r="B37" s="20" t="s">
        <v>840</v>
      </c>
      <c r="C37" s="21">
        <f>C35/C36</f>
        <v>6.15</v>
      </c>
      <c r="D37" s="20" t="s">
        <v>644</v>
      </c>
    </row>
    <row r="38" spans="2:4" s="20" customFormat="1" hidden="1" outlineLevel="1" x14ac:dyDescent="0.25">
      <c r="C38" s="21"/>
    </row>
    <row r="39" spans="2:4" s="20" customFormat="1" hidden="1" outlineLevel="1" x14ac:dyDescent="0.25">
      <c r="B39" s="19" t="s">
        <v>536</v>
      </c>
      <c r="C39" s="21"/>
    </row>
    <row r="40" spans="2:4" s="20" customFormat="1" hidden="1" outlineLevel="1" x14ac:dyDescent="0.25">
      <c r="C40" s="21"/>
    </row>
    <row r="41" spans="2:4" s="20" customFormat="1" hidden="1" outlineLevel="1" x14ac:dyDescent="0.25">
      <c r="B41" s="20" t="s">
        <v>657</v>
      </c>
      <c r="C41" s="85">
        <v>0.2</v>
      </c>
      <c r="D41" s="20" t="s">
        <v>650</v>
      </c>
    </row>
    <row r="42" spans="2:4" s="20" customFormat="1" hidden="1" outlineLevel="1" x14ac:dyDescent="0.25">
      <c r="B42" s="20" t="s">
        <v>658</v>
      </c>
      <c r="C42" s="21">
        <f>C41*C17</f>
        <v>16.400000000000002</v>
      </c>
      <c r="D42" s="20" t="s">
        <v>49</v>
      </c>
    </row>
    <row r="43" spans="2:4" s="20" customFormat="1" hidden="1" outlineLevel="1" x14ac:dyDescent="0.25">
      <c r="B43" s="20" t="s">
        <v>655</v>
      </c>
      <c r="C43" s="85">
        <v>20</v>
      </c>
      <c r="D43" s="20" t="s">
        <v>49</v>
      </c>
    </row>
    <row r="44" spans="2:4" s="20" customFormat="1" hidden="1" outlineLevel="1" x14ac:dyDescent="0.25">
      <c r="B44" s="20" t="s">
        <v>659</v>
      </c>
      <c r="C44" s="21">
        <f>C42/C43</f>
        <v>0.82000000000000006</v>
      </c>
      <c r="D44" s="20" t="s">
        <v>656</v>
      </c>
    </row>
    <row r="45" spans="2:4" hidden="1" outlineLevel="1" x14ac:dyDescent="0.25"/>
    <row r="46" spans="2:4" collapsed="1" x14ac:dyDescent="0.25">
      <c r="B46" s="27" t="s">
        <v>5</v>
      </c>
      <c r="C46" s="28" t="s">
        <v>46</v>
      </c>
      <c r="D46" s="28" t="s">
        <v>6</v>
      </c>
    </row>
    <row r="47" spans="2:4" x14ac:dyDescent="0.25">
      <c r="B47" s="88" t="s">
        <v>51</v>
      </c>
      <c r="C47" s="89" t="s">
        <v>612</v>
      </c>
      <c r="D47" s="87">
        <f>IF(OR(C10="",C11=""),0,C22)</f>
        <v>21.525000000000002</v>
      </c>
    </row>
    <row r="48" spans="2:4" x14ac:dyDescent="0.25">
      <c r="B48" s="88" t="s">
        <v>76</v>
      </c>
      <c r="C48" s="89" t="s">
        <v>612</v>
      </c>
      <c r="D48" s="87">
        <f>IF(OR(C10="",C11=""),0,C28)</f>
        <v>28.700000000000003</v>
      </c>
    </row>
    <row r="49" spans="2:5" x14ac:dyDescent="0.25">
      <c r="B49" s="90" t="s">
        <v>636</v>
      </c>
      <c r="C49" s="89" t="s">
        <v>49</v>
      </c>
      <c r="D49" s="87">
        <f>IF(OR(C10="",C11=""),0,C33)</f>
        <v>1.6400000000000001</v>
      </c>
    </row>
    <row r="50" spans="2:5" x14ac:dyDescent="0.25">
      <c r="B50" s="88" t="s">
        <v>47</v>
      </c>
      <c r="C50" s="91" t="s">
        <v>54</v>
      </c>
      <c r="D50" s="87">
        <f>IF(OR(C10="",C11=""),0,C37)</f>
        <v>6.15</v>
      </c>
    </row>
    <row r="51" spans="2:5" x14ac:dyDescent="0.25">
      <c r="B51" s="88" t="s">
        <v>205</v>
      </c>
      <c r="C51" s="91" t="s">
        <v>290</v>
      </c>
      <c r="D51" s="87">
        <f>IF(OR(C10="",C11=""),0,C44)</f>
        <v>0.82000000000000006</v>
      </c>
      <c r="E51" s="42"/>
    </row>
  </sheetData>
  <mergeCells count="3">
    <mergeCell ref="B4:D4"/>
    <mergeCell ref="B2:D2"/>
    <mergeCell ref="B6:D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787"/>
  <sheetViews>
    <sheetView showGridLines="0" zoomScale="130" zoomScaleNormal="130" workbookViewId="0">
      <selection activeCell="A5" sqref="A5:XFD6"/>
    </sheetView>
  </sheetViews>
  <sheetFormatPr defaultColWidth="8.85546875" defaultRowHeight="15" outlineLevelRow="1" x14ac:dyDescent="0.25"/>
  <cols>
    <col min="1" max="1" width="2" style="7" customWidth="1"/>
    <col min="2" max="2" width="40.5703125" style="7" customWidth="1"/>
    <col min="3" max="3" width="18" style="7" customWidth="1"/>
    <col min="4" max="4" width="12.5703125" style="7" customWidth="1"/>
    <col min="5" max="5" width="11.42578125" style="7" customWidth="1"/>
    <col min="6" max="16384" width="8.85546875" style="7"/>
  </cols>
  <sheetData>
    <row r="1" spans="1:8" ht="15.75" thickBot="1" x14ac:dyDescent="0.3"/>
    <row r="2" spans="1:8" ht="21.75" thickBot="1" x14ac:dyDescent="0.4">
      <c r="B2" s="129" t="s">
        <v>535</v>
      </c>
      <c r="C2" s="130"/>
      <c r="D2" s="131"/>
    </row>
    <row r="3" spans="1:8" ht="9" customHeight="1" x14ac:dyDescent="0.25"/>
    <row r="4" spans="1:8" ht="45.75" customHeight="1" x14ac:dyDescent="0.25">
      <c r="B4" s="128" t="s">
        <v>495</v>
      </c>
      <c r="C4" s="128"/>
      <c r="D4" s="128"/>
    </row>
    <row r="5" spans="1:8" s="5" customFormat="1" ht="18.75" x14ac:dyDescent="0.3">
      <c r="A5" s="7"/>
      <c r="B5" s="132" t="s">
        <v>575</v>
      </c>
      <c r="C5" s="132"/>
      <c r="D5" s="132"/>
      <c r="E5" s="7"/>
      <c r="F5" s="7"/>
      <c r="H5" s="22"/>
    </row>
    <row r="6" spans="1:8" s="5" customFormat="1" x14ac:dyDescent="0.25">
      <c r="A6" s="7"/>
      <c r="B6" s="7"/>
      <c r="C6" s="7"/>
      <c r="D6" s="7"/>
      <c r="E6" s="7"/>
      <c r="F6" s="7"/>
      <c r="H6" s="22"/>
    </row>
    <row r="7" spans="1:8" x14ac:dyDescent="0.25">
      <c r="B7" s="9" t="s">
        <v>2</v>
      </c>
    </row>
    <row r="9" spans="1:8" x14ac:dyDescent="0.25">
      <c r="B9" s="7" t="s">
        <v>136</v>
      </c>
      <c r="C9" s="33"/>
      <c r="D9" s="7" t="s">
        <v>56</v>
      </c>
    </row>
    <row r="10" spans="1:8" x14ac:dyDescent="0.25">
      <c r="B10" s="7" t="s">
        <v>137</v>
      </c>
      <c r="C10" s="33"/>
      <c r="D10" s="7" t="s">
        <v>53</v>
      </c>
    </row>
    <row r="11" spans="1:8" x14ac:dyDescent="0.25">
      <c r="B11" s="7" t="s">
        <v>135</v>
      </c>
      <c r="C11" s="23"/>
      <c r="D11" s="7" t="s">
        <v>48</v>
      </c>
    </row>
    <row r="12" spans="1:8" x14ac:dyDescent="0.25">
      <c r="B12" s="7" t="s">
        <v>225</v>
      </c>
      <c r="C12" s="29"/>
    </row>
    <row r="13" spans="1:8" x14ac:dyDescent="0.25">
      <c r="B13" s="7" t="s">
        <v>57</v>
      </c>
      <c r="C13" s="41"/>
      <c r="D13" s="7" t="s">
        <v>1193</v>
      </c>
    </row>
    <row r="14" spans="1:8" x14ac:dyDescent="0.25">
      <c r="B14" s="7" t="s">
        <v>62</v>
      </c>
      <c r="C14" s="23"/>
      <c r="D14" s="7" t="s">
        <v>64</v>
      </c>
    </row>
    <row r="15" spans="1:8" x14ac:dyDescent="0.25">
      <c r="B15" s="7" t="s">
        <v>841</v>
      </c>
      <c r="C15" s="29"/>
    </row>
    <row r="17" spans="2:7" s="20" customFormat="1" hidden="1" outlineLevel="1" x14ac:dyDescent="0.25">
      <c r="B17" s="19" t="s">
        <v>118</v>
      </c>
    </row>
    <row r="18" spans="2:7" s="20" customFormat="1" hidden="1" outlineLevel="1" x14ac:dyDescent="0.25"/>
    <row r="19" spans="2:7" s="20" customFormat="1" hidden="1" outlineLevel="1" x14ac:dyDescent="0.25">
      <c r="B19" s="20" t="s">
        <v>715</v>
      </c>
      <c r="C19" s="38">
        <f>3.14159*(((C9/2)/100)^2)</f>
        <v>0</v>
      </c>
      <c r="D19" s="20" t="s">
        <v>643</v>
      </c>
    </row>
    <row r="20" spans="2:7" s="20" customFormat="1" hidden="1" outlineLevel="1" x14ac:dyDescent="0.25">
      <c r="B20" s="20" t="s">
        <v>716</v>
      </c>
      <c r="C20" s="38">
        <f>C19*C10</f>
        <v>0</v>
      </c>
      <c r="D20" s="20" t="s">
        <v>32</v>
      </c>
    </row>
    <row r="21" spans="2:7" s="20" customFormat="1" hidden="1" outlineLevel="1" x14ac:dyDescent="0.25">
      <c r="B21" s="20" t="s">
        <v>138</v>
      </c>
      <c r="C21" s="21">
        <f>C20*C11</f>
        <v>0</v>
      </c>
      <c r="D21" s="20" t="s">
        <v>32</v>
      </c>
    </row>
    <row r="22" spans="2:7" s="20" customFormat="1" hidden="1" outlineLevel="1" x14ac:dyDescent="0.25">
      <c r="B22" s="20" t="s">
        <v>717</v>
      </c>
      <c r="C22" s="21">
        <f>C21*(1+'LEIA-ME'!$D$31)</f>
        <v>0</v>
      </c>
      <c r="D22" s="20" t="s">
        <v>32</v>
      </c>
    </row>
    <row r="23" spans="2:7" s="20" customFormat="1" hidden="1" outlineLevel="1" x14ac:dyDescent="0.25"/>
    <row r="24" spans="2:7" s="20" customFormat="1" hidden="1" outlineLevel="1" x14ac:dyDescent="0.25">
      <c r="B24" s="19" t="s">
        <v>125</v>
      </c>
    </row>
    <row r="25" spans="2:7" s="20" customFormat="1" hidden="1" outlineLevel="1" x14ac:dyDescent="0.25"/>
    <row r="26" spans="2:7" s="20" customFormat="1" hidden="1" outlineLevel="1" x14ac:dyDescent="0.25">
      <c r="C26" s="133" t="s">
        <v>45</v>
      </c>
      <c r="D26" s="133"/>
      <c r="E26" s="133"/>
      <c r="F26" s="133"/>
    </row>
    <row r="27" spans="2:7" s="73" customFormat="1" ht="30" hidden="1" outlineLevel="1" x14ac:dyDescent="0.25">
      <c r="B27" s="72" t="s">
        <v>42</v>
      </c>
      <c r="C27" s="86" t="s">
        <v>41</v>
      </c>
      <c r="D27" s="86" t="s">
        <v>40</v>
      </c>
      <c r="E27" s="86" t="s">
        <v>39</v>
      </c>
      <c r="F27" s="86" t="s">
        <v>38</v>
      </c>
    </row>
    <row r="28" spans="2:7" s="20" customFormat="1" hidden="1" outlineLevel="1" x14ac:dyDescent="0.25">
      <c r="B28" s="30" t="s">
        <v>1166</v>
      </c>
      <c r="C28" s="21">
        <v>6.9</v>
      </c>
      <c r="D28" s="21">
        <v>0.62265036674816632</v>
      </c>
      <c r="E28" s="21">
        <v>0.72799999999999987</v>
      </c>
      <c r="F28" s="25">
        <v>210</v>
      </c>
      <c r="G28" s="20" t="s">
        <v>44</v>
      </c>
    </row>
    <row r="29" spans="2:7" s="20" customFormat="1" hidden="1" outlineLevel="1" x14ac:dyDescent="0.25">
      <c r="B29" s="30" t="s">
        <v>1167</v>
      </c>
      <c r="C29" s="21">
        <v>6.4</v>
      </c>
      <c r="D29" s="21">
        <v>0.72001955990220046</v>
      </c>
      <c r="E29" s="21">
        <v>0.67399999999999993</v>
      </c>
      <c r="F29" s="25">
        <v>207</v>
      </c>
    </row>
    <row r="30" spans="2:7" s="20" customFormat="1" hidden="1" outlineLevel="1" x14ac:dyDescent="0.25">
      <c r="B30" s="30" t="s">
        <v>1168</v>
      </c>
      <c r="C30" s="21">
        <v>5.94</v>
      </c>
      <c r="D30" s="21">
        <v>0.5380929095354523</v>
      </c>
      <c r="E30" s="21">
        <v>0.83999999999999986</v>
      </c>
      <c r="F30" s="25">
        <v>202</v>
      </c>
    </row>
    <row r="31" spans="2:7" s="20" customFormat="1" hidden="1" outlineLevel="1" x14ac:dyDescent="0.25">
      <c r="B31" s="30" t="s">
        <v>1169</v>
      </c>
      <c r="C31" s="21">
        <v>5.86</v>
      </c>
      <c r="D31" s="21">
        <v>0.66236674816625918</v>
      </c>
      <c r="E31" s="21">
        <v>0.72399999999999987</v>
      </c>
      <c r="F31" s="25">
        <v>208</v>
      </c>
    </row>
    <row r="32" spans="2:7" s="20" customFormat="1" hidden="1" outlineLevel="1" x14ac:dyDescent="0.25">
      <c r="B32" s="30" t="s">
        <v>1181</v>
      </c>
      <c r="C32" s="21">
        <v>5.5</v>
      </c>
      <c r="D32" s="21">
        <v>0.62393154034229825</v>
      </c>
      <c r="E32" s="21">
        <v>0.77999999999999992</v>
      </c>
      <c r="F32" s="25">
        <v>201</v>
      </c>
    </row>
    <row r="33" spans="2:7" s="20" customFormat="1" hidden="1" outlineLevel="1" x14ac:dyDescent="0.25">
      <c r="B33" s="30" t="s">
        <v>1182</v>
      </c>
      <c r="C33" s="21">
        <v>4.9000000000000004</v>
      </c>
      <c r="D33" s="21">
        <v>0.55731051344743276</v>
      </c>
      <c r="E33" s="21">
        <v>0.86999999999999988</v>
      </c>
      <c r="F33" s="25">
        <v>195</v>
      </c>
    </row>
    <row r="34" spans="2:7" s="20" customFormat="1" hidden="1" outlineLevel="1" x14ac:dyDescent="0.25"/>
    <row r="35" spans="2:7" s="20" customFormat="1" hidden="1" outlineLevel="1" x14ac:dyDescent="0.25">
      <c r="C35" s="133" t="s">
        <v>43</v>
      </c>
      <c r="D35" s="133"/>
      <c r="E35" s="133"/>
      <c r="F35" s="133"/>
    </row>
    <row r="36" spans="2:7" s="73" customFormat="1" ht="30" hidden="1" outlineLevel="1" x14ac:dyDescent="0.25">
      <c r="B36" s="72" t="s">
        <v>42</v>
      </c>
      <c r="C36" s="86" t="s">
        <v>41</v>
      </c>
      <c r="D36" s="86" t="s">
        <v>40</v>
      </c>
      <c r="E36" s="86" t="s">
        <v>39</v>
      </c>
      <c r="F36" s="86" t="s">
        <v>38</v>
      </c>
    </row>
    <row r="37" spans="2:7" s="20" customFormat="1" hidden="1" outlineLevel="1" x14ac:dyDescent="0.25">
      <c r="B37" s="30" t="str">
        <f>B28</f>
        <v>1 : 2 : 3</v>
      </c>
      <c r="C37" s="21">
        <f t="shared" ref="C37:F39" si="0">C28*$C$22</f>
        <v>0</v>
      </c>
      <c r="D37" s="21">
        <f t="shared" si="0"/>
        <v>0</v>
      </c>
      <c r="E37" s="21">
        <f t="shared" si="0"/>
        <v>0</v>
      </c>
      <c r="F37" s="25">
        <f t="shared" si="0"/>
        <v>0</v>
      </c>
      <c r="G37" s="20" t="s">
        <v>37</v>
      </c>
    </row>
    <row r="38" spans="2:7" s="20" customFormat="1" hidden="1" outlineLevel="1" x14ac:dyDescent="0.25">
      <c r="B38" s="30" t="str">
        <f>B29</f>
        <v>1 : 2,5 : 3</v>
      </c>
      <c r="C38" s="21">
        <f t="shared" si="0"/>
        <v>0</v>
      </c>
      <c r="D38" s="21">
        <f t="shared" si="0"/>
        <v>0</v>
      </c>
      <c r="E38" s="21">
        <f t="shared" si="0"/>
        <v>0</v>
      </c>
      <c r="F38" s="25">
        <f t="shared" si="0"/>
        <v>0</v>
      </c>
    </row>
    <row r="39" spans="2:7" s="20" customFormat="1" hidden="1" outlineLevel="1" x14ac:dyDescent="0.25">
      <c r="B39" s="30" t="str">
        <f>B30</f>
        <v>1 : 2 : 4</v>
      </c>
      <c r="C39" s="21">
        <f t="shared" si="0"/>
        <v>0</v>
      </c>
      <c r="D39" s="21">
        <f t="shared" si="0"/>
        <v>0</v>
      </c>
      <c r="E39" s="21">
        <f t="shared" si="0"/>
        <v>0</v>
      </c>
      <c r="F39" s="25">
        <f t="shared" si="0"/>
        <v>0</v>
      </c>
    </row>
    <row r="40" spans="2:7" s="20" customFormat="1" hidden="1" outlineLevel="1" x14ac:dyDescent="0.25">
      <c r="B40" s="30" t="str">
        <f t="shared" ref="B40:B42" si="1">B31</f>
        <v>1 : 2,5 : 3,5</v>
      </c>
      <c r="C40" s="21">
        <f t="shared" ref="C40:F40" si="2">C31*$C$22</f>
        <v>0</v>
      </c>
      <c r="D40" s="21">
        <f t="shared" si="2"/>
        <v>0</v>
      </c>
      <c r="E40" s="21">
        <f t="shared" si="2"/>
        <v>0</v>
      </c>
      <c r="F40" s="25">
        <f t="shared" si="2"/>
        <v>0</v>
      </c>
    </row>
    <row r="41" spans="2:7" s="20" customFormat="1" hidden="1" outlineLevel="1" x14ac:dyDescent="0.25">
      <c r="B41" s="30" t="str">
        <f t="shared" si="1"/>
        <v>1 : 2,5 : 4</v>
      </c>
      <c r="C41" s="21">
        <f t="shared" ref="C41:F41" si="3">C32*$C$22</f>
        <v>0</v>
      </c>
      <c r="D41" s="21">
        <f t="shared" si="3"/>
        <v>0</v>
      </c>
      <c r="E41" s="21">
        <f t="shared" si="3"/>
        <v>0</v>
      </c>
      <c r="F41" s="25">
        <f t="shared" si="3"/>
        <v>0</v>
      </c>
    </row>
    <row r="42" spans="2:7" s="20" customFormat="1" hidden="1" outlineLevel="1" x14ac:dyDescent="0.25">
      <c r="B42" s="30" t="str">
        <f t="shared" si="1"/>
        <v>1 : 2,5 : 5</v>
      </c>
      <c r="C42" s="21">
        <f t="shared" ref="C42:F42" si="4">C33*$C$22</f>
        <v>0</v>
      </c>
      <c r="D42" s="21">
        <f t="shared" si="4"/>
        <v>0</v>
      </c>
      <c r="E42" s="21">
        <f t="shared" si="4"/>
        <v>0</v>
      </c>
      <c r="F42" s="25">
        <f t="shared" si="4"/>
        <v>0</v>
      </c>
    </row>
    <row r="43" spans="2:7" s="20" customFormat="1" hidden="1" outlineLevel="1" x14ac:dyDescent="0.25">
      <c r="B43" s="30"/>
      <c r="C43" s="21"/>
      <c r="D43" s="21"/>
      <c r="E43" s="21"/>
      <c r="F43" s="25"/>
    </row>
    <row r="44" spans="2:7" s="20" customFormat="1" hidden="1" outlineLevel="1" x14ac:dyDescent="0.25">
      <c r="B44" s="19" t="s">
        <v>226</v>
      </c>
    </row>
    <row r="45" spans="2:7" s="20" customFormat="1" hidden="1" outlineLevel="1" x14ac:dyDescent="0.25">
      <c r="C45" s="21"/>
    </row>
    <row r="46" spans="2:7" s="20" customFormat="1" hidden="1" outlineLevel="1" x14ac:dyDescent="0.25">
      <c r="B46" s="20" t="s">
        <v>60</v>
      </c>
      <c r="C46" s="85">
        <v>5</v>
      </c>
      <c r="D46" s="20" t="s">
        <v>56</v>
      </c>
    </row>
    <row r="47" spans="2:7" s="20" customFormat="1" hidden="1" outlineLevel="1" x14ac:dyDescent="0.25">
      <c r="B47" s="20" t="s">
        <v>59</v>
      </c>
      <c r="C47" s="21">
        <f>C19*((C46/100))*C11</f>
        <v>0</v>
      </c>
      <c r="D47" s="20" t="s">
        <v>32</v>
      </c>
    </row>
    <row r="48" spans="2:7" s="20" customFormat="1" hidden="1" outlineLevel="1" x14ac:dyDescent="0.25">
      <c r="B48" s="20" t="s">
        <v>718</v>
      </c>
      <c r="C48" s="21">
        <f>C47*(1+'LEIA-ME'!$D$31)</f>
        <v>0</v>
      </c>
      <c r="D48" s="20" t="s">
        <v>32</v>
      </c>
    </row>
    <row r="49" spans="2:11" s="20" customFormat="1" hidden="1" outlineLevel="1" x14ac:dyDescent="0.25"/>
    <row r="50" spans="2:11" s="20" customFormat="1" hidden="1" outlineLevel="1" x14ac:dyDescent="0.25">
      <c r="B50" s="19" t="s">
        <v>600</v>
      </c>
      <c r="K50" s="20" t="s">
        <v>704</v>
      </c>
    </row>
    <row r="51" spans="2:11" s="20" customFormat="1" hidden="1" outlineLevel="1" x14ac:dyDescent="0.25">
      <c r="K51" s="20" t="s">
        <v>108</v>
      </c>
    </row>
    <row r="52" spans="2:11" s="103" customFormat="1" hidden="1" outlineLevel="1" x14ac:dyDescent="0.25">
      <c r="B52" s="20" t="s">
        <v>671</v>
      </c>
      <c r="C52" s="33">
        <v>1</v>
      </c>
      <c r="D52" s="20" t="s">
        <v>53</v>
      </c>
      <c r="K52" s="20" t="s">
        <v>15</v>
      </c>
    </row>
    <row r="53" spans="2:11" s="20" customFormat="1" hidden="1" outlineLevel="1" x14ac:dyDescent="0.25">
      <c r="B53" s="20" t="s">
        <v>140</v>
      </c>
      <c r="C53" s="37">
        <f>C14*(C10+C52)</f>
        <v>0</v>
      </c>
      <c r="D53" s="20" t="s">
        <v>53</v>
      </c>
    </row>
    <row r="54" spans="2:11" s="20" customFormat="1" hidden="1" outlineLevel="1" x14ac:dyDescent="0.25">
      <c r="B54" s="20" t="s">
        <v>141</v>
      </c>
      <c r="C54" s="37">
        <f>C53*C11</f>
        <v>0</v>
      </c>
      <c r="D54" s="20" t="s">
        <v>53</v>
      </c>
    </row>
    <row r="55" spans="2:11" s="20" customFormat="1" hidden="1" outlineLevel="1" x14ac:dyDescent="0.25">
      <c r="B55" s="20" t="s">
        <v>719</v>
      </c>
      <c r="C55" s="37">
        <f>C54*(1+'LEIA-ME'!$D$31)</f>
        <v>0</v>
      </c>
      <c r="D55" s="20" t="s">
        <v>53</v>
      </c>
    </row>
    <row r="56" spans="2:11" s="20" customFormat="1" hidden="1" outlineLevel="1" x14ac:dyDescent="0.25">
      <c r="B56" s="20" t="s">
        <v>664</v>
      </c>
      <c r="C56" s="23">
        <v>12</v>
      </c>
      <c r="D56" s="20" t="s">
        <v>53</v>
      </c>
    </row>
    <row r="57" spans="2:11" s="20" customFormat="1" hidden="1" outlineLevel="1" x14ac:dyDescent="0.25">
      <c r="B57" s="20" t="s">
        <v>72</v>
      </c>
      <c r="C57" s="37">
        <f>C55/C56</f>
        <v>0</v>
      </c>
      <c r="D57" s="20" t="s">
        <v>64</v>
      </c>
    </row>
    <row r="58" spans="2:11" s="20" customFormat="1" hidden="1" outlineLevel="1" x14ac:dyDescent="0.25"/>
    <row r="59" spans="2:11" s="20" customFormat="1" hidden="1" outlineLevel="1" x14ac:dyDescent="0.25">
      <c r="B59" s="19" t="s">
        <v>73</v>
      </c>
    </row>
    <row r="60" spans="2:11" s="20" customFormat="1" hidden="1" outlineLevel="1" x14ac:dyDescent="0.25"/>
    <row r="61" spans="2:11" s="20" customFormat="1" hidden="1" outlineLevel="1" x14ac:dyDescent="0.25">
      <c r="B61" s="20" t="s">
        <v>666</v>
      </c>
      <c r="C61" s="85">
        <v>0.02</v>
      </c>
      <c r="D61" s="20" t="s">
        <v>650</v>
      </c>
    </row>
    <row r="62" spans="2:11" s="20" customFormat="1" hidden="1" outlineLevel="1" x14ac:dyDescent="0.25">
      <c r="B62" s="20" t="s">
        <v>615</v>
      </c>
      <c r="C62" s="21">
        <f>C54*C61*(1+'LEIA-ME'!$D$31)</f>
        <v>0</v>
      </c>
      <c r="D62" s="20" t="s">
        <v>49</v>
      </c>
    </row>
    <row r="63" spans="2:11" s="20" customFormat="1" hidden="1" outlineLevel="1" x14ac:dyDescent="0.25">
      <c r="B63" s="20" t="s">
        <v>668</v>
      </c>
      <c r="C63" s="23">
        <v>5</v>
      </c>
      <c r="D63" s="20" t="s">
        <v>667</v>
      </c>
    </row>
    <row r="64" spans="2:11" s="20" customFormat="1" hidden="1" outlineLevel="1" x14ac:dyDescent="0.25">
      <c r="B64" s="20" t="s">
        <v>622</v>
      </c>
      <c r="C64" s="25">
        <f>C54*C63*(1+'LEIA-ME'!$D$31)</f>
        <v>0</v>
      </c>
      <c r="D64" s="20" t="s">
        <v>644</v>
      </c>
    </row>
    <row r="65" spans="1:8" hidden="1" outlineLevel="1" x14ac:dyDescent="0.25"/>
    <row r="66" spans="1:8" collapsed="1" x14ac:dyDescent="0.25">
      <c r="B66" s="27" t="s">
        <v>5</v>
      </c>
      <c r="C66" s="28" t="s">
        <v>46</v>
      </c>
      <c r="D66" s="28" t="s">
        <v>6</v>
      </c>
    </row>
    <row r="67" spans="1:8" ht="17.25" x14ac:dyDescent="0.25">
      <c r="B67" s="88" t="s">
        <v>591</v>
      </c>
      <c r="C67" s="91" t="s">
        <v>80</v>
      </c>
      <c r="D67" s="87">
        <f>IF(C12="Usinado",C22,0)</f>
        <v>0</v>
      </c>
    </row>
    <row r="68" spans="1:8" x14ac:dyDescent="0.25">
      <c r="B68" s="88" t="s">
        <v>36</v>
      </c>
      <c r="C68" s="91" t="s">
        <v>35</v>
      </c>
      <c r="D68" s="87">
        <f>IFERROR(IF(C12="Feito na obra",VLOOKUP($C$13,B$36:$F$42,2,0),0),0)</f>
        <v>0</v>
      </c>
      <c r="G68" s="24"/>
    </row>
    <row r="69" spans="1:8" ht="17.25" x14ac:dyDescent="0.25">
      <c r="B69" s="88" t="s">
        <v>34</v>
      </c>
      <c r="C69" s="91" t="s">
        <v>80</v>
      </c>
      <c r="D69" s="87">
        <f>IFERROR(IF(C12="Feito na obra",VLOOKUP($C$13,B$36:$F$42,3,0),0),0)</f>
        <v>0</v>
      </c>
    </row>
    <row r="70" spans="1:8" ht="17.25" x14ac:dyDescent="0.25">
      <c r="B70" s="88" t="s">
        <v>33</v>
      </c>
      <c r="C70" s="91" t="s">
        <v>80</v>
      </c>
      <c r="D70" s="87">
        <f>IFERROR(IF(C12="Feito na obra",VLOOKUP($C$13,B$36:$F$42,4,0),0),0)</f>
        <v>0</v>
      </c>
    </row>
    <row r="71" spans="1:8" ht="17.25" x14ac:dyDescent="0.25">
      <c r="B71" s="88" t="s">
        <v>61</v>
      </c>
      <c r="C71" s="91" t="s">
        <v>80</v>
      </c>
      <c r="D71" s="87">
        <f>C48</f>
        <v>0</v>
      </c>
    </row>
    <row r="72" spans="1:8" x14ac:dyDescent="0.25">
      <c r="B72" s="88" t="str">
        <f>"Barra de aço CA-25, "&amp;C15</f>
        <v xml:space="preserve">Barra de aço CA-25, </v>
      </c>
      <c r="C72" s="91" t="s">
        <v>642</v>
      </c>
      <c r="D72" s="87">
        <f>C57</f>
        <v>0</v>
      </c>
    </row>
    <row r="73" spans="1:8" x14ac:dyDescent="0.25">
      <c r="B73" s="88" t="s">
        <v>74</v>
      </c>
      <c r="C73" s="91" t="s">
        <v>641</v>
      </c>
      <c r="D73" s="87">
        <f>C62</f>
        <v>0</v>
      </c>
    </row>
    <row r="74" spans="1:8" x14ac:dyDescent="0.25">
      <c r="B74" s="88" t="s">
        <v>231</v>
      </c>
      <c r="C74" s="91" t="s">
        <v>50</v>
      </c>
      <c r="D74" s="87">
        <f>C64</f>
        <v>0</v>
      </c>
    </row>
    <row r="77" spans="1:8" s="5" customFormat="1" ht="18.75" x14ac:dyDescent="0.3">
      <c r="A77" s="7"/>
      <c r="B77" s="132" t="s">
        <v>576</v>
      </c>
      <c r="C77" s="132"/>
      <c r="D77" s="132"/>
      <c r="E77" s="7"/>
      <c r="F77" s="7"/>
      <c r="H77" s="22"/>
    </row>
    <row r="78" spans="1:8" s="5" customFormat="1" x14ac:dyDescent="0.25">
      <c r="A78" s="7"/>
      <c r="B78" s="7"/>
      <c r="C78" s="7"/>
      <c r="D78" s="7"/>
      <c r="E78" s="7"/>
      <c r="F78" s="7"/>
      <c r="H78" s="22"/>
    </row>
    <row r="79" spans="1:8" x14ac:dyDescent="0.25">
      <c r="B79" s="9" t="s">
        <v>2</v>
      </c>
    </row>
    <row r="81" spans="2:7" x14ac:dyDescent="0.25">
      <c r="B81" s="7" t="s">
        <v>65</v>
      </c>
      <c r="C81" s="23"/>
      <c r="D81" s="7" t="s">
        <v>56</v>
      </c>
    </row>
    <row r="82" spans="2:7" x14ac:dyDescent="0.25">
      <c r="B82" s="7" t="s">
        <v>66</v>
      </c>
      <c r="C82" s="23"/>
      <c r="D82" s="7" t="s">
        <v>56</v>
      </c>
      <c r="G82" s="24"/>
    </row>
    <row r="83" spans="2:7" x14ac:dyDescent="0.25">
      <c r="B83" s="7" t="s">
        <v>67</v>
      </c>
      <c r="C83" s="33"/>
      <c r="D83" s="7" t="s">
        <v>53</v>
      </c>
    </row>
    <row r="84" spans="2:7" x14ac:dyDescent="0.25">
      <c r="B84" s="7" t="s">
        <v>225</v>
      </c>
      <c r="C84" s="29"/>
    </row>
    <row r="85" spans="2:7" x14ac:dyDescent="0.25">
      <c r="B85" s="7" t="s">
        <v>57</v>
      </c>
      <c r="C85" s="29"/>
      <c r="D85" s="7" t="s">
        <v>1193</v>
      </c>
    </row>
    <row r="87" spans="2:7" s="20" customFormat="1" hidden="1" outlineLevel="1" x14ac:dyDescent="0.25">
      <c r="B87" s="19" t="s">
        <v>118</v>
      </c>
    </row>
    <row r="88" spans="2:7" s="20" customFormat="1" hidden="1" outlineLevel="1" x14ac:dyDescent="0.25"/>
    <row r="89" spans="2:7" s="20" customFormat="1" hidden="1" outlineLevel="1" x14ac:dyDescent="0.25">
      <c r="B89" s="20" t="s">
        <v>661</v>
      </c>
      <c r="C89" s="21">
        <f>(C81/100)*(C82/100)</f>
        <v>0</v>
      </c>
      <c r="D89" s="20" t="s">
        <v>643</v>
      </c>
    </row>
    <row r="90" spans="2:7" s="20" customFormat="1" hidden="1" outlineLevel="1" x14ac:dyDescent="0.25">
      <c r="B90" s="20" t="s">
        <v>662</v>
      </c>
      <c r="C90" s="21">
        <f>C89*C83</f>
        <v>0</v>
      </c>
      <c r="D90" s="20" t="s">
        <v>32</v>
      </c>
    </row>
    <row r="91" spans="2:7" s="20" customFormat="1" hidden="1" outlineLevel="1" x14ac:dyDescent="0.25">
      <c r="B91" s="20" t="s">
        <v>613</v>
      </c>
      <c r="C91" s="21">
        <f>C90*(1+'LEIA-ME'!$D$31)</f>
        <v>0</v>
      </c>
      <c r="D91" s="20" t="s">
        <v>32</v>
      </c>
    </row>
    <row r="92" spans="2:7" s="20" customFormat="1" hidden="1" outlineLevel="1" x14ac:dyDescent="0.25"/>
    <row r="93" spans="2:7" s="20" customFormat="1" hidden="1" outlineLevel="1" x14ac:dyDescent="0.25">
      <c r="B93" s="19" t="s">
        <v>125</v>
      </c>
    </row>
    <row r="94" spans="2:7" s="20" customFormat="1" hidden="1" outlineLevel="1" x14ac:dyDescent="0.25"/>
    <row r="95" spans="2:7" s="20" customFormat="1" hidden="1" outlineLevel="1" x14ac:dyDescent="0.25">
      <c r="C95" s="133" t="s">
        <v>45</v>
      </c>
      <c r="D95" s="133"/>
      <c r="E95" s="133"/>
      <c r="F95" s="133"/>
    </row>
    <row r="96" spans="2:7" s="73" customFormat="1" ht="30" hidden="1" outlineLevel="1" x14ac:dyDescent="0.25">
      <c r="B96" s="72" t="s">
        <v>42</v>
      </c>
      <c r="C96" s="86" t="s">
        <v>41</v>
      </c>
      <c r="D96" s="86" t="s">
        <v>40</v>
      </c>
      <c r="E96" s="86" t="s">
        <v>39</v>
      </c>
      <c r="F96" s="86" t="s">
        <v>38</v>
      </c>
    </row>
    <row r="97" spans="2:7" s="20" customFormat="1" hidden="1" outlineLevel="1" x14ac:dyDescent="0.25">
      <c r="B97" s="30" t="s">
        <v>1166</v>
      </c>
      <c r="C97" s="21">
        <v>6.9</v>
      </c>
      <c r="D97" s="21">
        <v>0.62265036674816632</v>
      </c>
      <c r="E97" s="21">
        <v>0.72799999999999987</v>
      </c>
      <c r="F97" s="25">
        <v>210</v>
      </c>
      <c r="G97" s="20" t="s">
        <v>44</v>
      </c>
    </row>
    <row r="98" spans="2:7" s="20" customFormat="1" hidden="1" outlineLevel="1" x14ac:dyDescent="0.25">
      <c r="B98" s="30" t="s">
        <v>1167</v>
      </c>
      <c r="C98" s="21">
        <v>6.4</v>
      </c>
      <c r="D98" s="21">
        <v>0.72001955990220046</v>
      </c>
      <c r="E98" s="21">
        <v>0.67399999999999993</v>
      </c>
      <c r="F98" s="25">
        <v>207</v>
      </c>
    </row>
    <row r="99" spans="2:7" s="20" customFormat="1" hidden="1" outlineLevel="1" x14ac:dyDescent="0.25">
      <c r="B99" s="30" t="s">
        <v>1168</v>
      </c>
      <c r="C99" s="21">
        <v>5.94</v>
      </c>
      <c r="D99" s="21">
        <v>0.5380929095354523</v>
      </c>
      <c r="E99" s="21">
        <v>0.83999999999999986</v>
      </c>
      <c r="F99" s="25">
        <v>202</v>
      </c>
    </row>
    <row r="100" spans="2:7" s="20" customFormat="1" hidden="1" outlineLevel="1" x14ac:dyDescent="0.25">
      <c r="B100" s="30" t="s">
        <v>1169</v>
      </c>
      <c r="C100" s="21">
        <v>5.86</v>
      </c>
      <c r="D100" s="21">
        <v>0.66236674816625918</v>
      </c>
      <c r="E100" s="21">
        <v>0.72399999999999987</v>
      </c>
      <c r="F100" s="25">
        <v>208</v>
      </c>
    </row>
    <row r="101" spans="2:7" s="20" customFormat="1" hidden="1" outlineLevel="1" x14ac:dyDescent="0.25">
      <c r="B101" s="30" t="s">
        <v>1181</v>
      </c>
      <c r="C101" s="21">
        <v>5.5</v>
      </c>
      <c r="D101" s="21">
        <v>0.62393154034229825</v>
      </c>
      <c r="E101" s="21">
        <v>0.77999999999999992</v>
      </c>
      <c r="F101" s="25">
        <v>201</v>
      </c>
    </row>
    <row r="102" spans="2:7" s="20" customFormat="1" hidden="1" outlineLevel="1" x14ac:dyDescent="0.25">
      <c r="B102" s="30" t="s">
        <v>1182</v>
      </c>
      <c r="C102" s="21">
        <v>4.9000000000000004</v>
      </c>
      <c r="D102" s="21">
        <v>0.55731051344743276</v>
      </c>
      <c r="E102" s="21">
        <v>0.86999999999999988</v>
      </c>
      <c r="F102" s="25">
        <v>195</v>
      </c>
    </row>
    <row r="103" spans="2:7" s="20" customFormat="1" hidden="1" outlineLevel="1" x14ac:dyDescent="0.25"/>
    <row r="104" spans="2:7" s="20" customFormat="1" hidden="1" outlineLevel="1" x14ac:dyDescent="0.25">
      <c r="C104" s="133" t="s">
        <v>43</v>
      </c>
      <c r="D104" s="133"/>
      <c r="E104" s="133"/>
      <c r="F104" s="133"/>
    </row>
    <row r="105" spans="2:7" s="73" customFormat="1" ht="30" hidden="1" outlineLevel="1" x14ac:dyDescent="0.25">
      <c r="B105" s="72" t="s">
        <v>42</v>
      </c>
      <c r="C105" s="86" t="s">
        <v>41</v>
      </c>
      <c r="D105" s="86" t="s">
        <v>40</v>
      </c>
      <c r="E105" s="86" t="s">
        <v>39</v>
      </c>
      <c r="F105" s="86" t="s">
        <v>38</v>
      </c>
    </row>
    <row r="106" spans="2:7" s="20" customFormat="1" hidden="1" outlineLevel="1" x14ac:dyDescent="0.25">
      <c r="B106" s="30" t="str">
        <f>B97</f>
        <v>1 : 2 : 3</v>
      </c>
      <c r="C106" s="21">
        <f t="shared" ref="C106:F108" si="5">C97*$C$91</f>
        <v>0</v>
      </c>
      <c r="D106" s="21">
        <f t="shared" si="5"/>
        <v>0</v>
      </c>
      <c r="E106" s="21">
        <f t="shared" si="5"/>
        <v>0</v>
      </c>
      <c r="F106" s="25">
        <f t="shared" si="5"/>
        <v>0</v>
      </c>
      <c r="G106" s="20" t="s">
        <v>37</v>
      </c>
    </row>
    <row r="107" spans="2:7" s="20" customFormat="1" hidden="1" outlineLevel="1" x14ac:dyDescent="0.25">
      <c r="B107" s="30" t="str">
        <f>B98</f>
        <v>1 : 2,5 : 3</v>
      </c>
      <c r="C107" s="21">
        <f t="shared" si="5"/>
        <v>0</v>
      </c>
      <c r="D107" s="21">
        <f t="shared" si="5"/>
        <v>0</v>
      </c>
      <c r="E107" s="21">
        <f t="shared" si="5"/>
        <v>0</v>
      </c>
      <c r="F107" s="25">
        <f t="shared" si="5"/>
        <v>0</v>
      </c>
    </row>
    <row r="108" spans="2:7" s="20" customFormat="1" hidden="1" outlineLevel="1" x14ac:dyDescent="0.25">
      <c r="B108" s="30" t="str">
        <f>B99</f>
        <v>1 : 2 : 4</v>
      </c>
      <c r="C108" s="21">
        <f t="shared" si="5"/>
        <v>0</v>
      </c>
      <c r="D108" s="21">
        <f t="shared" si="5"/>
        <v>0</v>
      </c>
      <c r="E108" s="21">
        <f t="shared" si="5"/>
        <v>0</v>
      </c>
      <c r="F108" s="25">
        <f t="shared" si="5"/>
        <v>0</v>
      </c>
    </row>
    <row r="109" spans="2:7" s="20" customFormat="1" hidden="1" outlineLevel="1" x14ac:dyDescent="0.25">
      <c r="B109" s="30" t="str">
        <f t="shared" ref="B109:B111" si="6">B100</f>
        <v>1 : 2,5 : 3,5</v>
      </c>
      <c r="C109" s="21">
        <f t="shared" ref="C109:F109" si="7">C100*$C$91</f>
        <v>0</v>
      </c>
      <c r="D109" s="21">
        <f t="shared" si="7"/>
        <v>0</v>
      </c>
      <c r="E109" s="21">
        <f t="shared" si="7"/>
        <v>0</v>
      </c>
      <c r="F109" s="25">
        <f t="shared" si="7"/>
        <v>0</v>
      </c>
    </row>
    <row r="110" spans="2:7" s="20" customFormat="1" hidden="1" outlineLevel="1" x14ac:dyDescent="0.25">
      <c r="B110" s="30" t="str">
        <f t="shared" si="6"/>
        <v>1 : 2,5 : 4</v>
      </c>
      <c r="C110" s="21">
        <f t="shared" ref="C110:F110" si="8">C101*$C$91</f>
        <v>0</v>
      </c>
      <c r="D110" s="21">
        <f t="shared" si="8"/>
        <v>0</v>
      </c>
      <c r="E110" s="21">
        <f t="shared" si="8"/>
        <v>0</v>
      </c>
      <c r="F110" s="25">
        <f t="shared" si="8"/>
        <v>0</v>
      </c>
    </row>
    <row r="111" spans="2:7" s="20" customFormat="1" hidden="1" outlineLevel="1" x14ac:dyDescent="0.25">
      <c r="B111" s="30" t="str">
        <f t="shared" si="6"/>
        <v>1 : 2,5 : 5</v>
      </c>
      <c r="C111" s="21">
        <f t="shared" ref="C111:F111" si="9">C102*$C$91</f>
        <v>0</v>
      </c>
      <c r="D111" s="21">
        <f t="shared" si="9"/>
        <v>0</v>
      </c>
      <c r="E111" s="21">
        <f t="shared" si="9"/>
        <v>0</v>
      </c>
      <c r="F111" s="25">
        <f t="shared" si="9"/>
        <v>0</v>
      </c>
    </row>
    <row r="112" spans="2:7" hidden="1" outlineLevel="1" x14ac:dyDescent="0.25"/>
    <row r="113" spans="1:13" collapsed="1" x14ac:dyDescent="0.25">
      <c r="B113" s="27" t="s">
        <v>5</v>
      </c>
      <c r="C113" s="28" t="s">
        <v>46</v>
      </c>
      <c r="D113" s="28" t="s">
        <v>6</v>
      </c>
    </row>
    <row r="114" spans="1:13" ht="17.25" x14ac:dyDescent="0.25">
      <c r="B114" s="88" t="s">
        <v>58</v>
      </c>
      <c r="C114" s="91" t="s">
        <v>80</v>
      </c>
      <c r="D114" s="87">
        <f>IF(C84="Usinado",C91,0)</f>
        <v>0</v>
      </c>
    </row>
    <row r="115" spans="1:13" x14ac:dyDescent="0.25">
      <c r="B115" s="88" t="s">
        <v>36</v>
      </c>
      <c r="C115" s="91" t="s">
        <v>35</v>
      </c>
      <c r="D115" s="87">
        <f>IFERROR(IF(C84="feito na obra",VLOOKUP($C$85,$B$105:$F$111,2,0),0),0)</f>
        <v>0</v>
      </c>
    </row>
    <row r="116" spans="1:13" ht="17.25" x14ac:dyDescent="0.25">
      <c r="B116" s="88" t="s">
        <v>34</v>
      </c>
      <c r="C116" s="91" t="s">
        <v>80</v>
      </c>
      <c r="D116" s="87">
        <f>IFERROR(IF(C84="feito na obra",VLOOKUP($C$85,$B$105:$F$111,3,0),0),0)</f>
        <v>0</v>
      </c>
    </row>
    <row r="117" spans="1:13" ht="17.25" x14ac:dyDescent="0.25">
      <c r="B117" s="88" t="s">
        <v>33</v>
      </c>
      <c r="C117" s="91" t="s">
        <v>80</v>
      </c>
      <c r="D117" s="87">
        <f>IFERROR(IF(C84="feito na obra",VLOOKUP($C$85,$B$105:$F$111,4,0),0),0)</f>
        <v>0</v>
      </c>
    </row>
    <row r="120" spans="1:13" s="5" customFormat="1" ht="18.75" x14ac:dyDescent="0.3">
      <c r="A120" s="7"/>
      <c r="B120" s="132" t="s">
        <v>577</v>
      </c>
      <c r="C120" s="132"/>
      <c r="D120" s="132"/>
      <c r="E120" s="7"/>
      <c r="F120" s="7"/>
      <c r="H120" s="22"/>
    </row>
    <row r="121" spans="1:13" s="5" customFormat="1" x14ac:dyDescent="0.25">
      <c r="A121" s="7"/>
      <c r="B121" s="7"/>
      <c r="C121" s="7"/>
      <c r="D121" s="7"/>
      <c r="E121" s="7"/>
      <c r="F121" s="7"/>
      <c r="H121" s="22"/>
    </row>
    <row r="122" spans="1:13" s="20" customFormat="1" hidden="1" outlineLevel="1" x14ac:dyDescent="0.25">
      <c r="B122" s="19" t="s">
        <v>124</v>
      </c>
      <c r="M122" s="31"/>
    </row>
    <row r="123" spans="1:13" s="20" customFormat="1" hidden="1" outlineLevel="1" x14ac:dyDescent="0.25">
      <c r="M123" s="31"/>
    </row>
    <row r="124" spans="1:13" s="20" customFormat="1" hidden="1" outlineLevel="1" x14ac:dyDescent="0.25">
      <c r="B124" s="20" t="s">
        <v>661</v>
      </c>
      <c r="C124" s="21">
        <f>(C81/100)*(C82/100)</f>
        <v>0</v>
      </c>
      <c r="D124" s="20" t="s">
        <v>643</v>
      </c>
      <c r="M124" s="31"/>
    </row>
    <row r="125" spans="1:13" s="20" customFormat="1" hidden="1" outlineLevel="1" x14ac:dyDescent="0.25">
      <c r="B125" s="20" t="s">
        <v>662</v>
      </c>
      <c r="C125" s="21">
        <f>C124*C83</f>
        <v>0</v>
      </c>
      <c r="D125" s="20" t="s">
        <v>32</v>
      </c>
      <c r="M125" s="31"/>
    </row>
    <row r="126" spans="1:13" s="20" customFormat="1" hidden="1" outlineLevel="1" x14ac:dyDescent="0.25">
      <c r="B126" s="20" t="s">
        <v>613</v>
      </c>
      <c r="C126" s="21">
        <f>C125*(1+'LEIA-ME'!$D$31)</f>
        <v>0</v>
      </c>
      <c r="D126" s="20" t="s">
        <v>32</v>
      </c>
      <c r="M126" s="31"/>
    </row>
    <row r="127" spans="1:13" s="20" customFormat="1" hidden="1" outlineLevel="1" x14ac:dyDescent="0.25">
      <c r="M127" s="31"/>
    </row>
    <row r="128" spans="1:13" s="20" customFormat="1" hidden="1" outlineLevel="1" x14ac:dyDescent="0.25">
      <c r="C128" s="133" t="s">
        <v>45</v>
      </c>
      <c r="D128" s="133"/>
      <c r="E128" s="133"/>
      <c r="F128" s="133"/>
      <c r="M128" s="31"/>
    </row>
    <row r="129" spans="1:13" s="73" customFormat="1" ht="30" hidden="1" outlineLevel="1" x14ac:dyDescent="0.25">
      <c r="B129" s="72" t="s">
        <v>42</v>
      </c>
      <c r="C129" s="86" t="s">
        <v>41</v>
      </c>
      <c r="D129" s="86" t="s">
        <v>40</v>
      </c>
      <c r="E129" s="86" t="s">
        <v>39</v>
      </c>
      <c r="F129" s="86" t="s">
        <v>38</v>
      </c>
      <c r="M129" s="74"/>
    </row>
    <row r="130" spans="1:13" s="20" customFormat="1" hidden="1" outlineLevel="1" x14ac:dyDescent="0.25">
      <c r="B130" s="30" t="s">
        <v>1170</v>
      </c>
      <c r="C130" s="21">
        <v>3.22</v>
      </c>
      <c r="D130" s="21">
        <v>0.58399999999999996</v>
      </c>
      <c r="E130" s="21">
        <v>0.91200000000000003</v>
      </c>
      <c r="F130" s="25">
        <v>194</v>
      </c>
      <c r="G130" s="20" t="s">
        <v>44</v>
      </c>
      <c r="M130" s="31"/>
    </row>
    <row r="131" spans="1:13" s="20" customFormat="1" hidden="1" outlineLevel="1" x14ac:dyDescent="0.25">
      <c r="M131" s="31"/>
    </row>
    <row r="132" spans="1:13" s="20" customFormat="1" hidden="1" outlineLevel="1" x14ac:dyDescent="0.25">
      <c r="C132" s="133" t="s">
        <v>43</v>
      </c>
      <c r="D132" s="133"/>
      <c r="E132" s="133"/>
      <c r="F132" s="133"/>
      <c r="M132" s="31"/>
    </row>
    <row r="133" spans="1:13" s="73" customFormat="1" ht="30" hidden="1" outlineLevel="1" x14ac:dyDescent="0.25">
      <c r="B133" s="72" t="s">
        <v>42</v>
      </c>
      <c r="C133" s="86" t="s">
        <v>41</v>
      </c>
      <c r="D133" s="86" t="s">
        <v>40</v>
      </c>
      <c r="E133" s="86" t="s">
        <v>39</v>
      </c>
      <c r="F133" s="86" t="s">
        <v>38</v>
      </c>
      <c r="M133" s="74"/>
    </row>
    <row r="134" spans="1:13" s="20" customFormat="1" hidden="1" outlineLevel="1" x14ac:dyDescent="0.25">
      <c r="B134" s="30" t="str">
        <f>B130</f>
        <v>1 : 4 : 8</v>
      </c>
      <c r="C134" s="21">
        <f>C130*$C$125</f>
        <v>0</v>
      </c>
      <c r="D134" s="21">
        <f>D130*$C$125</f>
        <v>0</v>
      </c>
      <c r="E134" s="21">
        <f>E130*$C$125</f>
        <v>0</v>
      </c>
      <c r="F134" s="25">
        <f>F130*$C$125</f>
        <v>0</v>
      </c>
      <c r="G134" s="20" t="s">
        <v>37</v>
      </c>
      <c r="M134" s="31"/>
    </row>
    <row r="135" spans="1:13" hidden="1" outlineLevel="1" x14ac:dyDescent="0.25">
      <c r="M135" s="4"/>
    </row>
    <row r="136" spans="1:13" collapsed="1" x14ac:dyDescent="0.25">
      <c r="B136" s="27" t="s">
        <v>5</v>
      </c>
      <c r="C136" s="28" t="s">
        <v>46</v>
      </c>
      <c r="D136" s="28" t="s">
        <v>6</v>
      </c>
    </row>
    <row r="137" spans="1:13" x14ac:dyDescent="0.25">
      <c r="B137" s="88" t="s">
        <v>36</v>
      </c>
      <c r="C137" s="91" t="s">
        <v>35</v>
      </c>
      <c r="D137" s="87">
        <f>C134</f>
        <v>0</v>
      </c>
      <c r="M137" s="4"/>
    </row>
    <row r="138" spans="1:13" x14ac:dyDescent="0.25">
      <c r="B138" s="88" t="s">
        <v>34</v>
      </c>
      <c r="C138" s="91" t="s">
        <v>32</v>
      </c>
      <c r="D138" s="87">
        <f>D134</f>
        <v>0</v>
      </c>
      <c r="M138" s="4"/>
    </row>
    <row r="139" spans="1:13" x14ac:dyDescent="0.25">
      <c r="B139" s="88" t="s">
        <v>33</v>
      </c>
      <c r="C139" s="91" t="s">
        <v>32</v>
      </c>
      <c r="D139" s="87">
        <f>E134</f>
        <v>0</v>
      </c>
      <c r="M139" s="4"/>
    </row>
    <row r="142" spans="1:13" s="5" customFormat="1" ht="18.75" x14ac:dyDescent="0.3">
      <c r="A142" s="7"/>
      <c r="B142" s="132" t="s">
        <v>578</v>
      </c>
      <c r="C142" s="132"/>
      <c r="D142" s="132"/>
      <c r="E142" s="7"/>
      <c r="F142" s="7"/>
      <c r="H142" s="22"/>
    </row>
    <row r="143" spans="1:13" s="5" customFormat="1" x14ac:dyDescent="0.25">
      <c r="A143" s="7"/>
      <c r="B143" s="7"/>
      <c r="C143" s="7"/>
      <c r="D143" s="7"/>
      <c r="E143" s="7"/>
      <c r="F143" s="7"/>
      <c r="H143" s="22"/>
    </row>
    <row r="144" spans="1:13" x14ac:dyDescent="0.25">
      <c r="B144" s="9" t="s">
        <v>2</v>
      </c>
    </row>
    <row r="146" spans="2:7" x14ac:dyDescent="0.25">
      <c r="B146" s="7" t="s">
        <v>62</v>
      </c>
      <c r="C146" s="23"/>
      <c r="D146" s="7" t="s">
        <v>64</v>
      </c>
    </row>
    <row r="147" spans="2:7" x14ac:dyDescent="0.25">
      <c r="B147" s="7" t="s">
        <v>63</v>
      </c>
      <c r="C147" s="23"/>
      <c r="D147" s="7" t="s">
        <v>56</v>
      </c>
    </row>
    <row r="149" spans="2:7" s="20" customFormat="1" hidden="1" outlineLevel="1" x14ac:dyDescent="0.25">
      <c r="B149" s="19" t="s">
        <v>119</v>
      </c>
    </row>
    <row r="150" spans="2:7" s="20" customFormat="1" hidden="1" outlineLevel="1" x14ac:dyDescent="0.25"/>
    <row r="151" spans="2:7" s="20" customFormat="1" hidden="1" outlineLevel="1" x14ac:dyDescent="0.25">
      <c r="B151" s="20" t="s">
        <v>31</v>
      </c>
    </row>
    <row r="152" spans="2:7" s="20" customFormat="1" hidden="1" outlineLevel="1" x14ac:dyDescent="0.25">
      <c r="B152" s="34" t="s">
        <v>230</v>
      </c>
      <c r="C152" s="35" t="s">
        <v>15</v>
      </c>
      <c r="D152" s="20" t="s">
        <v>0</v>
      </c>
    </row>
    <row r="153" spans="2:7" s="20" customFormat="1" hidden="1" outlineLevel="1" x14ac:dyDescent="0.25">
      <c r="B153" s="34"/>
    </row>
    <row r="154" spans="2:7" s="20" customFormat="1" hidden="1" outlineLevel="1" x14ac:dyDescent="0.25">
      <c r="B154" s="20" t="s">
        <v>30</v>
      </c>
    </row>
    <row r="155" spans="2:7" s="20" customFormat="1" hidden="1" outlineLevel="1" x14ac:dyDescent="0.25">
      <c r="B155" s="34" t="s">
        <v>230</v>
      </c>
      <c r="C155" s="35" t="s">
        <v>21</v>
      </c>
      <c r="D155" s="20" t="s">
        <v>0</v>
      </c>
    </row>
    <row r="156" spans="2:7" s="20" customFormat="1" hidden="1" outlineLevel="1" x14ac:dyDescent="0.25">
      <c r="B156" s="34" t="s">
        <v>843</v>
      </c>
      <c r="C156" s="23">
        <v>6</v>
      </c>
      <c r="D156" s="20" t="s">
        <v>56</v>
      </c>
    </row>
    <row r="157" spans="2:7" s="20" customFormat="1" hidden="1" outlineLevel="1" x14ac:dyDescent="0.25">
      <c r="B157" s="34" t="s">
        <v>14</v>
      </c>
      <c r="C157" s="25">
        <f>C81-C156</f>
        <v>-6</v>
      </c>
      <c r="D157" s="20" t="s">
        <v>29</v>
      </c>
      <c r="F157" s="36"/>
    </row>
    <row r="158" spans="2:7" s="20" customFormat="1" hidden="1" outlineLevel="1" x14ac:dyDescent="0.25">
      <c r="B158" s="34" t="s">
        <v>13</v>
      </c>
      <c r="C158" s="25">
        <f>C82-C156</f>
        <v>-6</v>
      </c>
      <c r="D158" s="20" t="s">
        <v>28</v>
      </c>
      <c r="F158" s="36"/>
      <c r="G158" s="36"/>
    </row>
    <row r="159" spans="2:7" s="20" customFormat="1" hidden="1" outlineLevel="1" x14ac:dyDescent="0.25">
      <c r="B159" s="34"/>
    </row>
    <row r="160" spans="2:7" s="20" customFormat="1" hidden="1" outlineLevel="1" x14ac:dyDescent="0.25">
      <c r="B160" s="19" t="s">
        <v>27</v>
      </c>
    </row>
    <row r="161" spans="2:4" s="20" customFormat="1" hidden="1" outlineLevel="1" x14ac:dyDescent="0.25"/>
    <row r="162" spans="2:4" s="20" customFormat="1" hidden="1" outlineLevel="1" x14ac:dyDescent="0.25">
      <c r="B162" s="20" t="s">
        <v>26</v>
      </c>
      <c r="C162" s="37">
        <f>C146*($C$83)</f>
        <v>0</v>
      </c>
      <c r="D162" s="20" t="s">
        <v>53</v>
      </c>
    </row>
    <row r="163" spans="2:4" s="20" customFormat="1" hidden="1" outlineLevel="1" x14ac:dyDescent="0.25">
      <c r="B163" s="20" t="s">
        <v>621</v>
      </c>
      <c r="C163" s="37">
        <f>C162*(1+'LEIA-ME'!$D$31)</f>
        <v>0</v>
      </c>
      <c r="D163" s="20" t="s">
        <v>53</v>
      </c>
    </row>
    <row r="164" spans="2:4" s="20" customFormat="1" hidden="1" outlineLevel="1" x14ac:dyDescent="0.25">
      <c r="B164" s="20" t="s">
        <v>664</v>
      </c>
      <c r="C164" s="23">
        <v>12</v>
      </c>
      <c r="D164" s="20" t="s">
        <v>53</v>
      </c>
    </row>
    <row r="165" spans="2:4" s="20" customFormat="1" hidden="1" outlineLevel="1" x14ac:dyDescent="0.25">
      <c r="B165" s="20" t="s">
        <v>72</v>
      </c>
      <c r="C165" s="40">
        <f>C163/C164</f>
        <v>0</v>
      </c>
      <c r="D165" s="20" t="s">
        <v>64</v>
      </c>
    </row>
    <row r="166" spans="2:4" s="20" customFormat="1" hidden="1" outlineLevel="1" x14ac:dyDescent="0.25"/>
    <row r="167" spans="2:4" s="20" customFormat="1" hidden="1" outlineLevel="1" x14ac:dyDescent="0.25">
      <c r="B167" s="19" t="s">
        <v>25</v>
      </c>
    </row>
    <row r="168" spans="2:4" s="20" customFormat="1" hidden="1" outlineLevel="1" x14ac:dyDescent="0.25"/>
    <row r="169" spans="2:4" s="20" customFormat="1" hidden="1" outlineLevel="1" x14ac:dyDescent="0.25">
      <c r="B169" s="20" t="s">
        <v>669</v>
      </c>
      <c r="C169" s="23">
        <v>20</v>
      </c>
      <c r="D169" s="20" t="s">
        <v>56</v>
      </c>
    </row>
    <row r="170" spans="2:4" s="20" customFormat="1" hidden="1" outlineLevel="1" x14ac:dyDescent="0.25">
      <c r="B170" s="20" t="s">
        <v>24</v>
      </c>
      <c r="C170" s="38">
        <f>(((C157*2)+(C158*2))*(1+C169/100))/100</f>
        <v>-0.28799999999999998</v>
      </c>
      <c r="D170" s="20" t="s">
        <v>53</v>
      </c>
    </row>
    <row r="171" spans="2:4" s="20" customFormat="1" hidden="1" outlineLevel="1" x14ac:dyDescent="0.25">
      <c r="B171" s="20" t="s">
        <v>23</v>
      </c>
      <c r="C171" s="37" t="e">
        <f>INT(($C$83)/(C147/100))</f>
        <v>#DIV/0!</v>
      </c>
      <c r="D171" s="20" t="s">
        <v>644</v>
      </c>
    </row>
    <row r="172" spans="2:4" s="20" customFormat="1" hidden="1" outlineLevel="1" x14ac:dyDescent="0.25">
      <c r="B172" s="20" t="s">
        <v>22</v>
      </c>
      <c r="C172" s="37" t="e">
        <f>C171*C170</f>
        <v>#DIV/0!</v>
      </c>
      <c r="D172" s="20" t="s">
        <v>53</v>
      </c>
    </row>
    <row r="173" spans="2:4" s="20" customFormat="1" hidden="1" outlineLevel="1" x14ac:dyDescent="0.25">
      <c r="B173" s="20" t="s">
        <v>665</v>
      </c>
      <c r="C173" s="37" t="e">
        <f>C172*(1+'LEIA-ME'!$D$31)</f>
        <v>#DIV/0!</v>
      </c>
      <c r="D173" s="20" t="s">
        <v>53</v>
      </c>
    </row>
    <row r="174" spans="2:4" s="20" customFormat="1" hidden="1" outlineLevel="1" x14ac:dyDescent="0.25">
      <c r="B174" s="20" t="s">
        <v>664</v>
      </c>
      <c r="C174" s="23">
        <v>12</v>
      </c>
      <c r="D174" s="20" t="s">
        <v>53</v>
      </c>
    </row>
    <row r="175" spans="2:4" s="20" customFormat="1" hidden="1" outlineLevel="1" x14ac:dyDescent="0.25">
      <c r="B175" s="20" t="s">
        <v>72</v>
      </c>
      <c r="C175" s="37" t="e">
        <f>C173/C174</f>
        <v>#DIV/0!</v>
      </c>
      <c r="D175" s="20" t="s">
        <v>64</v>
      </c>
    </row>
    <row r="176" spans="2:4" s="20" customFormat="1" hidden="1" outlineLevel="1" x14ac:dyDescent="0.25"/>
    <row r="177" spans="1:8" s="20" customFormat="1" hidden="1" outlineLevel="1" x14ac:dyDescent="0.25">
      <c r="B177" s="19" t="s">
        <v>73</v>
      </c>
    </row>
    <row r="178" spans="1:8" s="20" customFormat="1" hidden="1" outlineLevel="1" x14ac:dyDescent="0.25"/>
    <row r="179" spans="1:8" s="20" customFormat="1" hidden="1" outlineLevel="1" x14ac:dyDescent="0.25">
      <c r="B179" s="20" t="s">
        <v>666</v>
      </c>
      <c r="C179" s="85">
        <v>0.02</v>
      </c>
      <c r="D179" s="20" t="s">
        <v>650</v>
      </c>
    </row>
    <row r="180" spans="1:8" s="20" customFormat="1" hidden="1" outlineLevel="1" x14ac:dyDescent="0.25">
      <c r="B180" s="20" t="s">
        <v>615</v>
      </c>
      <c r="C180" s="21">
        <f>C162*C179*(1+'LEIA-ME'!$D$31)</f>
        <v>0</v>
      </c>
      <c r="D180" s="20" t="s">
        <v>49</v>
      </c>
    </row>
    <row r="181" spans="1:8" s="20" customFormat="1" hidden="1" outlineLevel="1" x14ac:dyDescent="0.25">
      <c r="B181" s="20" t="s">
        <v>668</v>
      </c>
      <c r="C181" s="23">
        <v>5</v>
      </c>
      <c r="D181" s="20" t="s">
        <v>667</v>
      </c>
    </row>
    <row r="182" spans="1:8" s="20" customFormat="1" hidden="1" outlineLevel="1" x14ac:dyDescent="0.25">
      <c r="B182" s="20" t="s">
        <v>622</v>
      </c>
      <c r="C182" s="25">
        <f>C162*C181*(1+'LEIA-ME'!$D$31)</f>
        <v>0</v>
      </c>
      <c r="D182" s="20" t="s">
        <v>644</v>
      </c>
    </row>
    <row r="183" spans="1:8" hidden="1" outlineLevel="1" x14ac:dyDescent="0.25">
      <c r="B183" s="4"/>
      <c r="D183" s="32"/>
    </row>
    <row r="184" spans="1:8" collapsed="1" x14ac:dyDescent="0.25">
      <c r="B184" s="27" t="s">
        <v>5</v>
      </c>
      <c r="C184" s="28" t="s">
        <v>46</v>
      </c>
      <c r="D184" s="28" t="s">
        <v>6</v>
      </c>
    </row>
    <row r="185" spans="1:8" x14ac:dyDescent="0.25">
      <c r="B185" s="88" t="s">
        <v>70</v>
      </c>
      <c r="C185" s="91" t="s">
        <v>642</v>
      </c>
      <c r="D185" s="87">
        <f>C165</f>
        <v>0</v>
      </c>
    </row>
    <row r="186" spans="1:8" x14ac:dyDescent="0.25">
      <c r="B186" s="88" t="s">
        <v>71</v>
      </c>
      <c r="C186" s="91" t="s">
        <v>642</v>
      </c>
      <c r="D186" s="87">
        <f>IFERROR(C175,0)</f>
        <v>0</v>
      </c>
    </row>
    <row r="187" spans="1:8" x14ac:dyDescent="0.25">
      <c r="B187" s="88" t="s">
        <v>74</v>
      </c>
      <c r="C187" s="91" t="s">
        <v>641</v>
      </c>
      <c r="D187" s="87">
        <f>C180</f>
        <v>0</v>
      </c>
    </row>
    <row r="188" spans="1:8" x14ac:dyDescent="0.25">
      <c r="B188" s="88" t="s">
        <v>231</v>
      </c>
      <c r="C188" s="91" t="s">
        <v>50</v>
      </c>
      <c r="D188" s="87">
        <f>C182</f>
        <v>0</v>
      </c>
    </row>
    <row r="191" spans="1:8" s="5" customFormat="1" ht="18.75" x14ac:dyDescent="0.3">
      <c r="A191" s="7"/>
      <c r="B191" s="132" t="s">
        <v>545</v>
      </c>
      <c r="C191" s="132"/>
      <c r="D191" s="132"/>
      <c r="E191" s="7"/>
      <c r="F191" s="7"/>
      <c r="H191" s="22"/>
    </row>
    <row r="192" spans="1:8" s="5" customFormat="1" x14ac:dyDescent="0.25">
      <c r="A192" s="7"/>
      <c r="B192" s="45" t="s">
        <v>534</v>
      </c>
      <c r="C192" s="7"/>
      <c r="D192" s="7"/>
      <c r="E192" s="7"/>
      <c r="F192" s="7"/>
      <c r="H192" s="22"/>
    </row>
    <row r="193" spans="1:8" s="5" customFormat="1" x14ac:dyDescent="0.25">
      <c r="A193" s="7"/>
      <c r="B193" s="7"/>
      <c r="C193" s="7"/>
      <c r="D193" s="7"/>
      <c r="E193" s="7"/>
      <c r="F193" s="7"/>
      <c r="H193" s="22"/>
    </row>
    <row r="194" spans="1:8" x14ac:dyDescent="0.25">
      <c r="B194" s="9" t="s">
        <v>2</v>
      </c>
    </row>
    <row r="196" spans="1:8" x14ac:dyDescent="0.25">
      <c r="B196" s="7" t="s">
        <v>62</v>
      </c>
      <c r="C196" s="23"/>
      <c r="D196" s="7" t="s">
        <v>64</v>
      </c>
    </row>
    <row r="197" spans="1:8" x14ac:dyDescent="0.25">
      <c r="B197" s="7" t="s">
        <v>63</v>
      </c>
      <c r="C197" s="23"/>
      <c r="D197" s="7" t="s">
        <v>56</v>
      </c>
    </row>
    <row r="198" spans="1:8" x14ac:dyDescent="0.25">
      <c r="B198" s="7" t="s">
        <v>154</v>
      </c>
      <c r="C198" s="23"/>
      <c r="D198" s="7" t="s">
        <v>92</v>
      </c>
    </row>
    <row r="200" spans="1:8" s="20" customFormat="1" hidden="1" outlineLevel="1" x14ac:dyDescent="0.25">
      <c r="B200" s="19" t="s">
        <v>596</v>
      </c>
    </row>
    <row r="201" spans="1:8" s="20" customFormat="1" hidden="1" outlineLevel="1" x14ac:dyDescent="0.25"/>
    <row r="202" spans="1:8" s="20" customFormat="1" hidden="1" outlineLevel="1" x14ac:dyDescent="0.25">
      <c r="B202" s="20" t="s">
        <v>101</v>
      </c>
    </row>
    <row r="203" spans="1:8" s="20" customFormat="1" hidden="1" outlineLevel="1" x14ac:dyDescent="0.25">
      <c r="B203" s="34" t="s">
        <v>230</v>
      </c>
      <c r="C203" s="35" t="s">
        <v>15</v>
      </c>
      <c r="D203" s="20" t="s">
        <v>0</v>
      </c>
    </row>
    <row r="204" spans="1:8" s="20" customFormat="1" hidden="1" outlineLevel="1" x14ac:dyDescent="0.25">
      <c r="B204" s="34"/>
    </row>
    <row r="205" spans="1:8" s="20" customFormat="1" hidden="1" outlineLevel="1" x14ac:dyDescent="0.25">
      <c r="B205" s="20" t="s">
        <v>30</v>
      </c>
    </row>
    <row r="206" spans="1:8" s="20" customFormat="1" hidden="1" outlineLevel="1" x14ac:dyDescent="0.25">
      <c r="B206" s="34" t="s">
        <v>230</v>
      </c>
      <c r="C206" s="35" t="s">
        <v>21</v>
      </c>
      <c r="D206" s="20" t="s">
        <v>0</v>
      </c>
    </row>
    <row r="207" spans="1:8" s="20" customFormat="1" hidden="1" outlineLevel="1" x14ac:dyDescent="0.25">
      <c r="B207" s="34" t="s">
        <v>14</v>
      </c>
      <c r="C207" s="25">
        <f>IF(C393="",10,C437)</f>
        <v>10</v>
      </c>
      <c r="D207" s="20" t="s">
        <v>0</v>
      </c>
      <c r="F207" s="36"/>
    </row>
    <row r="208" spans="1:8" s="20" customFormat="1" hidden="1" outlineLevel="1" x14ac:dyDescent="0.25">
      <c r="B208" s="34" t="s">
        <v>55</v>
      </c>
      <c r="C208" s="25">
        <f>IF(C394="",10,C438)</f>
        <v>10</v>
      </c>
      <c r="D208" s="20" t="s">
        <v>0</v>
      </c>
      <c r="F208" s="36"/>
    </row>
    <row r="209" spans="2:4" s="20" customFormat="1" hidden="1" outlineLevel="1" x14ac:dyDescent="0.25"/>
    <row r="210" spans="2:4" s="20" customFormat="1" hidden="1" outlineLevel="1" x14ac:dyDescent="0.25">
      <c r="B210" s="19" t="s">
        <v>100</v>
      </c>
    </row>
    <row r="211" spans="2:4" s="20" customFormat="1" hidden="1" outlineLevel="1" x14ac:dyDescent="0.25"/>
    <row r="212" spans="2:4" s="20" customFormat="1" hidden="1" outlineLevel="1" x14ac:dyDescent="0.25">
      <c r="B212" s="20" t="s">
        <v>671</v>
      </c>
      <c r="C212" s="23">
        <v>1</v>
      </c>
      <c r="D212" s="20" t="s">
        <v>53</v>
      </c>
    </row>
    <row r="213" spans="2:4" s="20" customFormat="1" hidden="1" outlineLevel="1" x14ac:dyDescent="0.25">
      <c r="B213" s="20" t="s">
        <v>99</v>
      </c>
      <c r="C213" s="37">
        <f>C196*C212</f>
        <v>0</v>
      </c>
      <c r="D213" s="20" t="s">
        <v>53</v>
      </c>
    </row>
    <row r="214" spans="2:4" s="20" customFormat="1" hidden="1" outlineLevel="1" x14ac:dyDescent="0.25">
      <c r="B214" s="20" t="s">
        <v>98</v>
      </c>
      <c r="C214" s="37">
        <f>C213*(C198)</f>
        <v>0</v>
      </c>
      <c r="D214" s="20" t="s">
        <v>53</v>
      </c>
    </row>
    <row r="215" spans="2:4" s="20" customFormat="1" hidden="1" outlineLevel="1" x14ac:dyDescent="0.25">
      <c r="B215" s="20" t="s">
        <v>623</v>
      </c>
      <c r="C215" s="37">
        <f>C214*(1+'LEIA-ME'!$D$31)</f>
        <v>0</v>
      </c>
      <c r="D215" s="20" t="s">
        <v>53</v>
      </c>
    </row>
    <row r="216" spans="2:4" s="20" customFormat="1" hidden="1" outlineLevel="1" x14ac:dyDescent="0.25">
      <c r="B216" s="20" t="s">
        <v>664</v>
      </c>
      <c r="C216" s="23">
        <v>12</v>
      </c>
      <c r="D216" s="20" t="s">
        <v>53</v>
      </c>
    </row>
    <row r="217" spans="2:4" s="20" customFormat="1" hidden="1" outlineLevel="1" x14ac:dyDescent="0.25">
      <c r="B217" s="20" t="s">
        <v>72</v>
      </c>
      <c r="C217" s="37">
        <f>C215/C216</f>
        <v>0</v>
      </c>
      <c r="D217" s="20" t="s">
        <v>64</v>
      </c>
    </row>
    <row r="218" spans="2:4" s="20" customFormat="1" hidden="1" outlineLevel="1" x14ac:dyDescent="0.25"/>
    <row r="219" spans="2:4" s="20" customFormat="1" hidden="1" outlineLevel="1" x14ac:dyDescent="0.25">
      <c r="B219" s="19" t="s">
        <v>25</v>
      </c>
    </row>
    <row r="220" spans="2:4" s="20" customFormat="1" hidden="1" outlineLevel="1" x14ac:dyDescent="0.25"/>
    <row r="221" spans="2:4" s="20" customFormat="1" hidden="1" outlineLevel="1" x14ac:dyDescent="0.25">
      <c r="B221" s="20" t="s">
        <v>669</v>
      </c>
      <c r="C221" s="23">
        <v>20</v>
      </c>
      <c r="D221" s="20" t="s">
        <v>56</v>
      </c>
    </row>
    <row r="222" spans="2:4" s="20" customFormat="1" hidden="1" outlineLevel="1" x14ac:dyDescent="0.25">
      <c r="B222" s="20" t="s">
        <v>24</v>
      </c>
      <c r="C222" s="37">
        <f>(((C207*2)+(C208*2))*(1+C221/100))/100</f>
        <v>0.48</v>
      </c>
      <c r="D222" s="20" t="s">
        <v>53</v>
      </c>
    </row>
    <row r="223" spans="2:4" s="20" customFormat="1" hidden="1" outlineLevel="1" x14ac:dyDescent="0.25">
      <c r="B223" s="20" t="s">
        <v>97</v>
      </c>
      <c r="C223" s="37" t="e">
        <f>INT(1/(C197/100))</f>
        <v>#DIV/0!</v>
      </c>
      <c r="D223" s="20" t="s">
        <v>644</v>
      </c>
    </row>
    <row r="224" spans="2:4" s="20" customFormat="1" hidden="1" outlineLevel="1" x14ac:dyDescent="0.25">
      <c r="B224" s="20" t="s">
        <v>624</v>
      </c>
      <c r="C224" s="37" t="e">
        <f>C223*C222</f>
        <v>#DIV/0!</v>
      </c>
      <c r="D224" s="20" t="s">
        <v>53</v>
      </c>
    </row>
    <row r="225" spans="1:8" s="20" customFormat="1" hidden="1" outlineLevel="1" x14ac:dyDescent="0.25">
      <c r="B225" s="20" t="s">
        <v>95</v>
      </c>
      <c r="C225" s="37" t="e">
        <f>C224*(C198)</f>
        <v>#DIV/0!</v>
      </c>
      <c r="D225" s="20" t="s">
        <v>53</v>
      </c>
    </row>
    <row r="226" spans="1:8" s="20" customFormat="1" hidden="1" outlineLevel="1" x14ac:dyDescent="0.25">
      <c r="B226" s="20" t="s">
        <v>707</v>
      </c>
      <c r="C226" s="37" t="e">
        <f>C225*(1+'LEIA-ME'!$D$31)</f>
        <v>#DIV/0!</v>
      </c>
      <c r="D226" s="20" t="s">
        <v>53</v>
      </c>
    </row>
    <row r="227" spans="1:8" s="20" customFormat="1" hidden="1" outlineLevel="1" x14ac:dyDescent="0.25">
      <c r="B227" s="20" t="s">
        <v>664</v>
      </c>
      <c r="C227" s="23">
        <v>12</v>
      </c>
      <c r="D227" s="20" t="s">
        <v>53</v>
      </c>
    </row>
    <row r="228" spans="1:8" s="20" customFormat="1" hidden="1" outlineLevel="1" x14ac:dyDescent="0.25">
      <c r="B228" s="20" t="s">
        <v>72</v>
      </c>
      <c r="C228" s="37" t="e">
        <f>C226/C227</f>
        <v>#DIV/0!</v>
      </c>
      <c r="D228" s="20" t="s">
        <v>64</v>
      </c>
    </row>
    <row r="229" spans="1:8" hidden="1" outlineLevel="1" x14ac:dyDescent="0.25">
      <c r="B229" s="4"/>
      <c r="D229" s="32"/>
    </row>
    <row r="230" spans="1:8" collapsed="1" x14ac:dyDescent="0.25">
      <c r="B230" s="27" t="s">
        <v>5</v>
      </c>
      <c r="C230" s="28" t="s">
        <v>46</v>
      </c>
      <c r="D230" s="28" t="s">
        <v>6</v>
      </c>
    </row>
    <row r="231" spans="1:8" x14ac:dyDescent="0.25">
      <c r="B231" s="88" t="s">
        <v>70</v>
      </c>
      <c r="C231" s="91" t="s">
        <v>642</v>
      </c>
      <c r="D231" s="87">
        <f>C217</f>
        <v>0</v>
      </c>
    </row>
    <row r="232" spans="1:8" x14ac:dyDescent="0.25">
      <c r="B232" s="88" t="s">
        <v>71</v>
      </c>
      <c r="C232" s="91" t="s">
        <v>642</v>
      </c>
      <c r="D232" s="87">
        <f>IFERROR(C228,0)</f>
        <v>0</v>
      </c>
    </row>
    <row r="233" spans="1:8" x14ac:dyDescent="0.25">
      <c r="B233" s="4"/>
      <c r="D233" s="32"/>
    </row>
    <row r="235" spans="1:8" s="5" customFormat="1" ht="18.75" x14ac:dyDescent="0.3">
      <c r="A235" s="7"/>
      <c r="B235" s="132" t="s">
        <v>579</v>
      </c>
      <c r="C235" s="132"/>
      <c r="D235" s="132"/>
      <c r="E235" s="7"/>
      <c r="F235" s="7"/>
      <c r="H235" s="22"/>
    </row>
    <row r="237" spans="1:8" s="20" customFormat="1" hidden="1" outlineLevel="1" x14ac:dyDescent="0.25">
      <c r="B237" s="19" t="s">
        <v>120</v>
      </c>
    </row>
    <row r="238" spans="1:8" s="20" customFormat="1" hidden="1" outlineLevel="1" x14ac:dyDescent="0.25"/>
    <row r="239" spans="1:8" s="20" customFormat="1" hidden="1" outlineLevel="1" x14ac:dyDescent="0.25">
      <c r="B239" s="20" t="s">
        <v>649</v>
      </c>
      <c r="C239" s="33">
        <v>3</v>
      </c>
      <c r="D239" s="20" t="s">
        <v>53</v>
      </c>
    </row>
    <row r="240" spans="1:8" s="20" customFormat="1" hidden="1" outlineLevel="1" x14ac:dyDescent="0.25">
      <c r="B240" s="20" t="s">
        <v>20</v>
      </c>
      <c r="C240" s="21">
        <f>($C$83)/C239</f>
        <v>0</v>
      </c>
      <c r="D240" s="20" t="s">
        <v>644</v>
      </c>
    </row>
    <row r="241" spans="2:4" s="20" customFormat="1" hidden="1" outlineLevel="1" x14ac:dyDescent="0.25">
      <c r="B241" s="20" t="s">
        <v>19</v>
      </c>
      <c r="C241" s="21">
        <f>IF(C82&gt;25,2,1)</f>
        <v>1</v>
      </c>
      <c r="D241" s="20" t="s">
        <v>644</v>
      </c>
    </row>
    <row r="242" spans="2:4" s="20" customFormat="1" hidden="1" outlineLevel="1" x14ac:dyDescent="0.25">
      <c r="B242" s="20" t="s">
        <v>228</v>
      </c>
      <c r="C242" s="21">
        <f>C241*C240*2</f>
        <v>0</v>
      </c>
      <c r="D242" s="20" t="s">
        <v>644</v>
      </c>
    </row>
    <row r="243" spans="2:4" s="20" customFormat="1" hidden="1" outlineLevel="1" x14ac:dyDescent="0.25">
      <c r="B243" s="20" t="s">
        <v>672</v>
      </c>
      <c r="C243" s="21">
        <f>C242*(1+'LEIA-ME'!$D$31)</f>
        <v>0</v>
      </c>
      <c r="D243" s="20" t="s">
        <v>644</v>
      </c>
    </row>
    <row r="244" spans="2:4" s="20" customFormat="1" hidden="1" outlineLevel="1" x14ac:dyDescent="0.25">
      <c r="C244" s="21"/>
    </row>
    <row r="245" spans="2:4" s="20" customFormat="1" hidden="1" outlineLevel="1" x14ac:dyDescent="0.25">
      <c r="B245" s="19" t="s">
        <v>121</v>
      </c>
    </row>
    <row r="246" spans="2:4" s="20" customFormat="1" hidden="1" outlineLevel="1" x14ac:dyDescent="0.25"/>
    <row r="247" spans="2:4" s="20" customFormat="1" hidden="1" outlineLevel="1" x14ac:dyDescent="0.25">
      <c r="B247" s="20" t="s">
        <v>18</v>
      </c>
      <c r="C247" s="23">
        <v>40</v>
      </c>
      <c r="D247" s="39" t="s">
        <v>56</v>
      </c>
    </row>
    <row r="248" spans="2:4" s="20" customFormat="1" hidden="1" outlineLevel="1" x14ac:dyDescent="0.25">
      <c r="B248" s="20" t="s">
        <v>232</v>
      </c>
      <c r="C248" s="21">
        <f>($C$83)/(C247/100)*C241</f>
        <v>0</v>
      </c>
      <c r="D248" s="39" t="s">
        <v>644</v>
      </c>
    </row>
    <row r="249" spans="2:4" s="20" customFormat="1" hidden="1" outlineLevel="1" x14ac:dyDescent="0.25">
      <c r="B249" s="20" t="s">
        <v>17</v>
      </c>
      <c r="C249" s="21">
        <f>C248*(C81/100)</f>
        <v>0</v>
      </c>
      <c r="D249" s="20" t="s">
        <v>53</v>
      </c>
    </row>
    <row r="250" spans="2:4" s="20" customFormat="1" hidden="1" outlineLevel="1" x14ac:dyDescent="0.25">
      <c r="B250" s="20" t="s">
        <v>673</v>
      </c>
      <c r="C250" s="21">
        <f>C249*(1+'LEIA-ME'!$D$31)</f>
        <v>0</v>
      </c>
      <c r="D250" s="20" t="s">
        <v>53</v>
      </c>
    </row>
    <row r="251" spans="2:4" s="20" customFormat="1" hidden="1" outlineLevel="1" x14ac:dyDescent="0.25">
      <c r="B251" s="20" t="s">
        <v>674</v>
      </c>
      <c r="C251" s="33">
        <v>3</v>
      </c>
      <c r="D251" s="20" t="s">
        <v>53</v>
      </c>
    </row>
    <row r="252" spans="2:4" s="20" customFormat="1" hidden="1" outlineLevel="1" x14ac:dyDescent="0.25">
      <c r="B252" s="20" t="s">
        <v>232</v>
      </c>
      <c r="C252" s="21">
        <f>C250/C251</f>
        <v>0</v>
      </c>
      <c r="D252" s="20" t="s">
        <v>644</v>
      </c>
    </row>
    <row r="253" spans="2:4" s="20" customFormat="1" hidden="1" outlineLevel="1" x14ac:dyDescent="0.25"/>
    <row r="254" spans="2:4" s="20" customFormat="1" hidden="1" outlineLevel="1" x14ac:dyDescent="0.25">
      <c r="B254" s="19" t="s">
        <v>122</v>
      </c>
    </row>
    <row r="255" spans="2:4" s="20" customFormat="1" hidden="1" outlineLevel="1" x14ac:dyDescent="0.25"/>
    <row r="256" spans="2:4" s="20" customFormat="1" hidden="1" outlineLevel="1" x14ac:dyDescent="0.25">
      <c r="B256" s="20" t="s">
        <v>16</v>
      </c>
      <c r="C256" s="92">
        <v>3.0959999999999998E-2</v>
      </c>
      <c r="D256" s="39" t="s">
        <v>829</v>
      </c>
    </row>
    <row r="257" spans="1:8" s="20" customFormat="1" hidden="1" outlineLevel="1" x14ac:dyDescent="0.25">
      <c r="B257" s="20" t="s">
        <v>75</v>
      </c>
      <c r="C257" s="40">
        <f>C256*C243</f>
        <v>0</v>
      </c>
      <c r="D257" s="20" t="s">
        <v>49</v>
      </c>
    </row>
    <row r="258" spans="1:8" hidden="1" outlineLevel="1" x14ac:dyDescent="0.25"/>
    <row r="259" spans="1:8" collapsed="1" x14ac:dyDescent="0.25">
      <c r="B259" s="27" t="s">
        <v>5</v>
      </c>
      <c r="C259" s="28" t="s">
        <v>46</v>
      </c>
      <c r="D259" s="28" t="s">
        <v>6</v>
      </c>
    </row>
    <row r="260" spans="1:8" x14ac:dyDescent="0.25">
      <c r="B260" s="88" t="s">
        <v>77</v>
      </c>
      <c r="C260" s="91" t="s">
        <v>612</v>
      </c>
      <c r="D260" s="87">
        <f>C243</f>
        <v>0</v>
      </c>
    </row>
    <row r="261" spans="1:8" x14ac:dyDescent="0.25">
      <c r="B261" s="88" t="s">
        <v>76</v>
      </c>
      <c r="C261" s="91" t="s">
        <v>612</v>
      </c>
      <c r="D261" s="87">
        <f>C252</f>
        <v>0</v>
      </c>
    </row>
    <row r="262" spans="1:8" x14ac:dyDescent="0.25">
      <c r="B262" s="90" t="s">
        <v>636</v>
      </c>
      <c r="C262" s="89" t="s">
        <v>49</v>
      </c>
      <c r="D262" s="87">
        <f>C257</f>
        <v>0</v>
      </c>
    </row>
    <row r="265" spans="1:8" s="5" customFormat="1" ht="18.75" x14ac:dyDescent="0.3">
      <c r="A265" s="7"/>
      <c r="B265" s="132" t="s">
        <v>580</v>
      </c>
      <c r="C265" s="132"/>
      <c r="D265" s="132"/>
      <c r="E265" s="7"/>
      <c r="F265" s="7"/>
      <c r="H265" s="22"/>
    </row>
    <row r="267" spans="1:8" s="20" customFormat="1" hidden="1" outlineLevel="1" x14ac:dyDescent="0.25">
      <c r="B267" s="19" t="s">
        <v>123</v>
      </c>
    </row>
    <row r="268" spans="1:8" s="20" customFormat="1" hidden="1" outlineLevel="1" x14ac:dyDescent="0.25"/>
    <row r="269" spans="1:8" s="20" customFormat="1" hidden="1" outlineLevel="1" x14ac:dyDescent="0.25">
      <c r="B269" s="20" t="s">
        <v>675</v>
      </c>
      <c r="C269" s="92">
        <v>0.1</v>
      </c>
      <c r="D269" s="20" t="s">
        <v>678</v>
      </c>
    </row>
    <row r="270" spans="1:8" s="20" customFormat="1" hidden="1" outlineLevel="1" x14ac:dyDescent="0.25">
      <c r="B270" s="20" t="s">
        <v>78</v>
      </c>
      <c r="C270" s="21">
        <f>C83*C269</f>
        <v>0</v>
      </c>
      <c r="D270" s="20" t="s">
        <v>688</v>
      </c>
    </row>
    <row r="271" spans="1:8" s="20" customFormat="1" hidden="1" outlineLevel="1" x14ac:dyDescent="0.25">
      <c r="B271" s="20" t="s">
        <v>677</v>
      </c>
      <c r="C271" s="21">
        <f>C270*(1+'LEIA-ME'!$D$31)</f>
        <v>0</v>
      </c>
      <c r="D271" s="20" t="s">
        <v>688</v>
      </c>
    </row>
    <row r="272" spans="1:8" s="20" customFormat="1" hidden="1" outlineLevel="1" x14ac:dyDescent="0.25">
      <c r="B272" s="20" t="s">
        <v>679</v>
      </c>
      <c r="C272" s="92">
        <v>2.4299999999999999E-3</v>
      </c>
      <c r="D272" s="20" t="s">
        <v>682</v>
      </c>
    </row>
    <row r="273" spans="1:8" s="20" customFormat="1" hidden="1" outlineLevel="1" x14ac:dyDescent="0.25">
      <c r="B273" s="20" t="s">
        <v>693</v>
      </c>
      <c r="C273" s="21">
        <f>C83*C272</f>
        <v>0</v>
      </c>
      <c r="D273" s="20" t="s">
        <v>32</v>
      </c>
    </row>
    <row r="274" spans="1:8" s="20" customFormat="1" hidden="1" outlineLevel="1" x14ac:dyDescent="0.25">
      <c r="B274" s="20" t="s">
        <v>694</v>
      </c>
      <c r="C274" s="21">
        <f>C273*(1+'LEIA-ME'!$D$31)</f>
        <v>0</v>
      </c>
      <c r="D274" s="20" t="s">
        <v>32</v>
      </c>
    </row>
    <row r="275" spans="1:8" s="20" customFormat="1" hidden="1" outlineLevel="1" x14ac:dyDescent="0.25">
      <c r="B275" s="20" t="s">
        <v>689</v>
      </c>
      <c r="C275" s="92">
        <v>9.0909090909090912E-2</v>
      </c>
      <c r="D275" s="20" t="s">
        <v>830</v>
      </c>
    </row>
    <row r="276" spans="1:8" s="20" customFormat="1" hidden="1" outlineLevel="1" x14ac:dyDescent="0.25">
      <c r="B276" s="20" t="s">
        <v>690</v>
      </c>
      <c r="C276" s="21">
        <f>C83*C275</f>
        <v>0</v>
      </c>
      <c r="D276" s="20" t="s">
        <v>691</v>
      </c>
    </row>
    <row r="277" spans="1:8" s="20" customFormat="1" hidden="1" outlineLevel="1" x14ac:dyDescent="0.25">
      <c r="B277" s="20" t="s">
        <v>692</v>
      </c>
      <c r="C277" s="21">
        <f>C276*(1+'LEIA-ME'!$D$31)</f>
        <v>0</v>
      </c>
      <c r="D277" s="20" t="s">
        <v>691</v>
      </c>
    </row>
    <row r="278" spans="1:8" s="20" customFormat="1" hidden="1" outlineLevel="1" x14ac:dyDescent="0.25">
      <c r="B278" s="20" t="s">
        <v>695</v>
      </c>
      <c r="C278" s="25">
        <v>1</v>
      </c>
      <c r="D278" s="20" t="s">
        <v>644</v>
      </c>
    </row>
    <row r="279" spans="1:8" hidden="1" outlineLevel="1" x14ac:dyDescent="0.25"/>
    <row r="280" spans="1:8" collapsed="1" x14ac:dyDescent="0.25">
      <c r="B280" s="27" t="s">
        <v>5</v>
      </c>
      <c r="C280" s="28" t="s">
        <v>46</v>
      </c>
      <c r="D280" s="28" t="s">
        <v>6</v>
      </c>
    </row>
    <row r="281" spans="1:8" x14ac:dyDescent="0.25">
      <c r="B281" s="88" t="s">
        <v>36</v>
      </c>
      <c r="C281" s="91" t="s">
        <v>35</v>
      </c>
      <c r="D281" s="87">
        <f>C270</f>
        <v>0</v>
      </c>
    </row>
    <row r="282" spans="1:8" ht="17.25" x14ac:dyDescent="0.25">
      <c r="B282" s="88" t="s">
        <v>34</v>
      </c>
      <c r="C282" s="91" t="s">
        <v>80</v>
      </c>
      <c r="D282" s="87">
        <f>C273</f>
        <v>0</v>
      </c>
    </row>
    <row r="283" spans="1:8" x14ac:dyDescent="0.25">
      <c r="B283" s="90" t="s">
        <v>87</v>
      </c>
      <c r="C283" s="89" t="s">
        <v>86</v>
      </c>
      <c r="D283" s="87">
        <f>C276</f>
        <v>0</v>
      </c>
    </row>
    <row r="284" spans="1:8" x14ac:dyDescent="0.25">
      <c r="B284" s="90" t="s">
        <v>88</v>
      </c>
      <c r="C284" s="89" t="s">
        <v>50</v>
      </c>
      <c r="D284" s="87">
        <f>IF(C83="",0,C278)</f>
        <v>0</v>
      </c>
    </row>
    <row r="287" spans="1:8" s="5" customFormat="1" ht="18.75" x14ac:dyDescent="0.3">
      <c r="A287" s="7"/>
      <c r="B287" s="132" t="s">
        <v>581</v>
      </c>
      <c r="C287" s="132"/>
      <c r="D287" s="132"/>
      <c r="E287" s="7"/>
      <c r="F287" s="7"/>
      <c r="H287" s="22"/>
    </row>
    <row r="288" spans="1:8" s="5" customFormat="1" x14ac:dyDescent="0.25">
      <c r="A288" s="7"/>
      <c r="B288" s="7"/>
      <c r="C288" s="7"/>
      <c r="D288" s="7"/>
      <c r="E288" s="7"/>
      <c r="F288" s="7"/>
      <c r="H288" s="22"/>
    </row>
    <row r="289" spans="2:7" x14ac:dyDescent="0.25">
      <c r="B289" s="9" t="s">
        <v>2</v>
      </c>
    </row>
    <row r="291" spans="2:7" x14ac:dyDescent="0.25">
      <c r="B291" s="7" t="s">
        <v>473</v>
      </c>
      <c r="C291" s="33"/>
      <c r="D291" s="7" t="s">
        <v>53</v>
      </c>
    </row>
    <row r="292" spans="2:7" x14ac:dyDescent="0.25">
      <c r="B292" s="7" t="s">
        <v>474</v>
      </c>
      <c r="C292" s="33"/>
      <c r="D292" s="7" t="s">
        <v>53</v>
      </c>
      <c r="G292" s="24"/>
    </row>
    <row r="293" spans="2:7" x14ac:dyDescent="0.25">
      <c r="B293" s="7" t="s">
        <v>202</v>
      </c>
      <c r="C293" s="41"/>
    </row>
    <row r="294" spans="2:7" x14ac:dyDescent="0.25">
      <c r="B294" s="7" t="s">
        <v>287</v>
      </c>
      <c r="C294" s="29"/>
    </row>
    <row r="295" spans="2:7" x14ac:dyDescent="0.25">
      <c r="B295" s="7" t="s">
        <v>475</v>
      </c>
      <c r="C295" s="29"/>
    </row>
    <row r="296" spans="2:7" x14ac:dyDescent="0.25">
      <c r="B296" s="7" t="s">
        <v>494</v>
      </c>
      <c r="C296" s="29"/>
    </row>
    <row r="298" spans="2:7" s="20" customFormat="1" hidden="1" outlineLevel="1" x14ac:dyDescent="0.25">
      <c r="B298" s="19" t="s">
        <v>482</v>
      </c>
    </row>
    <row r="299" spans="2:7" s="20" customFormat="1" hidden="1" outlineLevel="1" x14ac:dyDescent="0.25"/>
    <row r="300" spans="2:7" s="20" customFormat="1" hidden="1" outlineLevel="1" x14ac:dyDescent="0.25">
      <c r="B300" s="20" t="s">
        <v>804</v>
      </c>
      <c r="C300" s="21">
        <f>'19. Muro com Tijolos'!C291*'19. Muro com Tijolos'!C292</f>
        <v>0</v>
      </c>
      <c r="D300" s="20" t="s">
        <v>643</v>
      </c>
    </row>
    <row r="301" spans="2:7" s="20" customFormat="1" hidden="1" outlineLevel="1" x14ac:dyDescent="0.25">
      <c r="B301" s="20" t="s">
        <v>481</v>
      </c>
      <c r="C301" s="21">
        <f>SUM($G$307:$G$313)</f>
        <v>0</v>
      </c>
      <c r="D301" s="20" t="s">
        <v>643</v>
      </c>
    </row>
    <row r="302" spans="2:7" s="20" customFormat="1" hidden="1" outlineLevel="1" x14ac:dyDescent="0.25">
      <c r="B302" s="20" t="s">
        <v>480</v>
      </c>
      <c r="C302" s="21">
        <f>SUM($G$316:$G$324)</f>
        <v>0</v>
      </c>
      <c r="D302" s="20" t="s">
        <v>643</v>
      </c>
    </row>
    <row r="303" spans="2:7" s="20" customFormat="1" hidden="1" outlineLevel="1" x14ac:dyDescent="0.25">
      <c r="B303" s="20" t="s">
        <v>483</v>
      </c>
      <c r="C303" s="21">
        <f>C300-C301-C302</f>
        <v>0</v>
      </c>
      <c r="D303" s="20" t="s">
        <v>643</v>
      </c>
    </row>
    <row r="304" spans="2:7" s="20" customFormat="1" hidden="1" outlineLevel="1" x14ac:dyDescent="0.25">
      <c r="B304" s="20" t="s">
        <v>805</v>
      </c>
      <c r="C304" s="21">
        <f>C303*(1+'LEIA-ME'!$D$31)</f>
        <v>0</v>
      </c>
      <c r="D304" s="20" t="s">
        <v>643</v>
      </c>
    </row>
    <row r="305" spans="2:21" s="20" customFormat="1" hidden="1" outlineLevel="1" x14ac:dyDescent="0.25"/>
    <row r="306" spans="2:21" s="73" customFormat="1" ht="30" hidden="1" outlineLevel="1" x14ac:dyDescent="0.25">
      <c r="B306" s="73" t="s">
        <v>476</v>
      </c>
      <c r="C306" s="97" t="s">
        <v>186</v>
      </c>
      <c r="D306" s="97" t="s">
        <v>185</v>
      </c>
      <c r="E306" s="97" t="s">
        <v>184</v>
      </c>
      <c r="F306" s="97" t="s">
        <v>183</v>
      </c>
      <c r="G306" s="97" t="s">
        <v>182</v>
      </c>
      <c r="H306" s="97" t="s">
        <v>181</v>
      </c>
      <c r="M306" s="74"/>
      <c r="N306" s="74"/>
      <c r="O306" s="74"/>
      <c r="P306" s="74"/>
      <c r="Q306" s="74"/>
      <c r="R306" s="74"/>
      <c r="S306" s="74"/>
      <c r="T306" s="74"/>
      <c r="U306" s="74"/>
    </row>
    <row r="307" spans="2:21" s="20" customFormat="1" ht="15" hidden="1" customHeight="1" outlineLevel="1" x14ac:dyDescent="0.25">
      <c r="B307" s="20" t="str">
        <f t="shared" ref="B307:B313" si="10">C307&amp;" x "&amp;D307&amp;" cm"</f>
        <v>220 x 242 cm</v>
      </c>
      <c r="C307" s="20">
        <v>220</v>
      </c>
      <c r="D307" s="20">
        <v>242</v>
      </c>
      <c r="E307" s="21">
        <f t="shared" ref="E307:E313" si="11">C307/100*D307/100</f>
        <v>5.3240000000000007</v>
      </c>
      <c r="F307" s="25">
        <f>IF(B307=$C$295,1,0)</f>
        <v>0</v>
      </c>
      <c r="G307" s="21">
        <f t="shared" ref="G307:G313" si="12">E307*F307</f>
        <v>0</v>
      </c>
      <c r="H307" s="21">
        <f t="shared" ref="H307:H313" si="13">F307*D307/100</f>
        <v>0</v>
      </c>
      <c r="M307" s="31"/>
      <c r="N307" s="31"/>
      <c r="O307" s="31"/>
      <c r="P307" s="31"/>
      <c r="Q307" s="31"/>
      <c r="R307" s="31"/>
      <c r="S307" s="31"/>
      <c r="T307" s="31"/>
      <c r="U307" s="31"/>
    </row>
    <row r="308" spans="2:21" s="20" customFormat="1" hidden="1" outlineLevel="1" x14ac:dyDescent="0.25">
      <c r="B308" s="20" t="str">
        <f t="shared" si="10"/>
        <v>220 x 250 cm</v>
      </c>
      <c r="C308" s="20">
        <v>220</v>
      </c>
      <c r="D308" s="20">
        <v>250</v>
      </c>
      <c r="E308" s="21">
        <f t="shared" si="11"/>
        <v>5.5</v>
      </c>
      <c r="F308" s="25">
        <f t="shared" ref="F308:F313" si="14">IF(B308=$C$295,1,0)</f>
        <v>0</v>
      </c>
      <c r="G308" s="21">
        <f t="shared" si="12"/>
        <v>0</v>
      </c>
      <c r="H308" s="21">
        <f t="shared" si="13"/>
        <v>0</v>
      </c>
      <c r="M308" s="31"/>
      <c r="N308" s="31"/>
      <c r="O308" s="31"/>
      <c r="P308" s="31"/>
      <c r="Q308" s="31"/>
      <c r="R308" s="31"/>
      <c r="S308" s="31"/>
      <c r="T308" s="31"/>
      <c r="U308" s="31"/>
    </row>
    <row r="309" spans="2:21" s="20" customFormat="1" hidden="1" outlineLevel="1" x14ac:dyDescent="0.25">
      <c r="B309" s="20" t="str">
        <f t="shared" si="10"/>
        <v>220 x 282 cm</v>
      </c>
      <c r="C309" s="20">
        <v>220</v>
      </c>
      <c r="D309" s="20">
        <v>282</v>
      </c>
      <c r="E309" s="21">
        <f t="shared" si="11"/>
        <v>6.2040000000000006</v>
      </c>
      <c r="F309" s="25">
        <f t="shared" si="14"/>
        <v>0</v>
      </c>
      <c r="G309" s="21">
        <f t="shared" si="12"/>
        <v>0</v>
      </c>
      <c r="H309" s="21">
        <f t="shared" si="13"/>
        <v>0</v>
      </c>
      <c r="M309" s="31"/>
      <c r="N309" s="31"/>
      <c r="O309" s="31"/>
      <c r="P309" s="31"/>
      <c r="Q309" s="31"/>
      <c r="R309" s="31"/>
      <c r="S309" s="31"/>
      <c r="T309" s="31"/>
      <c r="U309" s="31"/>
    </row>
    <row r="310" spans="2:21" s="20" customFormat="1" hidden="1" outlineLevel="1" x14ac:dyDescent="0.25">
      <c r="B310" s="20" t="str">
        <f t="shared" si="10"/>
        <v>220 x 285 cm</v>
      </c>
      <c r="C310" s="20">
        <v>220</v>
      </c>
      <c r="D310" s="20">
        <v>285</v>
      </c>
      <c r="E310" s="21">
        <f t="shared" si="11"/>
        <v>6.27</v>
      </c>
      <c r="F310" s="25">
        <f t="shared" si="14"/>
        <v>0</v>
      </c>
      <c r="G310" s="21">
        <f t="shared" si="12"/>
        <v>0</v>
      </c>
      <c r="H310" s="21">
        <f t="shared" si="13"/>
        <v>0</v>
      </c>
      <c r="M310" s="31"/>
      <c r="N310" s="31"/>
      <c r="O310" s="31"/>
      <c r="P310" s="31"/>
      <c r="Q310" s="31"/>
      <c r="R310" s="31"/>
      <c r="S310" s="31"/>
      <c r="T310" s="31"/>
      <c r="U310" s="31"/>
    </row>
    <row r="311" spans="2:21" s="20" customFormat="1" hidden="1" outlineLevel="1" x14ac:dyDescent="0.25">
      <c r="B311" s="20" t="str">
        <f t="shared" si="10"/>
        <v>232 x 300 cm</v>
      </c>
      <c r="C311" s="20">
        <v>232</v>
      </c>
      <c r="D311" s="20">
        <v>300</v>
      </c>
      <c r="E311" s="21">
        <f t="shared" si="11"/>
        <v>6.96</v>
      </c>
      <c r="F311" s="25">
        <f t="shared" si="14"/>
        <v>0</v>
      </c>
      <c r="G311" s="21">
        <f t="shared" si="12"/>
        <v>0</v>
      </c>
      <c r="H311" s="21">
        <f t="shared" si="13"/>
        <v>0</v>
      </c>
      <c r="M311" s="31"/>
      <c r="N311" s="31"/>
      <c r="O311" s="31"/>
      <c r="P311" s="31"/>
      <c r="Q311" s="31"/>
      <c r="R311" s="31"/>
      <c r="S311" s="31"/>
      <c r="T311" s="31"/>
      <c r="U311" s="31"/>
    </row>
    <row r="312" spans="2:21" s="20" customFormat="1" hidden="1" outlineLevel="1" x14ac:dyDescent="0.25">
      <c r="B312" s="20" t="str">
        <f t="shared" si="10"/>
        <v>285 x 250 cm</v>
      </c>
      <c r="C312" s="20">
        <v>285</v>
      </c>
      <c r="D312" s="20">
        <v>250</v>
      </c>
      <c r="E312" s="21">
        <f t="shared" si="11"/>
        <v>7.125</v>
      </c>
      <c r="F312" s="25">
        <f t="shared" si="14"/>
        <v>0</v>
      </c>
      <c r="G312" s="21">
        <f t="shared" si="12"/>
        <v>0</v>
      </c>
      <c r="H312" s="21">
        <f t="shared" si="13"/>
        <v>0</v>
      </c>
      <c r="M312" s="31"/>
      <c r="N312" s="31"/>
      <c r="O312" s="31"/>
      <c r="P312" s="31"/>
      <c r="Q312" s="31"/>
      <c r="R312" s="31"/>
      <c r="S312" s="31"/>
      <c r="T312" s="31"/>
      <c r="U312" s="31"/>
    </row>
    <row r="313" spans="2:21" s="20" customFormat="1" hidden="1" outlineLevel="1" x14ac:dyDescent="0.25">
      <c r="B313" s="20" t="str">
        <f t="shared" si="10"/>
        <v>460 x 250 cm</v>
      </c>
      <c r="C313" s="20">
        <v>460</v>
      </c>
      <c r="D313" s="20">
        <v>250</v>
      </c>
      <c r="E313" s="21">
        <f t="shared" si="11"/>
        <v>11.5</v>
      </c>
      <c r="F313" s="25">
        <f t="shared" si="14"/>
        <v>0</v>
      </c>
      <c r="G313" s="21">
        <f t="shared" si="12"/>
        <v>0</v>
      </c>
      <c r="H313" s="21">
        <f t="shared" si="13"/>
        <v>0</v>
      </c>
      <c r="M313" s="31"/>
      <c r="N313" s="31"/>
      <c r="O313" s="31"/>
      <c r="P313" s="31"/>
      <c r="Q313" s="31"/>
      <c r="R313" s="31"/>
      <c r="S313" s="31"/>
      <c r="T313" s="31"/>
      <c r="U313" s="31"/>
    </row>
    <row r="314" spans="2:21" s="20" customFormat="1" hidden="1" outlineLevel="1" x14ac:dyDescent="0.25">
      <c r="E314" s="21"/>
      <c r="F314" s="65"/>
      <c r="G314" s="66"/>
      <c r="H314" s="66"/>
      <c r="M314" s="31"/>
      <c r="N314" s="31"/>
      <c r="O314" s="31"/>
      <c r="P314" s="31"/>
      <c r="Q314" s="31"/>
      <c r="R314" s="31"/>
      <c r="S314" s="31"/>
      <c r="T314" s="31"/>
      <c r="U314" s="31"/>
    </row>
    <row r="315" spans="2:21" s="73" customFormat="1" ht="30" hidden="1" outlineLevel="1" x14ac:dyDescent="0.25">
      <c r="B315" s="73" t="s">
        <v>477</v>
      </c>
      <c r="C315" s="97" t="s">
        <v>186</v>
      </c>
      <c r="D315" s="97" t="s">
        <v>185</v>
      </c>
      <c r="E315" s="97" t="s">
        <v>184</v>
      </c>
      <c r="F315" s="97" t="s">
        <v>183</v>
      </c>
      <c r="G315" s="97" t="s">
        <v>182</v>
      </c>
      <c r="H315" s="97" t="s">
        <v>181</v>
      </c>
      <c r="M315" s="74"/>
      <c r="N315" s="74"/>
      <c r="O315" s="74"/>
      <c r="P315" s="74"/>
      <c r="Q315" s="74"/>
      <c r="R315" s="74"/>
      <c r="S315" s="74"/>
      <c r="T315" s="74"/>
      <c r="U315" s="74"/>
    </row>
    <row r="316" spans="2:21" s="20" customFormat="1" ht="15" hidden="1" customHeight="1" outlineLevel="1" x14ac:dyDescent="0.25">
      <c r="B316" s="20" t="str">
        <f t="shared" ref="B316:B324" si="15">C316&amp;" x "&amp;D316&amp;" cm"</f>
        <v>180 x 80 cm</v>
      </c>
      <c r="C316" s="20">
        <v>180</v>
      </c>
      <c r="D316" s="20">
        <v>80</v>
      </c>
      <c r="E316" s="21">
        <f t="shared" ref="E316:E324" si="16">C316/100*D316/100</f>
        <v>1.44</v>
      </c>
      <c r="F316" s="25">
        <f>IF(B316=$C$296,1,0)</f>
        <v>0</v>
      </c>
      <c r="G316" s="66">
        <f>E316*F316</f>
        <v>0</v>
      </c>
      <c r="H316" s="66">
        <f>F316*D316/100</f>
        <v>0</v>
      </c>
      <c r="M316" s="31"/>
      <c r="N316" s="31"/>
      <c r="O316" s="31"/>
      <c r="P316" s="31"/>
      <c r="Q316" s="31"/>
      <c r="R316" s="31"/>
      <c r="S316" s="31"/>
      <c r="T316" s="31"/>
      <c r="U316" s="31"/>
    </row>
    <row r="317" spans="2:21" s="20" customFormat="1" hidden="1" outlineLevel="1" x14ac:dyDescent="0.25">
      <c r="B317" s="20" t="str">
        <f t="shared" si="15"/>
        <v>180 x 90 cm</v>
      </c>
      <c r="C317" s="20">
        <v>180</v>
      </c>
      <c r="D317" s="20">
        <v>90</v>
      </c>
      <c r="E317" s="21">
        <f t="shared" si="16"/>
        <v>1.62</v>
      </c>
      <c r="F317" s="25">
        <f t="shared" ref="F317:F324" si="17">IF(B317=$C$296,1,0)</f>
        <v>0</v>
      </c>
      <c r="G317" s="66">
        <f t="shared" ref="G317:G324" si="18">E317*F317</f>
        <v>0</v>
      </c>
      <c r="H317" s="66">
        <f t="shared" ref="H317:H324" si="19">F317*D317/100</f>
        <v>0</v>
      </c>
      <c r="M317" s="31"/>
      <c r="N317" s="31"/>
      <c r="O317" s="31"/>
      <c r="P317" s="31"/>
      <c r="Q317" s="31"/>
      <c r="R317" s="31"/>
      <c r="S317" s="31"/>
      <c r="T317" s="31"/>
      <c r="U317" s="31"/>
    </row>
    <row r="318" spans="2:21" s="20" customFormat="1" hidden="1" outlineLevel="1" x14ac:dyDescent="0.25">
      <c r="B318" s="20" t="str">
        <f t="shared" si="15"/>
        <v>180 x 100 cm</v>
      </c>
      <c r="C318" s="20">
        <v>180</v>
      </c>
      <c r="D318" s="20">
        <v>100</v>
      </c>
      <c r="E318" s="21">
        <f t="shared" si="16"/>
        <v>1.8</v>
      </c>
      <c r="F318" s="25">
        <f t="shared" si="17"/>
        <v>0</v>
      </c>
      <c r="G318" s="66">
        <f t="shared" si="18"/>
        <v>0</v>
      </c>
      <c r="H318" s="66">
        <f t="shared" si="19"/>
        <v>0</v>
      </c>
      <c r="M318" s="31"/>
      <c r="N318" s="31"/>
      <c r="O318" s="31"/>
      <c r="P318" s="31"/>
      <c r="Q318" s="31"/>
      <c r="R318" s="31"/>
      <c r="S318" s="31"/>
      <c r="T318" s="31"/>
      <c r="U318" s="31"/>
    </row>
    <row r="319" spans="2:21" s="20" customFormat="1" hidden="1" outlineLevel="1" x14ac:dyDescent="0.25">
      <c r="B319" s="20" t="str">
        <f t="shared" si="15"/>
        <v>180 x 125 cm</v>
      </c>
      <c r="C319" s="20">
        <v>180</v>
      </c>
      <c r="D319" s="20">
        <v>125</v>
      </c>
      <c r="E319" s="21">
        <f t="shared" si="16"/>
        <v>2.25</v>
      </c>
      <c r="F319" s="25">
        <f t="shared" si="17"/>
        <v>0</v>
      </c>
      <c r="G319" s="66">
        <f t="shared" si="18"/>
        <v>0</v>
      </c>
      <c r="H319" s="66">
        <f t="shared" si="19"/>
        <v>0</v>
      </c>
    </row>
    <row r="320" spans="2:21" s="20" customFormat="1" hidden="1" outlineLevel="1" x14ac:dyDescent="0.25">
      <c r="B320" s="20" t="str">
        <f t="shared" si="15"/>
        <v>205 x 80 cm</v>
      </c>
      <c r="C320" s="20">
        <v>205</v>
      </c>
      <c r="D320" s="20">
        <v>80</v>
      </c>
      <c r="E320" s="21">
        <f t="shared" si="16"/>
        <v>1.64</v>
      </c>
      <c r="F320" s="25">
        <f t="shared" si="17"/>
        <v>0</v>
      </c>
      <c r="G320" s="66">
        <f t="shared" si="18"/>
        <v>0</v>
      </c>
      <c r="H320" s="66">
        <f t="shared" si="19"/>
        <v>0</v>
      </c>
    </row>
    <row r="321" spans="2:8" s="20" customFormat="1" hidden="1" outlineLevel="1" x14ac:dyDescent="0.25">
      <c r="B321" s="20" t="str">
        <f t="shared" si="15"/>
        <v>205 x 90 cm</v>
      </c>
      <c r="C321" s="20">
        <v>205</v>
      </c>
      <c r="D321" s="20">
        <v>90</v>
      </c>
      <c r="E321" s="21">
        <f t="shared" si="16"/>
        <v>1.8449999999999998</v>
      </c>
      <c r="F321" s="25">
        <f t="shared" si="17"/>
        <v>0</v>
      </c>
      <c r="G321" s="66">
        <f t="shared" si="18"/>
        <v>0</v>
      </c>
      <c r="H321" s="66">
        <f t="shared" si="19"/>
        <v>0</v>
      </c>
    </row>
    <row r="322" spans="2:8" s="20" customFormat="1" hidden="1" outlineLevel="1" x14ac:dyDescent="0.25">
      <c r="B322" s="20" t="str">
        <f t="shared" si="15"/>
        <v>205 x 100 cm</v>
      </c>
      <c r="C322" s="20">
        <v>205</v>
      </c>
      <c r="D322" s="20">
        <v>100</v>
      </c>
      <c r="E322" s="21">
        <f t="shared" si="16"/>
        <v>2.0499999999999998</v>
      </c>
      <c r="F322" s="25">
        <f t="shared" si="17"/>
        <v>0</v>
      </c>
      <c r="G322" s="66">
        <f t="shared" si="18"/>
        <v>0</v>
      </c>
      <c r="H322" s="66">
        <f t="shared" si="19"/>
        <v>0</v>
      </c>
    </row>
    <row r="323" spans="2:8" s="20" customFormat="1" hidden="1" outlineLevel="1" x14ac:dyDescent="0.25">
      <c r="B323" s="20" t="str">
        <f t="shared" si="15"/>
        <v>205 x 125 cm</v>
      </c>
      <c r="C323" s="20">
        <v>205</v>
      </c>
      <c r="D323" s="20">
        <v>125</v>
      </c>
      <c r="E323" s="21">
        <f t="shared" si="16"/>
        <v>2.5625</v>
      </c>
      <c r="F323" s="25">
        <f t="shared" si="17"/>
        <v>0</v>
      </c>
      <c r="G323" s="66">
        <f t="shared" si="18"/>
        <v>0</v>
      </c>
      <c r="H323" s="66">
        <f t="shared" si="19"/>
        <v>0</v>
      </c>
    </row>
    <row r="324" spans="2:8" s="20" customFormat="1" hidden="1" outlineLevel="1" x14ac:dyDescent="0.25">
      <c r="B324" s="20" t="str">
        <f t="shared" si="15"/>
        <v>205 x 150 cm</v>
      </c>
      <c r="C324" s="20">
        <v>205</v>
      </c>
      <c r="D324" s="20">
        <v>150</v>
      </c>
      <c r="E324" s="21">
        <f t="shared" si="16"/>
        <v>3.0750000000000002</v>
      </c>
      <c r="F324" s="25">
        <f t="shared" si="17"/>
        <v>0</v>
      </c>
      <c r="G324" s="66">
        <f t="shared" si="18"/>
        <v>0</v>
      </c>
      <c r="H324" s="66">
        <f t="shared" si="19"/>
        <v>0</v>
      </c>
    </row>
    <row r="325" spans="2:8" s="20" customFormat="1" hidden="1" outlineLevel="1" x14ac:dyDescent="0.25">
      <c r="E325" s="21"/>
      <c r="F325" s="65"/>
      <c r="G325" s="66"/>
      <c r="H325" s="66"/>
    </row>
    <row r="326" spans="2:8" s="20" customFormat="1" hidden="1" outlineLevel="1" x14ac:dyDescent="0.25">
      <c r="B326" s="19" t="s">
        <v>210</v>
      </c>
    </row>
    <row r="327" spans="2:8" s="20" customFormat="1" hidden="1" outlineLevel="1" x14ac:dyDescent="0.25"/>
    <row r="328" spans="2:8" s="73" customFormat="1" ht="30" hidden="1" outlineLevel="1" x14ac:dyDescent="0.25">
      <c r="B328" s="73" t="s">
        <v>196</v>
      </c>
      <c r="C328" s="97" t="s">
        <v>177</v>
      </c>
      <c r="D328" s="97" t="s">
        <v>176</v>
      </c>
    </row>
    <row r="329" spans="2:8" s="20" customFormat="1" hidden="1" outlineLevel="1" x14ac:dyDescent="0.25">
      <c r="B329" s="20" t="s">
        <v>1179</v>
      </c>
      <c r="C329" s="37">
        <f>1/(0.15*0.2)</f>
        <v>33.333333333333336</v>
      </c>
      <c r="D329" s="25">
        <f t="shared" ref="D329:D339" si="20">$C$304*C329</f>
        <v>0</v>
      </c>
    </row>
    <row r="330" spans="2:8" s="20" customFormat="1" hidden="1" outlineLevel="1" x14ac:dyDescent="0.25">
      <c r="B330" s="20" t="s">
        <v>1209</v>
      </c>
      <c r="C330" s="37">
        <f>1/(0.15*0.25)</f>
        <v>26.666666666666668</v>
      </c>
      <c r="D330" s="25">
        <f t="shared" si="20"/>
        <v>0</v>
      </c>
    </row>
    <row r="331" spans="2:8" s="20" customFormat="1" hidden="1" outlineLevel="1" x14ac:dyDescent="0.25">
      <c r="B331" s="20" t="s">
        <v>1197</v>
      </c>
      <c r="C331" s="37">
        <f>1/(0.15*0.3)</f>
        <v>22.222222222222221</v>
      </c>
      <c r="D331" s="25">
        <f t="shared" ref="D331" si="21">$C$304*C331</f>
        <v>0</v>
      </c>
    </row>
    <row r="332" spans="2:8" s="20" customFormat="1" hidden="1" outlineLevel="1" x14ac:dyDescent="0.25">
      <c r="B332" s="20" t="s">
        <v>189</v>
      </c>
      <c r="C332" s="37">
        <v>25</v>
      </c>
      <c r="D332" s="25">
        <f t="shared" si="20"/>
        <v>0</v>
      </c>
    </row>
    <row r="333" spans="2:8" s="20" customFormat="1" hidden="1" outlineLevel="1" x14ac:dyDescent="0.25">
      <c r="B333" s="20" t="s">
        <v>1180</v>
      </c>
      <c r="C333" s="37">
        <f>1/(0.2*0.25)</f>
        <v>20</v>
      </c>
      <c r="D333" s="25">
        <f t="shared" si="20"/>
        <v>0</v>
      </c>
    </row>
    <row r="334" spans="2:8" s="20" customFormat="1" hidden="1" outlineLevel="1" x14ac:dyDescent="0.25">
      <c r="B334" s="20" t="s">
        <v>190</v>
      </c>
      <c r="C334" s="37">
        <v>16.666666666666668</v>
      </c>
      <c r="D334" s="25">
        <f t="shared" ref="D334" si="22">$C$304*C334</f>
        <v>0</v>
      </c>
    </row>
    <row r="335" spans="2:8" s="20" customFormat="1" hidden="1" outlineLevel="1" x14ac:dyDescent="0.25">
      <c r="B335" s="20" t="s">
        <v>191</v>
      </c>
      <c r="C335" s="37">
        <v>26.666666666666668</v>
      </c>
      <c r="D335" s="25">
        <f t="shared" si="20"/>
        <v>0</v>
      </c>
    </row>
    <row r="336" spans="2:8" s="20" customFormat="1" hidden="1" outlineLevel="1" x14ac:dyDescent="0.25">
      <c r="B336" s="20" t="s">
        <v>192</v>
      </c>
      <c r="C336" s="37">
        <v>25</v>
      </c>
      <c r="D336" s="25">
        <f t="shared" si="20"/>
        <v>0</v>
      </c>
    </row>
    <row r="337" spans="2:4" s="20" customFormat="1" hidden="1" outlineLevel="1" x14ac:dyDescent="0.25">
      <c r="B337" s="20" t="s">
        <v>193</v>
      </c>
      <c r="C337" s="37">
        <v>16.666666666666668</v>
      </c>
      <c r="D337" s="25">
        <f t="shared" si="20"/>
        <v>0</v>
      </c>
    </row>
    <row r="338" spans="2:4" s="20" customFormat="1" hidden="1" outlineLevel="1" x14ac:dyDescent="0.25">
      <c r="B338" s="20" t="s">
        <v>194</v>
      </c>
      <c r="C338" s="37">
        <v>25</v>
      </c>
      <c r="D338" s="25">
        <f t="shared" si="20"/>
        <v>0</v>
      </c>
    </row>
    <row r="339" spans="2:4" s="20" customFormat="1" hidden="1" outlineLevel="1" x14ac:dyDescent="0.25">
      <c r="B339" s="20" t="s">
        <v>195</v>
      </c>
      <c r="C339" s="37">
        <v>16.666666666666668</v>
      </c>
      <c r="D339" s="25">
        <f t="shared" si="20"/>
        <v>0</v>
      </c>
    </row>
    <row r="340" spans="2:4" s="20" customFormat="1" hidden="1" outlineLevel="1" x14ac:dyDescent="0.25">
      <c r="B340" s="31"/>
      <c r="D340" s="47"/>
    </row>
    <row r="341" spans="2:4" s="20" customFormat="1" hidden="1" outlineLevel="1" x14ac:dyDescent="0.25">
      <c r="B341" s="19" t="s">
        <v>173</v>
      </c>
    </row>
    <row r="342" spans="2:4" s="20" customFormat="1" hidden="1" outlineLevel="1" x14ac:dyDescent="0.25"/>
    <row r="343" spans="2:4" s="73" customFormat="1" ht="30" hidden="1" outlineLevel="1" x14ac:dyDescent="0.25">
      <c r="C343" s="97" t="s">
        <v>174</v>
      </c>
    </row>
    <row r="344" spans="2:4" s="20" customFormat="1" hidden="1" outlineLevel="1" x14ac:dyDescent="0.25">
      <c r="B344" s="20" t="s">
        <v>1179</v>
      </c>
      <c r="C344" s="44">
        <v>1.0200000000000001E-2</v>
      </c>
    </row>
    <row r="345" spans="2:4" s="20" customFormat="1" hidden="1" outlineLevel="1" x14ac:dyDescent="0.25">
      <c r="B345" s="20" t="s">
        <v>1210</v>
      </c>
      <c r="C345" s="44">
        <v>9.3600000000000003E-3</v>
      </c>
    </row>
    <row r="346" spans="2:4" s="20" customFormat="1" hidden="1" outlineLevel="1" x14ac:dyDescent="0.25">
      <c r="B346" s="20" t="s">
        <v>1197</v>
      </c>
      <c r="C346" s="44">
        <v>8.7999999999999988E-3</v>
      </c>
    </row>
    <row r="347" spans="2:4" s="20" customFormat="1" hidden="1" outlineLevel="1" x14ac:dyDescent="0.25">
      <c r="B347" s="20" t="s">
        <v>189</v>
      </c>
      <c r="C347" s="44">
        <v>8.7749999999999981E-3</v>
      </c>
    </row>
    <row r="348" spans="2:4" s="20" customFormat="1" hidden="1" outlineLevel="1" x14ac:dyDescent="0.25">
      <c r="B348" s="20" t="s">
        <v>1180</v>
      </c>
      <c r="C348" s="44">
        <v>7.9199999999999982E-3</v>
      </c>
    </row>
    <row r="349" spans="2:4" s="20" customFormat="1" hidden="1" outlineLevel="1" x14ac:dyDescent="0.25">
      <c r="B349" s="20" t="s">
        <v>190</v>
      </c>
      <c r="C349" s="44">
        <v>7.3500000000000006E-3</v>
      </c>
    </row>
    <row r="350" spans="2:4" s="20" customFormat="1" hidden="1" outlineLevel="1" x14ac:dyDescent="0.25">
      <c r="B350" s="20" t="s">
        <v>191</v>
      </c>
      <c r="C350" s="44">
        <v>1.196E-2</v>
      </c>
    </row>
    <row r="351" spans="2:4" s="20" customFormat="1" hidden="1" outlineLevel="1" x14ac:dyDescent="0.25">
      <c r="B351" s="20" t="s">
        <v>192</v>
      </c>
      <c r="C351" s="44">
        <v>1.1212499999999999E-2</v>
      </c>
    </row>
    <row r="352" spans="2:4" s="20" customFormat="1" hidden="1" outlineLevel="1" x14ac:dyDescent="0.25">
      <c r="B352" s="20" t="s">
        <v>193</v>
      </c>
      <c r="C352" s="44">
        <v>9.3916666666666662E-3</v>
      </c>
    </row>
    <row r="353" spans="2:6" s="20" customFormat="1" hidden="1" outlineLevel="1" x14ac:dyDescent="0.25">
      <c r="B353" s="20" t="s">
        <v>194</v>
      </c>
      <c r="C353" s="44">
        <v>1.3649999999999999E-2</v>
      </c>
    </row>
    <row r="354" spans="2:6" s="20" customFormat="1" hidden="1" outlineLevel="1" x14ac:dyDescent="0.25">
      <c r="B354" s="20" t="s">
        <v>195</v>
      </c>
      <c r="C354" s="44">
        <v>1.1433333333333335E-2</v>
      </c>
    </row>
    <row r="355" spans="2:6" s="20" customFormat="1" hidden="1" outlineLevel="1" x14ac:dyDescent="0.25"/>
    <row r="356" spans="2:6" s="20" customFormat="1" hidden="1" outlineLevel="1" x14ac:dyDescent="0.25">
      <c r="B356" s="20" t="s">
        <v>730</v>
      </c>
      <c r="C356" s="21" t="e">
        <f>VLOOKUP(C293,B344:C354,2,0)</f>
        <v>#N/A</v>
      </c>
      <c r="D356" s="20" t="s">
        <v>831</v>
      </c>
    </row>
    <row r="357" spans="2:6" s="20" customFormat="1" hidden="1" outlineLevel="1" x14ac:dyDescent="0.25">
      <c r="B357" s="20" t="s">
        <v>173</v>
      </c>
      <c r="C357" s="21" t="e">
        <f>C356*C304</f>
        <v>#N/A</v>
      </c>
      <c r="D357" s="20" t="s">
        <v>32</v>
      </c>
    </row>
    <row r="358" spans="2:6" s="20" customFormat="1" hidden="1" outlineLevel="1" x14ac:dyDescent="0.25"/>
    <row r="359" spans="2:6" s="20" customFormat="1" hidden="1" outlineLevel="1" x14ac:dyDescent="0.25">
      <c r="B359" s="19" t="s">
        <v>172</v>
      </c>
    </row>
    <row r="360" spans="2:6" s="20" customFormat="1" hidden="1" outlineLevel="1" x14ac:dyDescent="0.25"/>
    <row r="361" spans="2:6" s="20" customFormat="1" hidden="1" outlineLevel="1" x14ac:dyDescent="0.25">
      <c r="C361" s="133" t="s">
        <v>168</v>
      </c>
      <c r="D361" s="133"/>
      <c r="E361" s="133"/>
      <c r="F361" s="133"/>
    </row>
    <row r="362" spans="2:6" s="73" customFormat="1" hidden="1" outlineLevel="1" x14ac:dyDescent="0.25">
      <c r="B362" s="72" t="s">
        <v>42</v>
      </c>
      <c r="C362" s="86" t="s">
        <v>41</v>
      </c>
      <c r="D362" s="86" t="s">
        <v>170</v>
      </c>
      <c r="E362" s="86" t="s">
        <v>40</v>
      </c>
      <c r="F362" s="72"/>
    </row>
    <row r="363" spans="2:6" s="20" customFormat="1" hidden="1" outlineLevel="1" x14ac:dyDescent="0.25">
      <c r="B363" s="30" t="s">
        <v>1172</v>
      </c>
      <c r="C363" s="21">
        <v>3.65</v>
      </c>
      <c r="D363" s="21">
        <v>9</v>
      </c>
      <c r="E363" s="21">
        <v>1.4</v>
      </c>
      <c r="F363" s="20" t="s">
        <v>167</v>
      </c>
    </row>
    <row r="364" spans="2:6" s="20" customFormat="1" hidden="1" outlineLevel="1" x14ac:dyDescent="0.25"/>
    <row r="365" spans="2:6" s="20" customFormat="1" hidden="1" outlineLevel="1" x14ac:dyDescent="0.25">
      <c r="C365" s="133" t="s">
        <v>43</v>
      </c>
      <c r="D365" s="133"/>
      <c r="E365" s="133"/>
      <c r="F365" s="133"/>
    </row>
    <row r="366" spans="2:6" s="73" customFormat="1" hidden="1" outlineLevel="1" x14ac:dyDescent="0.25">
      <c r="B366" s="72" t="s">
        <v>42</v>
      </c>
      <c r="C366" s="86" t="s">
        <v>41</v>
      </c>
      <c r="D366" s="86" t="s">
        <v>170</v>
      </c>
      <c r="E366" s="86" t="s">
        <v>40</v>
      </c>
      <c r="F366" s="72"/>
    </row>
    <row r="367" spans="2:6" s="20" customFormat="1" hidden="1" outlineLevel="1" x14ac:dyDescent="0.25">
      <c r="B367" s="30" t="str">
        <f>B363</f>
        <v>1 : 4 : 16</v>
      </c>
      <c r="C367" s="21" t="e">
        <f>C363*$C$357</f>
        <v>#N/A</v>
      </c>
      <c r="D367" s="21" t="e">
        <f>D363*$C$357</f>
        <v>#N/A</v>
      </c>
      <c r="E367" s="21" t="e">
        <f>E363*$C$357</f>
        <v>#N/A</v>
      </c>
      <c r="F367" s="20" t="s">
        <v>37</v>
      </c>
    </row>
    <row r="368" spans="2:6" s="20" customFormat="1" hidden="1" outlineLevel="1" x14ac:dyDescent="0.25">
      <c r="B368" s="31"/>
      <c r="D368" s="47"/>
    </row>
    <row r="369" spans="2:6" s="20" customFormat="1" hidden="1" outlineLevel="1" x14ac:dyDescent="0.25">
      <c r="B369" s="19" t="s">
        <v>169</v>
      </c>
    </row>
    <row r="370" spans="2:6" s="20" customFormat="1" hidden="1" outlineLevel="1" x14ac:dyDescent="0.25"/>
    <row r="371" spans="2:6" s="20" customFormat="1" hidden="1" outlineLevel="1" x14ac:dyDescent="0.25">
      <c r="C371" s="133" t="s">
        <v>168</v>
      </c>
      <c r="D371" s="133"/>
      <c r="E371" s="133"/>
      <c r="F371" s="133"/>
    </row>
    <row r="372" spans="2:6" s="73" customFormat="1" ht="30" hidden="1" outlineLevel="1" x14ac:dyDescent="0.25">
      <c r="B372" s="72" t="s">
        <v>42</v>
      </c>
      <c r="C372" s="86" t="s">
        <v>41</v>
      </c>
      <c r="D372" s="86" t="s">
        <v>166</v>
      </c>
      <c r="E372" s="86" t="s">
        <v>40</v>
      </c>
      <c r="F372" s="72"/>
    </row>
    <row r="373" spans="2:6" s="20" customFormat="1" hidden="1" outlineLevel="1" x14ac:dyDescent="0.25">
      <c r="B373" s="30" t="s">
        <v>1173</v>
      </c>
      <c r="C373" s="21">
        <v>4.8</v>
      </c>
      <c r="D373" s="21">
        <f>C373*0.2</f>
        <v>0.96</v>
      </c>
      <c r="E373" s="21">
        <v>1.2</v>
      </c>
      <c r="F373" s="20" t="s">
        <v>167</v>
      </c>
    </row>
    <row r="374" spans="2:6" s="20" customFormat="1" hidden="1" outlineLevel="1" x14ac:dyDescent="0.25"/>
    <row r="375" spans="2:6" s="20" customFormat="1" hidden="1" outlineLevel="1" x14ac:dyDescent="0.25">
      <c r="C375" s="133" t="s">
        <v>43</v>
      </c>
      <c r="D375" s="133"/>
      <c r="E375" s="133"/>
      <c r="F375" s="133"/>
    </row>
    <row r="376" spans="2:6" s="73" customFormat="1" ht="30" hidden="1" outlineLevel="1" x14ac:dyDescent="0.25">
      <c r="B376" s="72" t="s">
        <v>42</v>
      </c>
      <c r="C376" s="86" t="s">
        <v>41</v>
      </c>
      <c r="D376" s="86" t="s">
        <v>166</v>
      </c>
      <c r="E376" s="86" t="s">
        <v>40</v>
      </c>
      <c r="F376" s="72"/>
    </row>
    <row r="377" spans="2:6" s="20" customFormat="1" hidden="1" outlineLevel="1" x14ac:dyDescent="0.25">
      <c r="B377" s="30" t="str">
        <f>B373</f>
        <v>1 : 12</v>
      </c>
      <c r="C377" s="21" t="e">
        <f>C373*$C$357</f>
        <v>#N/A</v>
      </c>
      <c r="D377" s="21" t="e">
        <f>C377*0.2</f>
        <v>#N/A</v>
      </c>
      <c r="E377" s="21" t="e">
        <f>E373*$C$357</f>
        <v>#N/A</v>
      </c>
      <c r="F377" s="20" t="s">
        <v>37</v>
      </c>
    </row>
    <row r="378" spans="2:6" hidden="1" outlineLevel="1" x14ac:dyDescent="0.25">
      <c r="C378" s="8"/>
    </row>
    <row r="379" spans="2:6" collapsed="1" x14ac:dyDescent="0.25">
      <c r="B379" s="27" t="s">
        <v>5</v>
      </c>
      <c r="C379" s="28" t="s">
        <v>46</v>
      </c>
      <c r="D379" s="28" t="s">
        <v>6</v>
      </c>
    </row>
    <row r="380" spans="2:6" x14ac:dyDescent="0.25">
      <c r="B380" s="88" t="str">
        <f>"Bloco cerâmico de vedação, "&amp;C293</f>
        <v xml:space="preserve">Bloco cerâmico de vedação, </v>
      </c>
      <c r="C380" s="91" t="s">
        <v>50</v>
      </c>
      <c r="D380" s="87">
        <f>IFERROR(VLOOKUP(C293,B329:D339,3,0),0)</f>
        <v>0</v>
      </c>
    </row>
    <row r="381" spans="2:6" x14ac:dyDescent="0.25">
      <c r="B381" s="88" t="s">
        <v>165</v>
      </c>
      <c r="C381" s="91" t="s">
        <v>35</v>
      </c>
      <c r="D381" s="87">
        <f>IFERROR(IF(C294="Não",C367,C377),0)</f>
        <v>0</v>
      </c>
      <c r="E381" s="42"/>
    </row>
    <row r="382" spans="2:6" ht="17.25" x14ac:dyDescent="0.25">
      <c r="B382" s="88" t="s">
        <v>34</v>
      </c>
      <c r="C382" s="91" t="s">
        <v>80</v>
      </c>
      <c r="D382" s="87">
        <f>IFERROR(IF(C294="Não",E367,E377),0)</f>
        <v>0</v>
      </c>
      <c r="E382" s="42"/>
    </row>
    <row r="383" spans="2:6" x14ac:dyDescent="0.25">
      <c r="B383" s="88" t="s">
        <v>205</v>
      </c>
      <c r="C383" s="91" t="s">
        <v>290</v>
      </c>
      <c r="D383" s="87">
        <f>IF(C294="Não",D367,0)</f>
        <v>0</v>
      </c>
      <c r="E383" s="42"/>
    </row>
    <row r="384" spans="2:6" x14ac:dyDescent="0.25">
      <c r="B384" s="88" t="s">
        <v>164</v>
      </c>
      <c r="C384" s="91" t="s">
        <v>79</v>
      </c>
      <c r="D384" s="87">
        <f>IF(C294="Sim",D377,0)</f>
        <v>0</v>
      </c>
    </row>
    <row r="385" spans="1:11" x14ac:dyDescent="0.25">
      <c r="B385" s="88" t="str">
        <f>"Portão para carros, "&amp;C295</f>
        <v xml:space="preserve">Portão para carros, </v>
      </c>
      <c r="C385" s="91" t="s">
        <v>50</v>
      </c>
      <c r="D385" s="87">
        <f>IF(C295="",0,1)</f>
        <v>0</v>
      </c>
    </row>
    <row r="386" spans="1:11" x14ac:dyDescent="0.25">
      <c r="B386" s="88" t="str">
        <f>"Portão social, "&amp;C296</f>
        <v xml:space="preserve">Portão social, </v>
      </c>
      <c r="C386" s="91" t="s">
        <v>50</v>
      </c>
      <c r="D386" s="87">
        <f>IF(C296="",0,1)</f>
        <v>0</v>
      </c>
    </row>
    <row r="389" spans="1:11" s="5" customFormat="1" ht="18.75" x14ac:dyDescent="0.3">
      <c r="A389" s="7"/>
      <c r="B389" s="132" t="s">
        <v>639</v>
      </c>
      <c r="C389" s="132"/>
      <c r="D389" s="132"/>
      <c r="E389" s="7"/>
      <c r="F389" s="7"/>
      <c r="H389" s="22"/>
    </row>
    <row r="390" spans="1:11" s="5" customFormat="1" x14ac:dyDescent="0.25">
      <c r="A390" s="7"/>
      <c r="B390" s="7"/>
      <c r="C390" s="7"/>
      <c r="D390" s="7"/>
      <c r="E390" s="7"/>
      <c r="F390" s="7"/>
      <c r="H390" s="22"/>
    </row>
    <row r="391" spans="1:11" x14ac:dyDescent="0.25">
      <c r="B391" s="9" t="s">
        <v>2</v>
      </c>
    </row>
    <row r="393" spans="1:11" x14ac:dyDescent="0.25">
      <c r="B393" s="7" t="s">
        <v>222</v>
      </c>
      <c r="C393" s="23"/>
      <c r="D393" s="7" t="s">
        <v>56</v>
      </c>
      <c r="K393" s="1"/>
    </row>
    <row r="394" spans="1:11" x14ac:dyDescent="0.25">
      <c r="B394" s="7" t="s">
        <v>223</v>
      </c>
      <c r="C394" s="23"/>
      <c r="D394" s="7" t="s">
        <v>56</v>
      </c>
      <c r="K394" s="1"/>
    </row>
    <row r="395" spans="1:11" x14ac:dyDescent="0.25">
      <c r="B395" s="7" t="s">
        <v>224</v>
      </c>
      <c r="C395" s="33"/>
      <c r="D395" s="7" t="s">
        <v>53</v>
      </c>
      <c r="G395" s="24"/>
      <c r="K395" s="1"/>
    </row>
    <row r="396" spans="1:11" x14ac:dyDescent="0.25">
      <c r="B396" s="7" t="s">
        <v>221</v>
      </c>
      <c r="C396" s="23"/>
      <c r="D396" s="7" t="s">
        <v>92</v>
      </c>
      <c r="K396" s="1"/>
    </row>
    <row r="397" spans="1:11" x14ac:dyDescent="0.25">
      <c r="B397" s="7" t="s">
        <v>225</v>
      </c>
      <c r="C397" s="29"/>
    </row>
    <row r="398" spans="1:11" x14ac:dyDescent="0.25">
      <c r="B398" s="7" t="s">
        <v>57</v>
      </c>
      <c r="C398" s="29"/>
      <c r="D398" s="7" t="s">
        <v>1193</v>
      </c>
      <c r="K398" s="1"/>
    </row>
    <row r="399" spans="1:11" x14ac:dyDescent="0.25">
      <c r="B399" s="7" t="s">
        <v>62</v>
      </c>
      <c r="C399" s="23"/>
      <c r="D399" s="7" t="s">
        <v>64</v>
      </c>
      <c r="K399" s="1"/>
    </row>
    <row r="400" spans="1:11" x14ac:dyDescent="0.25">
      <c r="B400" s="7" t="s">
        <v>63</v>
      </c>
      <c r="C400" s="23"/>
      <c r="D400" s="7" t="s">
        <v>56</v>
      </c>
      <c r="K400" s="1"/>
    </row>
    <row r="401" spans="2:11" x14ac:dyDescent="0.25">
      <c r="K401" s="1"/>
    </row>
    <row r="402" spans="2:11" s="20" customFormat="1" hidden="1" outlineLevel="1" x14ac:dyDescent="0.25">
      <c r="B402" s="19" t="s">
        <v>599</v>
      </c>
      <c r="K402" s="46"/>
    </row>
    <row r="403" spans="2:11" s="20" customFormat="1" hidden="1" outlineLevel="1" x14ac:dyDescent="0.25">
      <c r="K403" s="46"/>
    </row>
    <row r="404" spans="2:11" s="20" customFormat="1" hidden="1" outlineLevel="1" x14ac:dyDescent="0.25">
      <c r="B404" s="20" t="s">
        <v>731</v>
      </c>
      <c r="C404" s="21">
        <f>(C393/100)*(C394/100)</f>
        <v>0</v>
      </c>
      <c r="D404" s="20" t="s">
        <v>643</v>
      </c>
      <c r="K404" s="46"/>
    </row>
    <row r="405" spans="2:11" s="20" customFormat="1" hidden="1" outlineLevel="1" x14ac:dyDescent="0.25">
      <c r="B405" s="20" t="s">
        <v>732</v>
      </c>
      <c r="C405" s="21">
        <f>C404*C395</f>
        <v>0</v>
      </c>
      <c r="D405" s="20" t="s">
        <v>32</v>
      </c>
      <c r="K405" s="46"/>
    </row>
    <row r="406" spans="2:11" s="20" customFormat="1" hidden="1" outlineLevel="1" x14ac:dyDescent="0.25">
      <c r="B406" s="20" t="s">
        <v>220</v>
      </c>
      <c r="C406" s="21">
        <f>C405*C396</f>
        <v>0</v>
      </c>
      <c r="D406" s="20" t="s">
        <v>32</v>
      </c>
      <c r="K406" s="46"/>
    </row>
    <row r="407" spans="2:11" s="20" customFormat="1" hidden="1" outlineLevel="1" x14ac:dyDescent="0.25">
      <c r="B407" s="20" t="s">
        <v>733</v>
      </c>
      <c r="C407" s="21">
        <f>C406*(1+'LEIA-ME'!$D$31)</f>
        <v>0</v>
      </c>
      <c r="D407" s="20" t="s">
        <v>32</v>
      </c>
      <c r="K407" s="46"/>
    </row>
    <row r="408" spans="2:11" s="20" customFormat="1" hidden="1" outlineLevel="1" x14ac:dyDescent="0.25">
      <c r="K408" s="46"/>
    </row>
    <row r="409" spans="2:11" s="20" customFormat="1" hidden="1" outlineLevel="1" x14ac:dyDescent="0.25">
      <c r="B409" s="19" t="s">
        <v>139</v>
      </c>
      <c r="K409" s="46"/>
    </row>
    <row r="410" spans="2:11" s="20" customFormat="1" hidden="1" outlineLevel="1" x14ac:dyDescent="0.25">
      <c r="K410" s="46"/>
    </row>
    <row r="411" spans="2:11" s="20" customFormat="1" hidden="1" outlineLevel="1" x14ac:dyDescent="0.25">
      <c r="C411" s="133" t="s">
        <v>45</v>
      </c>
      <c r="D411" s="133"/>
      <c r="E411" s="133"/>
      <c r="F411" s="133"/>
      <c r="K411" s="46"/>
    </row>
    <row r="412" spans="2:11" s="73" customFormat="1" ht="30" hidden="1" outlineLevel="1" x14ac:dyDescent="0.25">
      <c r="B412" s="72" t="s">
        <v>42</v>
      </c>
      <c r="C412" s="86" t="s">
        <v>41</v>
      </c>
      <c r="D412" s="86" t="s">
        <v>40</v>
      </c>
      <c r="E412" s="86" t="s">
        <v>39</v>
      </c>
      <c r="F412" s="86" t="s">
        <v>38</v>
      </c>
      <c r="K412" s="98"/>
    </row>
    <row r="413" spans="2:11" s="20" customFormat="1" hidden="1" outlineLevel="1" x14ac:dyDescent="0.25">
      <c r="B413" s="30" t="s">
        <v>1166</v>
      </c>
      <c r="C413" s="21">
        <v>6.9</v>
      </c>
      <c r="D413" s="21">
        <v>0.62265036674816632</v>
      </c>
      <c r="E413" s="21">
        <v>0.72799999999999987</v>
      </c>
      <c r="F413" s="25">
        <v>210</v>
      </c>
      <c r="K413" s="46"/>
    </row>
    <row r="414" spans="2:11" s="20" customFormat="1" hidden="1" outlineLevel="1" x14ac:dyDescent="0.25">
      <c r="B414" s="30" t="s">
        <v>1167</v>
      </c>
      <c r="C414" s="21">
        <v>6.4</v>
      </c>
      <c r="D414" s="21">
        <v>0.72001955990220046</v>
      </c>
      <c r="E414" s="21">
        <v>0.67399999999999993</v>
      </c>
      <c r="F414" s="25">
        <v>207</v>
      </c>
      <c r="K414" s="46"/>
    </row>
    <row r="415" spans="2:11" s="20" customFormat="1" hidden="1" outlineLevel="1" x14ac:dyDescent="0.25">
      <c r="B415" s="30" t="s">
        <v>1168</v>
      </c>
      <c r="C415" s="21">
        <v>5.94</v>
      </c>
      <c r="D415" s="21">
        <v>0.5380929095354523</v>
      </c>
      <c r="E415" s="21">
        <v>0.83999999999999986</v>
      </c>
      <c r="F415" s="25">
        <v>202</v>
      </c>
      <c r="K415" s="46"/>
    </row>
    <row r="416" spans="2:11" s="20" customFormat="1" hidden="1" outlineLevel="1" x14ac:dyDescent="0.25">
      <c r="B416" s="30" t="s">
        <v>1169</v>
      </c>
      <c r="C416" s="21">
        <v>5.86</v>
      </c>
      <c r="D416" s="21">
        <v>0.66236674816625918</v>
      </c>
      <c r="E416" s="21">
        <v>0.72399999999999987</v>
      </c>
      <c r="F416" s="25">
        <v>208</v>
      </c>
      <c r="K416" s="46"/>
    </row>
    <row r="417" spans="2:11" s="20" customFormat="1" hidden="1" outlineLevel="1" x14ac:dyDescent="0.25">
      <c r="B417" s="30" t="s">
        <v>1181</v>
      </c>
      <c r="C417" s="21">
        <v>5.5</v>
      </c>
      <c r="D417" s="21">
        <v>0.62393154034229825</v>
      </c>
      <c r="E417" s="21">
        <v>0.77999999999999992</v>
      </c>
      <c r="F417" s="25">
        <v>201</v>
      </c>
      <c r="K417" s="46"/>
    </row>
    <row r="418" spans="2:11" s="20" customFormat="1" hidden="1" outlineLevel="1" x14ac:dyDescent="0.25">
      <c r="B418" s="30" t="s">
        <v>1182</v>
      </c>
      <c r="C418" s="21">
        <v>4.9000000000000004</v>
      </c>
      <c r="D418" s="21">
        <v>0.55731051344743276</v>
      </c>
      <c r="E418" s="21">
        <v>0.86999999999999988</v>
      </c>
      <c r="F418" s="25">
        <v>195</v>
      </c>
      <c r="K418" s="46"/>
    </row>
    <row r="419" spans="2:11" s="20" customFormat="1" hidden="1" outlineLevel="1" x14ac:dyDescent="0.25">
      <c r="K419" s="46"/>
    </row>
    <row r="420" spans="2:11" s="20" customFormat="1" hidden="1" outlineLevel="1" x14ac:dyDescent="0.25">
      <c r="C420" s="133" t="s">
        <v>43</v>
      </c>
      <c r="D420" s="133"/>
      <c r="E420" s="133"/>
      <c r="F420" s="133"/>
      <c r="K420" s="46"/>
    </row>
    <row r="421" spans="2:11" s="73" customFormat="1" ht="30" hidden="1" outlineLevel="1" x14ac:dyDescent="0.25">
      <c r="B421" s="72" t="s">
        <v>42</v>
      </c>
      <c r="C421" s="86" t="s">
        <v>41</v>
      </c>
      <c r="D421" s="86" t="s">
        <v>40</v>
      </c>
      <c r="E421" s="86" t="s">
        <v>39</v>
      </c>
      <c r="F421" s="86" t="s">
        <v>38</v>
      </c>
      <c r="K421" s="98"/>
    </row>
    <row r="422" spans="2:11" s="20" customFormat="1" hidden="1" outlineLevel="1" x14ac:dyDescent="0.25">
      <c r="B422" s="30" t="str">
        <f>B413</f>
        <v>1 : 2 : 3</v>
      </c>
      <c r="C422" s="21">
        <f t="shared" ref="C422:F424" si="23">C413*$C$407</f>
        <v>0</v>
      </c>
      <c r="D422" s="21">
        <f t="shared" si="23"/>
        <v>0</v>
      </c>
      <c r="E422" s="21">
        <f t="shared" si="23"/>
        <v>0</v>
      </c>
      <c r="F422" s="25">
        <f t="shared" si="23"/>
        <v>0</v>
      </c>
      <c r="K422" s="46"/>
    </row>
    <row r="423" spans="2:11" s="20" customFormat="1" hidden="1" outlineLevel="1" x14ac:dyDescent="0.25">
      <c r="B423" s="30" t="str">
        <f>B414</f>
        <v>1 : 2,5 : 3</v>
      </c>
      <c r="C423" s="21">
        <f t="shared" si="23"/>
        <v>0</v>
      </c>
      <c r="D423" s="21">
        <f t="shared" si="23"/>
        <v>0</v>
      </c>
      <c r="E423" s="21">
        <f t="shared" si="23"/>
        <v>0</v>
      </c>
      <c r="F423" s="25">
        <f t="shared" si="23"/>
        <v>0</v>
      </c>
      <c r="K423" s="46"/>
    </row>
    <row r="424" spans="2:11" s="20" customFormat="1" hidden="1" outlineLevel="1" x14ac:dyDescent="0.25">
      <c r="B424" s="30" t="str">
        <f>B415</f>
        <v>1 : 2 : 4</v>
      </c>
      <c r="C424" s="21">
        <f t="shared" si="23"/>
        <v>0</v>
      </c>
      <c r="D424" s="21">
        <f t="shared" si="23"/>
        <v>0</v>
      </c>
      <c r="E424" s="21">
        <f t="shared" si="23"/>
        <v>0</v>
      </c>
      <c r="F424" s="25">
        <f t="shared" si="23"/>
        <v>0</v>
      </c>
      <c r="K424" s="46"/>
    </row>
    <row r="425" spans="2:11" s="20" customFormat="1" hidden="1" outlineLevel="1" x14ac:dyDescent="0.25">
      <c r="B425" s="30" t="str">
        <f t="shared" ref="B425:B427" si="24">B416</f>
        <v>1 : 2,5 : 3,5</v>
      </c>
      <c r="C425" s="21">
        <f t="shared" ref="C425:F425" si="25">C416*$C$407</f>
        <v>0</v>
      </c>
      <c r="D425" s="21">
        <f t="shared" si="25"/>
        <v>0</v>
      </c>
      <c r="E425" s="21">
        <f t="shared" si="25"/>
        <v>0</v>
      </c>
      <c r="F425" s="25">
        <f t="shared" si="25"/>
        <v>0</v>
      </c>
      <c r="K425" s="46"/>
    </row>
    <row r="426" spans="2:11" s="20" customFormat="1" hidden="1" outlineLevel="1" x14ac:dyDescent="0.25">
      <c r="B426" s="30" t="str">
        <f t="shared" si="24"/>
        <v>1 : 2,5 : 4</v>
      </c>
      <c r="C426" s="21">
        <f t="shared" ref="C426:F426" si="26">C417*$C$407</f>
        <v>0</v>
      </c>
      <c r="D426" s="21">
        <f t="shared" si="26"/>
        <v>0</v>
      </c>
      <c r="E426" s="21">
        <f t="shared" si="26"/>
        <v>0</v>
      </c>
      <c r="F426" s="25">
        <f t="shared" si="26"/>
        <v>0</v>
      </c>
      <c r="K426" s="46"/>
    </row>
    <row r="427" spans="2:11" s="20" customFormat="1" hidden="1" outlineLevel="1" x14ac:dyDescent="0.25">
      <c r="B427" s="30" t="str">
        <f t="shared" si="24"/>
        <v>1 : 2,5 : 5</v>
      </c>
      <c r="C427" s="21">
        <f t="shared" ref="C427:F427" si="27">C418*$C$407</f>
        <v>0</v>
      </c>
      <c r="D427" s="21">
        <f t="shared" si="27"/>
        <v>0</v>
      </c>
      <c r="E427" s="21">
        <f t="shared" si="27"/>
        <v>0</v>
      </c>
      <c r="F427" s="25">
        <f t="shared" si="27"/>
        <v>0</v>
      </c>
      <c r="K427" s="46"/>
    </row>
    <row r="428" spans="2:11" s="20" customFormat="1" hidden="1" outlineLevel="1" x14ac:dyDescent="0.25">
      <c r="K428" s="46"/>
    </row>
    <row r="429" spans="2:11" s="20" customFormat="1" hidden="1" outlineLevel="1" x14ac:dyDescent="0.25">
      <c r="B429" s="19" t="s">
        <v>219</v>
      </c>
      <c r="K429" s="46"/>
    </row>
    <row r="430" spans="2:11" s="20" customFormat="1" hidden="1" outlineLevel="1" x14ac:dyDescent="0.25">
      <c r="K430" s="46"/>
    </row>
    <row r="431" spans="2:11" s="20" customFormat="1" hidden="1" outlineLevel="1" x14ac:dyDescent="0.25">
      <c r="B431" s="20" t="s">
        <v>101</v>
      </c>
      <c r="K431" s="46"/>
    </row>
    <row r="432" spans="2:11" s="20" customFormat="1" hidden="1" outlineLevel="1" x14ac:dyDescent="0.25">
      <c r="B432" s="34" t="s">
        <v>230</v>
      </c>
      <c r="C432" s="35" t="s">
        <v>15</v>
      </c>
      <c r="D432" s="20" t="s">
        <v>663</v>
      </c>
      <c r="K432" s="46"/>
    </row>
    <row r="433" spans="2:11" s="20" customFormat="1" hidden="1" outlineLevel="1" x14ac:dyDescent="0.25">
      <c r="B433" s="34"/>
      <c r="K433" s="46"/>
    </row>
    <row r="434" spans="2:11" s="20" customFormat="1" hidden="1" outlineLevel="1" x14ac:dyDescent="0.25">
      <c r="B434" s="20" t="s">
        <v>30</v>
      </c>
      <c r="K434" s="46"/>
    </row>
    <row r="435" spans="2:11" s="20" customFormat="1" hidden="1" outlineLevel="1" x14ac:dyDescent="0.25">
      <c r="B435" s="34" t="s">
        <v>230</v>
      </c>
      <c r="C435" s="35" t="s">
        <v>21</v>
      </c>
      <c r="D435" s="20" t="s">
        <v>663</v>
      </c>
      <c r="K435" s="46"/>
    </row>
    <row r="436" spans="2:11" s="20" customFormat="1" hidden="1" outlineLevel="1" x14ac:dyDescent="0.25">
      <c r="B436" s="34" t="s">
        <v>843</v>
      </c>
      <c r="C436" s="23">
        <v>6</v>
      </c>
      <c r="D436" s="20" t="s">
        <v>56</v>
      </c>
      <c r="K436" s="46"/>
    </row>
    <row r="437" spans="2:11" s="20" customFormat="1" hidden="1" outlineLevel="1" x14ac:dyDescent="0.25">
      <c r="B437" s="34" t="s">
        <v>14</v>
      </c>
      <c r="C437" s="25">
        <f>C393-C436</f>
        <v>-6</v>
      </c>
      <c r="D437" s="20" t="s">
        <v>56</v>
      </c>
      <c r="F437" s="36"/>
      <c r="K437" s="46"/>
    </row>
    <row r="438" spans="2:11" s="20" customFormat="1" hidden="1" outlineLevel="1" x14ac:dyDescent="0.25">
      <c r="B438" s="34" t="s">
        <v>55</v>
      </c>
      <c r="C438" s="25">
        <f>C394-C436</f>
        <v>-6</v>
      </c>
      <c r="D438" s="20" t="s">
        <v>56</v>
      </c>
      <c r="F438" s="36"/>
      <c r="K438" s="46"/>
    </row>
    <row r="439" spans="2:11" s="20" customFormat="1" hidden="1" outlineLevel="1" x14ac:dyDescent="0.25">
      <c r="B439" s="34"/>
      <c r="K439" s="46"/>
    </row>
    <row r="440" spans="2:11" s="20" customFormat="1" hidden="1" outlineLevel="1" x14ac:dyDescent="0.25">
      <c r="B440" s="19" t="s">
        <v>100</v>
      </c>
      <c r="K440" s="46"/>
    </row>
    <row r="441" spans="2:11" s="20" customFormat="1" hidden="1" outlineLevel="1" x14ac:dyDescent="0.25">
      <c r="K441" s="46"/>
    </row>
    <row r="442" spans="2:11" s="20" customFormat="1" hidden="1" outlineLevel="1" x14ac:dyDescent="0.25">
      <c r="B442" s="20" t="s">
        <v>99</v>
      </c>
      <c r="C442" s="37">
        <f>C399*C395</f>
        <v>0</v>
      </c>
      <c r="D442" s="20" t="s">
        <v>53</v>
      </c>
      <c r="K442" s="46"/>
    </row>
    <row r="443" spans="2:11" s="20" customFormat="1" hidden="1" outlineLevel="1" x14ac:dyDescent="0.25">
      <c r="B443" s="20" t="s">
        <v>98</v>
      </c>
      <c r="C443" s="37">
        <f>C442*C396</f>
        <v>0</v>
      </c>
      <c r="D443" s="20" t="s">
        <v>53</v>
      </c>
      <c r="K443" s="46"/>
    </row>
    <row r="444" spans="2:11" s="20" customFormat="1" hidden="1" outlineLevel="1" x14ac:dyDescent="0.25">
      <c r="B444" s="20" t="s">
        <v>706</v>
      </c>
      <c r="C444" s="37">
        <f>C443*(1+'LEIA-ME'!$D$31)</f>
        <v>0</v>
      </c>
      <c r="D444" s="20" t="s">
        <v>53</v>
      </c>
      <c r="K444" s="46"/>
    </row>
    <row r="445" spans="2:11" s="20" customFormat="1" hidden="1" outlineLevel="1" x14ac:dyDescent="0.25">
      <c r="B445" s="20" t="s">
        <v>664</v>
      </c>
      <c r="C445" s="23">
        <v>12</v>
      </c>
      <c r="D445" s="20" t="s">
        <v>53</v>
      </c>
      <c r="K445" s="46"/>
    </row>
    <row r="446" spans="2:11" s="20" customFormat="1" hidden="1" outlineLevel="1" x14ac:dyDescent="0.25">
      <c r="B446" s="20" t="s">
        <v>72</v>
      </c>
      <c r="C446" s="37">
        <f>C444/C445</f>
        <v>0</v>
      </c>
      <c r="D446" s="20" t="s">
        <v>64</v>
      </c>
      <c r="K446" s="46"/>
    </row>
    <row r="447" spans="2:11" s="20" customFormat="1" hidden="1" outlineLevel="1" x14ac:dyDescent="0.25">
      <c r="B447" s="31"/>
      <c r="D447" s="47"/>
      <c r="K447" s="46"/>
    </row>
    <row r="448" spans="2:11" s="20" customFormat="1" hidden="1" outlineLevel="1" x14ac:dyDescent="0.25">
      <c r="B448" s="19" t="s">
        <v>25</v>
      </c>
      <c r="K448" s="46"/>
    </row>
    <row r="449" spans="2:11" s="20" customFormat="1" hidden="1" outlineLevel="1" x14ac:dyDescent="0.25">
      <c r="K449" s="46"/>
    </row>
    <row r="450" spans="2:11" s="20" customFormat="1" hidden="1" outlineLevel="1" x14ac:dyDescent="0.25">
      <c r="B450" s="20" t="s">
        <v>669</v>
      </c>
      <c r="C450" s="23">
        <v>20</v>
      </c>
      <c r="D450" s="20" t="s">
        <v>56</v>
      </c>
      <c r="K450" s="46"/>
    </row>
    <row r="451" spans="2:11" s="20" customFormat="1" hidden="1" outlineLevel="1" x14ac:dyDescent="0.25">
      <c r="B451" s="20" t="s">
        <v>24</v>
      </c>
      <c r="C451" s="37">
        <f>(((C437*2)+(C438*2))*(1+C450/100))/100</f>
        <v>-0.28799999999999998</v>
      </c>
      <c r="D451" s="20" t="s">
        <v>53</v>
      </c>
      <c r="K451" s="46"/>
    </row>
    <row r="452" spans="2:11" s="20" customFormat="1" hidden="1" outlineLevel="1" x14ac:dyDescent="0.25">
      <c r="B452" s="20" t="s">
        <v>97</v>
      </c>
      <c r="C452" s="37" t="e">
        <f>INT(C395/(C400/100))</f>
        <v>#DIV/0!</v>
      </c>
      <c r="D452" s="20" t="s">
        <v>644</v>
      </c>
      <c r="K452" s="46"/>
    </row>
    <row r="453" spans="2:11" s="20" customFormat="1" hidden="1" outlineLevel="1" x14ac:dyDescent="0.25">
      <c r="B453" s="20" t="s">
        <v>96</v>
      </c>
      <c r="C453" s="37" t="e">
        <f>C452*C451</f>
        <v>#DIV/0!</v>
      </c>
      <c r="D453" s="20" t="s">
        <v>53</v>
      </c>
      <c r="K453" s="46"/>
    </row>
    <row r="454" spans="2:11" s="20" customFormat="1" hidden="1" outlineLevel="1" x14ac:dyDescent="0.25">
      <c r="B454" s="20" t="s">
        <v>95</v>
      </c>
      <c r="C454" s="37" t="e">
        <f>C453*C396</f>
        <v>#DIV/0!</v>
      </c>
      <c r="D454" s="20" t="s">
        <v>53</v>
      </c>
      <c r="K454" s="46"/>
    </row>
    <row r="455" spans="2:11" s="20" customFormat="1" hidden="1" outlineLevel="1" x14ac:dyDescent="0.25">
      <c r="B455" s="20" t="s">
        <v>734</v>
      </c>
      <c r="C455" s="37" t="e">
        <f>C454*(1+'LEIA-ME'!$D$31)</f>
        <v>#DIV/0!</v>
      </c>
      <c r="D455" s="20" t="s">
        <v>53</v>
      </c>
      <c r="K455" s="46"/>
    </row>
    <row r="456" spans="2:11" s="20" customFormat="1" hidden="1" outlineLevel="1" x14ac:dyDescent="0.25">
      <c r="B456" s="20" t="s">
        <v>664</v>
      </c>
      <c r="C456" s="23">
        <v>12</v>
      </c>
      <c r="D456" s="20" t="s">
        <v>53</v>
      </c>
      <c r="K456" s="46"/>
    </row>
    <row r="457" spans="2:11" s="20" customFormat="1" hidden="1" outlineLevel="1" x14ac:dyDescent="0.25">
      <c r="B457" s="20" t="s">
        <v>72</v>
      </c>
      <c r="C457" s="37" t="e">
        <f>C455/C456</f>
        <v>#DIV/0!</v>
      </c>
      <c r="D457" s="20" t="s">
        <v>64</v>
      </c>
      <c r="K457" s="46"/>
    </row>
    <row r="458" spans="2:11" s="20" customFormat="1" hidden="1" outlineLevel="1" x14ac:dyDescent="0.25"/>
    <row r="459" spans="2:11" s="20" customFormat="1" hidden="1" outlineLevel="1" x14ac:dyDescent="0.25">
      <c r="B459" s="19" t="s">
        <v>73</v>
      </c>
    </row>
    <row r="460" spans="2:11" s="20" customFormat="1" hidden="1" outlineLevel="1" x14ac:dyDescent="0.25"/>
    <row r="461" spans="2:11" s="20" customFormat="1" hidden="1" outlineLevel="1" x14ac:dyDescent="0.25">
      <c r="B461" s="20" t="s">
        <v>666</v>
      </c>
      <c r="C461" s="85">
        <v>0.02</v>
      </c>
      <c r="D461" s="20" t="s">
        <v>650</v>
      </c>
    </row>
    <row r="462" spans="2:11" s="20" customFormat="1" hidden="1" outlineLevel="1" x14ac:dyDescent="0.25">
      <c r="B462" s="20" t="s">
        <v>615</v>
      </c>
      <c r="C462" s="21">
        <f>C443*C461*(1+'LEIA-ME'!$D$31)</f>
        <v>0</v>
      </c>
      <c r="D462" s="20" t="s">
        <v>49</v>
      </c>
    </row>
    <row r="463" spans="2:11" s="20" customFormat="1" hidden="1" outlineLevel="1" x14ac:dyDescent="0.25">
      <c r="B463" s="20" t="s">
        <v>668</v>
      </c>
      <c r="C463" s="23">
        <v>5</v>
      </c>
      <c r="D463" s="20" t="s">
        <v>667</v>
      </c>
    </row>
    <row r="464" spans="2:11" s="20" customFormat="1" hidden="1" outlineLevel="1" x14ac:dyDescent="0.25">
      <c r="B464" s="20" t="s">
        <v>622</v>
      </c>
      <c r="C464" s="25">
        <f>C443*C463*(1+'LEIA-ME'!$D$31)</f>
        <v>0</v>
      </c>
      <c r="D464" s="20" t="s">
        <v>644</v>
      </c>
    </row>
    <row r="465" spans="2:11" s="20" customFormat="1" hidden="1" outlineLevel="1" x14ac:dyDescent="0.25">
      <c r="K465" s="46"/>
    </row>
    <row r="466" spans="2:11" s="20" customFormat="1" hidden="1" outlineLevel="1" x14ac:dyDescent="0.25">
      <c r="B466" s="19" t="s">
        <v>120</v>
      </c>
      <c r="K466" s="46"/>
    </row>
    <row r="467" spans="2:11" s="20" customFormat="1" hidden="1" outlineLevel="1" x14ac:dyDescent="0.25">
      <c r="K467" s="46"/>
    </row>
    <row r="468" spans="2:11" s="20" customFormat="1" hidden="1" outlineLevel="1" x14ac:dyDescent="0.25">
      <c r="B468" s="20" t="s">
        <v>736</v>
      </c>
      <c r="C468" s="21" t="e">
        <f>(C394/100)*VLOOKUP(C395,B475:E491,2,0)</f>
        <v>#N/A</v>
      </c>
      <c r="D468" s="20" t="s">
        <v>643</v>
      </c>
      <c r="K468" s="46"/>
    </row>
    <row r="469" spans="2:11" s="20" customFormat="1" hidden="1" outlineLevel="1" x14ac:dyDescent="0.25">
      <c r="B469" s="20" t="s">
        <v>737</v>
      </c>
      <c r="C469" s="23">
        <v>2</v>
      </c>
      <c r="D469" s="20" t="s">
        <v>644</v>
      </c>
      <c r="K469" s="46"/>
    </row>
    <row r="470" spans="2:11" s="20" customFormat="1" hidden="1" outlineLevel="1" x14ac:dyDescent="0.25">
      <c r="B470" s="20" t="s">
        <v>738</v>
      </c>
      <c r="C470" s="21" t="e">
        <f>C468*C469*C396</f>
        <v>#N/A</v>
      </c>
      <c r="D470" s="20" t="s">
        <v>643</v>
      </c>
      <c r="K470" s="46"/>
    </row>
    <row r="471" spans="2:11" s="20" customFormat="1" hidden="1" outlineLevel="1" x14ac:dyDescent="0.25">
      <c r="B471" s="20" t="s">
        <v>739</v>
      </c>
      <c r="C471" s="21" t="e">
        <f>C470*(1+'LEIA-ME'!$D$31)</f>
        <v>#N/A</v>
      </c>
      <c r="D471" s="20" t="s">
        <v>643</v>
      </c>
      <c r="K471" s="46"/>
    </row>
    <row r="472" spans="2:11" s="20" customFormat="1" hidden="1" outlineLevel="1" x14ac:dyDescent="0.25">
      <c r="B472" s="20" t="s">
        <v>218</v>
      </c>
      <c r="C472" s="21" t="e">
        <f>VLOOKUP(C395,B475:E491,4,0)</f>
        <v>#N/A</v>
      </c>
      <c r="D472" s="20" t="s">
        <v>643</v>
      </c>
      <c r="K472" s="46"/>
    </row>
    <row r="473" spans="2:11" s="20" customFormat="1" hidden="1" outlineLevel="1" x14ac:dyDescent="0.25">
      <c r="B473" s="20" t="s">
        <v>229</v>
      </c>
      <c r="C473" s="21" t="e">
        <f>C471/C472</f>
        <v>#N/A</v>
      </c>
      <c r="D473" s="20" t="s">
        <v>644</v>
      </c>
      <c r="K473" s="46"/>
    </row>
    <row r="474" spans="2:11" s="20" customFormat="1" hidden="1" outlineLevel="1" x14ac:dyDescent="0.25">
      <c r="C474" s="21"/>
      <c r="K474" s="46"/>
    </row>
    <row r="475" spans="2:11" s="73" customFormat="1" ht="30" hidden="1" outlineLevel="1" x14ac:dyDescent="0.25">
      <c r="B475" s="97" t="s">
        <v>217</v>
      </c>
      <c r="C475" s="96" t="s">
        <v>216</v>
      </c>
      <c r="D475" s="97" t="s">
        <v>735</v>
      </c>
      <c r="E475" s="97" t="s">
        <v>215</v>
      </c>
      <c r="F475" s="97"/>
      <c r="K475" s="98"/>
    </row>
    <row r="476" spans="2:11" s="20" customFormat="1" hidden="1" outlineLevel="1" x14ac:dyDescent="0.25">
      <c r="B476" s="48">
        <v>1.5</v>
      </c>
      <c r="C476" s="21">
        <v>3</v>
      </c>
      <c r="D476" s="20" t="s">
        <v>612</v>
      </c>
      <c r="E476" s="20">
        <v>0.89999999999999991</v>
      </c>
      <c r="K476" s="46"/>
    </row>
    <row r="477" spans="2:11" s="20" customFormat="1" hidden="1" outlineLevel="1" x14ac:dyDescent="0.25">
      <c r="B477" s="48">
        <v>1.6</v>
      </c>
      <c r="C477" s="21">
        <v>3</v>
      </c>
      <c r="D477" s="20" t="s">
        <v>612</v>
      </c>
      <c r="E477" s="20">
        <v>0.89999999999999991</v>
      </c>
      <c r="K477" s="46"/>
    </row>
    <row r="478" spans="2:11" s="20" customFormat="1" hidden="1" outlineLevel="1" x14ac:dyDescent="0.25">
      <c r="B478" s="48">
        <v>1.7</v>
      </c>
      <c r="C478" s="21">
        <v>3</v>
      </c>
      <c r="D478" s="20" t="s">
        <v>612</v>
      </c>
      <c r="E478" s="20">
        <v>0.89999999999999991</v>
      </c>
      <c r="K478" s="46"/>
    </row>
    <row r="479" spans="2:11" s="20" customFormat="1" hidden="1" outlineLevel="1" x14ac:dyDescent="0.25">
      <c r="B479" s="48">
        <v>1.8</v>
      </c>
      <c r="C479" s="21">
        <v>3</v>
      </c>
      <c r="D479" s="20" t="s">
        <v>612</v>
      </c>
      <c r="E479" s="20">
        <v>0.89999999999999991</v>
      </c>
      <c r="K479" s="46"/>
    </row>
    <row r="480" spans="2:11" s="20" customFormat="1" hidden="1" outlineLevel="1" x14ac:dyDescent="0.25">
      <c r="B480" s="48">
        <v>1.9</v>
      </c>
      <c r="C480" s="21">
        <v>3</v>
      </c>
      <c r="D480" s="20" t="s">
        <v>612</v>
      </c>
      <c r="E480" s="20">
        <v>0.89999999999999991</v>
      </c>
      <c r="K480" s="46"/>
    </row>
    <row r="481" spans="2:11" s="20" customFormat="1" hidden="1" outlineLevel="1" x14ac:dyDescent="0.25">
      <c r="B481" s="48">
        <v>2</v>
      </c>
      <c r="C481" s="21">
        <v>3</v>
      </c>
      <c r="D481" s="20" t="s">
        <v>612</v>
      </c>
      <c r="E481" s="20">
        <v>0.89999999999999991</v>
      </c>
      <c r="K481" s="46"/>
    </row>
    <row r="482" spans="2:11" s="20" customFormat="1" hidden="1" outlineLevel="1" x14ac:dyDescent="0.25">
      <c r="B482" s="48">
        <v>2.1</v>
      </c>
      <c r="C482" s="21">
        <v>3</v>
      </c>
      <c r="D482" s="20" t="s">
        <v>612</v>
      </c>
      <c r="E482" s="20">
        <v>0.89999999999999991</v>
      </c>
      <c r="K482" s="46"/>
    </row>
    <row r="483" spans="2:11" s="20" customFormat="1" hidden="1" outlineLevel="1" x14ac:dyDescent="0.25">
      <c r="B483" s="48">
        <v>2.2000000000000002</v>
      </c>
      <c r="C483" s="21">
        <v>3</v>
      </c>
      <c r="D483" s="20" t="s">
        <v>612</v>
      </c>
      <c r="E483" s="20">
        <v>0.89999999999999991</v>
      </c>
      <c r="K483" s="46"/>
    </row>
    <row r="484" spans="2:11" s="20" customFormat="1" hidden="1" outlineLevel="1" x14ac:dyDescent="0.25">
      <c r="B484" s="48">
        <v>2.2999999999999998</v>
      </c>
      <c r="C484" s="21">
        <v>3</v>
      </c>
      <c r="D484" s="20" t="s">
        <v>612</v>
      </c>
      <c r="E484" s="20">
        <v>0.89999999999999991</v>
      </c>
      <c r="K484" s="46"/>
    </row>
    <row r="485" spans="2:11" s="20" customFormat="1" hidden="1" outlineLevel="1" x14ac:dyDescent="0.25">
      <c r="B485" s="48">
        <v>2.4</v>
      </c>
      <c r="C485" s="21">
        <v>3</v>
      </c>
      <c r="D485" s="20" t="s">
        <v>612</v>
      </c>
      <c r="E485" s="20">
        <v>0.89999999999999991</v>
      </c>
      <c r="K485" s="46"/>
    </row>
    <row r="486" spans="2:11" s="20" customFormat="1" hidden="1" outlineLevel="1" x14ac:dyDescent="0.25">
      <c r="B486" s="48">
        <v>2.5</v>
      </c>
      <c r="C486" s="21">
        <v>3</v>
      </c>
      <c r="D486" s="20" t="s">
        <v>612</v>
      </c>
      <c r="E486" s="20">
        <v>0.89999999999999991</v>
      </c>
      <c r="K486" s="46"/>
    </row>
    <row r="487" spans="2:11" s="20" customFormat="1" hidden="1" outlineLevel="1" x14ac:dyDescent="0.25">
      <c r="B487" s="48">
        <v>2.6</v>
      </c>
      <c r="C487" s="21">
        <v>3</v>
      </c>
      <c r="D487" s="20" t="s">
        <v>612</v>
      </c>
      <c r="E487" s="20">
        <v>0.89999999999999991</v>
      </c>
      <c r="K487" s="46"/>
    </row>
    <row r="488" spans="2:11" s="20" customFormat="1" hidden="1" outlineLevel="1" x14ac:dyDescent="0.25">
      <c r="B488" s="48">
        <v>2.7</v>
      </c>
      <c r="C488" s="21">
        <v>3</v>
      </c>
      <c r="D488" s="20" t="s">
        <v>612</v>
      </c>
      <c r="E488" s="20">
        <v>0.89999999999999991</v>
      </c>
      <c r="K488" s="46"/>
    </row>
    <row r="489" spans="2:11" s="20" customFormat="1" hidden="1" outlineLevel="1" x14ac:dyDescent="0.25">
      <c r="B489" s="48">
        <v>2.8</v>
      </c>
      <c r="C489" s="21">
        <v>3</v>
      </c>
      <c r="D489" s="20" t="s">
        <v>612</v>
      </c>
      <c r="E489" s="20">
        <v>0.89999999999999991</v>
      </c>
      <c r="K489" s="46"/>
    </row>
    <row r="490" spans="2:11" s="20" customFormat="1" hidden="1" outlineLevel="1" x14ac:dyDescent="0.25">
      <c r="B490" s="48">
        <v>2.9</v>
      </c>
      <c r="C490" s="21">
        <v>3</v>
      </c>
      <c r="D490" s="20" t="s">
        <v>612</v>
      </c>
      <c r="E490" s="20">
        <v>0.89999999999999991</v>
      </c>
      <c r="K490" s="46"/>
    </row>
    <row r="491" spans="2:11" s="20" customFormat="1" hidden="1" outlineLevel="1" x14ac:dyDescent="0.25">
      <c r="B491" s="48">
        <v>3</v>
      </c>
      <c r="C491" s="21">
        <v>3</v>
      </c>
      <c r="D491" s="20" t="s">
        <v>612</v>
      </c>
      <c r="E491" s="20">
        <v>0.89999999999999991</v>
      </c>
      <c r="K491" s="46"/>
    </row>
    <row r="492" spans="2:11" s="20" customFormat="1" hidden="1" outlineLevel="1" x14ac:dyDescent="0.25">
      <c r="K492" s="46"/>
    </row>
    <row r="493" spans="2:11" s="20" customFormat="1" hidden="1" outlineLevel="1" x14ac:dyDescent="0.25">
      <c r="K493" s="46"/>
    </row>
    <row r="494" spans="2:11" s="20" customFormat="1" hidden="1" outlineLevel="1" x14ac:dyDescent="0.25">
      <c r="B494" s="19" t="s">
        <v>121</v>
      </c>
      <c r="K494" s="46"/>
    </row>
    <row r="495" spans="2:11" s="20" customFormat="1" hidden="1" outlineLevel="1" x14ac:dyDescent="0.25">
      <c r="K495" s="46"/>
    </row>
    <row r="496" spans="2:11" s="20" customFormat="1" hidden="1" outlineLevel="1" x14ac:dyDescent="0.25">
      <c r="B496" s="20" t="s">
        <v>229</v>
      </c>
      <c r="C496" s="21" t="e">
        <f>C473</f>
        <v>#N/A</v>
      </c>
      <c r="D496" s="39" t="s">
        <v>644</v>
      </c>
      <c r="K496" s="46"/>
    </row>
    <row r="497" spans="2:11" s="20" customFormat="1" hidden="1" outlineLevel="1" x14ac:dyDescent="0.25">
      <c r="B497" s="20" t="s">
        <v>18</v>
      </c>
      <c r="C497" s="23">
        <v>40</v>
      </c>
      <c r="D497" s="39" t="s">
        <v>56</v>
      </c>
      <c r="K497" s="46"/>
    </row>
    <row r="498" spans="2:11" s="20" customFormat="1" hidden="1" outlineLevel="1" x14ac:dyDescent="0.25">
      <c r="B498" s="20" t="s">
        <v>740</v>
      </c>
      <c r="C498" s="21" t="e">
        <f>VLOOKUP(C395,B475:E491,2,0)/(C497/100)</f>
        <v>#N/A</v>
      </c>
      <c r="D498" s="39" t="s">
        <v>644</v>
      </c>
      <c r="K498" s="46"/>
    </row>
    <row r="499" spans="2:11" s="20" customFormat="1" hidden="1" outlineLevel="1" x14ac:dyDescent="0.25">
      <c r="B499" s="20" t="s">
        <v>741</v>
      </c>
      <c r="C499" s="21" t="e">
        <f>C496*C498</f>
        <v>#N/A</v>
      </c>
      <c r="D499" s="39" t="s">
        <v>644</v>
      </c>
      <c r="K499" s="46"/>
    </row>
    <row r="500" spans="2:11" s="20" customFormat="1" hidden="1" outlineLevel="1" x14ac:dyDescent="0.25">
      <c r="B500" s="20" t="s">
        <v>713</v>
      </c>
      <c r="C500" s="23">
        <v>20</v>
      </c>
      <c r="D500" s="39" t="s">
        <v>56</v>
      </c>
      <c r="K500" s="46"/>
    </row>
    <row r="501" spans="2:11" s="20" customFormat="1" hidden="1" outlineLevel="1" x14ac:dyDescent="0.25">
      <c r="B501" s="20" t="s">
        <v>17</v>
      </c>
      <c r="C501" s="21" t="e">
        <f>C499*(C500/100)</f>
        <v>#N/A</v>
      </c>
      <c r="D501" s="20" t="s">
        <v>53</v>
      </c>
      <c r="K501" s="46"/>
    </row>
    <row r="502" spans="2:11" s="20" customFormat="1" hidden="1" outlineLevel="1" x14ac:dyDescent="0.25">
      <c r="B502" s="20" t="s">
        <v>673</v>
      </c>
      <c r="C502" s="21" t="e">
        <f>C501*(1+'LEIA-ME'!$D$31)</f>
        <v>#N/A</v>
      </c>
      <c r="D502" s="20" t="s">
        <v>53</v>
      </c>
      <c r="K502" s="46"/>
    </row>
    <row r="503" spans="2:11" s="20" customFormat="1" hidden="1" outlineLevel="1" x14ac:dyDescent="0.25">
      <c r="B503" s="20" t="s">
        <v>674</v>
      </c>
      <c r="C503" s="33">
        <v>3</v>
      </c>
      <c r="D503" s="20" t="s">
        <v>53</v>
      </c>
      <c r="K503" s="46"/>
    </row>
    <row r="504" spans="2:11" s="20" customFormat="1" hidden="1" outlineLevel="1" x14ac:dyDescent="0.25">
      <c r="B504" s="20" t="s">
        <v>1</v>
      </c>
      <c r="C504" s="21" t="e">
        <f>C502/C503</f>
        <v>#N/A</v>
      </c>
      <c r="D504" s="20" t="s">
        <v>644</v>
      </c>
      <c r="K504" s="46"/>
    </row>
    <row r="505" spans="2:11" s="20" customFormat="1" hidden="1" outlineLevel="1" x14ac:dyDescent="0.25">
      <c r="K505" s="46"/>
    </row>
    <row r="506" spans="2:11" s="20" customFormat="1" hidden="1" outlineLevel="1" x14ac:dyDescent="0.25">
      <c r="B506" s="19" t="s">
        <v>122</v>
      </c>
      <c r="K506" s="46"/>
    </row>
    <row r="507" spans="2:11" s="20" customFormat="1" hidden="1" outlineLevel="1" x14ac:dyDescent="0.25">
      <c r="K507" s="46"/>
    </row>
    <row r="508" spans="2:11" s="20" customFormat="1" hidden="1" outlineLevel="1" x14ac:dyDescent="0.25">
      <c r="B508" s="20" t="s">
        <v>16</v>
      </c>
      <c r="C508" s="92">
        <v>3.44E-2</v>
      </c>
      <c r="D508" s="39" t="s">
        <v>720</v>
      </c>
      <c r="K508" s="46"/>
    </row>
    <row r="509" spans="2:11" s="20" customFormat="1" hidden="1" outlineLevel="1" x14ac:dyDescent="0.25">
      <c r="B509" s="20" t="s">
        <v>75</v>
      </c>
      <c r="C509" s="40" t="e">
        <f>$C$471*C508</f>
        <v>#N/A</v>
      </c>
      <c r="D509" s="20" t="s">
        <v>49</v>
      </c>
      <c r="K509" s="46"/>
    </row>
    <row r="510" spans="2:11" hidden="1" outlineLevel="1" x14ac:dyDescent="0.25">
      <c r="K510" s="1"/>
    </row>
    <row r="511" spans="2:11" collapsed="1" x14ac:dyDescent="0.25">
      <c r="B511" s="27" t="s">
        <v>5</v>
      </c>
      <c r="C511" s="28" t="s">
        <v>46</v>
      </c>
      <c r="D511" s="28" t="s">
        <v>6</v>
      </c>
    </row>
    <row r="512" spans="2:11" ht="17.25" x14ac:dyDescent="0.25">
      <c r="B512" s="88" t="s">
        <v>593</v>
      </c>
      <c r="C512" s="91" t="s">
        <v>80</v>
      </c>
      <c r="D512" s="87">
        <f>IF(C397="Usinado",C407,0)</f>
        <v>0</v>
      </c>
      <c r="K512" s="1"/>
    </row>
    <row r="513" spans="1:11" x14ac:dyDescent="0.25">
      <c r="B513" s="88" t="s">
        <v>36</v>
      </c>
      <c r="C513" s="91" t="s">
        <v>35</v>
      </c>
      <c r="D513" s="87">
        <f>IFERROR(IF(C397="Feito na obra",VLOOKUP($C$398,$B$421:$F$427,2,0),0),0)</f>
        <v>0</v>
      </c>
      <c r="K513" s="1"/>
    </row>
    <row r="514" spans="1:11" ht="17.25" x14ac:dyDescent="0.25">
      <c r="B514" s="88" t="s">
        <v>34</v>
      </c>
      <c r="C514" s="91" t="s">
        <v>80</v>
      </c>
      <c r="D514" s="87">
        <f>IFERROR(IF(C397="Feito na obra",VLOOKUP($C$398,$B$421:$F$427,3,0),0),0)</f>
        <v>0</v>
      </c>
      <c r="K514" s="1"/>
    </row>
    <row r="515" spans="1:11" ht="17.25" x14ac:dyDescent="0.25">
      <c r="B515" s="88" t="s">
        <v>33</v>
      </c>
      <c r="C515" s="91" t="s">
        <v>80</v>
      </c>
      <c r="D515" s="87">
        <f>IFERROR(IF(C397="Feito na obra",VLOOKUP($C$398,$B$421:$F$427,4,0),0),0)</f>
        <v>0</v>
      </c>
      <c r="K515" s="1"/>
    </row>
    <row r="516" spans="1:11" x14ac:dyDescent="0.25">
      <c r="B516" s="88" t="s">
        <v>70</v>
      </c>
      <c r="C516" s="91" t="s">
        <v>642</v>
      </c>
      <c r="D516" s="87">
        <f>C446</f>
        <v>0</v>
      </c>
    </row>
    <row r="517" spans="1:11" x14ac:dyDescent="0.25">
      <c r="B517" s="88" t="s">
        <v>71</v>
      </c>
      <c r="C517" s="91" t="s">
        <v>642</v>
      </c>
      <c r="D517" s="87">
        <f>IFERROR(C457,0)</f>
        <v>0</v>
      </c>
    </row>
    <row r="518" spans="1:11" x14ac:dyDescent="0.25">
      <c r="B518" s="88" t="s">
        <v>74</v>
      </c>
      <c r="C518" s="91" t="s">
        <v>641</v>
      </c>
      <c r="D518" s="87">
        <f>C462</f>
        <v>0</v>
      </c>
    </row>
    <row r="519" spans="1:11" x14ac:dyDescent="0.25">
      <c r="B519" s="88" t="s">
        <v>231</v>
      </c>
      <c r="C519" s="91" t="s">
        <v>50</v>
      </c>
      <c r="D519" s="87">
        <f>C464</f>
        <v>0</v>
      </c>
    </row>
    <row r="520" spans="1:11" x14ac:dyDescent="0.25">
      <c r="B520" s="88" t="s">
        <v>77</v>
      </c>
      <c r="C520" s="91" t="str">
        <f>IF(C395="","",VLOOKUP($C$395,B475:E491,3,0))</f>
        <v/>
      </c>
      <c r="D520" s="87">
        <f>IFERROR(C473,0)</f>
        <v>0</v>
      </c>
      <c r="K520" s="1"/>
    </row>
    <row r="521" spans="1:11" x14ac:dyDescent="0.25">
      <c r="B521" s="88" t="s">
        <v>76</v>
      </c>
      <c r="C521" s="91" t="s">
        <v>612</v>
      </c>
      <c r="D521" s="87">
        <f>IFERROR(C504,0)</f>
        <v>0</v>
      </c>
      <c r="K521" s="1"/>
    </row>
    <row r="522" spans="1:11" x14ac:dyDescent="0.25">
      <c r="B522" s="88" t="s">
        <v>636</v>
      </c>
      <c r="C522" s="89" t="s">
        <v>49</v>
      </c>
      <c r="D522" s="87">
        <f>IFERROR(C509,0)</f>
        <v>0</v>
      </c>
      <c r="K522" s="1"/>
    </row>
    <row r="523" spans="1:11" x14ac:dyDescent="0.25">
      <c r="K523" s="1"/>
    </row>
    <row r="525" spans="1:11" s="5" customFormat="1" ht="18.75" x14ac:dyDescent="0.3">
      <c r="A525" s="7"/>
      <c r="B525" s="132" t="s">
        <v>582</v>
      </c>
      <c r="C525" s="132"/>
      <c r="D525" s="132"/>
      <c r="E525" s="7"/>
      <c r="F525" s="7"/>
      <c r="H525" s="22"/>
    </row>
    <row r="527" spans="1:11" s="20" customFormat="1" hidden="1" outlineLevel="1" x14ac:dyDescent="0.25">
      <c r="B527" s="19" t="s">
        <v>608</v>
      </c>
    </row>
    <row r="528" spans="1:11" s="20" customFormat="1" hidden="1" outlineLevel="1" x14ac:dyDescent="0.25"/>
    <row r="529" spans="2:6" s="20" customFormat="1" hidden="1" outlineLevel="1" x14ac:dyDescent="0.25">
      <c r="B529" s="20" t="s">
        <v>478</v>
      </c>
      <c r="C529" s="33">
        <v>1.4</v>
      </c>
      <c r="D529" s="20" t="s">
        <v>53</v>
      </c>
    </row>
    <row r="530" spans="2:6" s="20" customFormat="1" hidden="1" outlineLevel="1" x14ac:dyDescent="0.25">
      <c r="B530" s="20" t="s">
        <v>479</v>
      </c>
      <c r="C530" s="62">
        <f>ROUNDUP(C292/C529,0)</f>
        <v>0</v>
      </c>
      <c r="D530" s="20" t="s">
        <v>644</v>
      </c>
    </row>
    <row r="531" spans="2:6" s="20" customFormat="1" hidden="1" outlineLevel="1" x14ac:dyDescent="0.25">
      <c r="B531" s="20" t="s">
        <v>806</v>
      </c>
      <c r="C531" s="21">
        <f>C291*C530</f>
        <v>0</v>
      </c>
      <c r="D531" s="20" t="s">
        <v>53</v>
      </c>
    </row>
    <row r="532" spans="2:6" s="20" customFormat="1" hidden="1" outlineLevel="1" x14ac:dyDescent="0.25">
      <c r="B532" s="20" t="s">
        <v>807</v>
      </c>
      <c r="C532" s="21">
        <f>C531*(1+'LEIA-ME'!$D$31)</f>
        <v>0</v>
      </c>
      <c r="D532" s="20" t="s">
        <v>53</v>
      </c>
    </row>
    <row r="533" spans="2:6" s="20" customFormat="1" hidden="1" outlineLevel="1" x14ac:dyDescent="0.25">
      <c r="C533" s="21"/>
    </row>
    <row r="534" spans="2:6" s="73" customFormat="1" ht="30" hidden="1" outlineLevel="1" x14ac:dyDescent="0.25">
      <c r="B534" s="73" t="s">
        <v>160</v>
      </c>
      <c r="C534" s="95" t="s">
        <v>159</v>
      </c>
      <c r="D534" s="73" t="s">
        <v>158</v>
      </c>
      <c r="E534" s="73" t="s">
        <v>204</v>
      </c>
      <c r="F534" s="73" t="s">
        <v>159</v>
      </c>
    </row>
    <row r="535" spans="2:6" s="20" customFormat="1" hidden="1" outlineLevel="1" x14ac:dyDescent="0.25">
      <c r="B535" s="20" t="s">
        <v>1179</v>
      </c>
      <c r="C535" s="25">
        <v>1</v>
      </c>
      <c r="D535" s="44">
        <v>5.2631578947368425</v>
      </c>
      <c r="E535" s="44">
        <v>3.2490000000000002E-3</v>
      </c>
      <c r="F535" s="20" t="s">
        <v>189</v>
      </c>
    </row>
    <row r="536" spans="2:6" s="20" customFormat="1" hidden="1" outlineLevel="1" x14ac:dyDescent="0.25">
      <c r="B536" s="20" t="s">
        <v>1209</v>
      </c>
      <c r="C536" s="25">
        <v>1</v>
      </c>
      <c r="D536" s="44">
        <v>5.2631578947368425</v>
      </c>
      <c r="E536" s="44">
        <v>3.2490000000000002E-3</v>
      </c>
      <c r="F536" s="20" t="s">
        <v>189</v>
      </c>
    </row>
    <row r="537" spans="2:6" s="20" customFormat="1" hidden="1" outlineLevel="1" x14ac:dyDescent="0.25">
      <c r="B537" s="20" t="s">
        <v>1197</v>
      </c>
      <c r="C537" s="25">
        <v>1</v>
      </c>
      <c r="D537" s="44">
        <v>5.2631578947368425</v>
      </c>
      <c r="E537" s="44">
        <v>3.2490000000000002E-3</v>
      </c>
      <c r="F537" s="20" t="s">
        <v>189</v>
      </c>
    </row>
    <row r="538" spans="2:6" s="20" customFormat="1" hidden="1" outlineLevel="1" x14ac:dyDescent="0.25">
      <c r="B538" s="20" t="s">
        <v>189</v>
      </c>
      <c r="C538" s="25">
        <v>1</v>
      </c>
      <c r="D538" s="44">
        <v>5.2631578947368425</v>
      </c>
      <c r="E538" s="44">
        <v>3.2490000000000002E-3</v>
      </c>
      <c r="F538" s="20" t="s">
        <v>189</v>
      </c>
    </row>
    <row r="539" spans="2:6" s="20" customFormat="1" hidden="1" outlineLevel="1" x14ac:dyDescent="0.25">
      <c r="B539" s="20" t="s">
        <v>1180</v>
      </c>
      <c r="C539" s="25">
        <v>1</v>
      </c>
      <c r="D539" s="44">
        <v>5.2631578947368425</v>
      </c>
      <c r="E539" s="44">
        <v>3.2490000000000002E-3</v>
      </c>
      <c r="F539" s="20" t="s">
        <v>189</v>
      </c>
    </row>
    <row r="540" spans="2:6" s="20" customFormat="1" hidden="1" outlineLevel="1" x14ac:dyDescent="0.25">
      <c r="B540" s="20" t="s">
        <v>190</v>
      </c>
      <c r="C540" s="25">
        <v>1</v>
      </c>
      <c r="D540" s="44">
        <v>5.2631578947368425</v>
      </c>
      <c r="E540" s="44">
        <v>3.2490000000000002E-3</v>
      </c>
      <c r="F540" s="20" t="s">
        <v>189</v>
      </c>
    </row>
    <row r="541" spans="2:6" s="20" customFormat="1" hidden="1" outlineLevel="1" x14ac:dyDescent="0.25">
      <c r="B541" s="20" t="s">
        <v>191</v>
      </c>
      <c r="C541" s="25">
        <v>2</v>
      </c>
      <c r="D541" s="44">
        <v>3.4482758620689657</v>
      </c>
      <c r="E541" s="44">
        <v>4.6689999999999995E-3</v>
      </c>
      <c r="F541" s="20" t="s">
        <v>206</v>
      </c>
    </row>
    <row r="542" spans="2:6" s="20" customFormat="1" hidden="1" outlineLevel="1" x14ac:dyDescent="0.25">
      <c r="B542" s="20" t="s">
        <v>192</v>
      </c>
      <c r="C542" s="25">
        <v>2</v>
      </c>
      <c r="D542" s="44">
        <v>3.4482758620689657</v>
      </c>
      <c r="E542" s="44">
        <v>4.6689999999999995E-3</v>
      </c>
      <c r="F542" s="20" t="s">
        <v>206</v>
      </c>
    </row>
    <row r="543" spans="2:6" s="20" customFormat="1" hidden="1" outlineLevel="1" x14ac:dyDescent="0.25">
      <c r="B543" s="20" t="s">
        <v>193</v>
      </c>
      <c r="C543" s="25">
        <v>2</v>
      </c>
      <c r="D543" s="44">
        <v>3.4482758620689657</v>
      </c>
      <c r="E543" s="44">
        <v>4.6689999999999995E-3</v>
      </c>
      <c r="F543" s="20" t="s">
        <v>206</v>
      </c>
    </row>
    <row r="544" spans="2:6" s="20" customFormat="1" hidden="1" outlineLevel="1" x14ac:dyDescent="0.25">
      <c r="B544" s="20" t="s">
        <v>194</v>
      </c>
      <c r="C544" s="25">
        <v>3</v>
      </c>
      <c r="D544" s="44">
        <v>3.4482758620689657</v>
      </c>
      <c r="E544" s="44">
        <v>7.7140000000000012E-3</v>
      </c>
      <c r="F544" s="20" t="s">
        <v>195</v>
      </c>
    </row>
    <row r="545" spans="2:6" s="20" customFormat="1" hidden="1" outlineLevel="1" x14ac:dyDescent="0.25">
      <c r="B545" s="20" t="s">
        <v>195</v>
      </c>
      <c r="C545" s="25">
        <v>3</v>
      </c>
      <c r="D545" s="44">
        <v>3.4482758620689657</v>
      </c>
      <c r="E545" s="44">
        <v>7.7140000000000012E-3</v>
      </c>
      <c r="F545" s="20" t="s">
        <v>195</v>
      </c>
    </row>
    <row r="546" spans="2:6" s="20" customFormat="1" hidden="1" outlineLevel="1" x14ac:dyDescent="0.25">
      <c r="C546" s="21"/>
    </row>
    <row r="547" spans="2:6" s="20" customFormat="1" hidden="1" outlineLevel="1" x14ac:dyDescent="0.25">
      <c r="B547" s="20" t="s">
        <v>727</v>
      </c>
      <c r="C547" s="21" t="e">
        <f>VLOOKUP(C293,B535:D545,3,0)</f>
        <v>#N/A</v>
      </c>
      <c r="D547" s="20" t="s">
        <v>667</v>
      </c>
    </row>
    <row r="548" spans="2:6" s="20" customFormat="1" hidden="1" outlineLevel="1" x14ac:dyDescent="0.25">
      <c r="B548" s="20" t="s">
        <v>157</v>
      </c>
      <c r="C548" s="21" t="e">
        <f>C547*C532</f>
        <v>#N/A</v>
      </c>
      <c r="D548" s="20" t="s">
        <v>644</v>
      </c>
    </row>
    <row r="549" spans="2:6" s="20" customFormat="1" hidden="1" outlineLevel="1" x14ac:dyDescent="0.25">
      <c r="C549" s="21"/>
    </row>
    <row r="550" spans="2:6" s="20" customFormat="1" hidden="1" outlineLevel="1" x14ac:dyDescent="0.25">
      <c r="B550" s="20" t="s">
        <v>729</v>
      </c>
      <c r="C550" s="23">
        <v>4</v>
      </c>
      <c r="D550" s="20" t="s">
        <v>64</v>
      </c>
    </row>
    <row r="551" spans="2:6" s="20" customFormat="1" hidden="1" outlineLevel="1" x14ac:dyDescent="0.25">
      <c r="B551" s="20" t="s">
        <v>664</v>
      </c>
      <c r="C551" s="23">
        <v>12</v>
      </c>
      <c r="D551" s="20" t="s">
        <v>53</v>
      </c>
    </row>
    <row r="552" spans="2:6" s="20" customFormat="1" hidden="1" outlineLevel="1" x14ac:dyDescent="0.25">
      <c r="B552" s="20" t="s">
        <v>728</v>
      </c>
      <c r="C552" s="21">
        <f>C532/C551*C550</f>
        <v>0</v>
      </c>
      <c r="D552" s="20" t="s">
        <v>64</v>
      </c>
    </row>
    <row r="553" spans="2:6" s="20" customFormat="1" hidden="1" outlineLevel="1" x14ac:dyDescent="0.25">
      <c r="C553" s="21"/>
    </row>
    <row r="554" spans="2:6" s="20" customFormat="1" hidden="1" outlineLevel="1" x14ac:dyDescent="0.25">
      <c r="B554" s="20" t="s">
        <v>156</v>
      </c>
      <c r="C554" s="44" t="e">
        <f>VLOOKUP(C293,B535:E545,4,0)</f>
        <v>#N/A</v>
      </c>
      <c r="D554" s="20" t="s">
        <v>32</v>
      </c>
    </row>
    <row r="555" spans="2:6" s="20" customFormat="1" hidden="1" outlineLevel="1" x14ac:dyDescent="0.25">
      <c r="B555" s="20" t="s">
        <v>155</v>
      </c>
      <c r="C555" s="21" t="e">
        <f>C554*C548</f>
        <v>#N/A</v>
      </c>
      <c r="D555" s="20" t="s">
        <v>32</v>
      </c>
    </row>
    <row r="556" spans="2:6" s="20" customFormat="1" hidden="1" outlineLevel="1" x14ac:dyDescent="0.25">
      <c r="C556" s="21"/>
    </row>
    <row r="557" spans="2:6" s="20" customFormat="1" ht="30" hidden="1" outlineLevel="1" x14ac:dyDescent="0.25">
      <c r="B557" s="72" t="s">
        <v>45</v>
      </c>
      <c r="C557" s="86" t="s">
        <v>41</v>
      </c>
      <c r="D557" s="86" t="s">
        <v>40</v>
      </c>
      <c r="E557" s="86" t="s">
        <v>39</v>
      </c>
      <c r="F557" s="86" t="s">
        <v>38</v>
      </c>
    </row>
    <row r="558" spans="2:6" s="20" customFormat="1" hidden="1" outlineLevel="1" x14ac:dyDescent="0.25">
      <c r="B558" s="30" t="s">
        <v>1183</v>
      </c>
      <c r="C558" s="21">
        <v>4.5999999999999996</v>
      </c>
      <c r="D558" s="21">
        <v>0.62265036674816632</v>
      </c>
      <c r="E558" s="21">
        <v>0.80999999999999994</v>
      </c>
      <c r="F558" s="20">
        <v>202</v>
      </c>
    </row>
    <row r="559" spans="2:6" hidden="1" outlineLevel="1" x14ac:dyDescent="0.25"/>
    <row r="560" spans="2:6" collapsed="1" x14ac:dyDescent="0.25">
      <c r="B560" s="27" t="s">
        <v>5</v>
      </c>
      <c r="C560" s="28" t="s">
        <v>46</v>
      </c>
      <c r="D560" s="28" t="s">
        <v>6</v>
      </c>
    </row>
    <row r="561" spans="1:8" x14ac:dyDescent="0.25">
      <c r="B561" s="88" t="str">
        <f>IF(C291="","","Canaleta cerâmica, "&amp;VLOOKUP(C293,B535:F545,5,0))</f>
        <v/>
      </c>
      <c r="C561" s="91" t="s">
        <v>50</v>
      </c>
      <c r="D561" s="87">
        <f>IFERROR(C548,0)</f>
        <v>0</v>
      </c>
    </row>
    <row r="562" spans="1:8" x14ac:dyDescent="0.25">
      <c r="B562" s="88" t="s">
        <v>70</v>
      </c>
      <c r="C562" s="91" t="s">
        <v>642</v>
      </c>
      <c r="D562" s="87">
        <f>C552</f>
        <v>0</v>
      </c>
    </row>
    <row r="563" spans="1:8" x14ac:dyDescent="0.25">
      <c r="B563" s="88" t="s">
        <v>36</v>
      </c>
      <c r="C563" s="91" t="s">
        <v>35</v>
      </c>
      <c r="D563" s="87">
        <f>IFERROR(C558*C555,0)</f>
        <v>0</v>
      </c>
    </row>
    <row r="564" spans="1:8" ht="17.25" x14ac:dyDescent="0.25">
      <c r="B564" s="88" t="s">
        <v>34</v>
      </c>
      <c r="C564" s="91" t="s">
        <v>80</v>
      </c>
      <c r="D564" s="87">
        <f>IFERROR(D558*C555,0)</f>
        <v>0</v>
      </c>
    </row>
    <row r="565" spans="1:8" ht="17.25" x14ac:dyDescent="0.25">
      <c r="B565" s="88" t="s">
        <v>33</v>
      </c>
      <c r="C565" s="91" t="s">
        <v>80</v>
      </c>
      <c r="D565" s="87">
        <f>IFERROR(E558*C555,0)</f>
        <v>0</v>
      </c>
    </row>
    <row r="568" spans="1:8" s="5" customFormat="1" ht="18.75" x14ac:dyDescent="0.3">
      <c r="A568" s="7"/>
      <c r="B568" s="132" t="s">
        <v>583</v>
      </c>
      <c r="C568" s="132"/>
      <c r="D568" s="132"/>
      <c r="E568" s="7"/>
      <c r="F568" s="7"/>
      <c r="H568" s="22"/>
    </row>
    <row r="569" spans="1:8" s="5" customFormat="1" x14ac:dyDescent="0.25">
      <c r="A569" s="7"/>
      <c r="B569" s="7"/>
      <c r="C569" s="7"/>
      <c r="D569" s="7"/>
      <c r="E569" s="7"/>
      <c r="F569" s="7"/>
      <c r="H569" s="22"/>
    </row>
    <row r="570" spans="1:8" x14ac:dyDescent="0.25">
      <c r="B570" s="9" t="s">
        <v>2</v>
      </c>
    </row>
    <row r="572" spans="1:8" x14ac:dyDescent="0.25">
      <c r="B572" s="7" t="s">
        <v>286</v>
      </c>
      <c r="C572" s="29"/>
    </row>
    <row r="573" spans="1:8" x14ac:dyDescent="0.25">
      <c r="B573" s="7" t="s">
        <v>291</v>
      </c>
      <c r="C573" s="29"/>
      <c r="D573" s="7" t="s">
        <v>1194</v>
      </c>
    </row>
    <row r="574" spans="1:8" x14ac:dyDescent="0.25">
      <c r="B574" s="7" t="s">
        <v>287</v>
      </c>
      <c r="C574" s="29"/>
    </row>
    <row r="576" spans="1:8" s="20" customFormat="1" hidden="1" outlineLevel="1" x14ac:dyDescent="0.25">
      <c r="B576" s="19" t="s">
        <v>602</v>
      </c>
    </row>
    <row r="577" spans="2:4" s="20" customFormat="1" hidden="1" outlineLevel="1" x14ac:dyDescent="0.25"/>
    <row r="578" spans="2:4" s="20" customFormat="1" hidden="1" outlineLevel="1" x14ac:dyDescent="0.25">
      <c r="B578" s="20" t="s">
        <v>761</v>
      </c>
      <c r="C578" s="33">
        <v>0.5</v>
      </c>
      <c r="D578" s="20" t="s">
        <v>56</v>
      </c>
    </row>
    <row r="579" spans="2:4" s="20" customFormat="1" hidden="1" outlineLevel="1" x14ac:dyDescent="0.25">
      <c r="C579" s="38"/>
    </row>
    <row r="580" spans="2:4" s="20" customFormat="1" hidden="1" outlineLevel="1" x14ac:dyDescent="0.25">
      <c r="B580" s="20" t="s">
        <v>817</v>
      </c>
      <c r="C580" s="21">
        <f>C291*C292</f>
        <v>0</v>
      </c>
      <c r="D580" s="20" t="s">
        <v>643</v>
      </c>
    </row>
    <row r="581" spans="2:4" s="20" customFormat="1" hidden="1" outlineLevel="1" x14ac:dyDescent="0.25">
      <c r="B581" s="20" t="s">
        <v>481</v>
      </c>
      <c r="C581" s="21">
        <f>SUM($F$307:$F$313)</f>
        <v>0</v>
      </c>
      <c r="D581" s="20" t="s">
        <v>643</v>
      </c>
    </row>
    <row r="582" spans="2:4" s="20" customFormat="1" hidden="1" outlineLevel="1" x14ac:dyDescent="0.25">
      <c r="B582" s="20" t="s">
        <v>480</v>
      </c>
      <c r="C582" s="21">
        <f>SUM($G$316:$G$324)</f>
        <v>0</v>
      </c>
      <c r="D582" s="20" t="s">
        <v>643</v>
      </c>
    </row>
    <row r="583" spans="2:4" s="20" customFormat="1" hidden="1" outlineLevel="1" x14ac:dyDescent="0.25">
      <c r="B583" s="20" t="s">
        <v>818</v>
      </c>
      <c r="C583" s="21">
        <f>C580-C581-C582</f>
        <v>0</v>
      </c>
      <c r="D583" s="20" t="s">
        <v>643</v>
      </c>
    </row>
    <row r="584" spans="2:4" s="20" customFormat="1" hidden="1" outlineLevel="1" x14ac:dyDescent="0.25">
      <c r="B584" s="20" t="s">
        <v>825</v>
      </c>
      <c r="C584" s="21">
        <f>C583*2</f>
        <v>0</v>
      </c>
      <c r="D584" s="20" t="s">
        <v>643</v>
      </c>
    </row>
    <row r="585" spans="2:4" s="20" customFormat="1" hidden="1" outlineLevel="1" x14ac:dyDescent="0.25">
      <c r="B585" s="20" t="s">
        <v>826</v>
      </c>
      <c r="C585" s="21">
        <f>C584*(1+'LEIA-ME'!$D$31)</f>
        <v>0</v>
      </c>
      <c r="D585" s="20" t="s">
        <v>643</v>
      </c>
    </row>
    <row r="586" spans="2:4" s="20" customFormat="1" hidden="1" outlineLevel="1" x14ac:dyDescent="0.25">
      <c r="B586" s="20" t="s">
        <v>759</v>
      </c>
      <c r="C586" s="21">
        <f>C585*(C578/100)</f>
        <v>0</v>
      </c>
      <c r="D586" s="20" t="s">
        <v>32</v>
      </c>
    </row>
    <row r="587" spans="2:4" s="20" customFormat="1" hidden="1" outlineLevel="1" x14ac:dyDescent="0.25">
      <c r="C587" s="38"/>
    </row>
    <row r="588" spans="2:4" s="20" customFormat="1" hidden="1" outlineLevel="1" x14ac:dyDescent="0.25">
      <c r="B588" s="19" t="s">
        <v>293</v>
      </c>
      <c r="C588" s="38"/>
    </row>
    <row r="589" spans="2:4" s="20" customFormat="1" hidden="1" outlineLevel="1" x14ac:dyDescent="0.25">
      <c r="B589" s="19"/>
      <c r="C589" s="38"/>
    </row>
    <row r="590" spans="2:4" s="20" customFormat="1" hidden="1" outlineLevel="1" x14ac:dyDescent="0.25">
      <c r="B590" s="20" t="s">
        <v>767</v>
      </c>
      <c r="C590" s="33">
        <v>10</v>
      </c>
      <c r="D590" s="20" t="s">
        <v>832</v>
      </c>
    </row>
    <row r="591" spans="2:4" s="20" customFormat="1" hidden="1" outlineLevel="1" x14ac:dyDescent="0.25">
      <c r="B591" s="20" t="s">
        <v>295</v>
      </c>
      <c r="C591" s="37">
        <f>C578/1</f>
        <v>0.5</v>
      </c>
    </row>
    <row r="592" spans="2:4" s="20" customFormat="1" hidden="1" outlineLevel="1" x14ac:dyDescent="0.25">
      <c r="B592" s="20" t="s">
        <v>294</v>
      </c>
      <c r="C592" s="25">
        <f>C590*C585*C591</f>
        <v>0</v>
      </c>
      <c r="D592" s="20" t="s">
        <v>49</v>
      </c>
    </row>
    <row r="593" spans="2:6" s="20" customFormat="1" hidden="1" outlineLevel="1" x14ac:dyDescent="0.25">
      <c r="B593" s="20" t="s">
        <v>760</v>
      </c>
      <c r="C593" s="23">
        <v>20</v>
      </c>
      <c r="D593" s="20" t="s">
        <v>49</v>
      </c>
    </row>
    <row r="594" spans="2:6" s="20" customFormat="1" hidden="1" outlineLevel="1" x14ac:dyDescent="0.25">
      <c r="B594" s="20" t="s">
        <v>296</v>
      </c>
      <c r="C594" s="37">
        <f>C592/C593</f>
        <v>0</v>
      </c>
      <c r="D594" s="20" t="s">
        <v>764</v>
      </c>
    </row>
    <row r="595" spans="2:6" s="20" customFormat="1" hidden="1" outlineLevel="1" x14ac:dyDescent="0.25"/>
    <row r="596" spans="2:6" s="20" customFormat="1" hidden="1" outlineLevel="1" x14ac:dyDescent="0.25">
      <c r="B596" s="19" t="s">
        <v>288</v>
      </c>
    </row>
    <row r="597" spans="2:6" s="20" customFormat="1" hidden="1" outlineLevel="1" x14ac:dyDescent="0.25"/>
    <row r="598" spans="2:6" s="20" customFormat="1" hidden="1" outlineLevel="1" x14ac:dyDescent="0.25">
      <c r="C598" s="133" t="s">
        <v>168</v>
      </c>
      <c r="D598" s="133"/>
      <c r="E598" s="51"/>
      <c r="F598" s="51"/>
    </row>
    <row r="599" spans="2:6" s="20" customFormat="1" hidden="1" outlineLevel="1" x14ac:dyDescent="0.25">
      <c r="B599" s="19" t="s">
        <v>42</v>
      </c>
      <c r="C599" s="19" t="s">
        <v>41</v>
      </c>
      <c r="D599" s="19" t="s">
        <v>40</v>
      </c>
      <c r="E599" s="52"/>
      <c r="F599" s="52"/>
    </row>
    <row r="600" spans="2:6" s="20" customFormat="1" hidden="1" outlineLevel="1" x14ac:dyDescent="0.25">
      <c r="B600" s="30" t="s">
        <v>1188</v>
      </c>
      <c r="C600" s="40">
        <v>4.2</v>
      </c>
      <c r="D600" s="40">
        <v>1.2</v>
      </c>
      <c r="E600" s="20" t="s">
        <v>284</v>
      </c>
    </row>
    <row r="601" spans="2:6" s="20" customFormat="1" hidden="1" outlineLevel="1" x14ac:dyDescent="0.25">
      <c r="B601" s="30" t="s">
        <v>1185</v>
      </c>
      <c r="C601" s="40">
        <v>10</v>
      </c>
      <c r="D601" s="40">
        <v>1.08</v>
      </c>
    </row>
    <row r="602" spans="2:6" s="20" customFormat="1" hidden="1" outlineLevel="1" x14ac:dyDescent="0.25">
      <c r="B602" s="30" t="s">
        <v>1187</v>
      </c>
      <c r="C602" s="40">
        <v>7.4</v>
      </c>
      <c r="D602" s="40">
        <v>1.1000000000000001</v>
      </c>
      <c r="E602" s="21"/>
      <c r="F602" s="25"/>
    </row>
    <row r="603" spans="2:6" s="20" customFormat="1" hidden="1" outlineLevel="1" x14ac:dyDescent="0.25"/>
    <row r="604" spans="2:6" s="20" customFormat="1" hidden="1" outlineLevel="1" x14ac:dyDescent="0.25">
      <c r="C604" s="133" t="s">
        <v>43</v>
      </c>
      <c r="D604" s="133"/>
      <c r="E604" s="51"/>
      <c r="F604" s="51"/>
    </row>
    <row r="605" spans="2:6" s="20" customFormat="1" hidden="1" outlineLevel="1" x14ac:dyDescent="0.25">
      <c r="B605" s="19" t="s">
        <v>42</v>
      </c>
      <c r="C605" s="19" t="s">
        <v>41</v>
      </c>
      <c r="D605" s="19" t="s">
        <v>40</v>
      </c>
      <c r="E605" s="52"/>
      <c r="F605" s="52"/>
    </row>
    <row r="606" spans="2:6" s="20" customFormat="1" hidden="1" outlineLevel="1" x14ac:dyDescent="0.25">
      <c r="B606" s="30" t="str">
        <f>B600</f>
        <v>1 : 0 : 2,5</v>
      </c>
      <c r="C606" s="44">
        <f>C600*$C$586</f>
        <v>0</v>
      </c>
      <c r="D606" s="44">
        <f>D600*$C$586</f>
        <v>0</v>
      </c>
      <c r="E606" s="20" t="s">
        <v>37</v>
      </c>
      <c r="F606" s="25"/>
    </row>
    <row r="607" spans="2:6" s="20" customFormat="1" hidden="1" outlineLevel="1" x14ac:dyDescent="0.25">
      <c r="B607" s="30" t="str">
        <f t="shared" ref="B607:B608" si="28">B601</f>
        <v>1 : 0 : 6</v>
      </c>
      <c r="C607" s="44">
        <f t="shared" ref="C607:D607" si="29">C601*$C$586</f>
        <v>0</v>
      </c>
      <c r="D607" s="44">
        <f t="shared" si="29"/>
        <v>0</v>
      </c>
      <c r="F607" s="25"/>
    </row>
    <row r="608" spans="2:6" s="20" customFormat="1" hidden="1" outlineLevel="1" x14ac:dyDescent="0.25">
      <c r="B608" s="30" t="str">
        <f t="shared" si="28"/>
        <v>1 : 0 : 8</v>
      </c>
      <c r="C608" s="44">
        <f t="shared" ref="C608:D608" si="30">C602*$C$586</f>
        <v>0</v>
      </c>
      <c r="D608" s="44">
        <f t="shared" si="30"/>
        <v>0</v>
      </c>
      <c r="E608" s="21"/>
      <c r="F608" s="25"/>
    </row>
    <row r="609" spans="2:6" s="20" customFormat="1" hidden="1" outlineLevel="1" x14ac:dyDescent="0.25"/>
    <row r="610" spans="2:6" s="20" customFormat="1" hidden="1" outlineLevel="1" x14ac:dyDescent="0.25">
      <c r="B610" s="19" t="s">
        <v>289</v>
      </c>
    </row>
    <row r="611" spans="2:6" s="20" customFormat="1" hidden="1" outlineLevel="1" x14ac:dyDescent="0.25"/>
    <row r="612" spans="2:6" s="20" customFormat="1" hidden="1" outlineLevel="1" x14ac:dyDescent="0.25">
      <c r="C612" s="133" t="s">
        <v>1195</v>
      </c>
      <c r="D612" s="133"/>
      <c r="E612" s="133"/>
      <c r="F612" s="133"/>
    </row>
    <row r="613" spans="2:6" s="73" customFormat="1" hidden="1" outlineLevel="1" x14ac:dyDescent="0.25">
      <c r="B613" s="72" t="s">
        <v>42</v>
      </c>
      <c r="C613" s="86" t="s">
        <v>41</v>
      </c>
      <c r="D613" s="86" t="s">
        <v>283</v>
      </c>
      <c r="E613" s="86" t="s">
        <v>40</v>
      </c>
      <c r="F613" s="72"/>
    </row>
    <row r="614" spans="2:6" s="20" customFormat="1" hidden="1" outlineLevel="1" x14ac:dyDescent="0.25">
      <c r="B614" s="30" t="s">
        <v>1188</v>
      </c>
      <c r="C614" s="40">
        <v>4.0999999999999996</v>
      </c>
      <c r="D614" s="40">
        <v>0.45</v>
      </c>
      <c r="E614" s="40">
        <v>1.2</v>
      </c>
      <c r="F614" s="20" t="s">
        <v>167</v>
      </c>
    </row>
    <row r="615" spans="2:6" s="20" customFormat="1" hidden="1" outlineLevel="1" x14ac:dyDescent="0.25">
      <c r="B615" s="30" t="s">
        <v>1185</v>
      </c>
      <c r="C615" s="40">
        <v>9.8000000000000007</v>
      </c>
      <c r="D615" s="40">
        <v>0.45</v>
      </c>
      <c r="E615" s="40">
        <v>1.1000000000000001</v>
      </c>
    </row>
    <row r="616" spans="2:6" s="20" customFormat="1" hidden="1" outlineLevel="1" x14ac:dyDescent="0.25">
      <c r="B616" s="30" t="s">
        <v>1187</v>
      </c>
      <c r="C616" s="40">
        <v>7.4</v>
      </c>
      <c r="D616" s="40">
        <v>0.45</v>
      </c>
      <c r="E616" s="40">
        <v>1.1000000000000001</v>
      </c>
    </row>
    <row r="617" spans="2:6" s="20" customFormat="1" hidden="1" outlineLevel="1" x14ac:dyDescent="0.25"/>
    <row r="618" spans="2:6" s="20" customFormat="1" hidden="1" outlineLevel="1" x14ac:dyDescent="0.25">
      <c r="C618" s="133" t="s">
        <v>43</v>
      </c>
      <c r="D618" s="133"/>
      <c r="E618" s="133"/>
      <c r="F618" s="133"/>
    </row>
    <row r="619" spans="2:6" s="73" customFormat="1" hidden="1" outlineLevel="1" x14ac:dyDescent="0.25">
      <c r="B619" s="19" t="s">
        <v>42</v>
      </c>
      <c r="C619" s="86" t="s">
        <v>41</v>
      </c>
      <c r="D619" s="86" t="s">
        <v>283</v>
      </c>
      <c r="E619" s="86" t="s">
        <v>40</v>
      </c>
      <c r="F619" s="72"/>
    </row>
    <row r="620" spans="2:6" s="20" customFormat="1" hidden="1" outlineLevel="1" x14ac:dyDescent="0.25">
      <c r="B620" s="30" t="str">
        <f>B614</f>
        <v>1 : 0 : 2,5</v>
      </c>
      <c r="C620" s="44">
        <f>C614*$C$586</f>
        <v>0</v>
      </c>
      <c r="D620" s="44">
        <f>D614*$C$585</f>
        <v>0</v>
      </c>
      <c r="E620" s="44">
        <f>E614*$C$586</f>
        <v>0</v>
      </c>
      <c r="F620" s="20" t="s">
        <v>37</v>
      </c>
    </row>
    <row r="621" spans="2:6" s="20" customFormat="1" hidden="1" outlineLevel="1" x14ac:dyDescent="0.25">
      <c r="B621" s="30" t="str">
        <f t="shared" ref="B621:B622" si="31">B615</f>
        <v>1 : 0 : 6</v>
      </c>
      <c r="C621" s="44">
        <f t="shared" ref="C621:C622" si="32">C615*$C$586</f>
        <v>0</v>
      </c>
      <c r="D621" s="44">
        <f t="shared" ref="D621:D622" si="33">D615*$C$585</f>
        <v>0</v>
      </c>
      <c r="E621" s="44">
        <f t="shared" ref="E621:E622" si="34">E615*$C$586</f>
        <v>0</v>
      </c>
    </row>
    <row r="622" spans="2:6" s="20" customFormat="1" hidden="1" outlineLevel="1" x14ac:dyDescent="0.25">
      <c r="B622" s="30" t="str">
        <f t="shared" si="31"/>
        <v>1 : 0 : 8</v>
      </c>
      <c r="C622" s="44">
        <f t="shared" si="32"/>
        <v>0</v>
      </c>
      <c r="D622" s="44">
        <f t="shared" si="33"/>
        <v>0</v>
      </c>
      <c r="E622" s="44">
        <f t="shared" si="34"/>
        <v>0</v>
      </c>
    </row>
    <row r="623" spans="2:6" collapsed="1" x14ac:dyDescent="0.25"/>
    <row r="624" spans="2:6" x14ac:dyDescent="0.25">
      <c r="B624" s="27" t="s">
        <v>5</v>
      </c>
      <c r="C624" s="28" t="s">
        <v>46</v>
      </c>
      <c r="D624" s="28" t="s">
        <v>6</v>
      </c>
    </row>
    <row r="625" spans="1:8" x14ac:dyDescent="0.25">
      <c r="B625" s="88" t="s">
        <v>285</v>
      </c>
      <c r="C625" s="91" t="s">
        <v>290</v>
      </c>
      <c r="D625" s="87">
        <f>IF(C572="Pronta",C594,0)</f>
        <v>0</v>
      </c>
    </row>
    <row r="626" spans="1:8" x14ac:dyDescent="0.25">
      <c r="B626" s="88" t="s">
        <v>165</v>
      </c>
      <c r="C626" s="91" t="s">
        <v>35</v>
      </c>
      <c r="D626" s="87">
        <f>IFERROR(IF(C572="Pronta",0,IF(C574="Não",VLOOKUP($C$573,$B$605:$D$608,2,0),VLOOKUP($C$573,$B$619:$E$622,2,0))),0)</f>
        <v>0</v>
      </c>
    </row>
    <row r="627" spans="1:8" ht="17.25" x14ac:dyDescent="0.25">
      <c r="B627" s="88" t="s">
        <v>34</v>
      </c>
      <c r="C627" s="91" t="s">
        <v>80</v>
      </c>
      <c r="D627" s="87">
        <f>IFERROR(IF(C572="Pronta",0,IF(C574="Não",VLOOKUP($C$573,$B$605:$D$608,3,0),VLOOKUP($C$573,$B$619:$E$622,4,0))),0)</f>
        <v>0</v>
      </c>
    </row>
    <row r="628" spans="1:8" x14ac:dyDescent="0.25">
      <c r="B628" s="88" t="s">
        <v>281</v>
      </c>
      <c r="C628" s="91" t="s">
        <v>79</v>
      </c>
      <c r="D628" s="87">
        <f>IF(C572="Pronta",0,IF(C574="Sim",VLOOKUP($C$573,$B$619:$E$622,3,0),0))</f>
        <v>0</v>
      </c>
    </row>
    <row r="631" spans="1:8" s="5" customFormat="1" ht="18.75" x14ac:dyDescent="0.3">
      <c r="A631" s="7"/>
      <c r="B631" s="132" t="s">
        <v>584</v>
      </c>
      <c r="C631" s="132"/>
      <c r="D631" s="132"/>
      <c r="E631" s="7"/>
      <c r="F631" s="7"/>
      <c r="H631" s="22"/>
    </row>
    <row r="632" spans="1:8" s="5" customFormat="1" x14ac:dyDescent="0.25">
      <c r="A632" s="7"/>
      <c r="B632" s="7"/>
      <c r="C632" s="7"/>
      <c r="D632" s="7"/>
      <c r="E632" s="7"/>
      <c r="F632" s="7"/>
      <c r="H632" s="22"/>
    </row>
    <row r="633" spans="1:8" x14ac:dyDescent="0.25">
      <c r="B633" s="9" t="s">
        <v>2</v>
      </c>
    </row>
    <row r="635" spans="1:8" x14ac:dyDescent="0.25">
      <c r="B635" s="7" t="s">
        <v>286</v>
      </c>
      <c r="C635" s="29"/>
    </row>
    <row r="636" spans="1:8" x14ac:dyDescent="0.25">
      <c r="B636" s="7" t="s">
        <v>291</v>
      </c>
      <c r="C636" s="29"/>
      <c r="D636" s="7" t="s">
        <v>1194</v>
      </c>
    </row>
    <row r="637" spans="1:8" x14ac:dyDescent="0.25">
      <c r="B637" s="7" t="s">
        <v>287</v>
      </c>
      <c r="C637" s="29"/>
    </row>
    <row r="639" spans="1:8" s="20" customFormat="1" hidden="1" outlineLevel="1" x14ac:dyDescent="0.25">
      <c r="B639" s="19" t="s">
        <v>603</v>
      </c>
    </row>
    <row r="640" spans="1:8" s="20" customFormat="1" hidden="1" outlineLevel="1" x14ac:dyDescent="0.25"/>
    <row r="641" spans="2:6" s="20" customFormat="1" hidden="1" outlineLevel="1" x14ac:dyDescent="0.25">
      <c r="B641" s="20" t="s">
        <v>762</v>
      </c>
      <c r="C641" s="33">
        <v>2.5</v>
      </c>
      <c r="D641" s="20" t="s">
        <v>56</v>
      </c>
    </row>
    <row r="642" spans="2:6" s="20" customFormat="1" hidden="1" outlineLevel="1" x14ac:dyDescent="0.25"/>
    <row r="643" spans="2:6" s="20" customFormat="1" hidden="1" outlineLevel="1" x14ac:dyDescent="0.25">
      <c r="B643" s="20" t="s">
        <v>810</v>
      </c>
      <c r="C643" s="21">
        <f>C585</f>
        <v>0</v>
      </c>
      <c r="D643" s="20" t="s">
        <v>643</v>
      </c>
    </row>
    <row r="644" spans="2:6" s="20" customFormat="1" hidden="1" outlineLevel="1" x14ac:dyDescent="0.25">
      <c r="B644" s="20" t="s">
        <v>763</v>
      </c>
      <c r="C644" s="21">
        <f>C643*C641/100</f>
        <v>0</v>
      </c>
      <c r="D644" s="20" t="s">
        <v>32</v>
      </c>
    </row>
    <row r="645" spans="2:6" s="20" customFormat="1" hidden="1" outlineLevel="1" x14ac:dyDescent="0.25"/>
    <row r="646" spans="2:6" s="20" customFormat="1" hidden="1" outlineLevel="1" x14ac:dyDescent="0.25">
      <c r="B646" s="19" t="s">
        <v>293</v>
      </c>
      <c r="C646" s="38"/>
    </row>
    <row r="647" spans="2:6" s="20" customFormat="1" hidden="1" outlineLevel="1" x14ac:dyDescent="0.25">
      <c r="B647" s="19"/>
      <c r="C647" s="38"/>
    </row>
    <row r="648" spans="2:6" s="20" customFormat="1" hidden="1" outlineLevel="1" x14ac:dyDescent="0.25">
      <c r="B648" s="20" t="s">
        <v>811</v>
      </c>
      <c r="C648" s="33">
        <v>10</v>
      </c>
      <c r="D648" s="20" t="s">
        <v>832</v>
      </c>
    </row>
    <row r="649" spans="2:6" s="20" customFormat="1" hidden="1" outlineLevel="1" x14ac:dyDescent="0.25">
      <c r="B649" s="20" t="s">
        <v>295</v>
      </c>
      <c r="C649" s="37">
        <f>C641/1</f>
        <v>2.5</v>
      </c>
    </row>
    <row r="650" spans="2:6" s="20" customFormat="1" hidden="1" outlineLevel="1" x14ac:dyDescent="0.25">
      <c r="B650" s="20" t="s">
        <v>294</v>
      </c>
      <c r="C650" s="25">
        <f>C648*C643*C649</f>
        <v>0</v>
      </c>
      <c r="D650" s="20" t="s">
        <v>49</v>
      </c>
    </row>
    <row r="651" spans="2:6" s="20" customFormat="1" hidden="1" outlineLevel="1" x14ac:dyDescent="0.25">
      <c r="B651" s="20" t="s">
        <v>760</v>
      </c>
      <c r="C651" s="23">
        <v>20</v>
      </c>
      <c r="D651" s="20" t="s">
        <v>49</v>
      </c>
    </row>
    <row r="652" spans="2:6" s="20" customFormat="1" hidden="1" outlineLevel="1" x14ac:dyDescent="0.25">
      <c r="B652" s="20" t="s">
        <v>296</v>
      </c>
      <c r="C652" s="37">
        <f>C650/C651</f>
        <v>0</v>
      </c>
      <c r="D652" s="20" t="s">
        <v>764</v>
      </c>
    </row>
    <row r="653" spans="2:6" s="20" customFormat="1" hidden="1" outlineLevel="1" x14ac:dyDescent="0.25"/>
    <row r="654" spans="2:6" s="20" customFormat="1" hidden="1" outlineLevel="1" x14ac:dyDescent="0.25">
      <c r="B654" s="19" t="s">
        <v>288</v>
      </c>
    </row>
    <row r="655" spans="2:6" s="20" customFormat="1" hidden="1" outlineLevel="1" x14ac:dyDescent="0.25"/>
    <row r="656" spans="2:6" s="20" customFormat="1" hidden="1" outlineLevel="1" x14ac:dyDescent="0.25">
      <c r="C656" s="133" t="s">
        <v>168</v>
      </c>
      <c r="D656" s="133"/>
      <c r="E656" s="133"/>
      <c r="F656" s="133"/>
    </row>
    <row r="657" spans="2:6" s="73" customFormat="1" hidden="1" outlineLevel="1" x14ac:dyDescent="0.25">
      <c r="B657" s="72" t="s">
        <v>42</v>
      </c>
      <c r="C657" s="86" t="s">
        <v>41</v>
      </c>
      <c r="D657" s="86" t="s">
        <v>170</v>
      </c>
      <c r="E657" s="86" t="s">
        <v>40</v>
      </c>
      <c r="F657" s="72"/>
    </row>
    <row r="658" spans="2:6" s="20" customFormat="1" hidden="1" outlineLevel="1" x14ac:dyDescent="0.25">
      <c r="B658" s="30" t="s">
        <v>1190</v>
      </c>
      <c r="C658" s="40">
        <v>6.4799999999999995</v>
      </c>
      <c r="D658" s="40">
        <v>7.6581818181818182</v>
      </c>
      <c r="E658" s="40">
        <v>1.08</v>
      </c>
      <c r="F658" s="20" t="s">
        <v>167</v>
      </c>
    </row>
    <row r="659" spans="2:6" s="20" customFormat="1" hidden="1" outlineLevel="1" x14ac:dyDescent="0.25">
      <c r="B659" s="30" t="s">
        <v>1172</v>
      </c>
      <c r="C659" s="40">
        <v>3.65</v>
      </c>
      <c r="D659" s="40">
        <v>9</v>
      </c>
      <c r="E659" s="40">
        <v>1.4</v>
      </c>
    </row>
    <row r="660" spans="2:6" s="20" customFormat="1" hidden="1" outlineLevel="1" x14ac:dyDescent="0.25">
      <c r="B660" s="30" t="s">
        <v>1178</v>
      </c>
      <c r="C660" s="40">
        <v>3.3</v>
      </c>
      <c r="D660" s="40">
        <v>7.8</v>
      </c>
      <c r="E660" s="40">
        <v>1.1000000000000001</v>
      </c>
    </row>
    <row r="661" spans="2:6" s="20" customFormat="1" hidden="1" outlineLevel="1" x14ac:dyDescent="0.25">
      <c r="B661" s="30" t="s">
        <v>1174</v>
      </c>
      <c r="C661" s="40">
        <v>4.9000000000000004</v>
      </c>
      <c r="D661" s="40">
        <v>2.9</v>
      </c>
      <c r="E661" s="40">
        <v>1.1000000000000001</v>
      </c>
    </row>
    <row r="662" spans="2:6" s="20" customFormat="1" hidden="1" outlineLevel="1" x14ac:dyDescent="0.25"/>
    <row r="663" spans="2:6" s="20" customFormat="1" hidden="1" outlineLevel="1" x14ac:dyDescent="0.25">
      <c r="C663" s="133" t="s">
        <v>43</v>
      </c>
      <c r="D663" s="133"/>
      <c r="E663" s="133"/>
      <c r="F663" s="133"/>
    </row>
    <row r="664" spans="2:6" s="73" customFormat="1" hidden="1" outlineLevel="1" x14ac:dyDescent="0.25">
      <c r="B664" s="72" t="s">
        <v>42</v>
      </c>
      <c r="C664" s="86" t="s">
        <v>41</v>
      </c>
      <c r="D664" s="86" t="s">
        <v>170</v>
      </c>
      <c r="E664" s="86" t="s">
        <v>40</v>
      </c>
      <c r="F664" s="72"/>
    </row>
    <row r="665" spans="2:6" s="20" customFormat="1" hidden="1" outlineLevel="1" x14ac:dyDescent="0.25">
      <c r="B665" s="30" t="str">
        <f>B658</f>
        <v>1 : 2 : 6</v>
      </c>
      <c r="C665" s="44">
        <f>C658*$C$644</f>
        <v>0</v>
      </c>
      <c r="D665" s="44">
        <f>D658*$C$644</f>
        <v>0</v>
      </c>
      <c r="E665" s="44">
        <f>E658*$C$644</f>
        <v>0</v>
      </c>
      <c r="F665" s="20" t="s">
        <v>37</v>
      </c>
    </row>
    <row r="666" spans="2:6" s="20" customFormat="1" hidden="1" outlineLevel="1" x14ac:dyDescent="0.25">
      <c r="B666" s="30" t="str">
        <f t="shared" ref="B666:B668" si="35">B659</f>
        <v>1 : 4 : 16</v>
      </c>
      <c r="C666" s="44">
        <f t="shared" ref="C666:E666" si="36">C659*$C$644</f>
        <v>0</v>
      </c>
      <c r="D666" s="44">
        <f t="shared" si="36"/>
        <v>0</v>
      </c>
      <c r="E666" s="44">
        <f t="shared" si="36"/>
        <v>0</v>
      </c>
    </row>
    <row r="667" spans="2:6" s="20" customFormat="1" hidden="1" outlineLevel="1" x14ac:dyDescent="0.25">
      <c r="B667" s="30" t="str">
        <f t="shared" si="35"/>
        <v>1 : 4 : 18</v>
      </c>
      <c r="C667" s="44">
        <f t="shared" ref="C667:E667" si="37">C660*$C$644</f>
        <v>0</v>
      </c>
      <c r="D667" s="44">
        <f t="shared" si="37"/>
        <v>0</v>
      </c>
      <c r="E667" s="44">
        <f t="shared" si="37"/>
        <v>0</v>
      </c>
    </row>
    <row r="668" spans="2:6" s="20" customFormat="1" hidden="1" outlineLevel="1" x14ac:dyDescent="0.25">
      <c r="B668" s="30" t="str">
        <f t="shared" si="35"/>
        <v>1 : 1 : 12</v>
      </c>
      <c r="C668" s="44">
        <f t="shared" ref="C668:E668" si="38">C661*$C$644</f>
        <v>0</v>
      </c>
      <c r="D668" s="44">
        <f t="shared" si="38"/>
        <v>0</v>
      </c>
      <c r="E668" s="44">
        <f t="shared" si="38"/>
        <v>0</v>
      </c>
    </row>
    <row r="669" spans="2:6" s="20" customFormat="1" hidden="1" outlineLevel="1" x14ac:dyDescent="0.25"/>
    <row r="670" spans="2:6" s="20" customFormat="1" hidden="1" outlineLevel="1" x14ac:dyDescent="0.25">
      <c r="B670" s="19" t="s">
        <v>289</v>
      </c>
    </row>
    <row r="671" spans="2:6" s="20" customFormat="1" hidden="1" outlineLevel="1" x14ac:dyDescent="0.25"/>
    <row r="672" spans="2:6" s="20" customFormat="1" hidden="1" outlineLevel="1" x14ac:dyDescent="0.25">
      <c r="C672" s="133" t="s">
        <v>1195</v>
      </c>
      <c r="D672" s="133"/>
      <c r="E672" s="133"/>
      <c r="F672" s="133"/>
    </row>
    <row r="673" spans="1:8" s="73" customFormat="1" ht="30" hidden="1" outlineLevel="1" x14ac:dyDescent="0.25">
      <c r="B673" s="72" t="s">
        <v>42</v>
      </c>
      <c r="C673" s="86" t="s">
        <v>41</v>
      </c>
      <c r="D673" s="86" t="s">
        <v>166</v>
      </c>
      <c r="E673" s="86" t="s">
        <v>40</v>
      </c>
      <c r="F673" s="72"/>
    </row>
    <row r="674" spans="1:8" s="20" customFormat="1" hidden="1" outlineLevel="1" x14ac:dyDescent="0.25">
      <c r="B674" s="30" t="s">
        <v>1177</v>
      </c>
      <c r="C674" s="44">
        <v>9.8000000000000007</v>
      </c>
      <c r="D674" s="44">
        <v>0.1</v>
      </c>
      <c r="E674" s="44">
        <v>1.1000000000000001</v>
      </c>
    </row>
    <row r="675" spans="1:8" s="20" customFormat="1" hidden="1" outlineLevel="1" x14ac:dyDescent="0.25"/>
    <row r="676" spans="1:8" s="20" customFormat="1" hidden="1" outlineLevel="1" x14ac:dyDescent="0.25">
      <c r="C676" s="133" t="s">
        <v>43</v>
      </c>
      <c r="D676" s="133"/>
      <c r="E676" s="133"/>
      <c r="F676" s="133"/>
    </row>
    <row r="677" spans="1:8" s="73" customFormat="1" ht="30" hidden="1" outlineLevel="1" x14ac:dyDescent="0.25">
      <c r="B677" s="72" t="s">
        <v>42</v>
      </c>
      <c r="C677" s="86" t="s">
        <v>41</v>
      </c>
      <c r="D677" s="86" t="s">
        <v>166</v>
      </c>
      <c r="E677" s="86" t="s">
        <v>40</v>
      </c>
      <c r="F677" s="72"/>
    </row>
    <row r="678" spans="1:8" s="20" customFormat="1" hidden="1" outlineLevel="1" x14ac:dyDescent="0.25">
      <c r="B678" s="30" t="s">
        <v>1177</v>
      </c>
      <c r="C678" s="44">
        <f>C674*$C$644</f>
        <v>0</v>
      </c>
      <c r="D678" s="44">
        <f>C678*D674</f>
        <v>0</v>
      </c>
      <c r="E678" s="44">
        <f>E674*$C$644</f>
        <v>0</v>
      </c>
    </row>
    <row r="679" spans="1:8" hidden="1" outlineLevel="1" x14ac:dyDescent="0.25"/>
    <row r="680" spans="1:8" collapsed="1" x14ac:dyDescent="0.25">
      <c r="B680" s="27" t="s">
        <v>5</v>
      </c>
      <c r="C680" s="28" t="s">
        <v>46</v>
      </c>
      <c r="D680" s="28" t="s">
        <v>6</v>
      </c>
    </row>
    <row r="681" spans="1:8" x14ac:dyDescent="0.25">
      <c r="B681" s="88" t="s">
        <v>292</v>
      </c>
      <c r="C681" s="91" t="s">
        <v>290</v>
      </c>
      <c r="D681" s="87">
        <f>IF(C635="Pronta",C652,0)</f>
        <v>0</v>
      </c>
    </row>
    <row r="682" spans="1:8" x14ac:dyDescent="0.25">
      <c r="B682" s="88" t="s">
        <v>165</v>
      </c>
      <c r="C682" s="91" t="s">
        <v>35</v>
      </c>
      <c r="D682" s="87">
        <f>IF(C635="Pronta",0,IF(C637="Não",VLOOKUP($C$636,$B$665:$E$668,2,0),C678))</f>
        <v>0</v>
      </c>
    </row>
    <row r="683" spans="1:8" ht="17.25" x14ac:dyDescent="0.25">
      <c r="B683" s="88" t="s">
        <v>34</v>
      </c>
      <c r="C683" s="91" t="s">
        <v>80</v>
      </c>
      <c r="D683" s="87">
        <f>IF(C635="Pronta",0,IF(C637="Não",VLOOKUP($C$636,$B$665:$E$668,4,0),E678))</f>
        <v>0</v>
      </c>
    </row>
    <row r="684" spans="1:8" x14ac:dyDescent="0.25">
      <c r="B684" s="88" t="s">
        <v>205</v>
      </c>
      <c r="C684" s="91" t="s">
        <v>290</v>
      </c>
      <c r="D684" s="87">
        <f>IF(C635="Pronta",0,IF(C637="Não",VLOOKUP($C$636,$B$665:$E$668,3,0),0))</f>
        <v>0</v>
      </c>
    </row>
    <row r="685" spans="1:8" x14ac:dyDescent="0.25">
      <c r="B685" s="88" t="s">
        <v>281</v>
      </c>
      <c r="C685" s="91" t="s">
        <v>79</v>
      </c>
      <c r="D685" s="87">
        <f>IF(C635="Pronta",0,IF(C637="Sim",D678,0))</f>
        <v>0</v>
      </c>
    </row>
    <row r="688" spans="1:8" s="5" customFormat="1" ht="18.75" x14ac:dyDescent="0.3">
      <c r="A688" s="7"/>
      <c r="B688" s="132" t="s">
        <v>585</v>
      </c>
      <c r="C688" s="132"/>
      <c r="D688" s="132"/>
      <c r="E688" s="7"/>
      <c r="F688" s="7"/>
      <c r="H688" s="22"/>
    </row>
    <row r="689" spans="1:8" s="5" customFormat="1" x14ac:dyDescent="0.25">
      <c r="A689" s="7"/>
      <c r="B689" s="7"/>
      <c r="C689" s="7"/>
      <c r="D689" s="7"/>
      <c r="E689" s="7"/>
      <c r="F689" s="7"/>
      <c r="H689" s="22"/>
    </row>
    <row r="690" spans="1:8" x14ac:dyDescent="0.25">
      <c r="B690" s="9" t="s">
        <v>2</v>
      </c>
    </row>
    <row r="692" spans="1:8" x14ac:dyDescent="0.25">
      <c r="B692" s="7" t="s">
        <v>286</v>
      </c>
      <c r="C692" s="29"/>
    </row>
    <row r="693" spans="1:8" x14ac:dyDescent="0.25">
      <c r="B693" s="7" t="s">
        <v>291</v>
      </c>
      <c r="C693" s="29"/>
      <c r="D693" s="7" t="s">
        <v>1194</v>
      </c>
    </row>
    <row r="694" spans="1:8" x14ac:dyDescent="0.25">
      <c r="B694" s="7" t="s">
        <v>287</v>
      </c>
      <c r="C694" s="29"/>
    </row>
    <row r="696" spans="1:8" s="20" customFormat="1" hidden="1" outlineLevel="1" x14ac:dyDescent="0.25">
      <c r="B696" s="19" t="s">
        <v>604</v>
      </c>
    </row>
    <row r="697" spans="1:8" s="20" customFormat="1" hidden="1" outlineLevel="1" x14ac:dyDescent="0.25"/>
    <row r="698" spans="1:8" s="20" customFormat="1" hidden="1" outlineLevel="1" x14ac:dyDescent="0.25">
      <c r="B698" s="20" t="s">
        <v>765</v>
      </c>
      <c r="C698" s="33">
        <v>2.5</v>
      </c>
      <c r="D698" s="20" t="s">
        <v>56</v>
      </c>
    </row>
    <row r="699" spans="1:8" s="20" customFormat="1" hidden="1" outlineLevel="1" x14ac:dyDescent="0.25"/>
    <row r="700" spans="1:8" s="20" customFormat="1" hidden="1" outlineLevel="1" x14ac:dyDescent="0.25">
      <c r="B700" s="20" t="s">
        <v>827</v>
      </c>
      <c r="C700" s="21">
        <f>C643</f>
        <v>0</v>
      </c>
      <c r="D700" s="20" t="s">
        <v>643</v>
      </c>
    </row>
    <row r="701" spans="1:8" s="20" customFormat="1" hidden="1" outlineLevel="1" x14ac:dyDescent="0.25">
      <c r="B701" s="20" t="s">
        <v>766</v>
      </c>
      <c r="C701" s="21">
        <f>C700*C698/100</f>
        <v>0</v>
      </c>
      <c r="D701" s="20" t="s">
        <v>32</v>
      </c>
    </row>
    <row r="702" spans="1:8" s="20" customFormat="1" hidden="1" outlineLevel="1" x14ac:dyDescent="0.25"/>
    <row r="703" spans="1:8" s="20" customFormat="1" hidden="1" outlineLevel="1" x14ac:dyDescent="0.25">
      <c r="B703" s="19" t="s">
        <v>293</v>
      </c>
      <c r="C703" s="38"/>
    </row>
    <row r="704" spans="1:8" s="20" customFormat="1" hidden="1" outlineLevel="1" x14ac:dyDescent="0.25">
      <c r="B704" s="19"/>
      <c r="C704" s="38"/>
    </row>
    <row r="705" spans="2:6" s="20" customFormat="1" hidden="1" outlineLevel="1" x14ac:dyDescent="0.25">
      <c r="B705" s="20" t="s">
        <v>812</v>
      </c>
      <c r="C705" s="33">
        <v>10</v>
      </c>
      <c r="D705" s="20" t="s">
        <v>832</v>
      </c>
    </row>
    <row r="706" spans="2:6" s="20" customFormat="1" hidden="1" outlineLevel="1" x14ac:dyDescent="0.25">
      <c r="B706" s="20" t="s">
        <v>295</v>
      </c>
      <c r="C706" s="37">
        <f>C698/1</f>
        <v>2.5</v>
      </c>
    </row>
    <row r="707" spans="2:6" s="20" customFormat="1" hidden="1" outlineLevel="1" x14ac:dyDescent="0.25">
      <c r="B707" s="20" t="s">
        <v>294</v>
      </c>
      <c r="C707" s="25">
        <f>C705*C700*C706</f>
        <v>0</v>
      </c>
      <c r="D707" s="20" t="s">
        <v>49</v>
      </c>
    </row>
    <row r="708" spans="2:6" s="20" customFormat="1" hidden="1" outlineLevel="1" x14ac:dyDescent="0.25">
      <c r="B708" s="20" t="s">
        <v>760</v>
      </c>
      <c r="C708" s="23">
        <v>20</v>
      </c>
      <c r="D708" s="20" t="s">
        <v>49</v>
      </c>
    </row>
    <row r="709" spans="2:6" s="20" customFormat="1" hidden="1" outlineLevel="1" x14ac:dyDescent="0.25">
      <c r="B709" s="20" t="s">
        <v>296</v>
      </c>
      <c r="C709" s="37">
        <f>C707/C708</f>
        <v>0</v>
      </c>
      <c r="D709" s="20" t="s">
        <v>764</v>
      </c>
    </row>
    <row r="710" spans="2:6" s="20" customFormat="1" hidden="1" outlineLevel="1" x14ac:dyDescent="0.25"/>
    <row r="711" spans="2:6" s="20" customFormat="1" hidden="1" outlineLevel="1" x14ac:dyDescent="0.25">
      <c r="B711" s="19" t="s">
        <v>288</v>
      </c>
    </row>
    <row r="712" spans="2:6" s="20" customFormat="1" hidden="1" outlineLevel="1" x14ac:dyDescent="0.25"/>
    <row r="713" spans="2:6" s="20" customFormat="1" hidden="1" outlineLevel="1" x14ac:dyDescent="0.25">
      <c r="C713" s="133" t="s">
        <v>168</v>
      </c>
      <c r="D713" s="133"/>
      <c r="E713" s="133"/>
      <c r="F713" s="133"/>
    </row>
    <row r="714" spans="2:6" s="73" customFormat="1" hidden="1" outlineLevel="1" x14ac:dyDescent="0.25">
      <c r="B714" s="72" t="s">
        <v>42</v>
      </c>
      <c r="C714" s="86" t="s">
        <v>41</v>
      </c>
      <c r="D714" s="86" t="s">
        <v>170</v>
      </c>
      <c r="E714" s="86" t="s">
        <v>40</v>
      </c>
      <c r="F714" s="72"/>
    </row>
    <row r="715" spans="2:6" s="20" customFormat="1" hidden="1" outlineLevel="1" x14ac:dyDescent="0.25">
      <c r="B715" s="30" t="s">
        <v>1190</v>
      </c>
      <c r="C715" s="40">
        <v>6.4799999999999995</v>
      </c>
      <c r="D715" s="40">
        <v>7.6581818181818182</v>
      </c>
      <c r="E715" s="40">
        <v>1.08</v>
      </c>
      <c r="F715" s="20" t="s">
        <v>167</v>
      </c>
    </row>
    <row r="716" spans="2:6" s="20" customFormat="1" hidden="1" outlineLevel="1" x14ac:dyDescent="0.25">
      <c r="B716" s="30" t="s">
        <v>1172</v>
      </c>
      <c r="C716" s="40">
        <v>3.65</v>
      </c>
      <c r="D716" s="40">
        <v>9</v>
      </c>
      <c r="E716" s="40">
        <v>1.4</v>
      </c>
    </row>
    <row r="717" spans="2:6" s="20" customFormat="1" hidden="1" outlineLevel="1" x14ac:dyDescent="0.25">
      <c r="B717" s="30" t="s">
        <v>1178</v>
      </c>
      <c r="C717" s="40">
        <v>3.3</v>
      </c>
      <c r="D717" s="40">
        <v>7.8</v>
      </c>
      <c r="E717" s="40">
        <v>1.1000000000000001</v>
      </c>
    </row>
    <row r="718" spans="2:6" s="20" customFormat="1" hidden="1" outlineLevel="1" x14ac:dyDescent="0.25">
      <c r="B718" s="30" t="s">
        <v>1174</v>
      </c>
      <c r="C718" s="40">
        <v>4.9000000000000004</v>
      </c>
      <c r="D718" s="40">
        <v>2.9</v>
      </c>
      <c r="E718" s="40">
        <v>1.1000000000000001</v>
      </c>
    </row>
    <row r="719" spans="2:6" s="20" customFormat="1" hidden="1" outlineLevel="1" x14ac:dyDescent="0.25"/>
    <row r="720" spans="2:6" s="20" customFormat="1" hidden="1" outlineLevel="1" x14ac:dyDescent="0.25">
      <c r="C720" s="133" t="s">
        <v>43</v>
      </c>
      <c r="D720" s="133"/>
      <c r="E720" s="133"/>
      <c r="F720" s="133"/>
    </row>
    <row r="721" spans="2:6" s="73" customFormat="1" hidden="1" outlineLevel="1" x14ac:dyDescent="0.25">
      <c r="B721" s="72" t="s">
        <v>42</v>
      </c>
      <c r="C721" s="86" t="s">
        <v>41</v>
      </c>
      <c r="D721" s="86" t="s">
        <v>170</v>
      </c>
      <c r="E721" s="86" t="s">
        <v>40</v>
      </c>
      <c r="F721" s="72"/>
    </row>
    <row r="722" spans="2:6" s="20" customFormat="1" hidden="1" outlineLevel="1" x14ac:dyDescent="0.25">
      <c r="B722" s="30" t="str">
        <f>B715</f>
        <v>1 : 2 : 6</v>
      </c>
      <c r="C722" s="44">
        <f>C715*$C$701</f>
        <v>0</v>
      </c>
      <c r="D722" s="44">
        <f>D715*$C$701</f>
        <v>0</v>
      </c>
      <c r="E722" s="44">
        <f>E715*$C$701</f>
        <v>0</v>
      </c>
      <c r="F722" s="20" t="s">
        <v>37</v>
      </c>
    </row>
    <row r="723" spans="2:6" s="20" customFormat="1" hidden="1" outlineLevel="1" x14ac:dyDescent="0.25">
      <c r="B723" s="30" t="str">
        <f t="shared" ref="B723:B725" si="39">B716</f>
        <v>1 : 4 : 16</v>
      </c>
      <c r="C723" s="44">
        <f t="shared" ref="C723:E723" si="40">C716*$C$701</f>
        <v>0</v>
      </c>
      <c r="D723" s="44">
        <f t="shared" si="40"/>
        <v>0</v>
      </c>
      <c r="E723" s="44">
        <f t="shared" si="40"/>
        <v>0</v>
      </c>
    </row>
    <row r="724" spans="2:6" s="20" customFormat="1" hidden="1" outlineLevel="1" x14ac:dyDescent="0.25">
      <c r="B724" s="30" t="str">
        <f t="shared" si="39"/>
        <v>1 : 4 : 18</v>
      </c>
      <c r="C724" s="44">
        <f t="shared" ref="C724:E724" si="41">C717*$C$701</f>
        <v>0</v>
      </c>
      <c r="D724" s="44">
        <f t="shared" si="41"/>
        <v>0</v>
      </c>
      <c r="E724" s="44">
        <f t="shared" si="41"/>
        <v>0</v>
      </c>
    </row>
    <row r="725" spans="2:6" s="20" customFormat="1" hidden="1" outlineLevel="1" x14ac:dyDescent="0.25">
      <c r="B725" s="30" t="str">
        <f t="shared" si="39"/>
        <v>1 : 1 : 12</v>
      </c>
      <c r="C725" s="44">
        <f t="shared" ref="C725:E725" si="42">C718*$C$701</f>
        <v>0</v>
      </c>
      <c r="D725" s="44">
        <f t="shared" si="42"/>
        <v>0</v>
      </c>
      <c r="E725" s="44">
        <f t="shared" si="42"/>
        <v>0</v>
      </c>
    </row>
    <row r="726" spans="2:6" s="20" customFormat="1" hidden="1" outlineLevel="1" x14ac:dyDescent="0.25"/>
    <row r="727" spans="2:6" s="20" customFormat="1" hidden="1" outlineLevel="1" x14ac:dyDescent="0.25">
      <c r="B727" s="19" t="s">
        <v>289</v>
      </c>
    </row>
    <row r="728" spans="2:6" s="20" customFormat="1" hidden="1" outlineLevel="1" x14ac:dyDescent="0.25"/>
    <row r="729" spans="2:6" s="20" customFormat="1" hidden="1" outlineLevel="1" x14ac:dyDescent="0.25">
      <c r="C729" s="133" t="s">
        <v>1195</v>
      </c>
      <c r="D729" s="133"/>
      <c r="E729" s="133"/>
      <c r="F729" s="133"/>
    </row>
    <row r="730" spans="2:6" s="73" customFormat="1" ht="30" hidden="1" outlineLevel="1" x14ac:dyDescent="0.25">
      <c r="B730" s="72" t="s">
        <v>42</v>
      </c>
      <c r="C730" s="86" t="s">
        <v>41</v>
      </c>
      <c r="D730" s="86" t="s">
        <v>166</v>
      </c>
      <c r="E730" s="86" t="s">
        <v>40</v>
      </c>
      <c r="F730" s="72"/>
    </row>
    <row r="731" spans="2:6" s="20" customFormat="1" hidden="1" outlineLevel="1" x14ac:dyDescent="0.25">
      <c r="B731" s="30" t="s">
        <v>1177</v>
      </c>
      <c r="C731" s="44">
        <v>9.8000000000000007</v>
      </c>
      <c r="D731" s="44">
        <v>0.1</v>
      </c>
      <c r="E731" s="44">
        <v>1.1000000000000001</v>
      </c>
    </row>
    <row r="732" spans="2:6" s="20" customFormat="1" hidden="1" outlineLevel="1" x14ac:dyDescent="0.25"/>
    <row r="733" spans="2:6" s="20" customFormat="1" hidden="1" outlineLevel="1" x14ac:dyDescent="0.25">
      <c r="C733" s="133" t="s">
        <v>43</v>
      </c>
      <c r="D733" s="133"/>
      <c r="E733" s="133"/>
      <c r="F733" s="133"/>
    </row>
    <row r="734" spans="2:6" s="73" customFormat="1" ht="30" hidden="1" outlineLevel="1" x14ac:dyDescent="0.25">
      <c r="B734" s="72" t="s">
        <v>42</v>
      </c>
      <c r="C734" s="86" t="s">
        <v>41</v>
      </c>
      <c r="D734" s="86" t="s">
        <v>166</v>
      </c>
      <c r="E734" s="86" t="s">
        <v>40</v>
      </c>
      <c r="F734" s="72"/>
    </row>
    <row r="735" spans="2:6" s="20" customFormat="1" hidden="1" outlineLevel="1" x14ac:dyDescent="0.25">
      <c r="B735" s="30" t="s">
        <v>1177</v>
      </c>
      <c r="C735" s="44">
        <f>C731*$C$701</f>
        <v>0</v>
      </c>
      <c r="D735" s="44">
        <f>C735*D731</f>
        <v>0</v>
      </c>
      <c r="E735" s="44">
        <f>E731*$C$701</f>
        <v>0</v>
      </c>
    </row>
    <row r="736" spans="2:6" hidden="1" outlineLevel="1" x14ac:dyDescent="0.25"/>
    <row r="737" spans="1:15" collapsed="1" x14ac:dyDescent="0.25">
      <c r="B737" s="27" t="s">
        <v>5</v>
      </c>
      <c r="C737" s="28" t="s">
        <v>46</v>
      </c>
      <c r="D737" s="28" t="s">
        <v>6</v>
      </c>
    </row>
    <row r="738" spans="1:15" x14ac:dyDescent="0.25">
      <c r="B738" s="88" t="s">
        <v>282</v>
      </c>
      <c r="C738" s="91" t="s">
        <v>290</v>
      </c>
      <c r="D738" s="87">
        <f>IF(C692="Pronta",C709,0)</f>
        <v>0</v>
      </c>
    </row>
    <row r="739" spans="1:15" x14ac:dyDescent="0.25">
      <c r="B739" s="88" t="s">
        <v>165</v>
      </c>
      <c r="C739" s="91" t="s">
        <v>35</v>
      </c>
      <c r="D739" s="87">
        <f>IF(C692="Pronta",0,IF(C694="Não",VLOOKUP($C$693,$B$722:$E$725,2,0),C735))</f>
        <v>0</v>
      </c>
    </row>
    <row r="740" spans="1:15" ht="17.25" x14ac:dyDescent="0.25">
      <c r="B740" s="88" t="s">
        <v>34</v>
      </c>
      <c r="C740" s="91" t="s">
        <v>80</v>
      </c>
      <c r="D740" s="87">
        <f>IF(C692="Pronta",0,IF(C694="Não",VLOOKUP($C$693,$B$722:$E$725,4,0),E735))</f>
        <v>0</v>
      </c>
    </row>
    <row r="741" spans="1:15" x14ac:dyDescent="0.25">
      <c r="B741" s="88" t="s">
        <v>205</v>
      </c>
      <c r="C741" s="91" t="s">
        <v>290</v>
      </c>
      <c r="D741" s="87">
        <f>IF(C692="Pronta",0,IF(C694="Não",VLOOKUP($C$693,$B$722:$E$725,3,0),0))</f>
        <v>0</v>
      </c>
    </row>
    <row r="742" spans="1:15" x14ac:dyDescent="0.25">
      <c r="B742" s="88" t="s">
        <v>281</v>
      </c>
      <c r="C742" s="91" t="s">
        <v>79</v>
      </c>
      <c r="D742" s="87">
        <f>IF(C692="Pronta",0,IF(C694="Sim",D735,0))</f>
        <v>0</v>
      </c>
    </row>
    <row r="745" spans="1:15" s="5" customFormat="1" ht="18.75" x14ac:dyDescent="0.3">
      <c r="A745" s="7"/>
      <c r="B745" s="132" t="s">
        <v>586</v>
      </c>
      <c r="C745" s="132"/>
      <c r="D745" s="132"/>
      <c r="E745" s="7"/>
      <c r="F745" s="7"/>
      <c r="H745" s="22"/>
    </row>
    <row r="746" spans="1:15" s="5" customFormat="1" x14ac:dyDescent="0.25">
      <c r="A746" s="7"/>
      <c r="B746" s="7"/>
      <c r="C746" s="7"/>
      <c r="D746" s="7"/>
      <c r="E746" s="7"/>
      <c r="F746" s="7"/>
      <c r="H746" s="22"/>
    </row>
    <row r="747" spans="1:15" x14ac:dyDescent="0.25">
      <c r="B747" s="9" t="s">
        <v>2</v>
      </c>
    </row>
    <row r="749" spans="1:15" x14ac:dyDescent="0.25">
      <c r="B749" s="7" t="s">
        <v>453</v>
      </c>
      <c r="C749" s="41"/>
      <c r="M749" s="4"/>
      <c r="N749" s="4"/>
      <c r="O749" s="4"/>
    </row>
    <row r="750" spans="1:15" x14ac:dyDescent="0.25">
      <c r="B750" s="3" t="s">
        <v>448</v>
      </c>
      <c r="C750" s="41"/>
    </row>
    <row r="751" spans="1:15" x14ac:dyDescent="0.25">
      <c r="M751" s="4"/>
      <c r="N751" s="4"/>
      <c r="O751" s="4"/>
    </row>
    <row r="752" spans="1:15" s="20" customFormat="1" hidden="1" outlineLevel="1" x14ac:dyDescent="0.25">
      <c r="B752" s="19" t="s">
        <v>482</v>
      </c>
      <c r="M752" s="31"/>
      <c r="N752" s="31"/>
      <c r="O752" s="31"/>
    </row>
    <row r="753" spans="2:15" s="20" customFormat="1" hidden="1" outlineLevel="1" x14ac:dyDescent="0.25">
      <c r="M753" s="31"/>
      <c r="N753" s="31"/>
      <c r="O753" s="31"/>
    </row>
    <row r="754" spans="2:15" s="20" customFormat="1" hidden="1" outlineLevel="1" x14ac:dyDescent="0.25">
      <c r="B754" s="20" t="s">
        <v>828</v>
      </c>
      <c r="C754" s="21">
        <f>C700</f>
        <v>0</v>
      </c>
      <c r="D754" s="20" t="s">
        <v>643</v>
      </c>
      <c r="M754" s="31"/>
      <c r="N754" s="31"/>
      <c r="O754" s="31"/>
    </row>
    <row r="755" spans="2:15" s="20" customFormat="1" hidden="1" outlineLevel="1" x14ac:dyDescent="0.25"/>
    <row r="756" spans="2:15" s="20" customFormat="1" hidden="1" outlineLevel="1" x14ac:dyDescent="0.25">
      <c r="B756" s="19" t="s">
        <v>857</v>
      </c>
    </row>
    <row r="757" spans="2:15" s="20" customFormat="1" hidden="1" outlineLevel="1" x14ac:dyDescent="0.25"/>
    <row r="758" spans="2:15" s="73" customFormat="1" ht="45" hidden="1" outlineLevel="1" x14ac:dyDescent="0.25">
      <c r="B758" s="73" t="s">
        <v>394</v>
      </c>
      <c r="C758" s="97" t="s">
        <v>393</v>
      </c>
      <c r="D758" s="97" t="s">
        <v>395</v>
      </c>
      <c r="E758" s="97" t="s">
        <v>454</v>
      </c>
    </row>
    <row r="759" spans="2:15" s="20" customFormat="1" hidden="1" outlineLevel="1" x14ac:dyDescent="0.25">
      <c r="B759" s="20" t="s">
        <v>455</v>
      </c>
      <c r="C759" s="92">
        <v>0.11</v>
      </c>
      <c r="D759" s="21">
        <f>$C$754*C759</f>
        <v>0</v>
      </c>
      <c r="E759" s="21">
        <f>D759*$C$749</f>
        <v>0</v>
      </c>
    </row>
    <row r="760" spans="2:15" s="20" customFormat="1" hidden="1" outlineLevel="1" x14ac:dyDescent="0.25">
      <c r="B760" s="20" t="s">
        <v>456</v>
      </c>
      <c r="C760" s="92">
        <v>9.5000000000000001E-2</v>
      </c>
      <c r="D760" s="21">
        <f>$C$754*C760</f>
        <v>0</v>
      </c>
      <c r="E760" s="21">
        <f>D760*$C$749</f>
        <v>0</v>
      </c>
    </row>
    <row r="761" spans="2:15" s="20" customFormat="1" hidden="1" outlineLevel="1" x14ac:dyDescent="0.25">
      <c r="B761" s="20" t="s">
        <v>457</v>
      </c>
      <c r="C761" s="92">
        <v>0.112</v>
      </c>
      <c r="D761" s="21">
        <f>$C$754*C761</f>
        <v>0</v>
      </c>
      <c r="E761" s="21">
        <f>D761*$C$749</f>
        <v>0</v>
      </c>
    </row>
    <row r="762" spans="2:15" s="20" customFormat="1" hidden="1" outlineLevel="1" x14ac:dyDescent="0.25">
      <c r="B762" s="20" t="s">
        <v>458</v>
      </c>
      <c r="C762" s="92">
        <v>7.1999999999999995E-2</v>
      </c>
      <c r="D762" s="21">
        <f>$C$754*C762</f>
        <v>0</v>
      </c>
      <c r="E762" s="21">
        <f>D762*$C$749</f>
        <v>0</v>
      </c>
    </row>
    <row r="763" spans="2:15" s="20" customFormat="1" hidden="1" outlineLevel="1" x14ac:dyDescent="0.25">
      <c r="B763" s="20" t="s">
        <v>851</v>
      </c>
      <c r="C763" s="92">
        <v>9.5000000000000001E-2</v>
      </c>
      <c r="D763" s="21">
        <f>$C$754*C763</f>
        <v>0</v>
      </c>
      <c r="E763" s="21">
        <f>D763*$C$749</f>
        <v>0</v>
      </c>
    </row>
    <row r="764" spans="2:15" s="20" customFormat="1" hidden="1" outlineLevel="1" x14ac:dyDescent="0.25"/>
    <row r="765" spans="2:15" s="20" customFormat="1" hidden="1" outlineLevel="1" x14ac:dyDescent="0.25">
      <c r="B765" s="19" t="s">
        <v>847</v>
      </c>
    </row>
    <row r="766" spans="2:15" s="20" customFormat="1" hidden="1" outlineLevel="1" x14ac:dyDescent="0.25"/>
    <row r="767" spans="2:15" s="73" customFormat="1" ht="45" hidden="1" outlineLevel="1" x14ac:dyDescent="0.25">
      <c r="B767" s="73" t="s">
        <v>297</v>
      </c>
      <c r="C767" s="97" t="s">
        <v>393</v>
      </c>
      <c r="D767" s="97" t="s">
        <v>392</v>
      </c>
      <c r="E767" s="97" t="s">
        <v>391</v>
      </c>
    </row>
    <row r="768" spans="2:15" s="20" customFormat="1" hidden="1" outlineLevel="1" x14ac:dyDescent="0.25">
      <c r="B768" s="20" t="s">
        <v>390</v>
      </c>
      <c r="C768" s="63">
        <v>0.13</v>
      </c>
      <c r="D768" s="64">
        <f>$C$754*C768</f>
        <v>0</v>
      </c>
    </row>
    <row r="769" spans="2:15" s="20" customFormat="1" hidden="1" outlineLevel="1" x14ac:dyDescent="0.25">
      <c r="C769" s="63"/>
      <c r="D769" s="64"/>
    </row>
    <row r="770" spans="2:15" s="20" customFormat="1" hidden="1" outlineLevel="1" x14ac:dyDescent="0.25">
      <c r="B770" s="19" t="s">
        <v>848</v>
      </c>
      <c r="C770" s="63"/>
      <c r="D770" s="64"/>
    </row>
    <row r="771" spans="2:15" s="20" customFormat="1" hidden="1" outlineLevel="1" x14ac:dyDescent="0.25">
      <c r="C771" s="63"/>
      <c r="D771" s="64"/>
    </row>
    <row r="772" spans="2:15" s="20" customFormat="1" hidden="1" outlineLevel="1" x14ac:dyDescent="0.25">
      <c r="B772" s="20" t="s">
        <v>793</v>
      </c>
      <c r="C772" s="92">
        <v>2.7777777777777776E-2</v>
      </c>
      <c r="D772" s="64" t="s">
        <v>833</v>
      </c>
    </row>
    <row r="773" spans="2:15" s="20" customFormat="1" hidden="1" outlineLevel="1" x14ac:dyDescent="0.25">
      <c r="B773" s="20" t="s">
        <v>485</v>
      </c>
      <c r="C773" s="63">
        <f>ROUNDUP(C772*D782,0)</f>
        <v>0</v>
      </c>
      <c r="D773" s="64" t="s">
        <v>644</v>
      </c>
    </row>
    <row r="774" spans="2:15" s="20" customFormat="1" hidden="1" outlineLevel="1" x14ac:dyDescent="0.25">
      <c r="B774" s="20" t="s">
        <v>794</v>
      </c>
      <c r="C774" s="92">
        <v>2.7777777777777776E-2</v>
      </c>
      <c r="D774" s="64" t="s">
        <v>833</v>
      </c>
    </row>
    <row r="775" spans="2:15" s="20" customFormat="1" hidden="1" outlineLevel="1" x14ac:dyDescent="0.25">
      <c r="B775" s="20" t="s">
        <v>486</v>
      </c>
      <c r="C775" s="63">
        <f>ROUNDUP(C774*D782,0)</f>
        <v>0</v>
      </c>
      <c r="D775" s="64" t="s">
        <v>644</v>
      </c>
    </row>
    <row r="776" spans="2:15" s="20" customFormat="1" hidden="1" outlineLevel="1" x14ac:dyDescent="0.25">
      <c r="B776" s="20" t="s">
        <v>795</v>
      </c>
      <c r="C776" s="92">
        <v>0.02</v>
      </c>
      <c r="D776" s="64" t="s">
        <v>833</v>
      </c>
    </row>
    <row r="777" spans="2:15" s="20" customFormat="1" hidden="1" outlineLevel="1" x14ac:dyDescent="0.25">
      <c r="B777" s="20" t="s">
        <v>487</v>
      </c>
      <c r="C777" s="63">
        <f>C776*C754</f>
        <v>0</v>
      </c>
      <c r="D777" s="64" t="s">
        <v>644</v>
      </c>
    </row>
    <row r="778" spans="2:15" s="20" customFormat="1" hidden="1" outlineLevel="1" x14ac:dyDescent="0.25">
      <c r="B778" s="20" t="s">
        <v>796</v>
      </c>
      <c r="C778" s="92">
        <v>0.05</v>
      </c>
      <c r="D778" s="64" t="s">
        <v>834</v>
      </c>
    </row>
    <row r="779" spans="2:15" s="20" customFormat="1" hidden="1" outlineLevel="1" x14ac:dyDescent="0.25">
      <c r="B779" s="20" t="s">
        <v>488</v>
      </c>
      <c r="C779" s="63">
        <f>C778*C754</f>
        <v>0</v>
      </c>
      <c r="D779" s="64" t="s">
        <v>644</v>
      </c>
    </row>
    <row r="780" spans="2:15" hidden="1" outlineLevel="1" x14ac:dyDescent="0.25">
      <c r="D780" s="42"/>
    </row>
    <row r="781" spans="2:15" collapsed="1" x14ac:dyDescent="0.25">
      <c r="B781" s="27" t="s">
        <v>5</v>
      </c>
      <c r="C781" s="28" t="s">
        <v>46</v>
      </c>
      <c r="D781" s="28" t="s">
        <v>6</v>
      </c>
    </row>
    <row r="782" spans="2:15" x14ac:dyDescent="0.25">
      <c r="B782" s="88" t="str">
        <f>"Tinta "&amp;C750</f>
        <v xml:space="preserve">Tinta </v>
      </c>
      <c r="C782" s="91" t="s">
        <v>79</v>
      </c>
      <c r="D782" s="87">
        <f>IFERROR(VLOOKUP(C750,B758:E763,4,0),0)</f>
        <v>0</v>
      </c>
    </row>
    <row r="783" spans="2:15" x14ac:dyDescent="0.25">
      <c r="B783" s="88" t="s">
        <v>459</v>
      </c>
      <c r="C783" s="91" t="s">
        <v>79</v>
      </c>
      <c r="D783" s="87">
        <f>D768</f>
        <v>0</v>
      </c>
    </row>
    <row r="784" spans="2:15" x14ac:dyDescent="0.25">
      <c r="B784" s="88" t="s">
        <v>489</v>
      </c>
      <c r="C784" s="91" t="s">
        <v>50</v>
      </c>
      <c r="D784" s="87">
        <f>C773</f>
        <v>0</v>
      </c>
      <c r="M784" s="4"/>
      <c r="N784" s="4"/>
      <c r="O784" s="4"/>
    </row>
    <row r="785" spans="2:4" x14ac:dyDescent="0.25">
      <c r="B785" s="88" t="s">
        <v>490</v>
      </c>
      <c r="C785" s="91" t="s">
        <v>50</v>
      </c>
      <c r="D785" s="87">
        <f>C775</f>
        <v>0</v>
      </c>
    </row>
    <row r="786" spans="2:4" x14ac:dyDescent="0.25">
      <c r="B786" s="88" t="s">
        <v>849</v>
      </c>
      <c r="C786" s="91" t="s">
        <v>50</v>
      </c>
      <c r="D786" s="87">
        <f>C777</f>
        <v>0</v>
      </c>
    </row>
    <row r="787" spans="2:4" x14ac:dyDescent="0.25">
      <c r="B787" s="88" t="s">
        <v>491</v>
      </c>
      <c r="C787" s="91" t="s">
        <v>50</v>
      </c>
      <c r="D787" s="87">
        <f>C779</f>
        <v>0</v>
      </c>
    </row>
  </sheetData>
  <mergeCells count="40">
    <mergeCell ref="B568:D568"/>
    <mergeCell ref="B745:D745"/>
    <mergeCell ref="B265:D265"/>
    <mergeCell ref="C128:F128"/>
    <mergeCell ref="C132:F132"/>
    <mergeCell ref="B142:D142"/>
    <mergeCell ref="B191:D191"/>
    <mergeCell ref="B235:D235"/>
    <mergeCell ref="B389:D389"/>
    <mergeCell ref="C411:F411"/>
    <mergeCell ref="C598:D598"/>
    <mergeCell ref="C604:D604"/>
    <mergeCell ref="C612:F612"/>
    <mergeCell ref="C618:F618"/>
    <mergeCell ref="B631:D631"/>
    <mergeCell ref="C656:F656"/>
    <mergeCell ref="C729:F729"/>
    <mergeCell ref="C733:F733"/>
    <mergeCell ref="C663:F663"/>
    <mergeCell ref="C672:F672"/>
    <mergeCell ref="C676:F676"/>
    <mergeCell ref="B688:D688"/>
    <mergeCell ref="C713:F713"/>
    <mergeCell ref="C720:F720"/>
    <mergeCell ref="C371:F371"/>
    <mergeCell ref="C375:F375"/>
    <mergeCell ref="B525:D525"/>
    <mergeCell ref="B287:D287"/>
    <mergeCell ref="C361:F361"/>
    <mergeCell ref="C365:F365"/>
    <mergeCell ref="C420:F420"/>
    <mergeCell ref="B120:D120"/>
    <mergeCell ref="B2:D2"/>
    <mergeCell ref="B4:D4"/>
    <mergeCell ref="C95:F95"/>
    <mergeCell ref="C104:F104"/>
    <mergeCell ref="B5:D5"/>
    <mergeCell ref="C26:F26"/>
    <mergeCell ref="C35:F35"/>
    <mergeCell ref="B77:D77"/>
  </mergeCells>
  <dataValidations count="16">
    <dataValidation type="list" allowBlank="1" showInputMessage="1" showErrorMessage="1" sqref="C12 C84 C397" xr:uid="{00000000-0002-0000-1400-000000000000}">
      <formula1>"Usinado,Feito na obra"</formula1>
    </dataValidation>
    <dataValidation type="list" allowBlank="1" showInputMessage="1" showErrorMessage="1" sqref="C13" xr:uid="{00000000-0002-0000-1400-000001000000}">
      <formula1>$B$28:$B$33</formula1>
    </dataValidation>
    <dataValidation type="list" allowBlank="1" showInputMessage="1" showErrorMessage="1" sqref="C293" xr:uid="{00000000-0002-0000-1400-000002000000}">
      <formula1>$B$329:$B$339</formula1>
    </dataValidation>
    <dataValidation type="list" allowBlank="1" showInputMessage="1" showErrorMessage="1" sqref="C294 C574 C637 C694" xr:uid="{00000000-0002-0000-1400-000003000000}">
      <formula1>"Sim,Não"</formula1>
    </dataValidation>
    <dataValidation type="list" allowBlank="1" showInputMessage="1" showErrorMessage="1" sqref="C295" xr:uid="{00000000-0002-0000-1400-000004000000}">
      <formula1>$B$307:$B$313</formula1>
    </dataValidation>
    <dataValidation type="list" allowBlank="1" showInputMessage="1" showErrorMessage="1" sqref="C296" xr:uid="{00000000-0002-0000-1400-000005000000}">
      <formula1>$B$316:$B$324</formula1>
    </dataValidation>
    <dataValidation type="list" allowBlank="1" showInputMessage="1" showErrorMessage="1" sqref="C572 C635 C692" xr:uid="{00000000-0002-0000-1400-000006000000}">
      <formula1>"Pronta,Feita na obra"</formula1>
    </dataValidation>
    <dataValidation type="list" allowBlank="1" showInputMessage="1" showErrorMessage="1" sqref="C573" xr:uid="{00000000-0002-0000-1400-000007000000}">
      <formula1>$B$600:$B$602</formula1>
    </dataValidation>
    <dataValidation type="list" allowBlank="1" showInputMessage="1" showErrorMessage="1" sqref="C636" xr:uid="{00000000-0002-0000-1400-000008000000}">
      <formula1>$B$658:$B$661</formula1>
    </dataValidation>
    <dataValidation type="list" allowBlank="1" showInputMessage="1" showErrorMessage="1" sqref="C693" xr:uid="{00000000-0002-0000-1400-000009000000}">
      <formula1>$B$715:$B$718</formula1>
    </dataValidation>
    <dataValidation type="list" allowBlank="1" showInputMessage="1" showErrorMessage="1" sqref="C749" xr:uid="{00000000-0002-0000-1400-00000A000000}">
      <formula1>"1,2,3,4"</formula1>
    </dataValidation>
    <dataValidation type="list" allowBlank="1" showInputMessage="1" showErrorMessage="1" sqref="C750" xr:uid="{00000000-0002-0000-1400-00000B000000}">
      <formula1>$B$759:$B$763</formula1>
    </dataValidation>
    <dataValidation type="list" allowBlank="1" showInputMessage="1" showErrorMessage="1" sqref="C85" xr:uid="{00000000-0002-0000-1400-00000C000000}">
      <formula1>$B$97:$B$102</formula1>
    </dataValidation>
    <dataValidation type="list" allowBlank="1" showInputMessage="1" showErrorMessage="1" sqref="C398" xr:uid="{00000000-0002-0000-1400-00000D000000}">
      <formula1>$B$413:$B$418</formula1>
    </dataValidation>
    <dataValidation type="list" allowBlank="1" showInputMessage="1" showErrorMessage="1" sqref="C15" xr:uid="{00000000-0002-0000-1400-00000E000000}">
      <formula1>$K$51:$K$52</formula1>
    </dataValidation>
    <dataValidation type="list" allowBlank="1" showInputMessage="1" showErrorMessage="1" sqref="C395" xr:uid="{00000000-0002-0000-1400-00000F000000}">
      <formula1>$B$476:$B$491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763"/>
  <sheetViews>
    <sheetView showGridLines="0" zoomScale="130" zoomScaleNormal="130" workbookViewId="0">
      <selection activeCell="G12" sqref="G12"/>
    </sheetView>
  </sheetViews>
  <sheetFormatPr defaultColWidth="8.85546875" defaultRowHeight="15" outlineLevelRow="1" x14ac:dyDescent="0.25"/>
  <cols>
    <col min="1" max="1" width="2" style="7" customWidth="1"/>
    <col min="2" max="2" width="40.5703125" style="7" customWidth="1"/>
    <col min="3" max="3" width="18" style="7" customWidth="1"/>
    <col min="4" max="4" width="12.5703125" style="7" customWidth="1"/>
    <col min="5" max="5" width="12.42578125" style="7" customWidth="1"/>
    <col min="6" max="6" width="8.85546875" style="7" customWidth="1"/>
    <col min="7" max="16384" width="8.85546875" style="7"/>
  </cols>
  <sheetData>
    <row r="1" spans="1:8" ht="15.75" thickBot="1" x14ac:dyDescent="0.3"/>
    <row r="2" spans="1:8" ht="21.75" thickBot="1" x14ac:dyDescent="0.4">
      <c r="B2" s="129" t="s">
        <v>592</v>
      </c>
      <c r="C2" s="130"/>
      <c r="D2" s="131"/>
    </row>
    <row r="4" spans="1:8" ht="45.75" customHeight="1" x14ac:dyDescent="0.25">
      <c r="B4" s="128" t="s">
        <v>495</v>
      </c>
      <c r="C4" s="128"/>
      <c r="D4" s="128"/>
    </row>
    <row r="5" spans="1:8" s="5" customFormat="1" ht="18.75" x14ac:dyDescent="0.3">
      <c r="A5" s="7"/>
      <c r="B5" s="132" t="s">
        <v>575</v>
      </c>
      <c r="C5" s="132"/>
      <c r="D5" s="132"/>
      <c r="E5" s="7"/>
      <c r="F5" s="7"/>
      <c r="H5" s="22"/>
    </row>
    <row r="6" spans="1:8" s="5" customFormat="1" x14ac:dyDescent="0.25">
      <c r="A6" s="7"/>
      <c r="B6" s="7"/>
      <c r="C6" s="7"/>
      <c r="D6" s="7"/>
      <c r="E6" s="7"/>
      <c r="F6" s="7"/>
      <c r="H6" s="22"/>
    </row>
    <row r="7" spans="1:8" x14ac:dyDescent="0.25">
      <c r="B7" s="9" t="s">
        <v>2</v>
      </c>
    </row>
    <row r="9" spans="1:8" x14ac:dyDescent="0.25">
      <c r="B9" s="7" t="s">
        <v>136</v>
      </c>
      <c r="C9" s="23"/>
      <c r="D9" s="7" t="s">
        <v>56</v>
      </c>
    </row>
    <row r="10" spans="1:8" x14ac:dyDescent="0.25">
      <c r="B10" s="7" t="s">
        <v>137</v>
      </c>
      <c r="C10" s="33"/>
      <c r="D10" s="7" t="s">
        <v>53</v>
      </c>
    </row>
    <row r="11" spans="1:8" x14ac:dyDescent="0.25">
      <c r="B11" s="7" t="s">
        <v>135</v>
      </c>
      <c r="C11" s="23"/>
      <c r="D11" s="7" t="s">
        <v>48</v>
      </c>
    </row>
    <row r="12" spans="1:8" x14ac:dyDescent="0.25">
      <c r="B12" s="7" t="s">
        <v>225</v>
      </c>
      <c r="C12" s="29"/>
    </row>
    <row r="13" spans="1:8" x14ac:dyDescent="0.25">
      <c r="B13" s="7" t="s">
        <v>57</v>
      </c>
      <c r="C13" s="41"/>
      <c r="D13" s="7" t="s">
        <v>1193</v>
      </c>
    </row>
    <row r="14" spans="1:8" x14ac:dyDescent="0.25">
      <c r="B14" s="7" t="s">
        <v>62</v>
      </c>
      <c r="C14" s="23"/>
      <c r="D14" s="7" t="s">
        <v>64</v>
      </c>
    </row>
    <row r="15" spans="1:8" x14ac:dyDescent="0.25">
      <c r="B15" s="7" t="s">
        <v>841</v>
      </c>
      <c r="C15" s="29"/>
    </row>
    <row r="17" spans="2:7" s="20" customFormat="1" hidden="1" outlineLevel="1" x14ac:dyDescent="0.25">
      <c r="B17" s="19" t="s">
        <v>118</v>
      </c>
    </row>
    <row r="18" spans="2:7" s="20" customFormat="1" hidden="1" outlineLevel="1" x14ac:dyDescent="0.25"/>
    <row r="19" spans="2:7" s="20" customFormat="1" hidden="1" outlineLevel="1" x14ac:dyDescent="0.25">
      <c r="B19" s="20" t="s">
        <v>715</v>
      </c>
      <c r="C19" s="38">
        <f>3.14159*(((C9/2)/100)^2)</f>
        <v>0</v>
      </c>
      <c r="D19" s="20" t="s">
        <v>643</v>
      </c>
    </row>
    <row r="20" spans="2:7" s="20" customFormat="1" hidden="1" outlineLevel="1" x14ac:dyDescent="0.25">
      <c r="B20" s="20" t="s">
        <v>716</v>
      </c>
      <c r="C20" s="38">
        <f>C19*C10</f>
        <v>0</v>
      </c>
      <c r="D20" s="20" t="s">
        <v>32</v>
      </c>
    </row>
    <row r="21" spans="2:7" s="20" customFormat="1" hidden="1" outlineLevel="1" x14ac:dyDescent="0.25">
      <c r="B21" s="20" t="s">
        <v>138</v>
      </c>
      <c r="C21" s="21">
        <f>C20*C11</f>
        <v>0</v>
      </c>
      <c r="D21" s="20" t="s">
        <v>32</v>
      </c>
    </row>
    <row r="22" spans="2:7" s="20" customFormat="1" hidden="1" outlineLevel="1" x14ac:dyDescent="0.25">
      <c r="B22" s="20" t="s">
        <v>717</v>
      </c>
      <c r="C22" s="21">
        <f>C21*(1+'LEIA-ME'!$D$31)</f>
        <v>0</v>
      </c>
      <c r="D22" s="20" t="s">
        <v>32</v>
      </c>
    </row>
    <row r="23" spans="2:7" s="20" customFormat="1" hidden="1" outlineLevel="1" x14ac:dyDescent="0.25"/>
    <row r="24" spans="2:7" s="20" customFormat="1" hidden="1" outlineLevel="1" x14ac:dyDescent="0.25">
      <c r="B24" s="19" t="s">
        <v>125</v>
      </c>
    </row>
    <row r="25" spans="2:7" s="20" customFormat="1" hidden="1" outlineLevel="1" x14ac:dyDescent="0.25"/>
    <row r="26" spans="2:7" s="20" customFormat="1" hidden="1" outlineLevel="1" x14ac:dyDescent="0.25">
      <c r="C26" s="133" t="s">
        <v>45</v>
      </c>
      <c r="D26" s="133"/>
      <c r="E26" s="133"/>
      <c r="F26" s="133"/>
    </row>
    <row r="27" spans="2:7" s="73" customFormat="1" ht="30" hidden="1" outlineLevel="1" x14ac:dyDescent="0.25">
      <c r="B27" s="72" t="s">
        <v>42</v>
      </c>
      <c r="C27" s="86" t="s">
        <v>41</v>
      </c>
      <c r="D27" s="86" t="s">
        <v>40</v>
      </c>
      <c r="E27" s="86" t="s">
        <v>39</v>
      </c>
      <c r="F27" s="86" t="s">
        <v>38</v>
      </c>
    </row>
    <row r="28" spans="2:7" s="20" customFormat="1" hidden="1" outlineLevel="1" x14ac:dyDescent="0.25">
      <c r="B28" s="30" t="s">
        <v>1166</v>
      </c>
      <c r="C28" s="21">
        <v>6.9</v>
      </c>
      <c r="D28" s="21">
        <v>0.62265036674816632</v>
      </c>
      <c r="E28" s="21">
        <v>0.72799999999999987</v>
      </c>
      <c r="F28" s="25">
        <v>210</v>
      </c>
      <c r="G28" s="20" t="s">
        <v>44</v>
      </c>
    </row>
    <row r="29" spans="2:7" s="20" customFormat="1" hidden="1" outlineLevel="1" x14ac:dyDescent="0.25">
      <c r="B29" s="30" t="s">
        <v>1167</v>
      </c>
      <c r="C29" s="21">
        <v>6.4</v>
      </c>
      <c r="D29" s="21">
        <v>0.72001955990220046</v>
      </c>
      <c r="E29" s="21">
        <v>0.67399999999999993</v>
      </c>
      <c r="F29" s="25">
        <v>207</v>
      </c>
    </row>
    <row r="30" spans="2:7" s="20" customFormat="1" hidden="1" outlineLevel="1" x14ac:dyDescent="0.25">
      <c r="B30" s="30" t="s">
        <v>1168</v>
      </c>
      <c r="C30" s="21">
        <v>5.94</v>
      </c>
      <c r="D30" s="21">
        <v>0.5380929095354523</v>
      </c>
      <c r="E30" s="21">
        <v>0.83999999999999986</v>
      </c>
      <c r="F30" s="25">
        <v>202</v>
      </c>
    </row>
    <row r="31" spans="2:7" s="20" customFormat="1" hidden="1" outlineLevel="1" x14ac:dyDescent="0.25">
      <c r="B31" s="30" t="s">
        <v>1169</v>
      </c>
      <c r="C31" s="21">
        <v>5.86</v>
      </c>
      <c r="D31" s="21">
        <v>0.66236674816625918</v>
      </c>
      <c r="E31" s="21">
        <v>0.72399999999999987</v>
      </c>
      <c r="F31" s="25">
        <v>208</v>
      </c>
    </row>
    <row r="32" spans="2:7" s="20" customFormat="1" hidden="1" outlineLevel="1" x14ac:dyDescent="0.25">
      <c r="B32" s="30" t="s">
        <v>1181</v>
      </c>
      <c r="C32" s="21">
        <v>5.5</v>
      </c>
      <c r="D32" s="21">
        <v>0.62393154034229825</v>
      </c>
      <c r="E32" s="21">
        <v>0.77999999999999992</v>
      </c>
      <c r="F32" s="25">
        <v>201</v>
      </c>
    </row>
    <row r="33" spans="2:7" s="20" customFormat="1" hidden="1" outlineLevel="1" x14ac:dyDescent="0.25">
      <c r="B33" s="30" t="s">
        <v>1182</v>
      </c>
      <c r="C33" s="21">
        <v>4.9000000000000004</v>
      </c>
      <c r="D33" s="21">
        <v>0.55731051344743276</v>
      </c>
      <c r="E33" s="21">
        <v>0.86999999999999988</v>
      </c>
      <c r="F33" s="25">
        <v>195</v>
      </c>
    </row>
    <row r="34" spans="2:7" s="20" customFormat="1" hidden="1" outlineLevel="1" x14ac:dyDescent="0.25"/>
    <row r="35" spans="2:7" s="20" customFormat="1" hidden="1" outlineLevel="1" x14ac:dyDescent="0.25">
      <c r="C35" s="133" t="s">
        <v>43</v>
      </c>
      <c r="D35" s="133"/>
      <c r="E35" s="133"/>
      <c r="F35" s="133"/>
    </row>
    <row r="36" spans="2:7" s="73" customFormat="1" ht="30" hidden="1" outlineLevel="1" x14ac:dyDescent="0.25">
      <c r="B36" s="72" t="s">
        <v>42</v>
      </c>
      <c r="C36" s="86" t="s">
        <v>41</v>
      </c>
      <c r="D36" s="86" t="s">
        <v>40</v>
      </c>
      <c r="E36" s="86" t="s">
        <v>39</v>
      </c>
      <c r="F36" s="86" t="s">
        <v>38</v>
      </c>
    </row>
    <row r="37" spans="2:7" s="20" customFormat="1" hidden="1" outlineLevel="1" x14ac:dyDescent="0.25">
      <c r="B37" s="30" t="str">
        <f>B28</f>
        <v>1 : 2 : 3</v>
      </c>
      <c r="C37" s="21">
        <f t="shared" ref="C37:F39" si="0">C28*$C$22</f>
        <v>0</v>
      </c>
      <c r="D37" s="21">
        <f t="shared" si="0"/>
        <v>0</v>
      </c>
      <c r="E37" s="21">
        <f t="shared" si="0"/>
        <v>0</v>
      </c>
      <c r="F37" s="25">
        <f t="shared" si="0"/>
        <v>0</v>
      </c>
      <c r="G37" s="20" t="s">
        <v>37</v>
      </c>
    </row>
    <row r="38" spans="2:7" s="20" customFormat="1" hidden="1" outlineLevel="1" x14ac:dyDescent="0.25">
      <c r="B38" s="30" t="str">
        <f>B29</f>
        <v>1 : 2,5 : 3</v>
      </c>
      <c r="C38" s="21">
        <f t="shared" si="0"/>
        <v>0</v>
      </c>
      <c r="D38" s="21">
        <f t="shared" si="0"/>
        <v>0</v>
      </c>
      <c r="E38" s="21">
        <f t="shared" si="0"/>
        <v>0</v>
      </c>
      <c r="F38" s="25">
        <f t="shared" si="0"/>
        <v>0</v>
      </c>
    </row>
    <row r="39" spans="2:7" s="20" customFormat="1" hidden="1" outlineLevel="1" x14ac:dyDescent="0.25">
      <c r="B39" s="30" t="str">
        <f>B30</f>
        <v>1 : 2 : 4</v>
      </c>
      <c r="C39" s="21">
        <f t="shared" si="0"/>
        <v>0</v>
      </c>
      <c r="D39" s="21">
        <f t="shared" si="0"/>
        <v>0</v>
      </c>
      <c r="E39" s="21">
        <f t="shared" si="0"/>
        <v>0</v>
      </c>
      <c r="F39" s="25">
        <f t="shared" si="0"/>
        <v>0</v>
      </c>
    </row>
    <row r="40" spans="2:7" s="20" customFormat="1" hidden="1" outlineLevel="1" x14ac:dyDescent="0.25">
      <c r="B40" s="30" t="str">
        <f t="shared" ref="B40:B42" si="1">B31</f>
        <v>1 : 2,5 : 3,5</v>
      </c>
      <c r="C40" s="21">
        <f t="shared" ref="C40:F40" si="2">C31*$C$22</f>
        <v>0</v>
      </c>
      <c r="D40" s="21">
        <f t="shared" si="2"/>
        <v>0</v>
      </c>
      <c r="E40" s="21">
        <f t="shared" si="2"/>
        <v>0</v>
      </c>
      <c r="F40" s="25">
        <f t="shared" si="2"/>
        <v>0</v>
      </c>
    </row>
    <row r="41" spans="2:7" s="20" customFormat="1" hidden="1" outlineLevel="1" x14ac:dyDescent="0.25">
      <c r="B41" s="30" t="str">
        <f t="shared" si="1"/>
        <v>1 : 2,5 : 4</v>
      </c>
      <c r="C41" s="21">
        <f t="shared" ref="C41:F41" si="3">C32*$C$22</f>
        <v>0</v>
      </c>
      <c r="D41" s="21">
        <f t="shared" si="3"/>
        <v>0</v>
      </c>
      <c r="E41" s="21">
        <f t="shared" si="3"/>
        <v>0</v>
      </c>
      <c r="F41" s="25">
        <f t="shared" si="3"/>
        <v>0</v>
      </c>
    </row>
    <row r="42" spans="2:7" s="20" customFormat="1" hidden="1" outlineLevel="1" x14ac:dyDescent="0.25">
      <c r="B42" s="30" t="str">
        <f t="shared" si="1"/>
        <v>1 : 2,5 : 5</v>
      </c>
      <c r="C42" s="21">
        <f t="shared" ref="C42:F42" si="4">C33*$C$22</f>
        <v>0</v>
      </c>
      <c r="D42" s="21">
        <f t="shared" si="4"/>
        <v>0</v>
      </c>
      <c r="E42" s="21">
        <f t="shared" si="4"/>
        <v>0</v>
      </c>
      <c r="F42" s="25">
        <f t="shared" si="4"/>
        <v>0</v>
      </c>
    </row>
    <row r="43" spans="2:7" s="20" customFormat="1" hidden="1" outlineLevel="1" x14ac:dyDescent="0.25">
      <c r="B43" s="30"/>
      <c r="C43" s="21"/>
      <c r="D43" s="21"/>
      <c r="E43" s="21"/>
      <c r="F43" s="25"/>
    </row>
    <row r="44" spans="2:7" s="20" customFormat="1" hidden="1" outlineLevel="1" x14ac:dyDescent="0.25">
      <c r="B44" s="19" t="s">
        <v>226</v>
      </c>
    </row>
    <row r="45" spans="2:7" s="20" customFormat="1" hidden="1" outlineLevel="1" x14ac:dyDescent="0.25">
      <c r="C45" s="21"/>
    </row>
    <row r="46" spans="2:7" s="20" customFormat="1" hidden="1" outlineLevel="1" x14ac:dyDescent="0.25">
      <c r="B46" s="20" t="s">
        <v>60</v>
      </c>
      <c r="C46" s="85">
        <v>5</v>
      </c>
      <c r="D46" s="20" t="s">
        <v>56</v>
      </c>
    </row>
    <row r="47" spans="2:7" s="20" customFormat="1" hidden="1" outlineLevel="1" x14ac:dyDescent="0.25">
      <c r="B47" s="20" t="s">
        <v>59</v>
      </c>
      <c r="C47" s="21">
        <f>C19*((C46/100))*C11</f>
        <v>0</v>
      </c>
      <c r="D47" s="20" t="s">
        <v>32</v>
      </c>
    </row>
    <row r="48" spans="2:7" s="20" customFormat="1" hidden="1" outlineLevel="1" x14ac:dyDescent="0.25">
      <c r="B48" s="20" t="s">
        <v>718</v>
      </c>
      <c r="C48" s="21">
        <f>C47*(1+'LEIA-ME'!$D$31)</f>
        <v>0</v>
      </c>
      <c r="D48" s="20" t="s">
        <v>32</v>
      </c>
    </row>
    <row r="49" spans="2:11" s="20" customFormat="1" hidden="1" outlineLevel="1" x14ac:dyDescent="0.25"/>
    <row r="50" spans="2:11" s="20" customFormat="1" hidden="1" outlineLevel="1" x14ac:dyDescent="0.25">
      <c r="B50" s="19" t="s">
        <v>609</v>
      </c>
      <c r="K50" s="20" t="s">
        <v>704</v>
      </c>
    </row>
    <row r="51" spans="2:11" s="20" customFormat="1" hidden="1" outlineLevel="1" x14ac:dyDescent="0.25">
      <c r="K51" s="20" t="s">
        <v>108</v>
      </c>
    </row>
    <row r="52" spans="2:11" s="20" customFormat="1" hidden="1" outlineLevel="1" x14ac:dyDescent="0.25">
      <c r="B52" s="20" t="s">
        <v>671</v>
      </c>
      <c r="C52" s="33">
        <v>1</v>
      </c>
      <c r="D52" s="20" t="s">
        <v>53</v>
      </c>
      <c r="K52" s="20" t="s">
        <v>15</v>
      </c>
    </row>
    <row r="53" spans="2:11" s="20" customFormat="1" hidden="1" outlineLevel="1" x14ac:dyDescent="0.25">
      <c r="B53" s="20" t="s">
        <v>140</v>
      </c>
      <c r="C53" s="37">
        <f>C14*(C10+C52)</f>
        <v>0</v>
      </c>
      <c r="D53" s="20" t="s">
        <v>53</v>
      </c>
    </row>
    <row r="54" spans="2:11" s="20" customFormat="1" hidden="1" outlineLevel="1" x14ac:dyDescent="0.25">
      <c r="B54" s="20" t="s">
        <v>141</v>
      </c>
      <c r="C54" s="37">
        <f>C53*C11</f>
        <v>0</v>
      </c>
      <c r="D54" s="20" t="s">
        <v>53</v>
      </c>
    </row>
    <row r="55" spans="2:11" s="20" customFormat="1" hidden="1" outlineLevel="1" x14ac:dyDescent="0.25">
      <c r="B55" s="20" t="s">
        <v>719</v>
      </c>
      <c r="C55" s="37">
        <f>C54*(1+'LEIA-ME'!$D$31)</f>
        <v>0</v>
      </c>
      <c r="D55" s="20" t="s">
        <v>53</v>
      </c>
    </row>
    <row r="56" spans="2:11" s="20" customFormat="1" hidden="1" outlineLevel="1" x14ac:dyDescent="0.25">
      <c r="B56" s="20" t="s">
        <v>664</v>
      </c>
      <c r="C56" s="23">
        <v>12</v>
      </c>
      <c r="D56" s="20" t="s">
        <v>53</v>
      </c>
    </row>
    <row r="57" spans="2:11" s="20" customFormat="1" hidden="1" outlineLevel="1" x14ac:dyDescent="0.25">
      <c r="B57" s="20" t="s">
        <v>72</v>
      </c>
      <c r="C57" s="37">
        <f>C55/C56</f>
        <v>0</v>
      </c>
      <c r="D57" s="20" t="s">
        <v>64</v>
      </c>
    </row>
    <row r="58" spans="2:11" s="20" customFormat="1" hidden="1" outlineLevel="1" x14ac:dyDescent="0.25"/>
    <row r="59" spans="2:11" s="20" customFormat="1" hidden="1" outlineLevel="1" x14ac:dyDescent="0.25">
      <c r="B59" s="19" t="s">
        <v>73</v>
      </c>
    </row>
    <row r="60" spans="2:11" s="20" customFormat="1" hidden="1" outlineLevel="1" x14ac:dyDescent="0.25"/>
    <row r="61" spans="2:11" s="20" customFormat="1" hidden="1" outlineLevel="1" x14ac:dyDescent="0.25">
      <c r="B61" s="20" t="s">
        <v>666</v>
      </c>
      <c r="C61" s="85">
        <v>0.02</v>
      </c>
      <c r="D61" s="20" t="s">
        <v>650</v>
      </c>
    </row>
    <row r="62" spans="2:11" s="20" customFormat="1" hidden="1" outlineLevel="1" x14ac:dyDescent="0.25">
      <c r="B62" s="20" t="s">
        <v>615</v>
      </c>
      <c r="C62" s="21">
        <f>C54*C61*(1+'LEIA-ME'!$D$31)</f>
        <v>0</v>
      </c>
      <c r="D62" s="20" t="s">
        <v>49</v>
      </c>
    </row>
    <row r="63" spans="2:11" s="20" customFormat="1" hidden="1" outlineLevel="1" x14ac:dyDescent="0.25">
      <c r="B63" s="20" t="s">
        <v>668</v>
      </c>
      <c r="C63" s="23">
        <v>5</v>
      </c>
      <c r="D63" s="20" t="s">
        <v>667</v>
      </c>
    </row>
    <row r="64" spans="2:11" s="20" customFormat="1" hidden="1" outlineLevel="1" x14ac:dyDescent="0.25">
      <c r="B64" s="20" t="s">
        <v>622</v>
      </c>
      <c r="C64" s="25">
        <f>C54*C63*(1+'LEIA-ME'!$D$31)</f>
        <v>0</v>
      </c>
      <c r="D64" s="20" t="s">
        <v>644</v>
      </c>
    </row>
    <row r="65" spans="1:8" hidden="1" outlineLevel="1" x14ac:dyDescent="0.25"/>
    <row r="66" spans="1:8" collapsed="1" x14ac:dyDescent="0.25">
      <c r="B66" s="27" t="s">
        <v>5</v>
      </c>
      <c r="C66" s="28" t="s">
        <v>46</v>
      </c>
      <c r="D66" s="28" t="s">
        <v>6</v>
      </c>
    </row>
    <row r="67" spans="1:8" ht="17.25" x14ac:dyDescent="0.25">
      <c r="B67" s="88" t="s">
        <v>591</v>
      </c>
      <c r="C67" s="91" t="s">
        <v>80</v>
      </c>
      <c r="D67" s="87">
        <f>IF(C12="Usinado",C22,0)</f>
        <v>0</v>
      </c>
    </row>
    <row r="68" spans="1:8" x14ac:dyDescent="0.25">
      <c r="B68" s="88" t="s">
        <v>36</v>
      </c>
      <c r="C68" s="91" t="s">
        <v>35</v>
      </c>
      <c r="D68" s="87">
        <f>IFERROR(IF(C12="Feito na obra",VLOOKUP($C$13,B$36:$F$42,2,0),0),0)</f>
        <v>0</v>
      </c>
      <c r="G68" s="24"/>
    </row>
    <row r="69" spans="1:8" ht="17.25" x14ac:dyDescent="0.25">
      <c r="B69" s="88" t="s">
        <v>34</v>
      </c>
      <c r="C69" s="91" t="s">
        <v>80</v>
      </c>
      <c r="D69" s="87">
        <f>IFERROR(IF(C12="Feito na obra",VLOOKUP($C$13,B$36:$F$42,3,0),0),0)</f>
        <v>0</v>
      </c>
    </row>
    <row r="70" spans="1:8" ht="17.25" x14ac:dyDescent="0.25">
      <c r="B70" s="88" t="s">
        <v>33</v>
      </c>
      <c r="C70" s="91" t="s">
        <v>80</v>
      </c>
      <c r="D70" s="87">
        <f>IFERROR(IF(C12="Feito na obra",VLOOKUP($C$13,B$36:$F$42,4,0),0),0)</f>
        <v>0</v>
      </c>
    </row>
    <row r="71" spans="1:8" ht="17.25" x14ac:dyDescent="0.25">
      <c r="B71" s="88" t="s">
        <v>61</v>
      </c>
      <c r="C71" s="91" t="s">
        <v>80</v>
      </c>
      <c r="D71" s="87">
        <f>C48</f>
        <v>0</v>
      </c>
    </row>
    <row r="72" spans="1:8" x14ac:dyDescent="0.25">
      <c r="B72" s="88" t="str">
        <f>"Barra de aço CA-25, "&amp;C15</f>
        <v xml:space="preserve">Barra de aço CA-25, </v>
      </c>
      <c r="C72" s="91" t="s">
        <v>642</v>
      </c>
      <c r="D72" s="87">
        <f>C57</f>
        <v>0</v>
      </c>
    </row>
    <row r="73" spans="1:8" x14ac:dyDescent="0.25">
      <c r="B73" s="88" t="s">
        <v>74</v>
      </c>
      <c r="C73" s="91" t="s">
        <v>641</v>
      </c>
      <c r="D73" s="87">
        <f>C62</f>
        <v>0</v>
      </c>
    </row>
    <row r="74" spans="1:8" x14ac:dyDescent="0.25">
      <c r="B74" s="88" t="s">
        <v>231</v>
      </c>
      <c r="C74" s="91" t="s">
        <v>50</v>
      </c>
      <c r="D74" s="87">
        <f>C64</f>
        <v>0</v>
      </c>
    </row>
    <row r="77" spans="1:8" s="5" customFormat="1" ht="18.75" x14ac:dyDescent="0.3">
      <c r="A77" s="7"/>
      <c r="B77" s="132" t="s">
        <v>576</v>
      </c>
      <c r="C77" s="132"/>
      <c r="D77" s="132"/>
      <c r="E77" s="7"/>
      <c r="F77" s="7"/>
      <c r="H77" s="22"/>
    </row>
    <row r="78" spans="1:8" s="5" customFormat="1" x14ac:dyDescent="0.25">
      <c r="A78" s="7"/>
      <c r="B78" s="7"/>
      <c r="C78" s="7"/>
      <c r="D78" s="7"/>
      <c r="E78" s="7"/>
      <c r="F78" s="7"/>
      <c r="H78" s="22"/>
    </row>
    <row r="79" spans="1:8" x14ac:dyDescent="0.25">
      <c r="B79" s="9" t="s">
        <v>2</v>
      </c>
    </row>
    <row r="81" spans="2:7" x14ac:dyDescent="0.25">
      <c r="B81" s="7" t="s">
        <v>65</v>
      </c>
      <c r="C81" s="23"/>
      <c r="D81" s="7" t="s">
        <v>56</v>
      </c>
    </row>
    <row r="82" spans="2:7" x14ac:dyDescent="0.25">
      <c r="B82" s="7" t="s">
        <v>66</v>
      </c>
      <c r="C82" s="23"/>
      <c r="D82" s="7" t="s">
        <v>56</v>
      </c>
      <c r="G82" s="24"/>
    </row>
    <row r="83" spans="2:7" x14ac:dyDescent="0.25">
      <c r="B83" s="7" t="s">
        <v>67</v>
      </c>
      <c r="C83" s="33"/>
      <c r="D83" s="7" t="s">
        <v>53</v>
      </c>
    </row>
    <row r="84" spans="2:7" x14ac:dyDescent="0.25">
      <c r="B84" s="7" t="s">
        <v>225</v>
      </c>
      <c r="C84" s="29"/>
    </row>
    <row r="85" spans="2:7" x14ac:dyDescent="0.25">
      <c r="B85" s="7" t="s">
        <v>57</v>
      </c>
      <c r="C85" s="29"/>
      <c r="D85" s="7" t="s">
        <v>1193</v>
      </c>
    </row>
    <row r="87" spans="2:7" s="20" customFormat="1" hidden="1" outlineLevel="1" x14ac:dyDescent="0.25">
      <c r="B87" s="19" t="s">
        <v>118</v>
      </c>
    </row>
    <row r="88" spans="2:7" s="20" customFormat="1" hidden="1" outlineLevel="1" x14ac:dyDescent="0.25"/>
    <row r="89" spans="2:7" s="20" customFormat="1" hidden="1" outlineLevel="1" x14ac:dyDescent="0.25">
      <c r="B89" s="20" t="s">
        <v>661</v>
      </c>
      <c r="C89" s="21">
        <f>(C81/100)*(C82/100)</f>
        <v>0</v>
      </c>
      <c r="D89" s="20" t="s">
        <v>643</v>
      </c>
    </row>
    <row r="90" spans="2:7" s="20" customFormat="1" hidden="1" outlineLevel="1" x14ac:dyDescent="0.25">
      <c r="B90" s="20" t="s">
        <v>662</v>
      </c>
      <c r="C90" s="21">
        <f>C89*C83</f>
        <v>0</v>
      </c>
      <c r="D90" s="20" t="s">
        <v>32</v>
      </c>
    </row>
    <row r="91" spans="2:7" s="20" customFormat="1" hidden="1" outlineLevel="1" x14ac:dyDescent="0.25">
      <c r="B91" s="20" t="s">
        <v>613</v>
      </c>
      <c r="C91" s="21">
        <f>C90*(1+'LEIA-ME'!$D$31)</f>
        <v>0</v>
      </c>
      <c r="D91" s="20" t="s">
        <v>32</v>
      </c>
    </row>
    <row r="92" spans="2:7" s="20" customFormat="1" hidden="1" outlineLevel="1" x14ac:dyDescent="0.25"/>
    <row r="93" spans="2:7" s="20" customFormat="1" hidden="1" outlineLevel="1" x14ac:dyDescent="0.25">
      <c r="B93" s="19" t="s">
        <v>125</v>
      </c>
    </row>
    <row r="94" spans="2:7" s="20" customFormat="1" hidden="1" outlineLevel="1" x14ac:dyDescent="0.25"/>
    <row r="95" spans="2:7" s="20" customFormat="1" hidden="1" outlineLevel="1" x14ac:dyDescent="0.25">
      <c r="C95" s="133" t="s">
        <v>45</v>
      </c>
      <c r="D95" s="133"/>
      <c r="E95" s="133"/>
      <c r="F95" s="133"/>
    </row>
    <row r="96" spans="2:7" s="73" customFormat="1" ht="30" hidden="1" outlineLevel="1" x14ac:dyDescent="0.25">
      <c r="B96" s="72" t="s">
        <v>42</v>
      </c>
      <c r="C96" s="86" t="s">
        <v>41</v>
      </c>
      <c r="D96" s="86" t="s">
        <v>40</v>
      </c>
      <c r="E96" s="86" t="s">
        <v>39</v>
      </c>
      <c r="F96" s="86" t="s">
        <v>38</v>
      </c>
    </row>
    <row r="97" spans="2:7" s="20" customFormat="1" hidden="1" outlineLevel="1" x14ac:dyDescent="0.25">
      <c r="B97" s="30" t="s">
        <v>1166</v>
      </c>
      <c r="C97" s="21">
        <v>6.9</v>
      </c>
      <c r="D97" s="21">
        <v>0.62265036674816632</v>
      </c>
      <c r="E97" s="21">
        <v>0.72799999999999987</v>
      </c>
      <c r="F97" s="25">
        <v>210</v>
      </c>
      <c r="G97" s="20" t="s">
        <v>44</v>
      </c>
    </row>
    <row r="98" spans="2:7" s="20" customFormat="1" hidden="1" outlineLevel="1" x14ac:dyDescent="0.25">
      <c r="B98" s="30" t="s">
        <v>1167</v>
      </c>
      <c r="C98" s="21">
        <v>6.4</v>
      </c>
      <c r="D98" s="21">
        <v>0.72001955990220046</v>
      </c>
      <c r="E98" s="21">
        <v>0.67399999999999993</v>
      </c>
      <c r="F98" s="25">
        <v>207</v>
      </c>
    </row>
    <row r="99" spans="2:7" s="20" customFormat="1" hidden="1" outlineLevel="1" x14ac:dyDescent="0.25">
      <c r="B99" s="30" t="s">
        <v>1168</v>
      </c>
      <c r="C99" s="21">
        <v>5.94</v>
      </c>
      <c r="D99" s="21">
        <v>0.5380929095354523</v>
      </c>
      <c r="E99" s="21">
        <v>0.83999999999999986</v>
      </c>
      <c r="F99" s="25">
        <v>202</v>
      </c>
    </row>
    <row r="100" spans="2:7" s="20" customFormat="1" hidden="1" outlineLevel="1" x14ac:dyDescent="0.25">
      <c r="B100" s="30" t="s">
        <v>1169</v>
      </c>
      <c r="C100" s="21">
        <v>5.86</v>
      </c>
      <c r="D100" s="21">
        <v>0.66236674816625918</v>
      </c>
      <c r="E100" s="21">
        <v>0.72399999999999987</v>
      </c>
      <c r="F100" s="25">
        <v>208</v>
      </c>
    </row>
    <row r="101" spans="2:7" s="20" customFormat="1" hidden="1" outlineLevel="1" x14ac:dyDescent="0.25">
      <c r="B101" s="30" t="s">
        <v>1181</v>
      </c>
      <c r="C101" s="21">
        <v>5.5</v>
      </c>
      <c r="D101" s="21">
        <v>0.62393154034229825</v>
      </c>
      <c r="E101" s="21">
        <v>0.77999999999999992</v>
      </c>
      <c r="F101" s="25">
        <v>201</v>
      </c>
    </row>
    <row r="102" spans="2:7" s="20" customFormat="1" hidden="1" outlineLevel="1" x14ac:dyDescent="0.25">
      <c r="B102" s="30" t="s">
        <v>1182</v>
      </c>
      <c r="C102" s="21">
        <v>4.9000000000000004</v>
      </c>
      <c r="D102" s="21">
        <v>0.55731051344743276</v>
      </c>
      <c r="E102" s="21">
        <v>0.86999999999999988</v>
      </c>
      <c r="F102" s="25">
        <v>195</v>
      </c>
    </row>
    <row r="103" spans="2:7" s="20" customFormat="1" hidden="1" outlineLevel="1" x14ac:dyDescent="0.25"/>
    <row r="104" spans="2:7" s="20" customFormat="1" hidden="1" outlineLevel="1" x14ac:dyDescent="0.25">
      <c r="C104" s="133" t="s">
        <v>43</v>
      </c>
      <c r="D104" s="133"/>
      <c r="E104" s="133"/>
      <c r="F104" s="133"/>
    </row>
    <row r="105" spans="2:7" s="73" customFormat="1" ht="30" hidden="1" outlineLevel="1" x14ac:dyDescent="0.25">
      <c r="B105" s="72" t="s">
        <v>42</v>
      </c>
      <c r="C105" s="86" t="s">
        <v>41</v>
      </c>
      <c r="D105" s="86" t="s">
        <v>40</v>
      </c>
      <c r="E105" s="86" t="s">
        <v>39</v>
      </c>
      <c r="F105" s="86" t="s">
        <v>38</v>
      </c>
    </row>
    <row r="106" spans="2:7" s="20" customFormat="1" hidden="1" outlineLevel="1" x14ac:dyDescent="0.25">
      <c r="B106" s="30" t="str">
        <f>B97</f>
        <v>1 : 2 : 3</v>
      </c>
      <c r="C106" s="21">
        <f t="shared" ref="C106:F107" si="5">C97*$C$91</f>
        <v>0</v>
      </c>
      <c r="D106" s="21">
        <f t="shared" si="5"/>
        <v>0</v>
      </c>
      <c r="E106" s="21">
        <f t="shared" si="5"/>
        <v>0</v>
      </c>
      <c r="F106" s="25">
        <f t="shared" si="5"/>
        <v>0</v>
      </c>
      <c r="G106" s="20" t="s">
        <v>37</v>
      </c>
    </row>
    <row r="107" spans="2:7" s="20" customFormat="1" hidden="1" outlineLevel="1" x14ac:dyDescent="0.25">
      <c r="B107" s="30" t="str">
        <f>B98</f>
        <v>1 : 2,5 : 3</v>
      </c>
      <c r="C107" s="21">
        <f t="shared" si="5"/>
        <v>0</v>
      </c>
      <c r="D107" s="21">
        <f t="shared" si="5"/>
        <v>0</v>
      </c>
      <c r="E107" s="21">
        <f t="shared" si="5"/>
        <v>0</v>
      </c>
      <c r="F107" s="25">
        <f t="shared" si="5"/>
        <v>0</v>
      </c>
    </row>
    <row r="108" spans="2:7" s="20" customFormat="1" hidden="1" outlineLevel="1" x14ac:dyDescent="0.25">
      <c r="B108" s="30" t="str">
        <f t="shared" ref="B108:B111" si="6">B99</f>
        <v>1 : 2 : 4</v>
      </c>
      <c r="C108" s="21">
        <f t="shared" ref="C108:F108" si="7">C99*$C$91</f>
        <v>0</v>
      </c>
      <c r="D108" s="21">
        <f t="shared" si="7"/>
        <v>0</v>
      </c>
      <c r="E108" s="21">
        <f t="shared" si="7"/>
        <v>0</v>
      </c>
      <c r="F108" s="25">
        <f t="shared" si="7"/>
        <v>0</v>
      </c>
    </row>
    <row r="109" spans="2:7" s="20" customFormat="1" hidden="1" outlineLevel="1" x14ac:dyDescent="0.25">
      <c r="B109" s="30" t="str">
        <f t="shared" si="6"/>
        <v>1 : 2,5 : 3,5</v>
      </c>
      <c r="C109" s="21">
        <f t="shared" ref="C109:F109" si="8">C100*$C$91</f>
        <v>0</v>
      </c>
      <c r="D109" s="21">
        <f t="shared" si="8"/>
        <v>0</v>
      </c>
      <c r="E109" s="21">
        <f t="shared" si="8"/>
        <v>0</v>
      </c>
      <c r="F109" s="25">
        <f t="shared" si="8"/>
        <v>0</v>
      </c>
    </row>
    <row r="110" spans="2:7" s="20" customFormat="1" hidden="1" outlineLevel="1" x14ac:dyDescent="0.25">
      <c r="B110" s="30" t="str">
        <f t="shared" si="6"/>
        <v>1 : 2,5 : 4</v>
      </c>
      <c r="C110" s="21">
        <f t="shared" ref="C110:F110" si="9">C101*$C$91</f>
        <v>0</v>
      </c>
      <c r="D110" s="21">
        <f t="shared" si="9"/>
        <v>0</v>
      </c>
      <c r="E110" s="21">
        <f t="shared" si="9"/>
        <v>0</v>
      </c>
      <c r="F110" s="25">
        <f t="shared" si="9"/>
        <v>0</v>
      </c>
    </row>
    <row r="111" spans="2:7" s="20" customFormat="1" hidden="1" outlineLevel="1" x14ac:dyDescent="0.25">
      <c r="B111" s="30" t="str">
        <f t="shared" si="6"/>
        <v>1 : 2,5 : 5</v>
      </c>
      <c r="C111" s="21">
        <f t="shared" ref="C111:F111" si="10">C102*$C$91</f>
        <v>0</v>
      </c>
      <c r="D111" s="21">
        <f t="shared" si="10"/>
        <v>0</v>
      </c>
      <c r="E111" s="21">
        <f t="shared" si="10"/>
        <v>0</v>
      </c>
      <c r="F111" s="25">
        <f t="shared" si="10"/>
        <v>0</v>
      </c>
    </row>
    <row r="112" spans="2:7" hidden="1" outlineLevel="1" x14ac:dyDescent="0.25"/>
    <row r="113" spans="1:13" collapsed="1" x14ac:dyDescent="0.25">
      <c r="B113" s="27" t="s">
        <v>5</v>
      </c>
      <c r="C113" s="28" t="s">
        <v>46</v>
      </c>
      <c r="D113" s="28" t="s">
        <v>6</v>
      </c>
    </row>
    <row r="114" spans="1:13" ht="17.25" x14ac:dyDescent="0.25">
      <c r="B114" s="88" t="s">
        <v>58</v>
      </c>
      <c r="C114" s="91" t="s">
        <v>80</v>
      </c>
      <c r="D114" s="87">
        <f>IF(C84="Usinado",C91,0)</f>
        <v>0</v>
      </c>
    </row>
    <row r="115" spans="1:13" x14ac:dyDescent="0.25">
      <c r="B115" s="88" t="s">
        <v>36</v>
      </c>
      <c r="C115" s="91" t="s">
        <v>35</v>
      </c>
      <c r="D115" s="87">
        <f>IFERROR(IF(C84="feito na obra",VLOOKUP($C$85,$B$105:$F$111,2,0),0),0)</f>
        <v>0</v>
      </c>
    </row>
    <row r="116" spans="1:13" ht="17.25" x14ac:dyDescent="0.25">
      <c r="B116" s="88" t="s">
        <v>34</v>
      </c>
      <c r="C116" s="91" t="s">
        <v>80</v>
      </c>
      <c r="D116" s="87">
        <f>IFERROR(IF(C84="feito na obra",VLOOKUP($C$85,$B$105:$F$111,3,0),0),0)</f>
        <v>0</v>
      </c>
    </row>
    <row r="117" spans="1:13" ht="17.25" x14ac:dyDescent="0.25">
      <c r="B117" s="88" t="s">
        <v>33</v>
      </c>
      <c r="C117" s="91" t="s">
        <v>80</v>
      </c>
      <c r="D117" s="87">
        <f>IFERROR(IF(C84="feito na obra",VLOOKUP($C$85,$B$105:$F$111,4,0),0),0)</f>
        <v>0</v>
      </c>
    </row>
    <row r="120" spans="1:13" s="5" customFormat="1" ht="18.75" x14ac:dyDescent="0.3">
      <c r="A120" s="7"/>
      <c r="B120" s="132" t="s">
        <v>577</v>
      </c>
      <c r="C120" s="132"/>
      <c r="D120" s="132"/>
      <c r="E120" s="7"/>
      <c r="F120" s="7"/>
      <c r="H120" s="22"/>
    </row>
    <row r="121" spans="1:13" s="5" customFormat="1" x14ac:dyDescent="0.25">
      <c r="A121" s="7"/>
      <c r="B121" s="7"/>
      <c r="C121" s="7"/>
      <c r="D121" s="7"/>
      <c r="E121" s="7"/>
      <c r="F121" s="7"/>
      <c r="H121" s="22"/>
    </row>
    <row r="122" spans="1:13" s="20" customFormat="1" hidden="1" outlineLevel="1" x14ac:dyDescent="0.25">
      <c r="B122" s="19" t="s">
        <v>124</v>
      </c>
      <c r="M122" s="31"/>
    </row>
    <row r="123" spans="1:13" s="20" customFormat="1" hidden="1" outlineLevel="1" x14ac:dyDescent="0.25">
      <c r="M123" s="31"/>
    </row>
    <row r="124" spans="1:13" s="20" customFormat="1" hidden="1" outlineLevel="1" x14ac:dyDescent="0.25">
      <c r="B124" s="20" t="s">
        <v>661</v>
      </c>
      <c r="C124" s="21">
        <f>(C81/100)*(C82/100)</f>
        <v>0</v>
      </c>
      <c r="D124" s="20" t="s">
        <v>643</v>
      </c>
      <c r="M124" s="31"/>
    </row>
    <row r="125" spans="1:13" s="20" customFormat="1" hidden="1" outlineLevel="1" x14ac:dyDescent="0.25">
      <c r="B125" s="20" t="s">
        <v>662</v>
      </c>
      <c r="C125" s="21">
        <f>C124*C83</f>
        <v>0</v>
      </c>
      <c r="D125" s="20" t="s">
        <v>32</v>
      </c>
      <c r="M125" s="31"/>
    </row>
    <row r="126" spans="1:13" s="20" customFormat="1" hidden="1" outlineLevel="1" x14ac:dyDescent="0.25">
      <c r="B126" s="20" t="s">
        <v>613</v>
      </c>
      <c r="C126" s="21">
        <f>C125*(1+'LEIA-ME'!$D$31)</f>
        <v>0</v>
      </c>
      <c r="D126" s="20" t="s">
        <v>32</v>
      </c>
      <c r="M126" s="31"/>
    </row>
    <row r="127" spans="1:13" s="20" customFormat="1" hidden="1" outlineLevel="1" x14ac:dyDescent="0.25">
      <c r="M127" s="31"/>
    </row>
    <row r="128" spans="1:13" s="20" customFormat="1" hidden="1" outlineLevel="1" x14ac:dyDescent="0.25">
      <c r="C128" s="133" t="s">
        <v>45</v>
      </c>
      <c r="D128" s="133"/>
      <c r="E128" s="133"/>
      <c r="F128" s="133"/>
      <c r="M128" s="31"/>
    </row>
    <row r="129" spans="1:13" s="73" customFormat="1" ht="30" hidden="1" outlineLevel="1" x14ac:dyDescent="0.25">
      <c r="B129" s="72" t="s">
        <v>42</v>
      </c>
      <c r="C129" s="86" t="s">
        <v>41</v>
      </c>
      <c r="D129" s="86" t="s">
        <v>40</v>
      </c>
      <c r="E129" s="86" t="s">
        <v>39</v>
      </c>
      <c r="F129" s="86" t="s">
        <v>38</v>
      </c>
      <c r="M129" s="74"/>
    </row>
    <row r="130" spans="1:13" s="20" customFormat="1" hidden="1" outlineLevel="1" x14ac:dyDescent="0.25">
      <c r="B130" s="30" t="s">
        <v>1170</v>
      </c>
      <c r="C130" s="21">
        <v>3.22</v>
      </c>
      <c r="D130" s="21">
        <v>0.58399999999999996</v>
      </c>
      <c r="E130" s="21">
        <v>0.91200000000000003</v>
      </c>
      <c r="F130" s="25">
        <v>194</v>
      </c>
      <c r="G130" s="20" t="s">
        <v>44</v>
      </c>
      <c r="M130" s="31"/>
    </row>
    <row r="131" spans="1:13" s="20" customFormat="1" hidden="1" outlineLevel="1" x14ac:dyDescent="0.25">
      <c r="M131" s="31"/>
    </row>
    <row r="132" spans="1:13" s="20" customFormat="1" hidden="1" outlineLevel="1" x14ac:dyDescent="0.25">
      <c r="C132" s="133" t="s">
        <v>43</v>
      </c>
      <c r="D132" s="133"/>
      <c r="E132" s="133"/>
      <c r="F132" s="133"/>
      <c r="M132" s="31"/>
    </row>
    <row r="133" spans="1:13" s="73" customFormat="1" ht="30" hidden="1" outlineLevel="1" x14ac:dyDescent="0.25">
      <c r="B133" s="72" t="s">
        <v>42</v>
      </c>
      <c r="C133" s="86" t="s">
        <v>41</v>
      </c>
      <c r="D133" s="86" t="s">
        <v>40</v>
      </c>
      <c r="E133" s="86" t="s">
        <v>39</v>
      </c>
      <c r="F133" s="86" t="s">
        <v>38</v>
      </c>
      <c r="M133" s="74"/>
    </row>
    <row r="134" spans="1:13" s="20" customFormat="1" hidden="1" outlineLevel="1" x14ac:dyDescent="0.25">
      <c r="B134" s="30" t="str">
        <f>B130</f>
        <v>1 : 4 : 8</v>
      </c>
      <c r="C134" s="21">
        <f>C130*$C$125</f>
        <v>0</v>
      </c>
      <c r="D134" s="21">
        <f>D130*$C$125</f>
        <v>0</v>
      </c>
      <c r="E134" s="21">
        <f>E130*$C$125</f>
        <v>0</v>
      </c>
      <c r="F134" s="25">
        <f>F130*$C$125</f>
        <v>0</v>
      </c>
      <c r="G134" s="20" t="s">
        <v>37</v>
      </c>
      <c r="M134" s="31"/>
    </row>
    <row r="135" spans="1:13" hidden="1" outlineLevel="1" x14ac:dyDescent="0.25">
      <c r="M135" s="4"/>
    </row>
    <row r="136" spans="1:13" collapsed="1" x14ac:dyDescent="0.25">
      <c r="B136" s="27" t="s">
        <v>5</v>
      </c>
      <c r="C136" s="28" t="s">
        <v>46</v>
      </c>
      <c r="D136" s="28" t="s">
        <v>6</v>
      </c>
    </row>
    <row r="137" spans="1:13" x14ac:dyDescent="0.25">
      <c r="B137" s="88" t="s">
        <v>36</v>
      </c>
      <c r="C137" s="91" t="s">
        <v>35</v>
      </c>
      <c r="D137" s="87">
        <f>C134</f>
        <v>0</v>
      </c>
      <c r="M137" s="4"/>
    </row>
    <row r="138" spans="1:13" x14ac:dyDescent="0.25">
      <c r="B138" s="88" t="s">
        <v>34</v>
      </c>
      <c r="C138" s="91" t="s">
        <v>32</v>
      </c>
      <c r="D138" s="87">
        <f>D134</f>
        <v>0</v>
      </c>
      <c r="M138" s="4"/>
    </row>
    <row r="139" spans="1:13" x14ac:dyDescent="0.25">
      <c r="B139" s="88" t="s">
        <v>33</v>
      </c>
      <c r="C139" s="91" t="s">
        <v>32</v>
      </c>
      <c r="D139" s="87">
        <f>E134</f>
        <v>0</v>
      </c>
      <c r="M139" s="4"/>
    </row>
    <row r="142" spans="1:13" s="5" customFormat="1" ht="18.75" x14ac:dyDescent="0.3">
      <c r="A142" s="7"/>
      <c r="B142" s="132" t="s">
        <v>578</v>
      </c>
      <c r="C142" s="132"/>
      <c r="D142" s="132"/>
      <c r="E142" s="7"/>
      <c r="F142" s="7"/>
      <c r="H142" s="22"/>
    </row>
    <row r="143" spans="1:13" s="5" customFormat="1" x14ac:dyDescent="0.25">
      <c r="A143" s="7"/>
      <c r="B143" s="7"/>
      <c r="C143" s="7"/>
      <c r="D143" s="7"/>
      <c r="E143" s="7"/>
      <c r="F143" s="7"/>
      <c r="H143" s="22"/>
    </row>
    <row r="144" spans="1:13" x14ac:dyDescent="0.25">
      <c r="B144" s="9" t="s">
        <v>2</v>
      </c>
    </row>
    <row r="146" spans="2:7" x14ac:dyDescent="0.25">
      <c r="B146" s="7" t="s">
        <v>62</v>
      </c>
      <c r="C146" s="23"/>
      <c r="D146" s="7" t="s">
        <v>64</v>
      </c>
    </row>
    <row r="147" spans="2:7" x14ac:dyDescent="0.25">
      <c r="B147" s="7" t="s">
        <v>63</v>
      </c>
      <c r="C147" s="23"/>
      <c r="D147" s="7" t="s">
        <v>56</v>
      </c>
    </row>
    <row r="149" spans="2:7" s="20" customFormat="1" hidden="1" outlineLevel="1" x14ac:dyDescent="0.25">
      <c r="B149" s="19" t="s">
        <v>119</v>
      </c>
    </row>
    <row r="150" spans="2:7" s="20" customFormat="1" hidden="1" outlineLevel="1" x14ac:dyDescent="0.25"/>
    <row r="151" spans="2:7" s="20" customFormat="1" hidden="1" outlineLevel="1" x14ac:dyDescent="0.25">
      <c r="B151" s="20" t="s">
        <v>31</v>
      </c>
    </row>
    <row r="152" spans="2:7" s="20" customFormat="1" hidden="1" outlineLevel="1" x14ac:dyDescent="0.25">
      <c r="B152" s="34" t="s">
        <v>230</v>
      </c>
      <c r="C152" s="35" t="s">
        <v>15</v>
      </c>
      <c r="D152" s="20" t="s">
        <v>0</v>
      </c>
    </row>
    <row r="153" spans="2:7" s="20" customFormat="1" hidden="1" outlineLevel="1" x14ac:dyDescent="0.25">
      <c r="B153" s="34"/>
    </row>
    <row r="154" spans="2:7" s="20" customFormat="1" hidden="1" outlineLevel="1" x14ac:dyDescent="0.25">
      <c r="B154" s="20" t="s">
        <v>30</v>
      </c>
    </row>
    <row r="155" spans="2:7" s="20" customFormat="1" hidden="1" outlineLevel="1" x14ac:dyDescent="0.25">
      <c r="B155" s="34" t="s">
        <v>230</v>
      </c>
      <c r="C155" s="35" t="s">
        <v>21</v>
      </c>
      <c r="D155" s="20" t="s">
        <v>0</v>
      </c>
    </row>
    <row r="156" spans="2:7" s="20" customFormat="1" hidden="1" outlineLevel="1" x14ac:dyDescent="0.25">
      <c r="B156" s="34" t="s">
        <v>843</v>
      </c>
      <c r="C156" s="23">
        <v>6</v>
      </c>
      <c r="D156" s="20" t="s">
        <v>56</v>
      </c>
    </row>
    <row r="157" spans="2:7" s="20" customFormat="1" hidden="1" outlineLevel="1" x14ac:dyDescent="0.25">
      <c r="B157" s="34" t="s">
        <v>14</v>
      </c>
      <c r="C157" s="25">
        <f>C81-C156</f>
        <v>-6</v>
      </c>
      <c r="D157" s="20" t="s">
        <v>29</v>
      </c>
      <c r="F157" s="36"/>
    </row>
    <row r="158" spans="2:7" s="20" customFormat="1" hidden="1" outlineLevel="1" x14ac:dyDescent="0.25">
      <c r="B158" s="34" t="s">
        <v>13</v>
      </c>
      <c r="C158" s="25">
        <f>C82-C156</f>
        <v>-6</v>
      </c>
      <c r="D158" s="20" t="s">
        <v>28</v>
      </c>
      <c r="F158" s="36"/>
      <c r="G158" s="36"/>
    </row>
    <row r="159" spans="2:7" s="20" customFormat="1" hidden="1" outlineLevel="1" x14ac:dyDescent="0.25">
      <c r="B159" s="34"/>
    </row>
    <row r="160" spans="2:7" s="20" customFormat="1" hidden="1" outlineLevel="1" x14ac:dyDescent="0.25">
      <c r="B160" s="19" t="s">
        <v>27</v>
      </c>
    </row>
    <row r="161" spans="2:4" s="20" customFormat="1" hidden="1" outlineLevel="1" x14ac:dyDescent="0.25"/>
    <row r="162" spans="2:4" s="20" customFormat="1" hidden="1" outlineLevel="1" x14ac:dyDescent="0.25">
      <c r="B162" s="20" t="s">
        <v>26</v>
      </c>
      <c r="C162" s="37">
        <f>C146*($C$83)</f>
        <v>0</v>
      </c>
      <c r="D162" s="20" t="s">
        <v>53</v>
      </c>
    </row>
    <row r="163" spans="2:4" s="20" customFormat="1" hidden="1" outlineLevel="1" x14ac:dyDescent="0.25">
      <c r="B163" s="20" t="s">
        <v>621</v>
      </c>
      <c r="C163" s="37">
        <f>C162*(1+'LEIA-ME'!$D$31)</f>
        <v>0</v>
      </c>
      <c r="D163" s="20" t="s">
        <v>53</v>
      </c>
    </row>
    <row r="164" spans="2:4" s="20" customFormat="1" hidden="1" outlineLevel="1" x14ac:dyDescent="0.25">
      <c r="B164" s="20" t="s">
        <v>664</v>
      </c>
      <c r="C164" s="23">
        <v>12</v>
      </c>
      <c r="D164" s="20" t="s">
        <v>53</v>
      </c>
    </row>
    <row r="165" spans="2:4" s="20" customFormat="1" hidden="1" outlineLevel="1" x14ac:dyDescent="0.25">
      <c r="B165" s="20" t="s">
        <v>72</v>
      </c>
      <c r="C165" s="40">
        <f>C163/C164</f>
        <v>0</v>
      </c>
      <c r="D165" s="20" t="s">
        <v>64</v>
      </c>
    </row>
    <row r="166" spans="2:4" s="20" customFormat="1" hidden="1" outlineLevel="1" x14ac:dyDescent="0.25"/>
    <row r="167" spans="2:4" s="20" customFormat="1" hidden="1" outlineLevel="1" x14ac:dyDescent="0.25">
      <c r="B167" s="19" t="s">
        <v>25</v>
      </c>
    </row>
    <row r="168" spans="2:4" s="20" customFormat="1" hidden="1" outlineLevel="1" x14ac:dyDescent="0.25"/>
    <row r="169" spans="2:4" s="20" customFormat="1" hidden="1" outlineLevel="1" x14ac:dyDescent="0.25">
      <c r="B169" s="20" t="s">
        <v>669</v>
      </c>
      <c r="C169" s="23">
        <v>20</v>
      </c>
      <c r="D169" s="20" t="s">
        <v>56</v>
      </c>
    </row>
    <row r="170" spans="2:4" s="20" customFormat="1" hidden="1" outlineLevel="1" x14ac:dyDescent="0.25">
      <c r="B170" s="20" t="s">
        <v>24</v>
      </c>
      <c r="C170" s="38">
        <f>(((C157*2)+(C158*2))*(1+C169/100))/100</f>
        <v>-0.28799999999999998</v>
      </c>
      <c r="D170" s="20" t="s">
        <v>53</v>
      </c>
    </row>
    <row r="171" spans="2:4" s="20" customFormat="1" hidden="1" outlineLevel="1" x14ac:dyDescent="0.25">
      <c r="B171" s="20" t="s">
        <v>23</v>
      </c>
      <c r="C171" s="37" t="e">
        <f>INT(($C$83)/(C147/100))</f>
        <v>#DIV/0!</v>
      </c>
      <c r="D171" s="20" t="s">
        <v>644</v>
      </c>
    </row>
    <row r="172" spans="2:4" s="20" customFormat="1" hidden="1" outlineLevel="1" x14ac:dyDescent="0.25">
      <c r="B172" s="20" t="s">
        <v>22</v>
      </c>
      <c r="C172" s="37" t="e">
        <f>C171*C170</f>
        <v>#DIV/0!</v>
      </c>
      <c r="D172" s="20" t="s">
        <v>53</v>
      </c>
    </row>
    <row r="173" spans="2:4" s="20" customFormat="1" hidden="1" outlineLevel="1" x14ac:dyDescent="0.25">
      <c r="B173" s="20" t="s">
        <v>665</v>
      </c>
      <c r="C173" s="37" t="e">
        <f>C172*(1+'LEIA-ME'!$D$31)</f>
        <v>#DIV/0!</v>
      </c>
      <c r="D173" s="20" t="s">
        <v>53</v>
      </c>
    </row>
    <row r="174" spans="2:4" s="20" customFormat="1" hidden="1" outlineLevel="1" x14ac:dyDescent="0.25">
      <c r="B174" s="20" t="s">
        <v>664</v>
      </c>
      <c r="C174" s="23">
        <v>12</v>
      </c>
      <c r="D174" s="20" t="s">
        <v>53</v>
      </c>
    </row>
    <row r="175" spans="2:4" s="20" customFormat="1" hidden="1" outlineLevel="1" x14ac:dyDescent="0.25">
      <c r="B175" s="20" t="s">
        <v>72</v>
      </c>
      <c r="C175" s="37" t="e">
        <f>C173/C174</f>
        <v>#DIV/0!</v>
      </c>
      <c r="D175" s="20" t="s">
        <v>64</v>
      </c>
    </row>
    <row r="176" spans="2:4" s="20" customFormat="1" hidden="1" outlineLevel="1" x14ac:dyDescent="0.25"/>
    <row r="177" spans="1:8" s="20" customFormat="1" hidden="1" outlineLevel="1" x14ac:dyDescent="0.25">
      <c r="B177" s="19" t="s">
        <v>73</v>
      </c>
    </row>
    <row r="178" spans="1:8" s="20" customFormat="1" hidden="1" outlineLevel="1" x14ac:dyDescent="0.25"/>
    <row r="179" spans="1:8" s="20" customFormat="1" hidden="1" outlineLevel="1" x14ac:dyDescent="0.25">
      <c r="B179" s="20" t="s">
        <v>666</v>
      </c>
      <c r="C179" s="85">
        <v>0.02</v>
      </c>
      <c r="D179" s="20" t="s">
        <v>650</v>
      </c>
    </row>
    <row r="180" spans="1:8" s="20" customFormat="1" hidden="1" outlineLevel="1" x14ac:dyDescent="0.25">
      <c r="B180" s="20" t="s">
        <v>615</v>
      </c>
      <c r="C180" s="21">
        <f>C162*C179*(1+'LEIA-ME'!$D$31)</f>
        <v>0</v>
      </c>
      <c r="D180" s="20" t="s">
        <v>49</v>
      </c>
    </row>
    <row r="181" spans="1:8" s="20" customFormat="1" hidden="1" outlineLevel="1" x14ac:dyDescent="0.25">
      <c r="B181" s="20" t="s">
        <v>668</v>
      </c>
      <c r="C181" s="23">
        <v>5</v>
      </c>
      <c r="D181" s="20" t="s">
        <v>667</v>
      </c>
    </row>
    <row r="182" spans="1:8" s="20" customFormat="1" hidden="1" outlineLevel="1" x14ac:dyDescent="0.25">
      <c r="B182" s="20" t="s">
        <v>622</v>
      </c>
      <c r="C182" s="25">
        <f>C162*C181*(1+'LEIA-ME'!$D$31)</f>
        <v>0</v>
      </c>
      <c r="D182" s="20" t="s">
        <v>644</v>
      </c>
    </row>
    <row r="183" spans="1:8" hidden="1" outlineLevel="1" x14ac:dyDescent="0.25">
      <c r="B183" s="4"/>
      <c r="D183" s="32"/>
    </row>
    <row r="184" spans="1:8" collapsed="1" x14ac:dyDescent="0.25">
      <c r="B184" s="27" t="s">
        <v>5</v>
      </c>
      <c r="C184" s="28" t="s">
        <v>46</v>
      </c>
      <c r="D184" s="28" t="s">
        <v>6</v>
      </c>
    </row>
    <row r="185" spans="1:8" x14ac:dyDescent="0.25">
      <c r="B185" s="88" t="s">
        <v>70</v>
      </c>
      <c r="C185" s="91" t="s">
        <v>642</v>
      </c>
      <c r="D185" s="87">
        <f>C165</f>
        <v>0</v>
      </c>
    </row>
    <row r="186" spans="1:8" x14ac:dyDescent="0.25">
      <c r="B186" s="88" t="s">
        <v>71</v>
      </c>
      <c r="C186" s="91" t="s">
        <v>642</v>
      </c>
      <c r="D186" s="87">
        <f>IFERROR(C175,0)</f>
        <v>0</v>
      </c>
    </row>
    <row r="187" spans="1:8" x14ac:dyDescent="0.25">
      <c r="B187" s="88" t="s">
        <v>74</v>
      </c>
      <c r="C187" s="91" t="s">
        <v>641</v>
      </c>
      <c r="D187" s="87">
        <f>C180</f>
        <v>0</v>
      </c>
    </row>
    <row r="188" spans="1:8" x14ac:dyDescent="0.25">
      <c r="B188" s="88" t="s">
        <v>231</v>
      </c>
      <c r="C188" s="91" t="s">
        <v>50</v>
      </c>
      <c r="D188" s="87">
        <f>C182</f>
        <v>0</v>
      </c>
    </row>
    <row r="191" spans="1:8" s="5" customFormat="1" ht="18.75" x14ac:dyDescent="0.3">
      <c r="A191" s="7"/>
      <c r="B191" s="132" t="s">
        <v>545</v>
      </c>
      <c r="C191" s="132"/>
      <c r="D191" s="132"/>
      <c r="E191" s="7"/>
      <c r="F191" s="7"/>
      <c r="H191" s="22"/>
    </row>
    <row r="192" spans="1:8" s="5" customFormat="1" x14ac:dyDescent="0.25">
      <c r="A192" s="7"/>
      <c r="B192" s="45" t="s">
        <v>534</v>
      </c>
      <c r="C192" s="7"/>
      <c r="D192" s="7"/>
      <c r="E192" s="7"/>
      <c r="F192" s="7"/>
      <c r="H192" s="22"/>
    </row>
    <row r="193" spans="1:8" s="5" customFormat="1" x14ac:dyDescent="0.25">
      <c r="A193" s="7"/>
      <c r="B193" s="7"/>
      <c r="C193" s="7"/>
      <c r="D193" s="7"/>
      <c r="E193" s="7"/>
      <c r="F193" s="7"/>
      <c r="H193" s="22"/>
    </row>
    <row r="194" spans="1:8" x14ac:dyDescent="0.25">
      <c r="B194" s="9" t="s">
        <v>2</v>
      </c>
    </row>
    <row r="196" spans="1:8" x14ac:dyDescent="0.25">
      <c r="B196" s="7" t="s">
        <v>62</v>
      </c>
      <c r="C196" s="23"/>
      <c r="D196" s="7" t="s">
        <v>64</v>
      </c>
    </row>
    <row r="197" spans="1:8" x14ac:dyDescent="0.25">
      <c r="B197" s="7" t="s">
        <v>63</v>
      </c>
      <c r="C197" s="23"/>
      <c r="D197" s="7" t="s">
        <v>56</v>
      </c>
    </row>
    <row r="198" spans="1:8" x14ac:dyDescent="0.25">
      <c r="B198" s="7" t="s">
        <v>154</v>
      </c>
      <c r="C198" s="23"/>
      <c r="D198" s="7" t="s">
        <v>92</v>
      </c>
    </row>
    <row r="200" spans="1:8" s="20" customFormat="1" hidden="1" outlineLevel="1" x14ac:dyDescent="0.25">
      <c r="B200" s="19" t="s">
        <v>596</v>
      </c>
    </row>
    <row r="201" spans="1:8" s="20" customFormat="1" hidden="1" outlineLevel="1" x14ac:dyDescent="0.25"/>
    <row r="202" spans="1:8" s="20" customFormat="1" hidden="1" outlineLevel="1" x14ac:dyDescent="0.25">
      <c r="B202" s="20" t="s">
        <v>101</v>
      </c>
    </row>
    <row r="203" spans="1:8" s="20" customFormat="1" hidden="1" outlineLevel="1" x14ac:dyDescent="0.25">
      <c r="B203" s="34" t="s">
        <v>230</v>
      </c>
      <c r="C203" s="35" t="s">
        <v>15</v>
      </c>
      <c r="D203" s="20" t="s">
        <v>0</v>
      </c>
    </row>
    <row r="204" spans="1:8" s="20" customFormat="1" hidden="1" outlineLevel="1" x14ac:dyDescent="0.25">
      <c r="B204" s="34"/>
    </row>
    <row r="205" spans="1:8" s="20" customFormat="1" hidden="1" outlineLevel="1" x14ac:dyDescent="0.25">
      <c r="B205" s="20" t="s">
        <v>30</v>
      </c>
    </row>
    <row r="206" spans="1:8" s="20" customFormat="1" hidden="1" outlineLevel="1" x14ac:dyDescent="0.25">
      <c r="B206" s="34" t="s">
        <v>230</v>
      </c>
      <c r="C206" s="35" t="s">
        <v>21</v>
      </c>
      <c r="D206" s="20" t="s">
        <v>0</v>
      </c>
    </row>
    <row r="207" spans="1:8" s="20" customFormat="1" hidden="1" outlineLevel="1" x14ac:dyDescent="0.25">
      <c r="B207" s="34" t="s">
        <v>14</v>
      </c>
      <c r="C207" s="25">
        <f>IF(C377="",10,C421)</f>
        <v>10</v>
      </c>
      <c r="D207" s="20" t="s">
        <v>0</v>
      </c>
      <c r="F207" s="36"/>
    </row>
    <row r="208" spans="1:8" s="20" customFormat="1" hidden="1" outlineLevel="1" x14ac:dyDescent="0.25">
      <c r="B208" s="34" t="s">
        <v>55</v>
      </c>
      <c r="C208" s="25">
        <f>IF(C378="",10,C422)</f>
        <v>10</v>
      </c>
      <c r="D208" s="20" t="s">
        <v>0</v>
      </c>
      <c r="F208" s="36"/>
    </row>
    <row r="209" spans="2:4" s="20" customFormat="1" hidden="1" outlineLevel="1" x14ac:dyDescent="0.25"/>
    <row r="210" spans="2:4" s="20" customFormat="1" hidden="1" outlineLevel="1" x14ac:dyDescent="0.25">
      <c r="B210" s="19" t="s">
        <v>100</v>
      </c>
    </row>
    <row r="211" spans="2:4" s="20" customFormat="1" hidden="1" outlineLevel="1" x14ac:dyDescent="0.25"/>
    <row r="212" spans="2:4" s="20" customFormat="1" hidden="1" outlineLevel="1" x14ac:dyDescent="0.25">
      <c r="B212" s="20" t="s">
        <v>671</v>
      </c>
      <c r="C212" s="23">
        <v>1</v>
      </c>
      <c r="D212" s="20" t="s">
        <v>53</v>
      </c>
    </row>
    <row r="213" spans="2:4" s="20" customFormat="1" hidden="1" outlineLevel="1" x14ac:dyDescent="0.25">
      <c r="B213" s="20" t="s">
        <v>99</v>
      </c>
      <c r="C213" s="37">
        <f>C196*C212</f>
        <v>0</v>
      </c>
      <c r="D213" s="20" t="s">
        <v>53</v>
      </c>
    </row>
    <row r="214" spans="2:4" s="20" customFormat="1" hidden="1" outlineLevel="1" x14ac:dyDescent="0.25">
      <c r="B214" s="20" t="s">
        <v>98</v>
      </c>
      <c r="C214" s="37">
        <f>C213*(C198)</f>
        <v>0</v>
      </c>
      <c r="D214" s="20" t="s">
        <v>53</v>
      </c>
    </row>
    <row r="215" spans="2:4" s="20" customFormat="1" hidden="1" outlineLevel="1" x14ac:dyDescent="0.25">
      <c r="B215" s="20" t="s">
        <v>623</v>
      </c>
      <c r="C215" s="37">
        <f>C214*(1+'LEIA-ME'!$D$31)</f>
        <v>0</v>
      </c>
      <c r="D215" s="20" t="s">
        <v>53</v>
      </c>
    </row>
    <row r="216" spans="2:4" s="20" customFormat="1" hidden="1" outlineLevel="1" x14ac:dyDescent="0.25">
      <c r="B216" s="20" t="s">
        <v>664</v>
      </c>
      <c r="C216" s="23">
        <v>12</v>
      </c>
      <c r="D216" s="20" t="s">
        <v>53</v>
      </c>
    </row>
    <row r="217" spans="2:4" s="20" customFormat="1" hidden="1" outlineLevel="1" x14ac:dyDescent="0.25">
      <c r="B217" s="20" t="s">
        <v>72</v>
      </c>
      <c r="C217" s="37">
        <f>C215/C216</f>
        <v>0</v>
      </c>
      <c r="D217" s="20" t="s">
        <v>64</v>
      </c>
    </row>
    <row r="218" spans="2:4" s="20" customFormat="1" hidden="1" outlineLevel="1" x14ac:dyDescent="0.25"/>
    <row r="219" spans="2:4" s="20" customFormat="1" hidden="1" outlineLevel="1" x14ac:dyDescent="0.25">
      <c r="B219" s="19" t="s">
        <v>25</v>
      </c>
    </row>
    <row r="220" spans="2:4" s="20" customFormat="1" hidden="1" outlineLevel="1" x14ac:dyDescent="0.25"/>
    <row r="221" spans="2:4" s="20" customFormat="1" hidden="1" outlineLevel="1" x14ac:dyDescent="0.25">
      <c r="B221" s="20" t="s">
        <v>669</v>
      </c>
      <c r="C221" s="23">
        <v>20</v>
      </c>
      <c r="D221" s="20" t="s">
        <v>56</v>
      </c>
    </row>
    <row r="222" spans="2:4" s="20" customFormat="1" hidden="1" outlineLevel="1" x14ac:dyDescent="0.25">
      <c r="B222" s="20" t="s">
        <v>24</v>
      </c>
      <c r="C222" s="37">
        <f>(((C207*2)+(C208*2))*(1+C221/100))/100</f>
        <v>0.48</v>
      </c>
      <c r="D222" s="20" t="s">
        <v>53</v>
      </c>
    </row>
    <row r="223" spans="2:4" s="20" customFormat="1" hidden="1" outlineLevel="1" x14ac:dyDescent="0.25">
      <c r="B223" s="20" t="s">
        <v>97</v>
      </c>
      <c r="C223" s="37" t="e">
        <f>INT(1/(C197/100))</f>
        <v>#DIV/0!</v>
      </c>
      <c r="D223" s="20" t="s">
        <v>644</v>
      </c>
    </row>
    <row r="224" spans="2:4" s="20" customFormat="1" hidden="1" outlineLevel="1" x14ac:dyDescent="0.25">
      <c r="B224" s="20" t="s">
        <v>624</v>
      </c>
      <c r="C224" s="37" t="e">
        <f>C223*C222</f>
        <v>#DIV/0!</v>
      </c>
      <c r="D224" s="20" t="s">
        <v>53</v>
      </c>
    </row>
    <row r="225" spans="1:8" s="20" customFormat="1" hidden="1" outlineLevel="1" x14ac:dyDescent="0.25">
      <c r="B225" s="20" t="s">
        <v>95</v>
      </c>
      <c r="C225" s="37" t="e">
        <f>C224*(C198)</f>
        <v>#DIV/0!</v>
      </c>
      <c r="D225" s="20" t="s">
        <v>53</v>
      </c>
    </row>
    <row r="226" spans="1:8" s="20" customFormat="1" hidden="1" outlineLevel="1" x14ac:dyDescent="0.25">
      <c r="B226" s="20" t="s">
        <v>707</v>
      </c>
      <c r="C226" s="37" t="e">
        <f>C225*(1+'LEIA-ME'!$D$31)</f>
        <v>#DIV/0!</v>
      </c>
      <c r="D226" s="20" t="s">
        <v>53</v>
      </c>
    </row>
    <row r="227" spans="1:8" s="20" customFormat="1" hidden="1" outlineLevel="1" x14ac:dyDescent="0.25">
      <c r="B227" s="20" t="s">
        <v>664</v>
      </c>
      <c r="C227" s="23">
        <v>12</v>
      </c>
      <c r="D227" s="20" t="s">
        <v>53</v>
      </c>
    </row>
    <row r="228" spans="1:8" s="20" customFormat="1" hidden="1" outlineLevel="1" x14ac:dyDescent="0.25">
      <c r="B228" s="20" t="s">
        <v>72</v>
      </c>
      <c r="C228" s="37" t="e">
        <f>C226/C227</f>
        <v>#DIV/0!</v>
      </c>
      <c r="D228" s="20" t="s">
        <v>64</v>
      </c>
    </row>
    <row r="229" spans="1:8" hidden="1" outlineLevel="1" x14ac:dyDescent="0.25">
      <c r="B229" s="4"/>
      <c r="D229" s="32"/>
    </row>
    <row r="230" spans="1:8" collapsed="1" x14ac:dyDescent="0.25">
      <c r="B230" s="27" t="s">
        <v>5</v>
      </c>
      <c r="C230" s="28" t="s">
        <v>46</v>
      </c>
      <c r="D230" s="28" t="s">
        <v>6</v>
      </c>
    </row>
    <row r="231" spans="1:8" x14ac:dyDescent="0.25">
      <c r="B231" s="88" t="s">
        <v>70</v>
      </c>
      <c r="C231" s="91" t="s">
        <v>642</v>
      </c>
      <c r="D231" s="87">
        <f>C217</f>
        <v>0</v>
      </c>
    </row>
    <row r="232" spans="1:8" x14ac:dyDescent="0.25">
      <c r="B232" s="88" t="s">
        <v>71</v>
      </c>
      <c r="C232" s="91" t="s">
        <v>642</v>
      </c>
      <c r="D232" s="87">
        <f>IFERROR(C228,0)</f>
        <v>0</v>
      </c>
    </row>
    <row r="233" spans="1:8" x14ac:dyDescent="0.25">
      <c r="B233" s="4"/>
      <c r="D233" s="32"/>
    </row>
    <row r="235" spans="1:8" s="5" customFormat="1" ht="18.75" x14ac:dyDescent="0.3">
      <c r="A235" s="7"/>
      <c r="B235" s="132" t="s">
        <v>579</v>
      </c>
      <c r="C235" s="132"/>
      <c r="D235" s="132"/>
      <c r="E235" s="7"/>
      <c r="F235" s="7"/>
      <c r="H235" s="22"/>
    </row>
    <row r="237" spans="1:8" s="20" customFormat="1" hidden="1" outlineLevel="1" x14ac:dyDescent="0.25">
      <c r="B237" s="19" t="s">
        <v>120</v>
      </c>
    </row>
    <row r="238" spans="1:8" s="20" customFormat="1" hidden="1" outlineLevel="1" x14ac:dyDescent="0.25"/>
    <row r="239" spans="1:8" s="20" customFormat="1" hidden="1" outlineLevel="1" x14ac:dyDescent="0.25">
      <c r="B239" s="20" t="s">
        <v>649</v>
      </c>
      <c r="C239" s="33">
        <v>3</v>
      </c>
      <c r="D239" s="20" t="s">
        <v>53</v>
      </c>
    </row>
    <row r="240" spans="1:8" s="20" customFormat="1" hidden="1" outlineLevel="1" x14ac:dyDescent="0.25">
      <c r="B240" s="20" t="s">
        <v>20</v>
      </c>
      <c r="C240" s="21">
        <f>($C$83)/C239</f>
        <v>0</v>
      </c>
      <c r="D240" s="20" t="s">
        <v>644</v>
      </c>
    </row>
    <row r="241" spans="2:4" s="20" customFormat="1" hidden="1" outlineLevel="1" x14ac:dyDescent="0.25">
      <c r="B241" s="20" t="s">
        <v>19</v>
      </c>
      <c r="C241" s="21">
        <f>IF(C82&gt;25,2,1)</f>
        <v>1</v>
      </c>
      <c r="D241" s="20" t="s">
        <v>644</v>
      </c>
    </row>
    <row r="242" spans="2:4" s="20" customFormat="1" hidden="1" outlineLevel="1" x14ac:dyDescent="0.25">
      <c r="B242" s="20" t="s">
        <v>228</v>
      </c>
      <c r="C242" s="21">
        <f>C241*C240*2</f>
        <v>0</v>
      </c>
      <c r="D242" s="20" t="s">
        <v>644</v>
      </c>
    </row>
    <row r="243" spans="2:4" s="20" customFormat="1" hidden="1" outlineLevel="1" x14ac:dyDescent="0.25">
      <c r="B243" s="20" t="s">
        <v>672</v>
      </c>
      <c r="C243" s="21">
        <f>C242*(1+'LEIA-ME'!$D$31)</f>
        <v>0</v>
      </c>
      <c r="D243" s="20" t="s">
        <v>644</v>
      </c>
    </row>
    <row r="244" spans="2:4" s="20" customFormat="1" hidden="1" outlineLevel="1" x14ac:dyDescent="0.25">
      <c r="C244" s="21"/>
    </row>
    <row r="245" spans="2:4" s="20" customFormat="1" hidden="1" outlineLevel="1" x14ac:dyDescent="0.25">
      <c r="B245" s="19" t="s">
        <v>121</v>
      </c>
    </row>
    <row r="246" spans="2:4" s="20" customFormat="1" hidden="1" outlineLevel="1" x14ac:dyDescent="0.25"/>
    <row r="247" spans="2:4" s="20" customFormat="1" hidden="1" outlineLevel="1" x14ac:dyDescent="0.25">
      <c r="B247" s="20" t="s">
        <v>18</v>
      </c>
      <c r="C247" s="23">
        <v>40</v>
      </c>
      <c r="D247" s="39" t="s">
        <v>56</v>
      </c>
    </row>
    <row r="248" spans="2:4" s="20" customFormat="1" hidden="1" outlineLevel="1" x14ac:dyDescent="0.25">
      <c r="B248" s="20" t="s">
        <v>232</v>
      </c>
      <c r="C248" s="21">
        <f>($C$83)/(C247/100)*C241</f>
        <v>0</v>
      </c>
      <c r="D248" s="39" t="s">
        <v>644</v>
      </c>
    </row>
    <row r="249" spans="2:4" s="20" customFormat="1" hidden="1" outlineLevel="1" x14ac:dyDescent="0.25">
      <c r="B249" s="20" t="s">
        <v>17</v>
      </c>
      <c r="C249" s="21">
        <f>C248*(C81/100)</f>
        <v>0</v>
      </c>
      <c r="D249" s="20" t="s">
        <v>53</v>
      </c>
    </row>
    <row r="250" spans="2:4" s="20" customFormat="1" hidden="1" outlineLevel="1" x14ac:dyDescent="0.25">
      <c r="B250" s="20" t="s">
        <v>673</v>
      </c>
      <c r="C250" s="21">
        <f>C249*(1+'LEIA-ME'!$D$31)</f>
        <v>0</v>
      </c>
      <c r="D250" s="20" t="s">
        <v>53</v>
      </c>
    </row>
    <row r="251" spans="2:4" s="20" customFormat="1" hidden="1" outlineLevel="1" x14ac:dyDescent="0.25">
      <c r="B251" s="20" t="s">
        <v>674</v>
      </c>
      <c r="C251" s="33">
        <v>3</v>
      </c>
      <c r="D251" s="20" t="s">
        <v>53</v>
      </c>
    </row>
    <row r="252" spans="2:4" s="20" customFormat="1" hidden="1" outlineLevel="1" x14ac:dyDescent="0.25">
      <c r="B252" s="20" t="s">
        <v>232</v>
      </c>
      <c r="C252" s="21">
        <f>C250/C251</f>
        <v>0</v>
      </c>
      <c r="D252" s="20" t="s">
        <v>644</v>
      </c>
    </row>
    <row r="253" spans="2:4" s="20" customFormat="1" hidden="1" outlineLevel="1" x14ac:dyDescent="0.25"/>
    <row r="254" spans="2:4" s="20" customFormat="1" hidden="1" outlineLevel="1" x14ac:dyDescent="0.25">
      <c r="B254" s="19" t="s">
        <v>122</v>
      </c>
    </row>
    <row r="255" spans="2:4" s="20" customFormat="1" hidden="1" outlineLevel="1" x14ac:dyDescent="0.25"/>
    <row r="256" spans="2:4" s="20" customFormat="1" hidden="1" outlineLevel="1" x14ac:dyDescent="0.25">
      <c r="B256" s="20" t="s">
        <v>16</v>
      </c>
      <c r="C256" s="92">
        <v>3.0959999999999998E-2</v>
      </c>
      <c r="D256" s="39" t="s">
        <v>829</v>
      </c>
    </row>
    <row r="257" spans="1:8" s="20" customFormat="1" hidden="1" outlineLevel="1" x14ac:dyDescent="0.25">
      <c r="B257" s="20" t="s">
        <v>75</v>
      </c>
      <c r="C257" s="40">
        <f>C256*C243</f>
        <v>0</v>
      </c>
      <c r="D257" s="20" t="s">
        <v>49</v>
      </c>
    </row>
    <row r="258" spans="1:8" hidden="1" outlineLevel="1" x14ac:dyDescent="0.25"/>
    <row r="259" spans="1:8" collapsed="1" x14ac:dyDescent="0.25">
      <c r="B259" s="27" t="s">
        <v>5</v>
      </c>
      <c r="C259" s="28" t="s">
        <v>46</v>
      </c>
      <c r="D259" s="28" t="s">
        <v>6</v>
      </c>
    </row>
    <row r="260" spans="1:8" x14ac:dyDescent="0.25">
      <c r="B260" s="88" t="s">
        <v>77</v>
      </c>
      <c r="C260" s="91" t="s">
        <v>612</v>
      </c>
      <c r="D260" s="87">
        <f>C243</f>
        <v>0</v>
      </c>
    </row>
    <row r="261" spans="1:8" x14ac:dyDescent="0.25">
      <c r="B261" s="88" t="s">
        <v>76</v>
      </c>
      <c r="C261" s="91" t="s">
        <v>612</v>
      </c>
      <c r="D261" s="87">
        <f>C252</f>
        <v>0</v>
      </c>
    </row>
    <row r="262" spans="1:8" x14ac:dyDescent="0.25">
      <c r="B262" s="90" t="s">
        <v>636</v>
      </c>
      <c r="C262" s="89" t="s">
        <v>49</v>
      </c>
      <c r="D262" s="87">
        <f>C257</f>
        <v>0</v>
      </c>
    </row>
    <row r="265" spans="1:8" s="5" customFormat="1" ht="18.75" x14ac:dyDescent="0.3">
      <c r="A265" s="7"/>
      <c r="B265" s="132" t="s">
        <v>580</v>
      </c>
      <c r="C265" s="132"/>
      <c r="D265" s="132"/>
      <c r="E265" s="7"/>
      <c r="F265" s="7"/>
      <c r="H265" s="22"/>
    </row>
    <row r="267" spans="1:8" s="20" customFormat="1" hidden="1" outlineLevel="1" x14ac:dyDescent="0.25">
      <c r="B267" s="19" t="s">
        <v>123</v>
      </c>
    </row>
    <row r="268" spans="1:8" s="20" customFormat="1" hidden="1" outlineLevel="1" x14ac:dyDescent="0.25"/>
    <row r="269" spans="1:8" s="20" customFormat="1" hidden="1" outlineLevel="1" x14ac:dyDescent="0.25">
      <c r="B269" s="20" t="s">
        <v>675</v>
      </c>
      <c r="C269" s="92">
        <v>0.1</v>
      </c>
      <c r="D269" s="20" t="s">
        <v>678</v>
      </c>
    </row>
    <row r="270" spans="1:8" s="20" customFormat="1" hidden="1" outlineLevel="1" x14ac:dyDescent="0.25">
      <c r="B270" s="20" t="s">
        <v>78</v>
      </c>
      <c r="C270" s="21">
        <f>C83*C269</f>
        <v>0</v>
      </c>
      <c r="D270" s="20" t="s">
        <v>688</v>
      </c>
    </row>
    <row r="271" spans="1:8" s="20" customFormat="1" hidden="1" outlineLevel="1" x14ac:dyDescent="0.25">
      <c r="B271" s="20" t="s">
        <v>677</v>
      </c>
      <c r="C271" s="21">
        <f>C270*(1+'LEIA-ME'!$D$31)</f>
        <v>0</v>
      </c>
      <c r="D271" s="20" t="s">
        <v>688</v>
      </c>
    </row>
    <row r="272" spans="1:8" s="20" customFormat="1" hidden="1" outlineLevel="1" x14ac:dyDescent="0.25">
      <c r="B272" s="20" t="s">
        <v>679</v>
      </c>
      <c r="C272" s="92">
        <v>2.4299999999999999E-3</v>
      </c>
      <c r="D272" s="20" t="s">
        <v>682</v>
      </c>
    </row>
    <row r="273" spans="1:8" s="20" customFormat="1" hidden="1" outlineLevel="1" x14ac:dyDescent="0.25">
      <c r="B273" s="20" t="s">
        <v>693</v>
      </c>
      <c r="C273" s="21">
        <f>C83*C272</f>
        <v>0</v>
      </c>
      <c r="D273" s="20" t="s">
        <v>32</v>
      </c>
    </row>
    <row r="274" spans="1:8" s="20" customFormat="1" hidden="1" outlineLevel="1" x14ac:dyDescent="0.25">
      <c r="B274" s="20" t="s">
        <v>694</v>
      </c>
      <c r="C274" s="21">
        <f>C273*(1+'LEIA-ME'!$D$31)</f>
        <v>0</v>
      </c>
      <c r="D274" s="20" t="s">
        <v>32</v>
      </c>
    </row>
    <row r="275" spans="1:8" s="20" customFormat="1" hidden="1" outlineLevel="1" x14ac:dyDescent="0.25">
      <c r="B275" s="20" t="s">
        <v>689</v>
      </c>
      <c r="C275" s="92">
        <v>9.0909090909090912E-2</v>
      </c>
      <c r="D275" s="20" t="s">
        <v>830</v>
      </c>
    </row>
    <row r="276" spans="1:8" s="20" customFormat="1" hidden="1" outlineLevel="1" x14ac:dyDescent="0.25">
      <c r="B276" s="20" t="s">
        <v>690</v>
      </c>
      <c r="C276" s="21">
        <f>C83*C275</f>
        <v>0</v>
      </c>
      <c r="D276" s="20" t="s">
        <v>691</v>
      </c>
    </row>
    <row r="277" spans="1:8" s="20" customFormat="1" hidden="1" outlineLevel="1" x14ac:dyDescent="0.25">
      <c r="B277" s="20" t="s">
        <v>692</v>
      </c>
      <c r="C277" s="21">
        <f>C276*(1+'LEIA-ME'!$D$31)</f>
        <v>0</v>
      </c>
      <c r="D277" s="20" t="s">
        <v>691</v>
      </c>
    </row>
    <row r="278" spans="1:8" s="20" customFormat="1" hidden="1" outlineLevel="1" x14ac:dyDescent="0.25">
      <c r="B278" s="20" t="s">
        <v>695</v>
      </c>
      <c r="C278" s="25">
        <v>1</v>
      </c>
      <c r="D278" s="20" t="s">
        <v>644</v>
      </c>
    </row>
    <row r="279" spans="1:8" hidden="1" outlineLevel="1" x14ac:dyDescent="0.25"/>
    <row r="280" spans="1:8" collapsed="1" x14ac:dyDescent="0.25">
      <c r="B280" s="27" t="s">
        <v>5</v>
      </c>
      <c r="C280" s="28" t="s">
        <v>46</v>
      </c>
      <c r="D280" s="28" t="s">
        <v>6</v>
      </c>
    </row>
    <row r="281" spans="1:8" x14ac:dyDescent="0.25">
      <c r="B281" s="88" t="s">
        <v>36</v>
      </c>
      <c r="C281" s="91" t="s">
        <v>35</v>
      </c>
      <c r="D281" s="87">
        <f>C270</f>
        <v>0</v>
      </c>
    </row>
    <row r="282" spans="1:8" ht="17.25" x14ac:dyDescent="0.25">
      <c r="B282" s="88" t="s">
        <v>34</v>
      </c>
      <c r="C282" s="91" t="s">
        <v>80</v>
      </c>
      <c r="D282" s="87">
        <f>C273</f>
        <v>0</v>
      </c>
    </row>
    <row r="283" spans="1:8" x14ac:dyDescent="0.25">
      <c r="B283" s="90" t="s">
        <v>87</v>
      </c>
      <c r="C283" s="89" t="s">
        <v>86</v>
      </c>
      <c r="D283" s="87">
        <f>C276</f>
        <v>0</v>
      </c>
    </row>
    <row r="284" spans="1:8" x14ac:dyDescent="0.25">
      <c r="B284" s="90" t="s">
        <v>88</v>
      </c>
      <c r="C284" s="89" t="s">
        <v>50</v>
      </c>
      <c r="D284" s="87">
        <f>IF(C83="",0,C278)</f>
        <v>0</v>
      </c>
    </row>
    <row r="287" spans="1:8" s="5" customFormat="1" ht="18.75" x14ac:dyDescent="0.3">
      <c r="A287" s="7"/>
      <c r="B287" s="132" t="s">
        <v>587</v>
      </c>
      <c r="C287" s="132"/>
      <c r="D287" s="132"/>
      <c r="E287" s="7"/>
      <c r="F287" s="7"/>
      <c r="H287" s="22"/>
    </row>
    <row r="288" spans="1:8" s="5" customFormat="1" x14ac:dyDescent="0.25">
      <c r="A288" s="7"/>
      <c r="B288" s="7"/>
      <c r="C288" s="7"/>
      <c r="D288" s="7"/>
      <c r="E288" s="7"/>
      <c r="F288" s="7"/>
      <c r="H288" s="22"/>
    </row>
    <row r="289" spans="2:7" x14ac:dyDescent="0.25">
      <c r="B289" s="9" t="s">
        <v>2</v>
      </c>
    </row>
    <row r="291" spans="2:7" x14ac:dyDescent="0.25">
      <c r="B291" s="7" t="s">
        <v>473</v>
      </c>
      <c r="C291" s="33"/>
      <c r="D291" s="7" t="s">
        <v>53</v>
      </c>
    </row>
    <row r="292" spans="2:7" x14ac:dyDescent="0.25">
      <c r="B292" s="7" t="s">
        <v>474</v>
      </c>
      <c r="C292" s="33"/>
      <c r="D292" s="7" t="s">
        <v>53</v>
      </c>
      <c r="G292" s="24"/>
    </row>
    <row r="293" spans="2:7" x14ac:dyDescent="0.25">
      <c r="B293" s="7" t="s">
        <v>484</v>
      </c>
      <c r="C293" s="41"/>
    </row>
    <row r="294" spans="2:7" x14ac:dyDescent="0.25">
      <c r="B294" s="7" t="s">
        <v>287</v>
      </c>
      <c r="C294" s="29"/>
    </row>
    <row r="295" spans="2:7" x14ac:dyDescent="0.25">
      <c r="B295" s="7" t="s">
        <v>475</v>
      </c>
      <c r="C295" s="29"/>
    </row>
    <row r="296" spans="2:7" x14ac:dyDescent="0.25">
      <c r="B296" s="7" t="s">
        <v>494</v>
      </c>
      <c r="C296" s="29"/>
    </row>
    <row r="298" spans="2:7" s="20" customFormat="1" hidden="1" outlineLevel="1" x14ac:dyDescent="0.25">
      <c r="B298" s="19" t="s">
        <v>482</v>
      </c>
    </row>
    <row r="299" spans="2:7" s="20" customFormat="1" hidden="1" outlineLevel="1" x14ac:dyDescent="0.25"/>
    <row r="300" spans="2:7" s="20" customFormat="1" hidden="1" outlineLevel="1" x14ac:dyDescent="0.25">
      <c r="B300" s="20" t="s">
        <v>804</v>
      </c>
      <c r="C300" s="21">
        <f>'20. Muro com Blocos'!C291*'20. Muro com Blocos'!C292</f>
        <v>0</v>
      </c>
      <c r="D300" s="20" t="s">
        <v>643</v>
      </c>
    </row>
    <row r="301" spans="2:7" s="20" customFormat="1" hidden="1" outlineLevel="1" x14ac:dyDescent="0.25">
      <c r="B301" s="20" t="s">
        <v>481</v>
      </c>
      <c r="C301" s="21">
        <f>SUM($G$307:$G$313)</f>
        <v>0</v>
      </c>
      <c r="D301" s="20" t="s">
        <v>643</v>
      </c>
    </row>
    <row r="302" spans="2:7" s="20" customFormat="1" hidden="1" outlineLevel="1" x14ac:dyDescent="0.25">
      <c r="B302" s="20" t="s">
        <v>480</v>
      </c>
      <c r="C302" s="21">
        <f>SUM($G$316:$G$324)</f>
        <v>0</v>
      </c>
      <c r="D302" s="20" t="s">
        <v>643</v>
      </c>
    </row>
    <row r="303" spans="2:7" s="20" customFormat="1" hidden="1" outlineLevel="1" x14ac:dyDescent="0.25">
      <c r="B303" s="20" t="s">
        <v>483</v>
      </c>
      <c r="C303" s="21">
        <f>C300-C301-C302</f>
        <v>0</v>
      </c>
      <c r="D303" s="20" t="s">
        <v>643</v>
      </c>
    </row>
    <row r="304" spans="2:7" s="20" customFormat="1" hidden="1" outlineLevel="1" x14ac:dyDescent="0.25">
      <c r="B304" s="20" t="s">
        <v>805</v>
      </c>
      <c r="C304" s="21">
        <f>C303*(1+'LEIA-ME'!$D$31)</f>
        <v>0</v>
      </c>
      <c r="D304" s="20" t="s">
        <v>643</v>
      </c>
    </row>
    <row r="305" spans="2:21" s="20" customFormat="1" hidden="1" outlineLevel="1" x14ac:dyDescent="0.25"/>
    <row r="306" spans="2:21" s="73" customFormat="1" ht="30" hidden="1" outlineLevel="1" x14ac:dyDescent="0.25">
      <c r="B306" s="73" t="s">
        <v>476</v>
      </c>
      <c r="C306" s="97" t="s">
        <v>186</v>
      </c>
      <c r="D306" s="97" t="s">
        <v>185</v>
      </c>
      <c r="E306" s="97" t="s">
        <v>184</v>
      </c>
      <c r="F306" s="97" t="s">
        <v>183</v>
      </c>
      <c r="G306" s="97" t="s">
        <v>182</v>
      </c>
      <c r="H306" s="97" t="s">
        <v>181</v>
      </c>
      <c r="M306" s="74"/>
      <c r="N306" s="74"/>
      <c r="O306" s="74"/>
      <c r="P306" s="74"/>
      <c r="Q306" s="74"/>
      <c r="R306" s="74"/>
      <c r="S306" s="74"/>
      <c r="T306" s="74"/>
      <c r="U306" s="74"/>
    </row>
    <row r="307" spans="2:21" s="20" customFormat="1" ht="15" hidden="1" customHeight="1" outlineLevel="1" x14ac:dyDescent="0.25">
      <c r="B307" s="20" t="str">
        <f t="shared" ref="B307:B313" si="11">C307&amp;" x "&amp;D307&amp;" cm"</f>
        <v>220 x 242 cm</v>
      </c>
      <c r="C307" s="20">
        <v>220</v>
      </c>
      <c r="D307" s="20">
        <v>242</v>
      </c>
      <c r="E307" s="21">
        <f t="shared" ref="E307:E313" si="12">C307/100*D307/100</f>
        <v>5.3240000000000007</v>
      </c>
      <c r="F307" s="25">
        <f t="shared" ref="F307:F313" si="13">IF(B307=$C$295,1,0)</f>
        <v>0</v>
      </c>
      <c r="G307" s="21">
        <f t="shared" ref="G307:G313" si="14">E307*F307</f>
        <v>0</v>
      </c>
      <c r="H307" s="21">
        <f t="shared" ref="H307:H313" si="15">F307*D307/100</f>
        <v>0</v>
      </c>
      <c r="M307" s="31"/>
      <c r="N307" s="31"/>
      <c r="O307" s="31"/>
      <c r="P307" s="31"/>
      <c r="Q307" s="31"/>
      <c r="R307" s="31"/>
      <c r="S307" s="31"/>
      <c r="T307" s="31"/>
      <c r="U307" s="31"/>
    </row>
    <row r="308" spans="2:21" s="20" customFormat="1" hidden="1" outlineLevel="1" x14ac:dyDescent="0.25">
      <c r="B308" s="20" t="str">
        <f t="shared" si="11"/>
        <v>220 x 250 cm</v>
      </c>
      <c r="C308" s="20">
        <v>220</v>
      </c>
      <c r="D308" s="20">
        <v>250</v>
      </c>
      <c r="E308" s="21">
        <f t="shared" si="12"/>
        <v>5.5</v>
      </c>
      <c r="F308" s="25">
        <f t="shared" si="13"/>
        <v>0</v>
      </c>
      <c r="G308" s="21">
        <f t="shared" si="14"/>
        <v>0</v>
      </c>
      <c r="H308" s="21">
        <f t="shared" si="15"/>
        <v>0</v>
      </c>
      <c r="M308" s="31"/>
      <c r="N308" s="31"/>
      <c r="O308" s="31"/>
      <c r="P308" s="31"/>
      <c r="Q308" s="31"/>
      <c r="R308" s="31"/>
      <c r="S308" s="31"/>
      <c r="T308" s="31"/>
      <c r="U308" s="31"/>
    </row>
    <row r="309" spans="2:21" s="20" customFormat="1" hidden="1" outlineLevel="1" x14ac:dyDescent="0.25">
      <c r="B309" s="20" t="str">
        <f t="shared" si="11"/>
        <v>220 x 282 cm</v>
      </c>
      <c r="C309" s="20">
        <v>220</v>
      </c>
      <c r="D309" s="20">
        <v>282</v>
      </c>
      <c r="E309" s="21">
        <f t="shared" si="12"/>
        <v>6.2040000000000006</v>
      </c>
      <c r="F309" s="25">
        <f t="shared" si="13"/>
        <v>0</v>
      </c>
      <c r="G309" s="21">
        <f t="shared" si="14"/>
        <v>0</v>
      </c>
      <c r="H309" s="21">
        <f t="shared" si="15"/>
        <v>0</v>
      </c>
      <c r="M309" s="31"/>
      <c r="N309" s="31"/>
      <c r="O309" s="31"/>
      <c r="P309" s="31"/>
      <c r="Q309" s="31"/>
      <c r="R309" s="31"/>
      <c r="S309" s="31"/>
      <c r="T309" s="31"/>
      <c r="U309" s="31"/>
    </row>
    <row r="310" spans="2:21" s="20" customFormat="1" hidden="1" outlineLevel="1" x14ac:dyDescent="0.25">
      <c r="B310" s="20" t="str">
        <f t="shared" si="11"/>
        <v>220 x 285 cm</v>
      </c>
      <c r="C310" s="20">
        <v>220</v>
      </c>
      <c r="D310" s="20">
        <v>285</v>
      </c>
      <c r="E310" s="21">
        <f t="shared" si="12"/>
        <v>6.27</v>
      </c>
      <c r="F310" s="25">
        <f t="shared" si="13"/>
        <v>0</v>
      </c>
      <c r="G310" s="21">
        <f t="shared" si="14"/>
        <v>0</v>
      </c>
      <c r="H310" s="21">
        <f t="shared" si="15"/>
        <v>0</v>
      </c>
      <c r="M310" s="31"/>
      <c r="N310" s="31"/>
      <c r="O310" s="31"/>
      <c r="P310" s="31"/>
      <c r="Q310" s="31"/>
      <c r="R310" s="31"/>
      <c r="S310" s="31"/>
      <c r="T310" s="31"/>
      <c r="U310" s="31"/>
    </row>
    <row r="311" spans="2:21" s="20" customFormat="1" hidden="1" outlineLevel="1" x14ac:dyDescent="0.25">
      <c r="B311" s="20" t="str">
        <f t="shared" si="11"/>
        <v>232 x 300 cm</v>
      </c>
      <c r="C311" s="20">
        <v>232</v>
      </c>
      <c r="D311" s="20">
        <v>300</v>
      </c>
      <c r="E311" s="21">
        <f t="shared" si="12"/>
        <v>6.96</v>
      </c>
      <c r="F311" s="25">
        <f t="shared" si="13"/>
        <v>0</v>
      </c>
      <c r="G311" s="21">
        <f t="shared" si="14"/>
        <v>0</v>
      </c>
      <c r="H311" s="21">
        <f t="shared" si="15"/>
        <v>0</v>
      </c>
      <c r="M311" s="31"/>
      <c r="N311" s="31"/>
      <c r="O311" s="31"/>
      <c r="P311" s="31"/>
      <c r="Q311" s="31"/>
      <c r="R311" s="31"/>
      <c r="S311" s="31"/>
      <c r="T311" s="31"/>
      <c r="U311" s="31"/>
    </row>
    <row r="312" spans="2:21" s="20" customFormat="1" hidden="1" outlineLevel="1" x14ac:dyDescent="0.25">
      <c r="B312" s="20" t="str">
        <f t="shared" si="11"/>
        <v>285 x 250 cm</v>
      </c>
      <c r="C312" s="20">
        <v>285</v>
      </c>
      <c r="D312" s="20">
        <v>250</v>
      </c>
      <c r="E312" s="21">
        <f t="shared" si="12"/>
        <v>7.125</v>
      </c>
      <c r="F312" s="25">
        <f t="shared" si="13"/>
        <v>0</v>
      </c>
      <c r="G312" s="21">
        <f t="shared" si="14"/>
        <v>0</v>
      </c>
      <c r="H312" s="21">
        <f t="shared" si="15"/>
        <v>0</v>
      </c>
      <c r="M312" s="31"/>
      <c r="N312" s="31"/>
      <c r="O312" s="31"/>
      <c r="P312" s="31"/>
      <c r="Q312" s="31"/>
      <c r="R312" s="31"/>
      <c r="S312" s="31"/>
      <c r="T312" s="31"/>
      <c r="U312" s="31"/>
    </row>
    <row r="313" spans="2:21" s="20" customFormat="1" hidden="1" outlineLevel="1" x14ac:dyDescent="0.25">
      <c r="B313" s="20" t="str">
        <f t="shared" si="11"/>
        <v>460 x 250 cm</v>
      </c>
      <c r="C313" s="20">
        <v>460</v>
      </c>
      <c r="D313" s="20">
        <v>250</v>
      </c>
      <c r="E313" s="21">
        <f t="shared" si="12"/>
        <v>11.5</v>
      </c>
      <c r="F313" s="25">
        <f t="shared" si="13"/>
        <v>0</v>
      </c>
      <c r="G313" s="21">
        <f t="shared" si="14"/>
        <v>0</v>
      </c>
      <c r="H313" s="21">
        <f t="shared" si="15"/>
        <v>0</v>
      </c>
      <c r="M313" s="31"/>
      <c r="N313" s="31"/>
      <c r="O313" s="31"/>
      <c r="P313" s="31"/>
      <c r="Q313" s="31"/>
      <c r="R313" s="31"/>
      <c r="S313" s="31"/>
      <c r="T313" s="31"/>
      <c r="U313" s="31"/>
    </row>
    <row r="314" spans="2:21" s="20" customFormat="1" hidden="1" outlineLevel="1" x14ac:dyDescent="0.25">
      <c r="E314" s="21"/>
      <c r="F314" s="65"/>
      <c r="G314" s="66"/>
      <c r="H314" s="66"/>
      <c r="M314" s="31"/>
      <c r="N314" s="31"/>
      <c r="O314" s="31"/>
      <c r="P314" s="31"/>
      <c r="Q314" s="31"/>
      <c r="R314" s="31"/>
      <c r="S314" s="31"/>
      <c r="T314" s="31"/>
      <c r="U314" s="31"/>
    </row>
    <row r="315" spans="2:21" s="73" customFormat="1" ht="30" hidden="1" outlineLevel="1" x14ac:dyDescent="0.25">
      <c r="B315" s="73" t="s">
        <v>477</v>
      </c>
      <c r="C315" s="97" t="s">
        <v>186</v>
      </c>
      <c r="D315" s="97" t="s">
        <v>185</v>
      </c>
      <c r="E315" s="97" t="s">
        <v>184</v>
      </c>
      <c r="F315" s="97" t="s">
        <v>183</v>
      </c>
      <c r="G315" s="97" t="s">
        <v>182</v>
      </c>
      <c r="H315" s="97" t="s">
        <v>181</v>
      </c>
      <c r="M315" s="74"/>
      <c r="N315" s="74"/>
      <c r="O315" s="74"/>
      <c r="P315" s="74"/>
      <c r="Q315" s="74"/>
      <c r="R315" s="74"/>
      <c r="S315" s="74"/>
      <c r="T315" s="74"/>
      <c r="U315" s="74"/>
    </row>
    <row r="316" spans="2:21" s="20" customFormat="1" ht="15" hidden="1" customHeight="1" outlineLevel="1" x14ac:dyDescent="0.25">
      <c r="B316" s="20" t="str">
        <f t="shared" ref="B316:B324" si="16">C316&amp;" x "&amp;D316&amp;" cm"</f>
        <v>180 x 80 cm</v>
      </c>
      <c r="C316" s="20">
        <v>180</v>
      </c>
      <c r="D316" s="20">
        <v>80</v>
      </c>
      <c r="E316" s="21">
        <f t="shared" ref="E316:E324" si="17">C316/100*D316/100</f>
        <v>1.44</v>
      </c>
      <c r="F316" s="25">
        <f t="shared" ref="F316:F324" si="18">IF(B316=$C$296,1,0)</f>
        <v>0</v>
      </c>
      <c r="G316" s="66">
        <f t="shared" ref="G316:G324" si="19">E316*F316</f>
        <v>0</v>
      </c>
      <c r="H316" s="66">
        <f t="shared" ref="H316:H324" si="20">F316*D316/100</f>
        <v>0</v>
      </c>
      <c r="M316" s="31"/>
      <c r="N316" s="31"/>
      <c r="O316" s="31"/>
      <c r="P316" s="31"/>
      <c r="Q316" s="31"/>
      <c r="R316" s="31"/>
      <c r="S316" s="31"/>
      <c r="T316" s="31"/>
      <c r="U316" s="31"/>
    </row>
    <row r="317" spans="2:21" s="20" customFormat="1" hidden="1" outlineLevel="1" x14ac:dyDescent="0.25">
      <c r="B317" s="20" t="str">
        <f t="shared" si="16"/>
        <v>180 x 90 cm</v>
      </c>
      <c r="C317" s="20">
        <v>180</v>
      </c>
      <c r="D317" s="20">
        <v>90</v>
      </c>
      <c r="E317" s="21">
        <f t="shared" si="17"/>
        <v>1.62</v>
      </c>
      <c r="F317" s="25">
        <f t="shared" si="18"/>
        <v>0</v>
      </c>
      <c r="G317" s="66">
        <f t="shared" si="19"/>
        <v>0</v>
      </c>
      <c r="H317" s="66">
        <f t="shared" si="20"/>
        <v>0</v>
      </c>
      <c r="M317" s="31"/>
      <c r="N317" s="31"/>
      <c r="O317" s="31"/>
      <c r="P317" s="31"/>
      <c r="Q317" s="31"/>
      <c r="R317" s="31"/>
      <c r="S317" s="31"/>
      <c r="T317" s="31"/>
      <c r="U317" s="31"/>
    </row>
    <row r="318" spans="2:21" s="20" customFormat="1" hidden="1" outlineLevel="1" x14ac:dyDescent="0.25">
      <c r="B318" s="20" t="str">
        <f t="shared" si="16"/>
        <v>180 x 100 cm</v>
      </c>
      <c r="C318" s="20">
        <v>180</v>
      </c>
      <c r="D318" s="20">
        <v>100</v>
      </c>
      <c r="E318" s="21">
        <f t="shared" si="17"/>
        <v>1.8</v>
      </c>
      <c r="F318" s="25">
        <f t="shared" si="18"/>
        <v>0</v>
      </c>
      <c r="G318" s="66">
        <f t="shared" si="19"/>
        <v>0</v>
      </c>
      <c r="H318" s="66">
        <f t="shared" si="20"/>
        <v>0</v>
      </c>
      <c r="M318" s="31"/>
      <c r="N318" s="31"/>
      <c r="O318" s="31"/>
      <c r="P318" s="31"/>
      <c r="Q318" s="31"/>
      <c r="R318" s="31"/>
      <c r="S318" s="31"/>
      <c r="T318" s="31"/>
      <c r="U318" s="31"/>
    </row>
    <row r="319" spans="2:21" s="20" customFormat="1" hidden="1" outlineLevel="1" x14ac:dyDescent="0.25">
      <c r="B319" s="20" t="str">
        <f t="shared" si="16"/>
        <v>180 x 125 cm</v>
      </c>
      <c r="C319" s="20">
        <v>180</v>
      </c>
      <c r="D319" s="20">
        <v>125</v>
      </c>
      <c r="E319" s="21">
        <f t="shared" si="17"/>
        <v>2.25</v>
      </c>
      <c r="F319" s="25">
        <f t="shared" si="18"/>
        <v>0</v>
      </c>
      <c r="G319" s="66">
        <f t="shared" si="19"/>
        <v>0</v>
      </c>
      <c r="H319" s="66">
        <f t="shared" si="20"/>
        <v>0</v>
      </c>
    </row>
    <row r="320" spans="2:21" s="20" customFormat="1" hidden="1" outlineLevel="1" x14ac:dyDescent="0.25">
      <c r="B320" s="20" t="str">
        <f t="shared" si="16"/>
        <v>205 x 80 cm</v>
      </c>
      <c r="C320" s="20">
        <v>205</v>
      </c>
      <c r="D320" s="20">
        <v>80</v>
      </c>
      <c r="E320" s="21">
        <f t="shared" si="17"/>
        <v>1.64</v>
      </c>
      <c r="F320" s="25">
        <f t="shared" si="18"/>
        <v>0</v>
      </c>
      <c r="G320" s="66">
        <f t="shared" si="19"/>
        <v>0</v>
      </c>
      <c r="H320" s="66">
        <f t="shared" si="20"/>
        <v>0</v>
      </c>
    </row>
    <row r="321" spans="2:8" s="20" customFormat="1" hidden="1" outlineLevel="1" x14ac:dyDescent="0.25">
      <c r="B321" s="20" t="str">
        <f t="shared" si="16"/>
        <v>205 x 90 cm</v>
      </c>
      <c r="C321" s="20">
        <v>205</v>
      </c>
      <c r="D321" s="20">
        <v>90</v>
      </c>
      <c r="E321" s="21">
        <f t="shared" si="17"/>
        <v>1.8449999999999998</v>
      </c>
      <c r="F321" s="25">
        <f t="shared" si="18"/>
        <v>0</v>
      </c>
      <c r="G321" s="66">
        <f t="shared" si="19"/>
        <v>0</v>
      </c>
      <c r="H321" s="66">
        <f t="shared" si="20"/>
        <v>0</v>
      </c>
    </row>
    <row r="322" spans="2:8" s="20" customFormat="1" hidden="1" outlineLevel="1" x14ac:dyDescent="0.25">
      <c r="B322" s="20" t="str">
        <f t="shared" si="16"/>
        <v>205 x 100 cm</v>
      </c>
      <c r="C322" s="20">
        <v>205</v>
      </c>
      <c r="D322" s="20">
        <v>100</v>
      </c>
      <c r="E322" s="21">
        <f t="shared" si="17"/>
        <v>2.0499999999999998</v>
      </c>
      <c r="F322" s="25">
        <f t="shared" si="18"/>
        <v>0</v>
      </c>
      <c r="G322" s="66">
        <f t="shared" si="19"/>
        <v>0</v>
      </c>
      <c r="H322" s="66">
        <f t="shared" si="20"/>
        <v>0</v>
      </c>
    </row>
    <row r="323" spans="2:8" s="20" customFormat="1" hidden="1" outlineLevel="1" x14ac:dyDescent="0.25">
      <c r="B323" s="20" t="str">
        <f t="shared" si="16"/>
        <v>205 x 125 cm</v>
      </c>
      <c r="C323" s="20">
        <v>205</v>
      </c>
      <c r="D323" s="20">
        <v>125</v>
      </c>
      <c r="E323" s="21">
        <f t="shared" si="17"/>
        <v>2.5625</v>
      </c>
      <c r="F323" s="25">
        <f t="shared" si="18"/>
        <v>0</v>
      </c>
      <c r="G323" s="66">
        <f t="shared" si="19"/>
        <v>0</v>
      </c>
      <c r="H323" s="66">
        <f t="shared" si="20"/>
        <v>0</v>
      </c>
    </row>
    <row r="324" spans="2:8" s="20" customFormat="1" hidden="1" outlineLevel="1" x14ac:dyDescent="0.25">
      <c r="B324" s="20" t="str">
        <f t="shared" si="16"/>
        <v>205 x 150 cm</v>
      </c>
      <c r="C324" s="20">
        <v>205</v>
      </c>
      <c r="D324" s="20">
        <v>150</v>
      </c>
      <c r="E324" s="21">
        <f t="shared" si="17"/>
        <v>3.0750000000000002</v>
      </c>
      <c r="F324" s="25">
        <f t="shared" si="18"/>
        <v>0</v>
      </c>
      <c r="G324" s="66">
        <f t="shared" si="19"/>
        <v>0</v>
      </c>
      <c r="H324" s="66">
        <f t="shared" si="20"/>
        <v>0</v>
      </c>
    </row>
    <row r="325" spans="2:8" s="20" customFormat="1" hidden="1" outlineLevel="1" x14ac:dyDescent="0.25">
      <c r="E325" s="21"/>
      <c r="F325" s="65"/>
      <c r="G325" s="66"/>
      <c r="H325" s="66"/>
    </row>
    <row r="326" spans="2:8" s="20" customFormat="1" hidden="1" outlineLevel="1" x14ac:dyDescent="0.25">
      <c r="B326" s="19" t="s">
        <v>209</v>
      </c>
    </row>
    <row r="327" spans="2:8" s="20" customFormat="1" hidden="1" outlineLevel="1" x14ac:dyDescent="0.25"/>
    <row r="328" spans="2:8" s="73" customFormat="1" ht="30" hidden="1" outlineLevel="1" x14ac:dyDescent="0.25">
      <c r="B328" s="73" t="s">
        <v>201</v>
      </c>
      <c r="C328" s="97" t="s">
        <v>177</v>
      </c>
      <c r="D328" s="97" t="s">
        <v>176</v>
      </c>
    </row>
    <row r="329" spans="2:8" s="20" customFormat="1" hidden="1" outlineLevel="1" x14ac:dyDescent="0.25">
      <c r="B329" s="20" t="s">
        <v>198</v>
      </c>
      <c r="C329" s="37">
        <v>13.5</v>
      </c>
      <c r="D329" s="25">
        <f>$C$304*C329</f>
        <v>0</v>
      </c>
    </row>
    <row r="330" spans="2:8" s="20" customFormat="1" hidden="1" outlineLevel="1" x14ac:dyDescent="0.25">
      <c r="B330" s="20" t="s">
        <v>199</v>
      </c>
      <c r="C330" s="37">
        <v>13.5</v>
      </c>
      <c r="D330" s="25">
        <f>$C$304*C330</f>
        <v>0</v>
      </c>
    </row>
    <row r="331" spans="2:8" s="20" customFormat="1" hidden="1" outlineLevel="1" x14ac:dyDescent="0.25">
      <c r="B331" s="20" t="s">
        <v>200</v>
      </c>
      <c r="C331" s="37">
        <v>13.5</v>
      </c>
      <c r="D331" s="25">
        <f>$C$304*C331</f>
        <v>0</v>
      </c>
    </row>
    <row r="332" spans="2:8" s="20" customFormat="1" hidden="1" outlineLevel="1" x14ac:dyDescent="0.25">
      <c r="B332" s="31"/>
      <c r="D332" s="47"/>
    </row>
    <row r="333" spans="2:8" s="20" customFormat="1" hidden="1" outlineLevel="1" x14ac:dyDescent="0.25">
      <c r="B333" s="19" t="s">
        <v>173</v>
      </c>
    </row>
    <row r="334" spans="2:8" s="20" customFormat="1" hidden="1" outlineLevel="1" x14ac:dyDescent="0.25"/>
    <row r="335" spans="2:8" s="97" customFormat="1" ht="30" hidden="1" outlineLevel="1" x14ac:dyDescent="0.25">
      <c r="C335" s="97" t="s">
        <v>174</v>
      </c>
    </row>
    <row r="336" spans="2:8" s="20" customFormat="1" hidden="1" outlineLevel="1" x14ac:dyDescent="0.25">
      <c r="B336" s="20" t="s">
        <v>198</v>
      </c>
      <c r="C336" s="94">
        <v>6.6374999999999906E-3</v>
      </c>
    </row>
    <row r="337" spans="2:6" s="20" customFormat="1" hidden="1" outlineLevel="1" x14ac:dyDescent="0.25">
      <c r="B337" s="20" t="s">
        <v>199</v>
      </c>
      <c r="C337" s="94">
        <v>1.0325000000000001E-2</v>
      </c>
    </row>
    <row r="338" spans="2:6" s="20" customFormat="1" hidden="1" outlineLevel="1" x14ac:dyDescent="0.25">
      <c r="B338" s="20" t="s">
        <v>200</v>
      </c>
      <c r="C338" s="94">
        <v>1.4012500000000011E-2</v>
      </c>
    </row>
    <row r="339" spans="2:6" s="20" customFormat="1" hidden="1" outlineLevel="1" x14ac:dyDescent="0.25"/>
    <row r="340" spans="2:6" s="20" customFormat="1" hidden="1" outlineLevel="1" x14ac:dyDescent="0.25">
      <c r="B340" s="20" t="s">
        <v>730</v>
      </c>
      <c r="C340" s="21" t="e">
        <f>VLOOKUP(C293,B336:C338,2,0)</f>
        <v>#N/A</v>
      </c>
      <c r="D340" s="20" t="s">
        <v>831</v>
      </c>
    </row>
    <row r="341" spans="2:6" s="20" customFormat="1" hidden="1" outlineLevel="1" x14ac:dyDescent="0.25">
      <c r="B341" s="20" t="s">
        <v>173</v>
      </c>
      <c r="C341" s="21" t="e">
        <f>C340*C304</f>
        <v>#N/A</v>
      </c>
      <c r="D341" s="20" t="s">
        <v>32</v>
      </c>
    </row>
    <row r="342" spans="2:6" s="20" customFormat="1" hidden="1" outlineLevel="1" x14ac:dyDescent="0.25"/>
    <row r="343" spans="2:6" s="20" customFormat="1" hidden="1" outlineLevel="1" x14ac:dyDescent="0.25">
      <c r="B343" s="19" t="s">
        <v>1196</v>
      </c>
    </row>
    <row r="344" spans="2:6" s="20" customFormat="1" hidden="1" outlineLevel="1" x14ac:dyDescent="0.25"/>
    <row r="345" spans="2:6" s="20" customFormat="1" hidden="1" outlineLevel="1" x14ac:dyDescent="0.25">
      <c r="C345" s="133" t="s">
        <v>168</v>
      </c>
      <c r="D345" s="133"/>
      <c r="E345" s="133"/>
      <c r="F345" s="133"/>
    </row>
    <row r="346" spans="2:6" s="73" customFormat="1" hidden="1" outlineLevel="1" x14ac:dyDescent="0.25">
      <c r="B346" s="72" t="s">
        <v>42</v>
      </c>
      <c r="C346" s="86" t="s">
        <v>41</v>
      </c>
      <c r="D346" s="86" t="s">
        <v>170</v>
      </c>
      <c r="E346" s="86" t="s">
        <v>40</v>
      </c>
      <c r="F346" s="72"/>
    </row>
    <row r="347" spans="2:6" s="20" customFormat="1" hidden="1" outlineLevel="1" x14ac:dyDescent="0.25">
      <c r="B347" s="30" t="s">
        <v>1174</v>
      </c>
      <c r="C347" s="21">
        <v>4.8</v>
      </c>
      <c r="D347" s="21">
        <v>2.95</v>
      </c>
      <c r="E347" s="21">
        <v>1.2</v>
      </c>
      <c r="F347" s="20" t="s">
        <v>167</v>
      </c>
    </row>
    <row r="348" spans="2:6" s="20" customFormat="1" hidden="1" outlineLevel="1" x14ac:dyDescent="0.25"/>
    <row r="349" spans="2:6" s="20" customFormat="1" hidden="1" outlineLevel="1" x14ac:dyDescent="0.25">
      <c r="C349" s="133" t="s">
        <v>43</v>
      </c>
      <c r="D349" s="133"/>
      <c r="E349" s="133"/>
      <c r="F349" s="133"/>
    </row>
    <row r="350" spans="2:6" s="73" customFormat="1" hidden="1" outlineLevel="1" x14ac:dyDescent="0.25">
      <c r="B350" s="72" t="s">
        <v>42</v>
      </c>
      <c r="C350" s="86" t="s">
        <v>41</v>
      </c>
      <c r="D350" s="86" t="s">
        <v>170</v>
      </c>
      <c r="E350" s="86" t="s">
        <v>40</v>
      </c>
      <c r="F350" s="72"/>
    </row>
    <row r="351" spans="2:6" s="20" customFormat="1" hidden="1" outlineLevel="1" x14ac:dyDescent="0.25">
      <c r="B351" s="30" t="str">
        <f>B347</f>
        <v>1 : 1 : 12</v>
      </c>
      <c r="C351" s="21" t="e">
        <f>C347*$C$341</f>
        <v>#N/A</v>
      </c>
      <c r="D351" s="21" t="e">
        <f>D347*$C$341</f>
        <v>#N/A</v>
      </c>
      <c r="E351" s="21" t="e">
        <f>E347*$C$341</f>
        <v>#N/A</v>
      </c>
      <c r="F351" s="20" t="s">
        <v>37</v>
      </c>
    </row>
    <row r="352" spans="2:6" s="20" customFormat="1" hidden="1" outlineLevel="1" x14ac:dyDescent="0.25">
      <c r="B352" s="31"/>
      <c r="D352" s="47"/>
    </row>
    <row r="353" spans="2:6" s="20" customFormat="1" hidden="1" outlineLevel="1" x14ac:dyDescent="0.25">
      <c r="B353" s="19" t="s">
        <v>169</v>
      </c>
    </row>
    <row r="354" spans="2:6" s="20" customFormat="1" hidden="1" outlineLevel="1" x14ac:dyDescent="0.25"/>
    <row r="355" spans="2:6" s="20" customFormat="1" hidden="1" outlineLevel="1" x14ac:dyDescent="0.25">
      <c r="C355" s="133" t="s">
        <v>168</v>
      </c>
      <c r="D355" s="133"/>
      <c r="E355" s="133"/>
      <c r="F355" s="133"/>
    </row>
    <row r="356" spans="2:6" s="73" customFormat="1" ht="30" hidden="1" outlineLevel="1" x14ac:dyDescent="0.25">
      <c r="B356" s="72" t="s">
        <v>42</v>
      </c>
      <c r="C356" s="86" t="s">
        <v>41</v>
      </c>
      <c r="D356" s="86" t="s">
        <v>166</v>
      </c>
      <c r="E356" s="86" t="s">
        <v>40</v>
      </c>
      <c r="F356" s="72"/>
    </row>
    <row r="357" spans="2:6" s="20" customFormat="1" hidden="1" outlineLevel="1" x14ac:dyDescent="0.25">
      <c r="B357" s="30" t="s">
        <v>1173</v>
      </c>
      <c r="C357" s="21">
        <v>4.8</v>
      </c>
      <c r="D357" s="21">
        <v>0.96</v>
      </c>
      <c r="E357" s="21">
        <v>1.2</v>
      </c>
      <c r="F357" s="20" t="s">
        <v>167</v>
      </c>
    </row>
    <row r="358" spans="2:6" s="20" customFormat="1" hidden="1" outlineLevel="1" x14ac:dyDescent="0.25"/>
    <row r="359" spans="2:6" s="20" customFormat="1" hidden="1" outlineLevel="1" x14ac:dyDescent="0.25">
      <c r="C359" s="133" t="s">
        <v>43</v>
      </c>
      <c r="D359" s="133"/>
      <c r="E359" s="133"/>
      <c r="F359" s="133"/>
    </row>
    <row r="360" spans="2:6" s="73" customFormat="1" ht="30" hidden="1" outlineLevel="1" x14ac:dyDescent="0.25">
      <c r="B360" s="72" t="s">
        <v>42</v>
      </c>
      <c r="C360" s="86" t="s">
        <v>41</v>
      </c>
      <c r="D360" s="86" t="s">
        <v>166</v>
      </c>
      <c r="E360" s="86" t="s">
        <v>40</v>
      </c>
      <c r="F360" s="72"/>
    </row>
    <row r="361" spans="2:6" s="20" customFormat="1" hidden="1" outlineLevel="1" x14ac:dyDescent="0.25">
      <c r="B361" s="30" t="str">
        <f>B357</f>
        <v>1 : 12</v>
      </c>
      <c r="C361" s="21" t="e">
        <f>C357*$C$341</f>
        <v>#N/A</v>
      </c>
      <c r="D361" s="21" t="e">
        <f>C361*0.2</f>
        <v>#N/A</v>
      </c>
      <c r="E361" s="21" t="e">
        <f>E357*$C$341</f>
        <v>#N/A</v>
      </c>
      <c r="F361" s="20" t="s">
        <v>37</v>
      </c>
    </row>
    <row r="362" spans="2:6" hidden="1" outlineLevel="1" x14ac:dyDescent="0.25">
      <c r="C362" s="8"/>
    </row>
    <row r="363" spans="2:6" collapsed="1" x14ac:dyDescent="0.25">
      <c r="B363" s="27" t="s">
        <v>5</v>
      </c>
      <c r="C363" s="28" t="s">
        <v>46</v>
      </c>
      <c r="D363" s="28" t="s">
        <v>6</v>
      </c>
    </row>
    <row r="364" spans="2:6" x14ac:dyDescent="0.25">
      <c r="B364" s="88" t="str">
        <f>"Bloco de concreto vedação, "&amp;C293</f>
        <v xml:space="preserve">Bloco de concreto vedação, </v>
      </c>
      <c r="C364" s="91" t="s">
        <v>50</v>
      </c>
      <c r="D364" s="87">
        <f>IFERROR(VLOOKUP(C293,B329:D331,3,0),0)</f>
        <v>0</v>
      </c>
    </row>
    <row r="365" spans="2:6" x14ac:dyDescent="0.25">
      <c r="B365" s="88" t="s">
        <v>165</v>
      </c>
      <c r="C365" s="91" t="s">
        <v>35</v>
      </c>
      <c r="D365" s="87">
        <f>IFERROR(IF(C294="Não",C351,C361),0)</f>
        <v>0</v>
      </c>
      <c r="E365" s="42"/>
    </row>
    <row r="366" spans="2:6" ht="17.25" x14ac:dyDescent="0.25">
      <c r="B366" s="88" t="s">
        <v>34</v>
      </c>
      <c r="C366" s="91" t="s">
        <v>80</v>
      </c>
      <c r="D366" s="87">
        <f>IFERROR(IF(C294="Não",E351,E361),0)</f>
        <v>0</v>
      </c>
      <c r="E366" s="42"/>
    </row>
    <row r="367" spans="2:6" x14ac:dyDescent="0.25">
      <c r="B367" s="88" t="s">
        <v>205</v>
      </c>
      <c r="C367" s="91" t="s">
        <v>290</v>
      </c>
      <c r="D367" s="87">
        <f>IF(C294="Não",D351,0)</f>
        <v>0</v>
      </c>
      <c r="E367" s="42"/>
    </row>
    <row r="368" spans="2:6" x14ac:dyDescent="0.25">
      <c r="B368" s="88" t="s">
        <v>164</v>
      </c>
      <c r="C368" s="91" t="s">
        <v>79</v>
      </c>
      <c r="D368" s="87">
        <f>IF(C294="Sim",D361,0)</f>
        <v>0</v>
      </c>
    </row>
    <row r="369" spans="1:11" x14ac:dyDescent="0.25">
      <c r="B369" s="88" t="str">
        <f>"Portão para carros, "&amp;C295</f>
        <v xml:space="preserve">Portão para carros, </v>
      </c>
      <c r="C369" s="91" t="s">
        <v>50</v>
      </c>
      <c r="D369" s="87">
        <f>IF(C295="",0,1)</f>
        <v>0</v>
      </c>
    </row>
    <row r="370" spans="1:11" x14ac:dyDescent="0.25">
      <c r="B370" s="88" t="str">
        <f>"Portão social, "&amp;C296</f>
        <v xml:space="preserve">Portão social, </v>
      </c>
      <c r="C370" s="91" t="s">
        <v>50</v>
      </c>
      <c r="D370" s="87">
        <f>IF(C296="",0,1)</f>
        <v>0</v>
      </c>
    </row>
    <row r="373" spans="1:11" s="5" customFormat="1" ht="18.75" x14ac:dyDescent="0.3">
      <c r="A373" s="7"/>
      <c r="B373" s="132" t="s">
        <v>639</v>
      </c>
      <c r="C373" s="132"/>
      <c r="D373" s="132"/>
      <c r="E373" s="7"/>
      <c r="F373" s="7"/>
      <c r="H373" s="22"/>
    </row>
    <row r="374" spans="1:11" s="5" customFormat="1" x14ac:dyDescent="0.25">
      <c r="A374" s="7"/>
      <c r="B374" s="7"/>
      <c r="C374" s="7"/>
      <c r="D374" s="7"/>
      <c r="E374" s="7"/>
      <c r="F374" s="7"/>
      <c r="H374" s="22"/>
    </row>
    <row r="375" spans="1:11" x14ac:dyDescent="0.25">
      <c r="B375" s="9" t="s">
        <v>2</v>
      </c>
    </row>
    <row r="377" spans="1:11" x14ac:dyDescent="0.25">
      <c r="B377" s="7" t="s">
        <v>222</v>
      </c>
      <c r="C377" s="23"/>
      <c r="D377" s="7" t="s">
        <v>56</v>
      </c>
      <c r="K377" s="1"/>
    </row>
    <row r="378" spans="1:11" x14ac:dyDescent="0.25">
      <c r="B378" s="7" t="s">
        <v>223</v>
      </c>
      <c r="C378" s="23"/>
      <c r="D378" s="7" t="s">
        <v>56</v>
      </c>
      <c r="K378" s="1"/>
    </row>
    <row r="379" spans="1:11" x14ac:dyDescent="0.25">
      <c r="B379" s="7" t="s">
        <v>224</v>
      </c>
      <c r="C379" s="33"/>
      <c r="D379" s="7" t="s">
        <v>53</v>
      </c>
      <c r="G379" s="24"/>
      <c r="K379" s="1"/>
    </row>
    <row r="380" spans="1:11" x14ac:dyDescent="0.25">
      <c r="B380" s="7" t="s">
        <v>221</v>
      </c>
      <c r="C380" s="23"/>
      <c r="D380" s="7" t="s">
        <v>92</v>
      </c>
      <c r="K380" s="1"/>
    </row>
    <row r="381" spans="1:11" x14ac:dyDescent="0.25">
      <c r="B381" s="7" t="s">
        <v>225</v>
      </c>
      <c r="C381" s="29"/>
    </row>
    <row r="382" spans="1:11" x14ac:dyDescent="0.25">
      <c r="B382" s="7" t="s">
        <v>57</v>
      </c>
      <c r="C382" s="29"/>
      <c r="D382" s="7" t="s">
        <v>1193</v>
      </c>
      <c r="K382" s="1"/>
    </row>
    <row r="383" spans="1:11" x14ac:dyDescent="0.25">
      <c r="B383" s="7" t="s">
        <v>62</v>
      </c>
      <c r="C383" s="23"/>
      <c r="D383" s="7" t="s">
        <v>64</v>
      </c>
      <c r="K383" s="1"/>
    </row>
    <row r="384" spans="1:11" x14ac:dyDescent="0.25">
      <c r="B384" s="7" t="s">
        <v>63</v>
      </c>
      <c r="C384" s="23"/>
      <c r="D384" s="7" t="s">
        <v>56</v>
      </c>
      <c r="K384" s="1"/>
    </row>
    <row r="385" spans="2:11" x14ac:dyDescent="0.25">
      <c r="K385" s="1"/>
    </row>
    <row r="386" spans="2:11" s="20" customFormat="1" hidden="1" outlineLevel="1" x14ac:dyDescent="0.25">
      <c r="B386" s="19" t="s">
        <v>599</v>
      </c>
      <c r="K386" s="46"/>
    </row>
    <row r="387" spans="2:11" s="20" customFormat="1" hidden="1" outlineLevel="1" x14ac:dyDescent="0.25">
      <c r="K387" s="46"/>
    </row>
    <row r="388" spans="2:11" s="20" customFormat="1" hidden="1" outlineLevel="1" x14ac:dyDescent="0.25">
      <c r="B388" s="20" t="s">
        <v>731</v>
      </c>
      <c r="C388" s="21">
        <f>(C377/100)*(C378/100)</f>
        <v>0</v>
      </c>
      <c r="D388" s="20" t="s">
        <v>643</v>
      </c>
      <c r="K388" s="46"/>
    </row>
    <row r="389" spans="2:11" s="20" customFormat="1" hidden="1" outlineLevel="1" x14ac:dyDescent="0.25">
      <c r="B389" s="20" t="s">
        <v>732</v>
      </c>
      <c r="C389" s="21">
        <f>C388*C379</f>
        <v>0</v>
      </c>
      <c r="D389" s="20" t="s">
        <v>32</v>
      </c>
      <c r="K389" s="46"/>
    </row>
    <row r="390" spans="2:11" s="20" customFormat="1" hidden="1" outlineLevel="1" x14ac:dyDescent="0.25">
      <c r="B390" s="20" t="s">
        <v>220</v>
      </c>
      <c r="C390" s="21">
        <f>C389*C380</f>
        <v>0</v>
      </c>
      <c r="D390" s="20" t="s">
        <v>32</v>
      </c>
      <c r="K390" s="46"/>
    </row>
    <row r="391" spans="2:11" s="20" customFormat="1" hidden="1" outlineLevel="1" x14ac:dyDescent="0.25">
      <c r="B391" s="20" t="s">
        <v>733</v>
      </c>
      <c r="C391" s="21">
        <f>C390*(1+'LEIA-ME'!$D$31)</f>
        <v>0</v>
      </c>
      <c r="D391" s="20" t="s">
        <v>32</v>
      </c>
      <c r="K391" s="46"/>
    </row>
    <row r="392" spans="2:11" s="20" customFormat="1" hidden="1" outlineLevel="1" x14ac:dyDescent="0.25">
      <c r="K392" s="46"/>
    </row>
    <row r="393" spans="2:11" s="20" customFormat="1" hidden="1" outlineLevel="1" x14ac:dyDescent="0.25">
      <c r="B393" s="19" t="s">
        <v>125</v>
      </c>
      <c r="K393" s="46"/>
    </row>
    <row r="394" spans="2:11" s="20" customFormat="1" hidden="1" outlineLevel="1" x14ac:dyDescent="0.25">
      <c r="K394" s="46"/>
    </row>
    <row r="395" spans="2:11" s="20" customFormat="1" hidden="1" outlineLevel="1" x14ac:dyDescent="0.25">
      <c r="C395" s="133" t="s">
        <v>45</v>
      </c>
      <c r="D395" s="133"/>
      <c r="E395" s="133"/>
      <c r="F395" s="133"/>
      <c r="K395" s="46"/>
    </row>
    <row r="396" spans="2:11" s="73" customFormat="1" ht="30" hidden="1" outlineLevel="1" x14ac:dyDescent="0.25">
      <c r="B396" s="72" t="s">
        <v>42</v>
      </c>
      <c r="C396" s="86" t="s">
        <v>41</v>
      </c>
      <c r="D396" s="86" t="s">
        <v>40</v>
      </c>
      <c r="E396" s="86" t="s">
        <v>39</v>
      </c>
      <c r="F396" s="86" t="s">
        <v>38</v>
      </c>
      <c r="K396" s="98"/>
    </row>
    <row r="397" spans="2:11" s="20" customFormat="1" hidden="1" outlineLevel="1" x14ac:dyDescent="0.25">
      <c r="B397" s="30" t="s">
        <v>1166</v>
      </c>
      <c r="C397" s="21">
        <v>6.9</v>
      </c>
      <c r="D397" s="21">
        <v>0.62265036674816632</v>
      </c>
      <c r="E397" s="21">
        <v>0.72799999999999987</v>
      </c>
      <c r="F397" s="25">
        <v>210</v>
      </c>
      <c r="K397" s="46"/>
    </row>
    <row r="398" spans="2:11" s="20" customFormat="1" hidden="1" outlineLevel="1" x14ac:dyDescent="0.25">
      <c r="B398" s="30" t="s">
        <v>1167</v>
      </c>
      <c r="C398" s="21">
        <v>6.4</v>
      </c>
      <c r="D398" s="21">
        <v>0.72001955990220046</v>
      </c>
      <c r="E398" s="21">
        <v>0.67399999999999993</v>
      </c>
      <c r="F398" s="25">
        <v>207</v>
      </c>
      <c r="K398" s="46"/>
    </row>
    <row r="399" spans="2:11" s="20" customFormat="1" hidden="1" outlineLevel="1" x14ac:dyDescent="0.25">
      <c r="B399" s="30" t="s">
        <v>1168</v>
      </c>
      <c r="C399" s="21">
        <v>5.94</v>
      </c>
      <c r="D399" s="21">
        <v>0.5380929095354523</v>
      </c>
      <c r="E399" s="21">
        <v>0.83999999999999986</v>
      </c>
      <c r="F399" s="25">
        <v>202</v>
      </c>
      <c r="K399" s="46"/>
    </row>
    <row r="400" spans="2:11" s="20" customFormat="1" hidden="1" outlineLevel="1" x14ac:dyDescent="0.25">
      <c r="B400" s="30" t="s">
        <v>1169</v>
      </c>
      <c r="C400" s="21">
        <v>5.86</v>
      </c>
      <c r="D400" s="21">
        <v>0.66236674816625918</v>
      </c>
      <c r="E400" s="21">
        <v>0.72399999999999987</v>
      </c>
      <c r="F400" s="25">
        <v>208</v>
      </c>
      <c r="K400" s="46"/>
    </row>
    <row r="401" spans="2:11" s="20" customFormat="1" hidden="1" outlineLevel="1" x14ac:dyDescent="0.25">
      <c r="B401" s="30" t="s">
        <v>1181</v>
      </c>
      <c r="C401" s="21">
        <v>5.5</v>
      </c>
      <c r="D401" s="21">
        <v>0.62393154034229825</v>
      </c>
      <c r="E401" s="21">
        <v>0.77999999999999992</v>
      </c>
      <c r="F401" s="25">
        <v>201</v>
      </c>
      <c r="K401" s="46"/>
    </row>
    <row r="402" spans="2:11" s="20" customFormat="1" hidden="1" outlineLevel="1" x14ac:dyDescent="0.25">
      <c r="B402" s="30" t="s">
        <v>1182</v>
      </c>
      <c r="C402" s="21">
        <v>4.9000000000000004</v>
      </c>
      <c r="D402" s="21">
        <v>0.55731051344743276</v>
      </c>
      <c r="E402" s="21">
        <v>0.86999999999999988</v>
      </c>
      <c r="F402" s="25">
        <v>195</v>
      </c>
      <c r="K402" s="46"/>
    </row>
    <row r="403" spans="2:11" s="20" customFormat="1" hidden="1" outlineLevel="1" x14ac:dyDescent="0.25">
      <c r="K403" s="46"/>
    </row>
    <row r="404" spans="2:11" s="20" customFormat="1" hidden="1" outlineLevel="1" x14ac:dyDescent="0.25">
      <c r="C404" s="133" t="s">
        <v>43</v>
      </c>
      <c r="D404" s="133"/>
      <c r="E404" s="133"/>
      <c r="F404" s="133"/>
      <c r="K404" s="46"/>
    </row>
    <row r="405" spans="2:11" s="73" customFormat="1" ht="30" hidden="1" outlineLevel="1" x14ac:dyDescent="0.25">
      <c r="B405" s="72" t="s">
        <v>42</v>
      </c>
      <c r="C405" s="86" t="s">
        <v>41</v>
      </c>
      <c r="D405" s="86" t="s">
        <v>40</v>
      </c>
      <c r="E405" s="86" t="s">
        <v>39</v>
      </c>
      <c r="F405" s="86" t="s">
        <v>38</v>
      </c>
      <c r="K405" s="98"/>
    </row>
    <row r="406" spans="2:11" s="20" customFormat="1" hidden="1" outlineLevel="1" x14ac:dyDescent="0.25">
      <c r="B406" s="30" t="str">
        <f>B397</f>
        <v>1 : 2 : 3</v>
      </c>
      <c r="C406" s="21">
        <f t="shared" ref="C406:F408" si="21">C397*$C$391</f>
        <v>0</v>
      </c>
      <c r="D406" s="21">
        <f t="shared" si="21"/>
        <v>0</v>
      </c>
      <c r="E406" s="21">
        <f t="shared" si="21"/>
        <v>0</v>
      </c>
      <c r="F406" s="25">
        <f t="shared" si="21"/>
        <v>0</v>
      </c>
      <c r="K406" s="46"/>
    </row>
    <row r="407" spans="2:11" s="20" customFormat="1" hidden="1" outlineLevel="1" x14ac:dyDescent="0.25">
      <c r="B407" s="30" t="str">
        <f>B398</f>
        <v>1 : 2,5 : 3</v>
      </c>
      <c r="C407" s="21">
        <f t="shared" si="21"/>
        <v>0</v>
      </c>
      <c r="D407" s="21">
        <f t="shared" si="21"/>
        <v>0</v>
      </c>
      <c r="E407" s="21">
        <f t="shared" si="21"/>
        <v>0</v>
      </c>
      <c r="F407" s="25">
        <f t="shared" si="21"/>
        <v>0</v>
      </c>
      <c r="K407" s="46"/>
    </row>
    <row r="408" spans="2:11" s="20" customFormat="1" hidden="1" outlineLevel="1" x14ac:dyDescent="0.25">
      <c r="B408" s="30" t="str">
        <f>B399</f>
        <v>1 : 2 : 4</v>
      </c>
      <c r="C408" s="21">
        <f t="shared" si="21"/>
        <v>0</v>
      </c>
      <c r="D408" s="21">
        <f t="shared" si="21"/>
        <v>0</v>
      </c>
      <c r="E408" s="21">
        <f t="shared" si="21"/>
        <v>0</v>
      </c>
      <c r="F408" s="25">
        <f t="shared" si="21"/>
        <v>0</v>
      </c>
      <c r="K408" s="46"/>
    </row>
    <row r="409" spans="2:11" s="20" customFormat="1" hidden="1" outlineLevel="1" x14ac:dyDescent="0.25">
      <c r="B409" s="30" t="str">
        <f t="shared" ref="B409:B411" si="22">B400</f>
        <v>1 : 2,5 : 3,5</v>
      </c>
      <c r="C409" s="21">
        <f t="shared" ref="C409:F409" si="23">C400*$C$391</f>
        <v>0</v>
      </c>
      <c r="D409" s="21">
        <f t="shared" si="23"/>
        <v>0</v>
      </c>
      <c r="E409" s="21">
        <f t="shared" si="23"/>
        <v>0</v>
      </c>
      <c r="F409" s="25">
        <f t="shared" si="23"/>
        <v>0</v>
      </c>
      <c r="K409" s="46"/>
    </row>
    <row r="410" spans="2:11" s="20" customFormat="1" hidden="1" outlineLevel="1" x14ac:dyDescent="0.25">
      <c r="B410" s="30" t="str">
        <f t="shared" si="22"/>
        <v>1 : 2,5 : 4</v>
      </c>
      <c r="C410" s="21">
        <f t="shared" ref="C410:F410" si="24">C401*$C$391</f>
        <v>0</v>
      </c>
      <c r="D410" s="21">
        <f t="shared" si="24"/>
        <v>0</v>
      </c>
      <c r="E410" s="21">
        <f t="shared" si="24"/>
        <v>0</v>
      </c>
      <c r="F410" s="25">
        <f t="shared" si="24"/>
        <v>0</v>
      </c>
      <c r="K410" s="46"/>
    </row>
    <row r="411" spans="2:11" s="20" customFormat="1" hidden="1" outlineLevel="1" x14ac:dyDescent="0.25">
      <c r="B411" s="30" t="str">
        <f t="shared" si="22"/>
        <v>1 : 2,5 : 5</v>
      </c>
      <c r="C411" s="21">
        <f t="shared" ref="C411:F411" si="25">C402*$C$391</f>
        <v>0</v>
      </c>
      <c r="D411" s="21">
        <f t="shared" si="25"/>
        <v>0</v>
      </c>
      <c r="E411" s="21">
        <f t="shared" si="25"/>
        <v>0</v>
      </c>
      <c r="F411" s="25">
        <f t="shared" si="25"/>
        <v>0</v>
      </c>
      <c r="K411" s="46"/>
    </row>
    <row r="412" spans="2:11" s="20" customFormat="1" hidden="1" outlineLevel="1" x14ac:dyDescent="0.25">
      <c r="K412" s="46"/>
    </row>
    <row r="413" spans="2:11" s="20" customFormat="1" hidden="1" outlineLevel="1" x14ac:dyDescent="0.25">
      <c r="B413" s="19" t="s">
        <v>610</v>
      </c>
      <c r="K413" s="46"/>
    </row>
    <row r="414" spans="2:11" s="20" customFormat="1" hidden="1" outlineLevel="1" x14ac:dyDescent="0.25">
      <c r="K414" s="46"/>
    </row>
    <row r="415" spans="2:11" s="20" customFormat="1" hidden="1" outlineLevel="1" x14ac:dyDescent="0.25">
      <c r="B415" s="20" t="s">
        <v>101</v>
      </c>
      <c r="K415" s="46"/>
    </row>
    <row r="416" spans="2:11" s="20" customFormat="1" hidden="1" outlineLevel="1" x14ac:dyDescent="0.25">
      <c r="B416" s="34" t="s">
        <v>230</v>
      </c>
      <c r="C416" s="35" t="s">
        <v>15</v>
      </c>
      <c r="D416" s="20" t="s">
        <v>663</v>
      </c>
      <c r="K416" s="46"/>
    </row>
    <row r="417" spans="2:11" s="20" customFormat="1" hidden="1" outlineLevel="1" x14ac:dyDescent="0.25">
      <c r="B417" s="34"/>
      <c r="K417" s="46"/>
    </row>
    <row r="418" spans="2:11" s="20" customFormat="1" hidden="1" outlineLevel="1" x14ac:dyDescent="0.25">
      <c r="B418" s="20" t="s">
        <v>30</v>
      </c>
      <c r="K418" s="46"/>
    </row>
    <row r="419" spans="2:11" s="20" customFormat="1" hidden="1" outlineLevel="1" x14ac:dyDescent="0.25">
      <c r="B419" s="34" t="s">
        <v>230</v>
      </c>
      <c r="C419" s="35" t="s">
        <v>21</v>
      </c>
      <c r="D419" s="20" t="s">
        <v>663</v>
      </c>
      <c r="K419" s="46"/>
    </row>
    <row r="420" spans="2:11" s="20" customFormat="1" hidden="1" outlineLevel="1" x14ac:dyDescent="0.25">
      <c r="B420" s="34" t="s">
        <v>843</v>
      </c>
      <c r="C420" s="23">
        <v>6</v>
      </c>
      <c r="D420" s="20" t="s">
        <v>56</v>
      </c>
      <c r="K420" s="46"/>
    </row>
    <row r="421" spans="2:11" s="20" customFormat="1" hidden="1" outlineLevel="1" x14ac:dyDescent="0.25">
      <c r="B421" s="34" t="s">
        <v>14</v>
      </c>
      <c r="C421" s="25">
        <f>C377-C420</f>
        <v>-6</v>
      </c>
      <c r="D421" s="20" t="s">
        <v>56</v>
      </c>
      <c r="F421" s="36"/>
      <c r="K421" s="46"/>
    </row>
    <row r="422" spans="2:11" s="20" customFormat="1" hidden="1" outlineLevel="1" x14ac:dyDescent="0.25">
      <c r="B422" s="34" t="s">
        <v>55</v>
      </c>
      <c r="C422" s="25">
        <f>C378-C420</f>
        <v>-6</v>
      </c>
      <c r="D422" s="20" t="s">
        <v>56</v>
      </c>
      <c r="F422" s="36"/>
      <c r="K422" s="46"/>
    </row>
    <row r="423" spans="2:11" s="20" customFormat="1" hidden="1" outlineLevel="1" x14ac:dyDescent="0.25">
      <c r="B423" s="34"/>
      <c r="K423" s="46"/>
    </row>
    <row r="424" spans="2:11" s="20" customFormat="1" hidden="1" outlineLevel="1" x14ac:dyDescent="0.25">
      <c r="B424" s="19" t="s">
        <v>100</v>
      </c>
      <c r="K424" s="46"/>
    </row>
    <row r="425" spans="2:11" s="20" customFormat="1" hidden="1" outlineLevel="1" x14ac:dyDescent="0.25">
      <c r="K425" s="46"/>
    </row>
    <row r="426" spans="2:11" s="20" customFormat="1" hidden="1" outlineLevel="1" x14ac:dyDescent="0.25">
      <c r="B426" s="20" t="s">
        <v>99</v>
      </c>
      <c r="C426" s="37">
        <f>C383*C379</f>
        <v>0</v>
      </c>
      <c r="D426" s="20" t="s">
        <v>53</v>
      </c>
      <c r="K426" s="46"/>
    </row>
    <row r="427" spans="2:11" s="20" customFormat="1" hidden="1" outlineLevel="1" x14ac:dyDescent="0.25">
      <c r="B427" s="20" t="s">
        <v>98</v>
      </c>
      <c r="C427" s="37">
        <f>C426*C380</f>
        <v>0</v>
      </c>
      <c r="D427" s="20" t="s">
        <v>53</v>
      </c>
      <c r="K427" s="46"/>
    </row>
    <row r="428" spans="2:11" s="20" customFormat="1" hidden="1" outlineLevel="1" x14ac:dyDescent="0.25">
      <c r="B428" s="20" t="s">
        <v>706</v>
      </c>
      <c r="C428" s="37">
        <f>C427*(1+'LEIA-ME'!$D$31)</f>
        <v>0</v>
      </c>
      <c r="D428" s="20" t="s">
        <v>53</v>
      </c>
      <c r="K428" s="46"/>
    </row>
    <row r="429" spans="2:11" s="20" customFormat="1" hidden="1" outlineLevel="1" x14ac:dyDescent="0.25">
      <c r="B429" s="20" t="s">
        <v>664</v>
      </c>
      <c r="C429" s="23">
        <v>12</v>
      </c>
      <c r="D429" s="20" t="s">
        <v>53</v>
      </c>
      <c r="K429" s="46"/>
    </row>
    <row r="430" spans="2:11" s="20" customFormat="1" hidden="1" outlineLevel="1" x14ac:dyDescent="0.25">
      <c r="B430" s="20" t="s">
        <v>72</v>
      </c>
      <c r="C430" s="37">
        <f>C428/C429</f>
        <v>0</v>
      </c>
      <c r="D430" s="20" t="s">
        <v>64</v>
      </c>
      <c r="K430" s="46"/>
    </row>
    <row r="431" spans="2:11" s="20" customFormat="1" hidden="1" outlineLevel="1" x14ac:dyDescent="0.25">
      <c r="B431" s="31"/>
      <c r="D431" s="47"/>
      <c r="K431" s="46"/>
    </row>
    <row r="432" spans="2:11" s="20" customFormat="1" hidden="1" outlineLevel="1" x14ac:dyDescent="0.25">
      <c r="B432" s="19" t="s">
        <v>25</v>
      </c>
      <c r="K432" s="46"/>
    </row>
    <row r="433" spans="2:11" s="20" customFormat="1" hidden="1" outlineLevel="1" x14ac:dyDescent="0.25">
      <c r="K433" s="46"/>
    </row>
    <row r="434" spans="2:11" s="20" customFormat="1" hidden="1" outlineLevel="1" x14ac:dyDescent="0.25">
      <c r="B434" s="20" t="s">
        <v>669</v>
      </c>
      <c r="C434" s="23">
        <v>20</v>
      </c>
      <c r="D434" s="20" t="s">
        <v>56</v>
      </c>
      <c r="K434" s="46"/>
    </row>
    <row r="435" spans="2:11" s="20" customFormat="1" hidden="1" outlineLevel="1" x14ac:dyDescent="0.25">
      <c r="B435" s="20" t="s">
        <v>24</v>
      </c>
      <c r="C435" s="37">
        <f>(((C421*2)+(C422*2))*(1+C434/100))/100</f>
        <v>-0.28799999999999998</v>
      </c>
      <c r="D435" s="20" t="s">
        <v>53</v>
      </c>
      <c r="K435" s="46"/>
    </row>
    <row r="436" spans="2:11" s="20" customFormat="1" hidden="1" outlineLevel="1" x14ac:dyDescent="0.25">
      <c r="B436" s="20" t="s">
        <v>97</v>
      </c>
      <c r="C436" s="37" t="e">
        <f>INT(C379/(C384/100))</f>
        <v>#DIV/0!</v>
      </c>
      <c r="D436" s="20" t="s">
        <v>644</v>
      </c>
      <c r="K436" s="46"/>
    </row>
    <row r="437" spans="2:11" s="20" customFormat="1" hidden="1" outlineLevel="1" x14ac:dyDescent="0.25">
      <c r="B437" s="20" t="s">
        <v>96</v>
      </c>
      <c r="C437" s="37" t="e">
        <f>C436*C435</f>
        <v>#DIV/0!</v>
      </c>
      <c r="D437" s="20" t="s">
        <v>53</v>
      </c>
      <c r="K437" s="46"/>
    </row>
    <row r="438" spans="2:11" s="20" customFormat="1" hidden="1" outlineLevel="1" x14ac:dyDescent="0.25">
      <c r="B438" s="20" t="s">
        <v>95</v>
      </c>
      <c r="C438" s="37" t="e">
        <f>C437*C380</f>
        <v>#DIV/0!</v>
      </c>
      <c r="D438" s="20" t="s">
        <v>53</v>
      </c>
      <c r="K438" s="46"/>
    </row>
    <row r="439" spans="2:11" s="20" customFormat="1" hidden="1" outlineLevel="1" x14ac:dyDescent="0.25">
      <c r="B439" s="20" t="s">
        <v>734</v>
      </c>
      <c r="C439" s="37" t="e">
        <f>C438*(1+'LEIA-ME'!$D$31)</f>
        <v>#DIV/0!</v>
      </c>
      <c r="D439" s="20" t="s">
        <v>53</v>
      </c>
      <c r="K439" s="46"/>
    </row>
    <row r="440" spans="2:11" s="20" customFormat="1" hidden="1" outlineLevel="1" x14ac:dyDescent="0.25">
      <c r="B440" s="20" t="s">
        <v>664</v>
      </c>
      <c r="C440" s="23">
        <v>12</v>
      </c>
      <c r="D440" s="20" t="s">
        <v>53</v>
      </c>
      <c r="K440" s="46"/>
    </row>
    <row r="441" spans="2:11" s="20" customFormat="1" hidden="1" outlineLevel="1" x14ac:dyDescent="0.25">
      <c r="B441" s="20" t="s">
        <v>72</v>
      </c>
      <c r="C441" s="37" t="e">
        <f>C439/C440</f>
        <v>#DIV/0!</v>
      </c>
      <c r="D441" s="20" t="s">
        <v>64</v>
      </c>
      <c r="K441" s="46"/>
    </row>
    <row r="442" spans="2:11" s="20" customFormat="1" hidden="1" outlineLevel="1" x14ac:dyDescent="0.25"/>
    <row r="443" spans="2:11" s="20" customFormat="1" hidden="1" outlineLevel="1" x14ac:dyDescent="0.25">
      <c r="B443" s="19" t="s">
        <v>73</v>
      </c>
    </row>
    <row r="444" spans="2:11" s="20" customFormat="1" hidden="1" outlineLevel="1" x14ac:dyDescent="0.25"/>
    <row r="445" spans="2:11" s="20" customFormat="1" hidden="1" outlineLevel="1" x14ac:dyDescent="0.25">
      <c r="B445" s="20" t="s">
        <v>666</v>
      </c>
      <c r="C445" s="85">
        <v>0.02</v>
      </c>
      <c r="D445" s="20" t="s">
        <v>650</v>
      </c>
    </row>
    <row r="446" spans="2:11" s="20" customFormat="1" hidden="1" outlineLevel="1" x14ac:dyDescent="0.25">
      <c r="B446" s="20" t="s">
        <v>615</v>
      </c>
      <c r="C446" s="21">
        <f>C427*C445*(1+'LEIA-ME'!$D$31)</f>
        <v>0</v>
      </c>
      <c r="D446" s="20" t="s">
        <v>49</v>
      </c>
    </row>
    <row r="447" spans="2:11" s="20" customFormat="1" hidden="1" outlineLevel="1" x14ac:dyDescent="0.25">
      <c r="B447" s="20" t="s">
        <v>668</v>
      </c>
      <c r="C447" s="23">
        <v>5</v>
      </c>
      <c r="D447" s="20" t="s">
        <v>667</v>
      </c>
    </row>
    <row r="448" spans="2:11" s="20" customFormat="1" hidden="1" outlineLevel="1" x14ac:dyDescent="0.25">
      <c r="B448" s="20" t="s">
        <v>622</v>
      </c>
      <c r="C448" s="25">
        <f>C427*C447*(1+'LEIA-ME'!$D$31)</f>
        <v>0</v>
      </c>
      <c r="D448" s="20" t="s">
        <v>644</v>
      </c>
    </row>
    <row r="449" spans="2:11" s="20" customFormat="1" hidden="1" outlineLevel="1" x14ac:dyDescent="0.25">
      <c r="K449" s="46"/>
    </row>
    <row r="450" spans="2:11" s="20" customFormat="1" hidden="1" outlineLevel="1" x14ac:dyDescent="0.25">
      <c r="B450" s="19" t="s">
        <v>120</v>
      </c>
      <c r="K450" s="46"/>
    </row>
    <row r="451" spans="2:11" s="20" customFormat="1" hidden="1" outlineLevel="1" x14ac:dyDescent="0.25">
      <c r="K451" s="46"/>
    </row>
    <row r="452" spans="2:11" s="20" customFormat="1" hidden="1" outlineLevel="1" x14ac:dyDescent="0.25">
      <c r="B452" s="20" t="s">
        <v>736</v>
      </c>
      <c r="C452" s="21" t="e">
        <f>(C378/100)*VLOOKUP(C379,B459:E475,2,0)</f>
        <v>#N/A</v>
      </c>
      <c r="D452" s="20" t="s">
        <v>643</v>
      </c>
      <c r="K452" s="46"/>
    </row>
    <row r="453" spans="2:11" s="20" customFormat="1" hidden="1" outlineLevel="1" x14ac:dyDescent="0.25">
      <c r="B453" s="20" t="s">
        <v>737</v>
      </c>
      <c r="C453" s="23">
        <v>2</v>
      </c>
      <c r="D453" s="20" t="s">
        <v>644</v>
      </c>
      <c r="K453" s="46"/>
    </row>
    <row r="454" spans="2:11" s="20" customFormat="1" hidden="1" outlineLevel="1" x14ac:dyDescent="0.25">
      <c r="B454" s="20" t="s">
        <v>738</v>
      </c>
      <c r="C454" s="21" t="e">
        <f>C452*C453*C380</f>
        <v>#N/A</v>
      </c>
      <c r="D454" s="20" t="s">
        <v>643</v>
      </c>
      <c r="K454" s="46"/>
    </row>
    <row r="455" spans="2:11" s="20" customFormat="1" hidden="1" outlineLevel="1" x14ac:dyDescent="0.25">
      <c r="B455" s="20" t="s">
        <v>739</v>
      </c>
      <c r="C455" s="21" t="e">
        <f>C454*(1+'LEIA-ME'!$D$31)</f>
        <v>#N/A</v>
      </c>
      <c r="D455" s="20" t="s">
        <v>643</v>
      </c>
      <c r="K455" s="46"/>
    </row>
    <row r="456" spans="2:11" s="20" customFormat="1" hidden="1" outlineLevel="1" x14ac:dyDescent="0.25">
      <c r="B456" s="20" t="s">
        <v>218</v>
      </c>
      <c r="C456" s="21" t="e">
        <f>VLOOKUP(C379,B459:E475,4,0)</f>
        <v>#N/A</v>
      </c>
      <c r="D456" s="20" t="s">
        <v>643</v>
      </c>
      <c r="K456" s="46"/>
    </row>
    <row r="457" spans="2:11" s="20" customFormat="1" hidden="1" outlineLevel="1" x14ac:dyDescent="0.25">
      <c r="B457" s="20" t="s">
        <v>229</v>
      </c>
      <c r="C457" s="21" t="e">
        <f>C455/C456</f>
        <v>#N/A</v>
      </c>
      <c r="D457" s="20" t="s">
        <v>644</v>
      </c>
      <c r="K457" s="46"/>
    </row>
    <row r="458" spans="2:11" s="20" customFormat="1" hidden="1" outlineLevel="1" x14ac:dyDescent="0.25">
      <c r="C458" s="21"/>
      <c r="K458" s="46"/>
    </row>
    <row r="459" spans="2:11" s="73" customFormat="1" ht="30" hidden="1" outlineLevel="1" x14ac:dyDescent="0.25">
      <c r="B459" s="97" t="s">
        <v>217</v>
      </c>
      <c r="C459" s="96" t="s">
        <v>216</v>
      </c>
      <c r="D459" s="97" t="s">
        <v>735</v>
      </c>
      <c r="E459" s="97" t="s">
        <v>215</v>
      </c>
      <c r="F459" s="97"/>
      <c r="K459" s="98"/>
    </row>
    <row r="460" spans="2:11" s="20" customFormat="1" hidden="1" outlineLevel="1" x14ac:dyDescent="0.25">
      <c r="B460" s="48">
        <v>1.5</v>
      </c>
      <c r="C460" s="21">
        <v>3</v>
      </c>
      <c r="D460" s="20" t="s">
        <v>612</v>
      </c>
      <c r="E460" s="20">
        <v>0.89999999999999991</v>
      </c>
      <c r="K460" s="46"/>
    </row>
    <row r="461" spans="2:11" s="20" customFormat="1" hidden="1" outlineLevel="1" x14ac:dyDescent="0.25">
      <c r="B461" s="48">
        <v>1.6</v>
      </c>
      <c r="C461" s="21">
        <v>3</v>
      </c>
      <c r="D461" s="20" t="s">
        <v>612</v>
      </c>
      <c r="E461" s="20">
        <v>0.89999999999999991</v>
      </c>
      <c r="K461" s="46"/>
    </row>
    <row r="462" spans="2:11" s="20" customFormat="1" hidden="1" outlineLevel="1" x14ac:dyDescent="0.25">
      <c r="B462" s="48">
        <v>1.7</v>
      </c>
      <c r="C462" s="21">
        <v>3</v>
      </c>
      <c r="D462" s="20" t="s">
        <v>612</v>
      </c>
      <c r="E462" s="20">
        <v>0.89999999999999991</v>
      </c>
      <c r="K462" s="46"/>
    </row>
    <row r="463" spans="2:11" s="20" customFormat="1" hidden="1" outlineLevel="1" x14ac:dyDescent="0.25">
      <c r="B463" s="48">
        <v>1.8</v>
      </c>
      <c r="C463" s="21">
        <v>3</v>
      </c>
      <c r="D463" s="20" t="s">
        <v>612</v>
      </c>
      <c r="E463" s="20">
        <v>0.89999999999999991</v>
      </c>
      <c r="K463" s="46"/>
    </row>
    <row r="464" spans="2:11" s="20" customFormat="1" hidden="1" outlineLevel="1" x14ac:dyDescent="0.25">
      <c r="B464" s="48">
        <v>1.9</v>
      </c>
      <c r="C464" s="21">
        <v>3</v>
      </c>
      <c r="D464" s="20" t="s">
        <v>612</v>
      </c>
      <c r="E464" s="20">
        <v>0.89999999999999991</v>
      </c>
      <c r="K464" s="46"/>
    </row>
    <row r="465" spans="2:11" s="20" customFormat="1" hidden="1" outlineLevel="1" x14ac:dyDescent="0.25">
      <c r="B465" s="48">
        <v>2</v>
      </c>
      <c r="C465" s="21">
        <v>3</v>
      </c>
      <c r="D465" s="20" t="s">
        <v>612</v>
      </c>
      <c r="E465" s="20">
        <v>0.89999999999999991</v>
      </c>
      <c r="K465" s="46"/>
    </row>
    <row r="466" spans="2:11" s="20" customFormat="1" hidden="1" outlineLevel="1" x14ac:dyDescent="0.25">
      <c r="B466" s="48">
        <v>2.1</v>
      </c>
      <c r="C466" s="21">
        <v>3</v>
      </c>
      <c r="D466" s="20" t="s">
        <v>612</v>
      </c>
      <c r="E466" s="20">
        <v>0.89999999999999991</v>
      </c>
      <c r="K466" s="46"/>
    </row>
    <row r="467" spans="2:11" s="20" customFormat="1" hidden="1" outlineLevel="1" x14ac:dyDescent="0.25">
      <c r="B467" s="48">
        <v>2.2000000000000002</v>
      </c>
      <c r="C467" s="21">
        <v>3</v>
      </c>
      <c r="D467" s="20" t="s">
        <v>612</v>
      </c>
      <c r="E467" s="20">
        <v>0.89999999999999991</v>
      </c>
      <c r="K467" s="46"/>
    </row>
    <row r="468" spans="2:11" s="20" customFormat="1" hidden="1" outlineLevel="1" x14ac:dyDescent="0.25">
      <c r="B468" s="48">
        <v>2.2999999999999998</v>
      </c>
      <c r="C468" s="21">
        <v>3</v>
      </c>
      <c r="D468" s="20" t="s">
        <v>612</v>
      </c>
      <c r="E468" s="20">
        <v>0.89999999999999991</v>
      </c>
      <c r="K468" s="46"/>
    </row>
    <row r="469" spans="2:11" s="20" customFormat="1" hidden="1" outlineLevel="1" x14ac:dyDescent="0.25">
      <c r="B469" s="48">
        <v>2.4</v>
      </c>
      <c r="C469" s="21">
        <v>3</v>
      </c>
      <c r="D469" s="20" t="s">
        <v>612</v>
      </c>
      <c r="E469" s="20">
        <v>0.89999999999999991</v>
      </c>
      <c r="K469" s="46"/>
    </row>
    <row r="470" spans="2:11" s="20" customFormat="1" hidden="1" outlineLevel="1" x14ac:dyDescent="0.25">
      <c r="B470" s="48">
        <v>2.5</v>
      </c>
      <c r="C470" s="21">
        <v>3</v>
      </c>
      <c r="D470" s="20" t="s">
        <v>612</v>
      </c>
      <c r="E470" s="20">
        <v>0.89999999999999991</v>
      </c>
      <c r="K470" s="46"/>
    </row>
    <row r="471" spans="2:11" s="20" customFormat="1" hidden="1" outlineLevel="1" x14ac:dyDescent="0.25">
      <c r="B471" s="48">
        <v>2.6</v>
      </c>
      <c r="C471" s="21">
        <v>3</v>
      </c>
      <c r="D471" s="20" t="s">
        <v>612</v>
      </c>
      <c r="E471" s="20">
        <v>0.89999999999999991</v>
      </c>
      <c r="K471" s="46"/>
    </row>
    <row r="472" spans="2:11" s="20" customFormat="1" hidden="1" outlineLevel="1" x14ac:dyDescent="0.25">
      <c r="B472" s="48">
        <v>2.7</v>
      </c>
      <c r="C472" s="21">
        <v>3</v>
      </c>
      <c r="D472" s="20" t="s">
        <v>612</v>
      </c>
      <c r="E472" s="20">
        <v>0.89999999999999991</v>
      </c>
      <c r="K472" s="46"/>
    </row>
    <row r="473" spans="2:11" s="20" customFormat="1" hidden="1" outlineLevel="1" x14ac:dyDescent="0.25">
      <c r="B473" s="48">
        <v>2.8</v>
      </c>
      <c r="C473" s="21">
        <v>3</v>
      </c>
      <c r="D473" s="20" t="s">
        <v>612</v>
      </c>
      <c r="E473" s="20">
        <v>0.89999999999999991</v>
      </c>
      <c r="K473" s="46"/>
    </row>
    <row r="474" spans="2:11" s="20" customFormat="1" hidden="1" outlineLevel="1" x14ac:dyDescent="0.25">
      <c r="B474" s="48">
        <v>2.9</v>
      </c>
      <c r="C474" s="21">
        <v>3</v>
      </c>
      <c r="D474" s="20" t="s">
        <v>612</v>
      </c>
      <c r="E474" s="20">
        <v>0.89999999999999991</v>
      </c>
      <c r="K474" s="46"/>
    </row>
    <row r="475" spans="2:11" s="20" customFormat="1" hidden="1" outlineLevel="1" x14ac:dyDescent="0.25">
      <c r="B475" s="48">
        <v>3</v>
      </c>
      <c r="C475" s="21">
        <v>3</v>
      </c>
      <c r="D475" s="20" t="s">
        <v>612</v>
      </c>
      <c r="E475" s="20">
        <v>0.89999999999999991</v>
      </c>
      <c r="K475" s="46"/>
    </row>
    <row r="476" spans="2:11" s="20" customFormat="1" hidden="1" outlineLevel="1" x14ac:dyDescent="0.25">
      <c r="K476" s="46"/>
    </row>
    <row r="477" spans="2:11" s="20" customFormat="1" hidden="1" outlineLevel="1" x14ac:dyDescent="0.25">
      <c r="K477" s="46"/>
    </row>
    <row r="478" spans="2:11" s="20" customFormat="1" hidden="1" outlineLevel="1" x14ac:dyDescent="0.25">
      <c r="B478" s="19" t="s">
        <v>121</v>
      </c>
      <c r="K478" s="46"/>
    </row>
    <row r="479" spans="2:11" s="20" customFormat="1" hidden="1" outlineLevel="1" x14ac:dyDescent="0.25">
      <c r="K479" s="46"/>
    </row>
    <row r="480" spans="2:11" s="20" customFormat="1" hidden="1" outlineLevel="1" x14ac:dyDescent="0.25">
      <c r="B480" s="20" t="s">
        <v>229</v>
      </c>
      <c r="C480" s="21" t="e">
        <f>C457</f>
        <v>#N/A</v>
      </c>
      <c r="D480" s="39" t="s">
        <v>644</v>
      </c>
      <c r="K480" s="46"/>
    </row>
    <row r="481" spans="2:11" s="20" customFormat="1" hidden="1" outlineLevel="1" x14ac:dyDescent="0.25">
      <c r="B481" s="20" t="s">
        <v>18</v>
      </c>
      <c r="C481" s="23">
        <v>40</v>
      </c>
      <c r="D481" s="39" t="s">
        <v>56</v>
      </c>
      <c r="K481" s="46"/>
    </row>
    <row r="482" spans="2:11" s="20" customFormat="1" hidden="1" outlineLevel="1" x14ac:dyDescent="0.25">
      <c r="B482" s="20" t="s">
        <v>740</v>
      </c>
      <c r="C482" s="21" t="e">
        <f>VLOOKUP(C379,B459:E475,2,0)/(C481/100)</f>
        <v>#N/A</v>
      </c>
      <c r="D482" s="39" t="s">
        <v>644</v>
      </c>
      <c r="K482" s="46"/>
    </row>
    <row r="483" spans="2:11" s="20" customFormat="1" hidden="1" outlineLevel="1" x14ac:dyDescent="0.25">
      <c r="B483" s="20" t="s">
        <v>741</v>
      </c>
      <c r="C483" s="21" t="e">
        <f>C480*C482</f>
        <v>#N/A</v>
      </c>
      <c r="D483" s="39" t="s">
        <v>644</v>
      </c>
      <c r="K483" s="46"/>
    </row>
    <row r="484" spans="2:11" s="20" customFormat="1" hidden="1" outlineLevel="1" x14ac:dyDescent="0.25">
      <c r="B484" s="20" t="s">
        <v>713</v>
      </c>
      <c r="C484" s="23">
        <v>20</v>
      </c>
      <c r="D484" s="39" t="s">
        <v>56</v>
      </c>
      <c r="K484" s="46"/>
    </row>
    <row r="485" spans="2:11" s="20" customFormat="1" hidden="1" outlineLevel="1" x14ac:dyDescent="0.25">
      <c r="B485" s="20" t="s">
        <v>17</v>
      </c>
      <c r="C485" s="21" t="e">
        <f>C483*(C484/100)</f>
        <v>#N/A</v>
      </c>
      <c r="D485" s="20" t="s">
        <v>53</v>
      </c>
      <c r="K485" s="46"/>
    </row>
    <row r="486" spans="2:11" s="20" customFormat="1" hidden="1" outlineLevel="1" x14ac:dyDescent="0.25">
      <c r="B486" s="20" t="s">
        <v>673</v>
      </c>
      <c r="C486" s="21" t="e">
        <f>C485*(1+'LEIA-ME'!$D$31)</f>
        <v>#N/A</v>
      </c>
      <c r="D486" s="20" t="s">
        <v>53</v>
      </c>
      <c r="K486" s="46"/>
    </row>
    <row r="487" spans="2:11" s="20" customFormat="1" hidden="1" outlineLevel="1" x14ac:dyDescent="0.25">
      <c r="B487" s="20" t="s">
        <v>674</v>
      </c>
      <c r="C487" s="33">
        <v>3</v>
      </c>
      <c r="D487" s="20" t="s">
        <v>53</v>
      </c>
      <c r="K487" s="46"/>
    </row>
    <row r="488" spans="2:11" s="20" customFormat="1" hidden="1" outlineLevel="1" x14ac:dyDescent="0.25">
      <c r="B488" s="20" t="s">
        <v>1</v>
      </c>
      <c r="C488" s="21" t="e">
        <f>C486/C487</f>
        <v>#N/A</v>
      </c>
      <c r="D488" s="20" t="s">
        <v>644</v>
      </c>
      <c r="K488" s="46"/>
    </row>
    <row r="489" spans="2:11" s="20" customFormat="1" hidden="1" outlineLevel="1" x14ac:dyDescent="0.25">
      <c r="K489" s="46"/>
    </row>
    <row r="490" spans="2:11" s="20" customFormat="1" hidden="1" outlineLevel="1" x14ac:dyDescent="0.25">
      <c r="B490" s="19" t="s">
        <v>122</v>
      </c>
      <c r="K490" s="46"/>
    </row>
    <row r="491" spans="2:11" s="20" customFormat="1" hidden="1" outlineLevel="1" x14ac:dyDescent="0.25">
      <c r="K491" s="46"/>
    </row>
    <row r="492" spans="2:11" s="20" customFormat="1" hidden="1" outlineLevel="1" x14ac:dyDescent="0.25">
      <c r="B492" s="20" t="s">
        <v>16</v>
      </c>
      <c r="C492" s="92">
        <v>3.44E-2</v>
      </c>
      <c r="D492" s="39" t="s">
        <v>720</v>
      </c>
      <c r="K492" s="46"/>
    </row>
    <row r="493" spans="2:11" s="20" customFormat="1" hidden="1" outlineLevel="1" x14ac:dyDescent="0.25">
      <c r="B493" s="20" t="s">
        <v>75</v>
      </c>
      <c r="C493" s="40" t="e">
        <f>$C$455*C492</f>
        <v>#N/A</v>
      </c>
      <c r="D493" s="20" t="s">
        <v>49</v>
      </c>
      <c r="K493" s="46"/>
    </row>
    <row r="494" spans="2:11" hidden="1" outlineLevel="1" x14ac:dyDescent="0.25">
      <c r="K494" s="1"/>
    </row>
    <row r="495" spans="2:11" collapsed="1" x14ac:dyDescent="0.25">
      <c r="B495" s="27" t="s">
        <v>5</v>
      </c>
      <c r="C495" s="28" t="s">
        <v>46</v>
      </c>
      <c r="D495" s="28" t="s">
        <v>6</v>
      </c>
    </row>
    <row r="496" spans="2:11" ht="17.25" x14ac:dyDescent="0.25">
      <c r="B496" s="88" t="s">
        <v>593</v>
      </c>
      <c r="C496" s="91" t="s">
        <v>80</v>
      </c>
      <c r="D496" s="87">
        <f>IF(C381="Usinado",C391,0)</f>
        <v>0</v>
      </c>
      <c r="K496" s="1"/>
    </row>
    <row r="497" spans="1:11" x14ac:dyDescent="0.25">
      <c r="B497" s="88" t="s">
        <v>36</v>
      </c>
      <c r="C497" s="91" t="s">
        <v>35</v>
      </c>
      <c r="D497" s="87">
        <f>IFERROR(IF(C381="Feito na obra",VLOOKUP($C$382,$B$405:$F$411,2,0),0),0)</f>
        <v>0</v>
      </c>
      <c r="K497" s="1"/>
    </row>
    <row r="498" spans="1:11" ht="17.25" x14ac:dyDescent="0.25">
      <c r="B498" s="88" t="s">
        <v>34</v>
      </c>
      <c r="C498" s="91" t="s">
        <v>80</v>
      </c>
      <c r="D498" s="87">
        <f>IFERROR(IF(C381="Feito na obra",VLOOKUP($C$382,$B$405:$F$411,3,0),0),0)</f>
        <v>0</v>
      </c>
      <c r="K498" s="1"/>
    </row>
    <row r="499" spans="1:11" ht="17.25" x14ac:dyDescent="0.25">
      <c r="B499" s="88" t="s">
        <v>33</v>
      </c>
      <c r="C499" s="91" t="s">
        <v>80</v>
      </c>
      <c r="D499" s="87">
        <f>IFERROR(IF(C381="Feito na obra",VLOOKUP($C$382,$B$405:$F$411,4,0),0),0)</f>
        <v>0</v>
      </c>
      <c r="K499" s="1"/>
    </row>
    <row r="500" spans="1:11" x14ac:dyDescent="0.25">
      <c r="B500" s="88" t="s">
        <v>70</v>
      </c>
      <c r="C500" s="91" t="s">
        <v>642</v>
      </c>
      <c r="D500" s="87">
        <f>C430</f>
        <v>0</v>
      </c>
    </row>
    <row r="501" spans="1:11" x14ac:dyDescent="0.25">
      <c r="B501" s="88" t="s">
        <v>71</v>
      </c>
      <c r="C501" s="91" t="s">
        <v>642</v>
      </c>
      <c r="D501" s="87">
        <f>IFERROR(C441,0)</f>
        <v>0</v>
      </c>
    </row>
    <row r="502" spans="1:11" x14ac:dyDescent="0.25">
      <c r="B502" s="88" t="s">
        <v>74</v>
      </c>
      <c r="C502" s="91" t="s">
        <v>641</v>
      </c>
      <c r="D502" s="87">
        <f>C446</f>
        <v>0</v>
      </c>
    </row>
    <row r="503" spans="1:11" x14ac:dyDescent="0.25">
      <c r="B503" s="88" t="s">
        <v>231</v>
      </c>
      <c r="C503" s="91" t="s">
        <v>50</v>
      </c>
      <c r="D503" s="87">
        <f>C448</f>
        <v>0</v>
      </c>
    </row>
    <row r="504" spans="1:11" x14ac:dyDescent="0.25">
      <c r="B504" s="88" t="s">
        <v>77</v>
      </c>
      <c r="C504" s="91" t="str">
        <f>IF(C387="","",VLOOKUP($C$379,B459:E475,3,0))</f>
        <v/>
      </c>
      <c r="D504" s="87">
        <f>IFERROR(C457,0)</f>
        <v>0</v>
      </c>
      <c r="K504" s="1"/>
    </row>
    <row r="505" spans="1:11" x14ac:dyDescent="0.25">
      <c r="B505" s="88" t="s">
        <v>76</v>
      </c>
      <c r="C505" s="91" t="s">
        <v>612</v>
      </c>
      <c r="D505" s="87">
        <f>IFERROR(C488,0)</f>
        <v>0</v>
      </c>
      <c r="K505" s="1"/>
    </row>
    <row r="506" spans="1:11" x14ac:dyDescent="0.25">
      <c r="B506" s="88" t="s">
        <v>636</v>
      </c>
      <c r="C506" s="89" t="s">
        <v>49</v>
      </c>
      <c r="D506" s="87">
        <f>IFERROR(C493,0)</f>
        <v>0</v>
      </c>
      <c r="K506" s="1"/>
    </row>
    <row r="507" spans="1:11" x14ac:dyDescent="0.25">
      <c r="K507" s="1"/>
    </row>
    <row r="509" spans="1:11" s="5" customFormat="1" ht="18.75" x14ac:dyDescent="0.3">
      <c r="A509" s="7"/>
      <c r="B509" s="132" t="s">
        <v>582</v>
      </c>
      <c r="C509" s="132"/>
      <c r="D509" s="132"/>
      <c r="E509" s="7"/>
      <c r="F509" s="7"/>
      <c r="H509" s="22"/>
    </row>
    <row r="511" spans="1:11" s="20" customFormat="1" hidden="1" outlineLevel="1" x14ac:dyDescent="0.25">
      <c r="B511" s="19" t="s">
        <v>608</v>
      </c>
    </row>
    <row r="512" spans="1:11" s="20" customFormat="1" hidden="1" outlineLevel="1" x14ac:dyDescent="0.25"/>
    <row r="513" spans="2:6" s="20" customFormat="1" hidden="1" outlineLevel="1" x14ac:dyDescent="0.25">
      <c r="B513" s="20" t="s">
        <v>478</v>
      </c>
      <c r="C513" s="33">
        <v>1.4</v>
      </c>
      <c r="D513" s="20" t="s">
        <v>53</v>
      </c>
    </row>
    <row r="514" spans="2:6" s="20" customFormat="1" hidden="1" outlineLevel="1" x14ac:dyDescent="0.25">
      <c r="B514" s="20" t="s">
        <v>479</v>
      </c>
      <c r="C514" s="62">
        <f>ROUNDUP(C292/C513,0)</f>
        <v>0</v>
      </c>
      <c r="D514" s="20" t="s">
        <v>644</v>
      </c>
    </row>
    <row r="515" spans="2:6" s="20" customFormat="1" hidden="1" outlineLevel="1" x14ac:dyDescent="0.25">
      <c r="B515" s="20" t="s">
        <v>806</v>
      </c>
      <c r="C515" s="21">
        <f>C291*C514</f>
        <v>0</v>
      </c>
      <c r="D515" s="20" t="s">
        <v>53</v>
      </c>
    </row>
    <row r="516" spans="2:6" s="20" customFormat="1" hidden="1" outlineLevel="1" x14ac:dyDescent="0.25">
      <c r="B516" s="20" t="s">
        <v>807</v>
      </c>
      <c r="C516" s="21">
        <f>C515*(1+'LEIA-ME'!$D$31)</f>
        <v>0</v>
      </c>
      <c r="D516" s="20" t="s">
        <v>53</v>
      </c>
    </row>
    <row r="517" spans="2:6" s="20" customFormat="1" hidden="1" outlineLevel="1" x14ac:dyDescent="0.25">
      <c r="C517" s="21"/>
    </row>
    <row r="518" spans="2:6" s="73" customFormat="1" ht="30" hidden="1" outlineLevel="1" x14ac:dyDescent="0.25">
      <c r="B518" s="73" t="s">
        <v>160</v>
      </c>
      <c r="C518" s="95" t="s">
        <v>159</v>
      </c>
      <c r="D518" s="73" t="s">
        <v>158</v>
      </c>
      <c r="E518" s="73" t="s">
        <v>204</v>
      </c>
      <c r="F518" s="73" t="s">
        <v>159</v>
      </c>
    </row>
    <row r="519" spans="2:6" s="20" customFormat="1" hidden="1" outlineLevel="1" x14ac:dyDescent="0.25">
      <c r="B519" s="20" t="s">
        <v>198</v>
      </c>
      <c r="C519" s="25">
        <v>4</v>
      </c>
      <c r="D519" s="44">
        <v>2.5641025641025639</v>
      </c>
      <c r="E519" s="44">
        <v>6.6690000000000004E-3</v>
      </c>
      <c r="F519" s="20" t="s">
        <v>198</v>
      </c>
    </row>
    <row r="520" spans="2:6" s="20" customFormat="1" hidden="1" outlineLevel="1" x14ac:dyDescent="0.25">
      <c r="B520" s="20" t="s">
        <v>199</v>
      </c>
      <c r="C520" s="25">
        <v>5</v>
      </c>
      <c r="D520" s="44">
        <v>2.5641025641025639</v>
      </c>
      <c r="E520" s="44">
        <v>1.0374000000000001E-2</v>
      </c>
      <c r="F520" s="20" t="s">
        <v>199</v>
      </c>
    </row>
    <row r="521" spans="2:6" s="20" customFormat="1" hidden="1" outlineLevel="1" x14ac:dyDescent="0.25">
      <c r="B521" s="20" t="s">
        <v>200</v>
      </c>
      <c r="C521" s="25">
        <v>6</v>
      </c>
      <c r="D521" s="44">
        <v>2.5641025641025639</v>
      </c>
      <c r="E521" s="44">
        <v>1.4079E-2</v>
      </c>
      <c r="F521" s="20" t="s">
        <v>200</v>
      </c>
    </row>
    <row r="522" spans="2:6" s="20" customFormat="1" hidden="1" outlineLevel="1" x14ac:dyDescent="0.25">
      <c r="C522" s="21"/>
    </row>
    <row r="523" spans="2:6" s="20" customFormat="1" hidden="1" outlineLevel="1" x14ac:dyDescent="0.25">
      <c r="B523" s="20" t="s">
        <v>727</v>
      </c>
      <c r="C523" s="21" t="e">
        <f>VLOOKUP(C293,B519:D521,3,0)</f>
        <v>#N/A</v>
      </c>
      <c r="D523" s="20" t="s">
        <v>667</v>
      </c>
    </row>
    <row r="524" spans="2:6" s="20" customFormat="1" hidden="1" outlineLevel="1" x14ac:dyDescent="0.25">
      <c r="B524" s="20" t="s">
        <v>157</v>
      </c>
      <c r="C524" s="21" t="e">
        <f>C523*C516</f>
        <v>#N/A</v>
      </c>
      <c r="D524" s="20" t="s">
        <v>644</v>
      </c>
    </row>
    <row r="525" spans="2:6" s="20" customFormat="1" hidden="1" outlineLevel="1" x14ac:dyDescent="0.25">
      <c r="C525" s="21"/>
    </row>
    <row r="526" spans="2:6" s="20" customFormat="1" hidden="1" outlineLevel="1" x14ac:dyDescent="0.25">
      <c r="B526" s="20" t="s">
        <v>729</v>
      </c>
      <c r="C526" s="23">
        <v>4</v>
      </c>
      <c r="D526" s="20" t="s">
        <v>64</v>
      </c>
    </row>
    <row r="527" spans="2:6" s="20" customFormat="1" hidden="1" outlineLevel="1" x14ac:dyDescent="0.25">
      <c r="B527" s="20" t="s">
        <v>664</v>
      </c>
      <c r="C527" s="23">
        <v>12</v>
      </c>
      <c r="D527" s="20" t="s">
        <v>53</v>
      </c>
    </row>
    <row r="528" spans="2:6" s="20" customFormat="1" hidden="1" outlineLevel="1" x14ac:dyDescent="0.25">
      <c r="B528" s="20" t="s">
        <v>728</v>
      </c>
      <c r="C528" s="21">
        <f>C516/C527*C526</f>
        <v>0</v>
      </c>
      <c r="D528" s="20" t="s">
        <v>64</v>
      </c>
    </row>
    <row r="529" spans="1:8" s="20" customFormat="1" hidden="1" outlineLevel="1" x14ac:dyDescent="0.25">
      <c r="C529" s="21"/>
    </row>
    <row r="530" spans="1:8" s="20" customFormat="1" hidden="1" outlineLevel="1" x14ac:dyDescent="0.25">
      <c r="B530" s="20" t="s">
        <v>156</v>
      </c>
      <c r="C530" s="44" t="e">
        <f>VLOOKUP(C293,B519:E521,4,0)</f>
        <v>#N/A</v>
      </c>
      <c r="D530" s="20" t="s">
        <v>32</v>
      </c>
    </row>
    <row r="531" spans="1:8" s="20" customFormat="1" hidden="1" outlineLevel="1" x14ac:dyDescent="0.25">
      <c r="B531" s="20" t="s">
        <v>155</v>
      </c>
      <c r="C531" s="21" t="e">
        <f>C530*C524</f>
        <v>#N/A</v>
      </c>
      <c r="D531" s="20" t="s">
        <v>32</v>
      </c>
    </row>
    <row r="532" spans="1:8" s="20" customFormat="1" hidden="1" outlineLevel="1" x14ac:dyDescent="0.25">
      <c r="C532" s="21"/>
    </row>
    <row r="533" spans="1:8" s="20" customFormat="1" ht="30" hidden="1" outlineLevel="1" x14ac:dyDescent="0.25">
      <c r="B533" s="72" t="s">
        <v>45</v>
      </c>
      <c r="C533" s="86" t="s">
        <v>41</v>
      </c>
      <c r="D533" s="86" t="s">
        <v>40</v>
      </c>
      <c r="E533" s="86" t="s">
        <v>39</v>
      </c>
      <c r="F533" s="86" t="s">
        <v>38</v>
      </c>
    </row>
    <row r="534" spans="1:8" s="20" customFormat="1" hidden="1" outlineLevel="1" x14ac:dyDescent="0.25">
      <c r="B534" s="30" t="s">
        <v>1183</v>
      </c>
      <c r="C534" s="21">
        <v>4.5999999999999996</v>
      </c>
      <c r="D534" s="21">
        <v>0.62265036674816632</v>
      </c>
      <c r="E534" s="21">
        <v>0.80999999999999994</v>
      </c>
      <c r="F534" s="20">
        <v>202</v>
      </c>
    </row>
    <row r="535" spans="1:8" hidden="1" outlineLevel="1" x14ac:dyDescent="0.25"/>
    <row r="536" spans="1:8" collapsed="1" x14ac:dyDescent="0.25">
      <c r="B536" s="27" t="s">
        <v>5</v>
      </c>
      <c r="C536" s="28" t="s">
        <v>46</v>
      </c>
      <c r="D536" s="28" t="s">
        <v>6</v>
      </c>
    </row>
    <row r="537" spans="1:8" x14ac:dyDescent="0.25">
      <c r="B537" s="88" t="str">
        <f>IFERROR("Canaleta concreto vedação, "&amp;VLOOKUP(C293,B519:F521,5,0),"")</f>
        <v/>
      </c>
      <c r="C537" s="91" t="s">
        <v>50</v>
      </c>
      <c r="D537" s="87">
        <f>IFERROR(C524,0)</f>
        <v>0</v>
      </c>
    </row>
    <row r="538" spans="1:8" x14ac:dyDescent="0.25">
      <c r="B538" s="88" t="s">
        <v>70</v>
      </c>
      <c r="C538" s="91" t="s">
        <v>642</v>
      </c>
      <c r="D538" s="87">
        <f>C528</f>
        <v>0</v>
      </c>
    </row>
    <row r="539" spans="1:8" x14ac:dyDescent="0.25">
      <c r="B539" s="88" t="s">
        <v>36</v>
      </c>
      <c r="C539" s="91" t="s">
        <v>35</v>
      </c>
      <c r="D539" s="87">
        <f>IFERROR(C534*C531,0)</f>
        <v>0</v>
      </c>
    </row>
    <row r="540" spans="1:8" ht="17.25" x14ac:dyDescent="0.25">
      <c r="B540" s="88" t="s">
        <v>34</v>
      </c>
      <c r="C540" s="91" t="s">
        <v>80</v>
      </c>
      <c r="D540" s="87">
        <f>IFERROR(D534*C531,0)</f>
        <v>0</v>
      </c>
    </row>
    <row r="541" spans="1:8" ht="17.25" x14ac:dyDescent="0.25">
      <c r="B541" s="88" t="s">
        <v>33</v>
      </c>
      <c r="C541" s="91" t="s">
        <v>80</v>
      </c>
      <c r="D541" s="87">
        <f>IFERROR(E534*C531,0)</f>
        <v>0</v>
      </c>
    </row>
    <row r="544" spans="1:8" s="5" customFormat="1" ht="18.75" x14ac:dyDescent="0.3">
      <c r="A544" s="7"/>
      <c r="B544" s="132" t="s">
        <v>583</v>
      </c>
      <c r="C544" s="132"/>
      <c r="D544" s="132"/>
      <c r="E544" s="7"/>
      <c r="F544" s="7"/>
      <c r="H544" s="22"/>
    </row>
    <row r="545" spans="1:8" s="5" customFormat="1" x14ac:dyDescent="0.25">
      <c r="A545" s="7"/>
      <c r="B545" s="7"/>
      <c r="C545" s="7"/>
      <c r="D545" s="7"/>
      <c r="E545" s="7"/>
      <c r="F545" s="7"/>
      <c r="H545" s="22"/>
    </row>
    <row r="546" spans="1:8" x14ac:dyDescent="0.25">
      <c r="B546" s="9" t="s">
        <v>2</v>
      </c>
    </row>
    <row r="548" spans="1:8" x14ac:dyDescent="0.25">
      <c r="B548" s="7" t="s">
        <v>286</v>
      </c>
      <c r="C548" s="29"/>
    </row>
    <row r="549" spans="1:8" x14ac:dyDescent="0.25">
      <c r="B549" s="7" t="s">
        <v>291</v>
      </c>
      <c r="C549" s="29"/>
      <c r="D549" s="7" t="s">
        <v>1194</v>
      </c>
    </row>
    <row r="550" spans="1:8" x14ac:dyDescent="0.25">
      <c r="B550" s="7" t="s">
        <v>287</v>
      </c>
      <c r="C550" s="29"/>
    </row>
    <row r="552" spans="1:8" s="20" customFormat="1" hidden="1" outlineLevel="1" x14ac:dyDescent="0.25">
      <c r="B552" s="19" t="s">
        <v>602</v>
      </c>
    </row>
    <row r="553" spans="1:8" s="20" customFormat="1" hidden="1" outlineLevel="1" x14ac:dyDescent="0.25"/>
    <row r="554" spans="1:8" s="20" customFormat="1" hidden="1" outlineLevel="1" x14ac:dyDescent="0.25">
      <c r="B554" s="20" t="s">
        <v>761</v>
      </c>
      <c r="C554" s="33">
        <v>0.5</v>
      </c>
      <c r="D554" s="20" t="s">
        <v>56</v>
      </c>
    </row>
    <row r="555" spans="1:8" s="20" customFormat="1" hidden="1" outlineLevel="1" x14ac:dyDescent="0.25">
      <c r="C555" s="38"/>
    </row>
    <row r="556" spans="1:8" s="20" customFormat="1" hidden="1" outlineLevel="1" x14ac:dyDescent="0.25">
      <c r="B556" s="20" t="s">
        <v>757</v>
      </c>
      <c r="C556" s="21">
        <f>C291*C292</f>
        <v>0</v>
      </c>
      <c r="D556" s="20" t="s">
        <v>643</v>
      </c>
    </row>
    <row r="557" spans="1:8" s="20" customFormat="1" hidden="1" outlineLevel="1" x14ac:dyDescent="0.25">
      <c r="B557" s="20" t="s">
        <v>481</v>
      </c>
      <c r="C557" s="21">
        <f>SUM($F$307:$F$313)</f>
        <v>0</v>
      </c>
      <c r="D557" s="20" t="s">
        <v>643</v>
      </c>
    </row>
    <row r="558" spans="1:8" s="20" customFormat="1" hidden="1" outlineLevel="1" x14ac:dyDescent="0.25">
      <c r="B558" s="20" t="s">
        <v>480</v>
      </c>
      <c r="C558" s="21">
        <f>SUM($G$316:$G$324)</f>
        <v>0</v>
      </c>
      <c r="D558" s="20" t="s">
        <v>643</v>
      </c>
    </row>
    <row r="559" spans="1:8" s="20" customFormat="1" hidden="1" outlineLevel="1" x14ac:dyDescent="0.25">
      <c r="B559" s="20" t="s">
        <v>758</v>
      </c>
      <c r="C559" s="21">
        <f>C556-C557-C558</f>
        <v>0</v>
      </c>
      <c r="D559" s="20" t="s">
        <v>643</v>
      </c>
    </row>
    <row r="560" spans="1:8" s="20" customFormat="1" hidden="1" outlineLevel="1" x14ac:dyDescent="0.25">
      <c r="B560" s="20" t="s">
        <v>808</v>
      </c>
      <c r="C560" s="21">
        <f>C559*2</f>
        <v>0</v>
      </c>
      <c r="D560" s="20" t="s">
        <v>643</v>
      </c>
    </row>
    <row r="561" spans="2:6" s="20" customFormat="1" hidden="1" outlineLevel="1" x14ac:dyDescent="0.25">
      <c r="B561" s="20" t="s">
        <v>809</v>
      </c>
      <c r="C561" s="21">
        <f>C560*(1+'LEIA-ME'!$D$31)</f>
        <v>0</v>
      </c>
      <c r="D561" s="20" t="s">
        <v>643</v>
      </c>
    </row>
    <row r="562" spans="2:6" s="20" customFormat="1" hidden="1" outlineLevel="1" x14ac:dyDescent="0.25">
      <c r="B562" s="20" t="s">
        <v>759</v>
      </c>
      <c r="C562" s="21">
        <f>C561*(C554/100)</f>
        <v>0</v>
      </c>
      <c r="D562" s="20" t="s">
        <v>32</v>
      </c>
    </row>
    <row r="563" spans="2:6" s="20" customFormat="1" hidden="1" outlineLevel="1" x14ac:dyDescent="0.25">
      <c r="C563" s="38"/>
    </row>
    <row r="564" spans="2:6" s="20" customFormat="1" hidden="1" outlineLevel="1" x14ac:dyDescent="0.25">
      <c r="B564" s="19" t="s">
        <v>293</v>
      </c>
      <c r="C564" s="38"/>
    </row>
    <row r="565" spans="2:6" s="20" customFormat="1" hidden="1" outlineLevel="1" x14ac:dyDescent="0.25">
      <c r="B565" s="19"/>
      <c r="C565" s="38"/>
    </row>
    <row r="566" spans="2:6" s="20" customFormat="1" hidden="1" outlineLevel="1" x14ac:dyDescent="0.25">
      <c r="B566" s="20" t="s">
        <v>767</v>
      </c>
      <c r="C566" s="33">
        <v>10</v>
      </c>
      <c r="D566" s="20" t="s">
        <v>832</v>
      </c>
    </row>
    <row r="567" spans="2:6" s="20" customFormat="1" hidden="1" outlineLevel="1" x14ac:dyDescent="0.25">
      <c r="B567" s="20" t="s">
        <v>295</v>
      </c>
      <c r="C567" s="37">
        <f>C554/1</f>
        <v>0.5</v>
      </c>
    </row>
    <row r="568" spans="2:6" s="20" customFormat="1" hidden="1" outlineLevel="1" x14ac:dyDescent="0.25">
      <c r="B568" s="20" t="s">
        <v>294</v>
      </c>
      <c r="C568" s="25">
        <f>C566*C561*C567</f>
        <v>0</v>
      </c>
      <c r="D568" s="20" t="s">
        <v>49</v>
      </c>
    </row>
    <row r="569" spans="2:6" s="20" customFormat="1" hidden="1" outlineLevel="1" x14ac:dyDescent="0.25">
      <c r="B569" s="20" t="s">
        <v>760</v>
      </c>
      <c r="C569" s="23">
        <v>20</v>
      </c>
      <c r="D569" s="20" t="s">
        <v>49</v>
      </c>
    </row>
    <row r="570" spans="2:6" s="20" customFormat="1" hidden="1" outlineLevel="1" x14ac:dyDescent="0.25">
      <c r="B570" s="20" t="s">
        <v>296</v>
      </c>
      <c r="C570" s="37">
        <f>C568/C569</f>
        <v>0</v>
      </c>
      <c r="D570" s="20" t="s">
        <v>764</v>
      </c>
    </row>
    <row r="571" spans="2:6" s="20" customFormat="1" hidden="1" outlineLevel="1" x14ac:dyDescent="0.25"/>
    <row r="572" spans="2:6" s="20" customFormat="1" hidden="1" outlineLevel="1" x14ac:dyDescent="0.25">
      <c r="B572" s="19" t="s">
        <v>288</v>
      </c>
    </row>
    <row r="573" spans="2:6" s="20" customFormat="1" hidden="1" outlineLevel="1" x14ac:dyDescent="0.25"/>
    <row r="574" spans="2:6" s="20" customFormat="1" hidden="1" outlineLevel="1" x14ac:dyDescent="0.25">
      <c r="C574" s="133" t="s">
        <v>168</v>
      </c>
      <c r="D574" s="133"/>
      <c r="E574" s="51"/>
      <c r="F574" s="51"/>
    </row>
    <row r="575" spans="2:6" s="20" customFormat="1" hidden="1" outlineLevel="1" x14ac:dyDescent="0.25">
      <c r="B575" s="19" t="s">
        <v>42</v>
      </c>
      <c r="C575" s="19" t="s">
        <v>41</v>
      </c>
      <c r="D575" s="19" t="s">
        <v>40</v>
      </c>
      <c r="E575" s="52"/>
      <c r="F575" s="52"/>
    </row>
    <row r="576" spans="2:6" s="20" customFormat="1" hidden="1" outlineLevel="1" x14ac:dyDescent="0.25">
      <c r="B576" s="30" t="s">
        <v>1188</v>
      </c>
      <c r="C576" s="40">
        <v>4.2</v>
      </c>
      <c r="D576" s="40">
        <v>1.2</v>
      </c>
      <c r="E576" s="20" t="s">
        <v>284</v>
      </c>
    </row>
    <row r="577" spans="2:6" s="20" customFormat="1" hidden="1" outlineLevel="1" x14ac:dyDescent="0.25">
      <c r="B577" s="30" t="s">
        <v>1185</v>
      </c>
      <c r="C577" s="40">
        <v>10</v>
      </c>
      <c r="D577" s="40">
        <v>1.08</v>
      </c>
    </row>
    <row r="578" spans="2:6" s="20" customFormat="1" hidden="1" outlineLevel="1" x14ac:dyDescent="0.25">
      <c r="B578" s="30" t="s">
        <v>1187</v>
      </c>
      <c r="C578" s="40">
        <v>7.4</v>
      </c>
      <c r="D578" s="40">
        <v>1.1000000000000001</v>
      </c>
      <c r="E578" s="21"/>
      <c r="F578" s="25"/>
    </row>
    <row r="579" spans="2:6" s="20" customFormat="1" hidden="1" outlineLevel="1" x14ac:dyDescent="0.25"/>
    <row r="580" spans="2:6" s="20" customFormat="1" hidden="1" outlineLevel="1" x14ac:dyDescent="0.25">
      <c r="C580" s="133" t="s">
        <v>43</v>
      </c>
      <c r="D580" s="133"/>
      <c r="E580" s="51"/>
      <c r="F580" s="51"/>
    </row>
    <row r="581" spans="2:6" s="20" customFormat="1" hidden="1" outlineLevel="1" x14ac:dyDescent="0.25">
      <c r="B581" s="19" t="s">
        <v>42</v>
      </c>
      <c r="C581" s="19" t="s">
        <v>41</v>
      </c>
      <c r="D581" s="19" t="s">
        <v>40</v>
      </c>
      <c r="E581" s="52"/>
      <c r="F581" s="52"/>
    </row>
    <row r="582" spans="2:6" s="20" customFormat="1" hidden="1" outlineLevel="1" x14ac:dyDescent="0.25">
      <c r="B582" s="30" t="str">
        <f>B576</f>
        <v>1 : 0 : 2,5</v>
      </c>
      <c r="C582" s="44">
        <f>C576*$C$562</f>
        <v>0</v>
      </c>
      <c r="D582" s="44">
        <f>D576*$C$562</f>
        <v>0</v>
      </c>
      <c r="E582" s="20" t="s">
        <v>37</v>
      </c>
      <c r="F582" s="25"/>
    </row>
    <row r="583" spans="2:6" s="20" customFormat="1" hidden="1" outlineLevel="1" x14ac:dyDescent="0.25">
      <c r="B583" s="30" t="str">
        <f t="shared" ref="B583:B584" si="26">B577</f>
        <v>1 : 0 : 6</v>
      </c>
      <c r="C583" s="44">
        <f t="shared" ref="C583:D583" si="27">C577*$C$562</f>
        <v>0</v>
      </c>
      <c r="D583" s="44">
        <f t="shared" si="27"/>
        <v>0</v>
      </c>
      <c r="F583" s="25"/>
    </row>
    <row r="584" spans="2:6" s="20" customFormat="1" hidden="1" outlineLevel="1" x14ac:dyDescent="0.25">
      <c r="B584" s="30" t="str">
        <f t="shared" si="26"/>
        <v>1 : 0 : 8</v>
      </c>
      <c r="C584" s="44">
        <f t="shared" ref="C584:D584" si="28">C578*$C$562</f>
        <v>0</v>
      </c>
      <c r="D584" s="44">
        <f t="shared" si="28"/>
        <v>0</v>
      </c>
      <c r="E584" s="21"/>
      <c r="F584" s="25"/>
    </row>
    <row r="585" spans="2:6" s="20" customFormat="1" hidden="1" outlineLevel="1" x14ac:dyDescent="0.25"/>
    <row r="586" spans="2:6" s="20" customFormat="1" hidden="1" outlineLevel="1" x14ac:dyDescent="0.25">
      <c r="B586" s="19" t="s">
        <v>289</v>
      </c>
    </row>
    <row r="587" spans="2:6" s="20" customFormat="1" hidden="1" outlineLevel="1" x14ac:dyDescent="0.25"/>
    <row r="588" spans="2:6" s="20" customFormat="1" hidden="1" outlineLevel="1" x14ac:dyDescent="0.25">
      <c r="C588" s="133" t="s">
        <v>1195</v>
      </c>
      <c r="D588" s="133"/>
      <c r="E588" s="133"/>
      <c r="F588" s="133"/>
    </row>
    <row r="589" spans="2:6" s="20" customFormat="1" hidden="1" outlineLevel="1" x14ac:dyDescent="0.25">
      <c r="B589" s="19" t="s">
        <v>42</v>
      </c>
      <c r="C589" s="19" t="s">
        <v>41</v>
      </c>
      <c r="D589" s="19" t="s">
        <v>283</v>
      </c>
      <c r="E589" s="19" t="s">
        <v>40</v>
      </c>
      <c r="F589" s="19"/>
    </row>
    <row r="590" spans="2:6" s="20" customFormat="1" hidden="1" outlineLevel="1" x14ac:dyDescent="0.25">
      <c r="B590" s="30" t="s">
        <v>1188</v>
      </c>
      <c r="C590" s="40">
        <v>4.0999999999999996</v>
      </c>
      <c r="D590" s="40">
        <v>0.45</v>
      </c>
      <c r="E590" s="40">
        <v>1.2</v>
      </c>
      <c r="F590" s="20" t="s">
        <v>167</v>
      </c>
    </row>
    <row r="591" spans="2:6" s="20" customFormat="1" hidden="1" outlineLevel="1" x14ac:dyDescent="0.25">
      <c r="B591" s="30" t="s">
        <v>1185</v>
      </c>
      <c r="C591" s="40">
        <v>9.8000000000000007</v>
      </c>
      <c r="D591" s="40">
        <v>0.45</v>
      </c>
      <c r="E591" s="40">
        <v>1.1000000000000001</v>
      </c>
    </row>
    <row r="592" spans="2:6" s="20" customFormat="1" hidden="1" outlineLevel="1" x14ac:dyDescent="0.25">
      <c r="B592" s="30" t="s">
        <v>1187</v>
      </c>
      <c r="C592" s="40">
        <v>7.4</v>
      </c>
      <c r="D592" s="40">
        <v>0.45</v>
      </c>
      <c r="E592" s="40">
        <v>1.1000000000000001</v>
      </c>
    </row>
    <row r="593" spans="1:8" s="20" customFormat="1" hidden="1" outlineLevel="1" x14ac:dyDescent="0.25"/>
    <row r="594" spans="1:8" s="20" customFormat="1" hidden="1" outlineLevel="1" x14ac:dyDescent="0.25">
      <c r="C594" s="133" t="s">
        <v>43</v>
      </c>
      <c r="D594" s="133"/>
      <c r="E594" s="133"/>
      <c r="F594" s="133"/>
    </row>
    <row r="595" spans="1:8" s="20" customFormat="1" hidden="1" outlineLevel="1" x14ac:dyDescent="0.25">
      <c r="B595" s="19" t="s">
        <v>42</v>
      </c>
      <c r="C595" s="19" t="s">
        <v>41</v>
      </c>
      <c r="D595" s="19" t="s">
        <v>283</v>
      </c>
      <c r="E595" s="19" t="s">
        <v>40</v>
      </c>
      <c r="F595" s="19"/>
    </row>
    <row r="596" spans="1:8" s="20" customFormat="1" hidden="1" outlineLevel="1" x14ac:dyDescent="0.25">
      <c r="B596" s="30" t="str">
        <f>B590</f>
        <v>1 : 0 : 2,5</v>
      </c>
      <c r="C596" s="44">
        <f>C590*$C$562</f>
        <v>0</v>
      </c>
      <c r="D596" s="44">
        <f>D590*$C$561</f>
        <v>0</v>
      </c>
      <c r="E596" s="44">
        <f>E590*$C$562</f>
        <v>0</v>
      </c>
      <c r="F596" s="20" t="s">
        <v>37</v>
      </c>
    </row>
    <row r="597" spans="1:8" s="20" customFormat="1" hidden="1" outlineLevel="1" x14ac:dyDescent="0.25">
      <c r="B597" s="30" t="str">
        <f t="shared" ref="B597:B598" si="29">B591</f>
        <v>1 : 0 : 6</v>
      </c>
      <c r="C597" s="44">
        <f t="shared" ref="C597:C598" si="30">C591*$C$562</f>
        <v>0</v>
      </c>
      <c r="D597" s="44">
        <f t="shared" ref="D597:D598" si="31">D591*$C$561</f>
        <v>0</v>
      </c>
      <c r="E597" s="44">
        <f t="shared" ref="E597:E598" si="32">E591*$C$562</f>
        <v>0</v>
      </c>
    </row>
    <row r="598" spans="1:8" s="20" customFormat="1" hidden="1" outlineLevel="1" x14ac:dyDescent="0.25">
      <c r="B598" s="30" t="str">
        <f t="shared" si="29"/>
        <v>1 : 0 : 8</v>
      </c>
      <c r="C598" s="44">
        <f t="shared" si="30"/>
        <v>0</v>
      </c>
      <c r="D598" s="44">
        <f t="shared" si="31"/>
        <v>0</v>
      </c>
      <c r="E598" s="44">
        <f t="shared" si="32"/>
        <v>0</v>
      </c>
    </row>
    <row r="599" spans="1:8" collapsed="1" x14ac:dyDescent="0.25"/>
    <row r="600" spans="1:8" x14ac:dyDescent="0.25">
      <c r="B600" s="27" t="s">
        <v>5</v>
      </c>
      <c r="C600" s="28" t="s">
        <v>46</v>
      </c>
      <c r="D600" s="28" t="s">
        <v>6</v>
      </c>
    </row>
    <row r="601" spans="1:8" x14ac:dyDescent="0.25">
      <c r="B601" s="88" t="s">
        <v>285</v>
      </c>
      <c r="C601" s="91" t="s">
        <v>290</v>
      </c>
      <c r="D601" s="87">
        <f>IF(C548="Pronta",C570,0)</f>
        <v>0</v>
      </c>
    </row>
    <row r="602" spans="1:8" x14ac:dyDescent="0.25">
      <c r="B602" s="88" t="s">
        <v>165</v>
      </c>
      <c r="C602" s="91" t="s">
        <v>35</v>
      </c>
      <c r="D602" s="87">
        <f>IFERROR(IF(C548="Pronta",0,IF(C550="Não",VLOOKUP($C$549,$B$581:$D$584,2,0),VLOOKUP($C$549,$B$595:$E$598,2,0))),0)</f>
        <v>0</v>
      </c>
    </row>
    <row r="603" spans="1:8" ht="17.25" x14ac:dyDescent="0.25">
      <c r="B603" s="88" t="s">
        <v>34</v>
      </c>
      <c r="C603" s="91" t="s">
        <v>80</v>
      </c>
      <c r="D603" s="87">
        <f>IFERROR(IF(C548="Pronta",0,IF(C550="Não",VLOOKUP($C$549,$B$581:$D$584,3,0),VLOOKUP($C$549,$B$595:$E$598,4,0))),0)</f>
        <v>0</v>
      </c>
    </row>
    <row r="604" spans="1:8" x14ac:dyDescent="0.25">
      <c r="B604" s="88" t="s">
        <v>281</v>
      </c>
      <c r="C604" s="91" t="s">
        <v>79</v>
      </c>
      <c r="D604" s="87">
        <f>IF(C548="Pronta",0,IF(C550="Sim",VLOOKUP($C$549,$B$595:$E$598,3,0),0))</f>
        <v>0</v>
      </c>
    </row>
    <row r="607" spans="1:8" s="5" customFormat="1" ht="18.75" x14ac:dyDescent="0.3">
      <c r="A607" s="7"/>
      <c r="B607" s="132" t="s">
        <v>584</v>
      </c>
      <c r="C607" s="132"/>
      <c r="D607" s="132"/>
      <c r="E607" s="7"/>
      <c r="F607" s="7"/>
      <c r="H607" s="22"/>
    </row>
    <row r="608" spans="1:8" s="5" customFormat="1" x14ac:dyDescent="0.25">
      <c r="A608" s="7"/>
      <c r="B608" s="7"/>
      <c r="C608" s="7"/>
      <c r="D608" s="7"/>
      <c r="E608" s="7"/>
      <c r="F608" s="7"/>
      <c r="H608" s="22"/>
    </row>
    <row r="609" spans="2:4" x14ac:dyDescent="0.25">
      <c r="B609" s="9" t="s">
        <v>2</v>
      </c>
    </row>
    <row r="611" spans="2:4" x14ac:dyDescent="0.25">
      <c r="B611" s="7" t="s">
        <v>286</v>
      </c>
      <c r="C611" s="29"/>
    </row>
    <row r="612" spans="2:4" x14ac:dyDescent="0.25">
      <c r="B612" s="7" t="s">
        <v>291</v>
      </c>
      <c r="C612" s="29"/>
      <c r="D612" s="7" t="s">
        <v>1194</v>
      </c>
    </row>
    <row r="613" spans="2:4" x14ac:dyDescent="0.25">
      <c r="B613" s="7" t="s">
        <v>287</v>
      </c>
      <c r="C613" s="29"/>
    </row>
    <row r="615" spans="2:4" s="20" customFormat="1" hidden="1" outlineLevel="1" x14ac:dyDescent="0.25">
      <c r="B615" s="19" t="s">
        <v>603</v>
      </c>
    </row>
    <row r="616" spans="2:4" s="20" customFormat="1" hidden="1" outlineLevel="1" x14ac:dyDescent="0.25"/>
    <row r="617" spans="2:4" s="20" customFormat="1" hidden="1" outlineLevel="1" x14ac:dyDescent="0.25">
      <c r="B617" s="20" t="s">
        <v>762</v>
      </c>
      <c r="C617" s="33">
        <v>2.5</v>
      </c>
      <c r="D617" s="20" t="s">
        <v>56</v>
      </c>
    </row>
    <row r="618" spans="2:4" s="20" customFormat="1" hidden="1" outlineLevel="1" x14ac:dyDescent="0.25"/>
    <row r="619" spans="2:4" s="20" customFormat="1" hidden="1" outlineLevel="1" x14ac:dyDescent="0.25">
      <c r="B619" s="20" t="s">
        <v>810</v>
      </c>
      <c r="C619" s="21">
        <f>C561</f>
        <v>0</v>
      </c>
      <c r="D619" s="20" t="s">
        <v>643</v>
      </c>
    </row>
    <row r="620" spans="2:4" s="20" customFormat="1" hidden="1" outlineLevel="1" x14ac:dyDescent="0.25">
      <c r="B620" s="20" t="s">
        <v>763</v>
      </c>
      <c r="C620" s="21">
        <f>C619*C617/100</f>
        <v>0</v>
      </c>
      <c r="D620" s="20" t="s">
        <v>32</v>
      </c>
    </row>
    <row r="621" spans="2:4" s="20" customFormat="1" hidden="1" outlineLevel="1" x14ac:dyDescent="0.25"/>
    <row r="622" spans="2:4" s="20" customFormat="1" hidden="1" outlineLevel="1" x14ac:dyDescent="0.25">
      <c r="B622" s="19" t="s">
        <v>293</v>
      </c>
      <c r="C622" s="38"/>
    </row>
    <row r="623" spans="2:4" s="20" customFormat="1" hidden="1" outlineLevel="1" x14ac:dyDescent="0.25">
      <c r="B623" s="19"/>
      <c r="C623" s="38"/>
    </row>
    <row r="624" spans="2:4" s="20" customFormat="1" hidden="1" outlineLevel="1" x14ac:dyDescent="0.25">
      <c r="B624" s="20" t="s">
        <v>811</v>
      </c>
      <c r="C624" s="33">
        <v>10</v>
      </c>
      <c r="D624" s="20" t="s">
        <v>832</v>
      </c>
    </row>
    <row r="625" spans="2:6" s="20" customFormat="1" hidden="1" outlineLevel="1" x14ac:dyDescent="0.25">
      <c r="B625" s="20" t="s">
        <v>295</v>
      </c>
      <c r="C625" s="37">
        <f>C617/1</f>
        <v>2.5</v>
      </c>
    </row>
    <row r="626" spans="2:6" s="20" customFormat="1" hidden="1" outlineLevel="1" x14ac:dyDescent="0.25">
      <c r="B626" s="20" t="s">
        <v>294</v>
      </c>
      <c r="C626" s="25">
        <f>C624*C619*C625</f>
        <v>0</v>
      </c>
      <c r="D626" s="20" t="s">
        <v>49</v>
      </c>
    </row>
    <row r="627" spans="2:6" s="20" customFormat="1" hidden="1" outlineLevel="1" x14ac:dyDescent="0.25">
      <c r="B627" s="20" t="s">
        <v>760</v>
      </c>
      <c r="C627" s="23">
        <v>20</v>
      </c>
      <c r="D627" s="20" t="s">
        <v>49</v>
      </c>
    </row>
    <row r="628" spans="2:6" s="20" customFormat="1" hidden="1" outlineLevel="1" x14ac:dyDescent="0.25">
      <c r="B628" s="20" t="s">
        <v>296</v>
      </c>
      <c r="C628" s="37">
        <f>C626/C627</f>
        <v>0</v>
      </c>
      <c r="D628" s="20" t="s">
        <v>764</v>
      </c>
    </row>
    <row r="629" spans="2:6" s="20" customFormat="1" hidden="1" outlineLevel="1" x14ac:dyDescent="0.25"/>
    <row r="630" spans="2:6" s="20" customFormat="1" hidden="1" outlineLevel="1" x14ac:dyDescent="0.25">
      <c r="B630" s="19" t="s">
        <v>288</v>
      </c>
    </row>
    <row r="631" spans="2:6" s="20" customFormat="1" hidden="1" outlineLevel="1" x14ac:dyDescent="0.25"/>
    <row r="632" spans="2:6" s="20" customFormat="1" hidden="1" outlineLevel="1" x14ac:dyDescent="0.25">
      <c r="C632" s="133" t="s">
        <v>168</v>
      </c>
      <c r="D632" s="133"/>
      <c r="E632" s="133"/>
      <c r="F632" s="133"/>
    </row>
    <row r="633" spans="2:6" s="73" customFormat="1" hidden="1" outlineLevel="1" x14ac:dyDescent="0.25">
      <c r="B633" s="72" t="s">
        <v>42</v>
      </c>
      <c r="C633" s="86" t="s">
        <v>41</v>
      </c>
      <c r="D633" s="86" t="s">
        <v>170</v>
      </c>
      <c r="E633" s="86" t="s">
        <v>40</v>
      </c>
      <c r="F633" s="72"/>
    </row>
    <row r="634" spans="2:6" s="20" customFormat="1" hidden="1" outlineLevel="1" x14ac:dyDescent="0.25">
      <c r="B634" s="30" t="s">
        <v>1190</v>
      </c>
      <c r="C634" s="40">
        <v>6.4799999999999995</v>
      </c>
      <c r="D634" s="40">
        <v>7.6581818181818182</v>
      </c>
      <c r="E634" s="40">
        <v>1.08</v>
      </c>
      <c r="F634" s="20" t="s">
        <v>167</v>
      </c>
    </row>
    <row r="635" spans="2:6" s="20" customFormat="1" hidden="1" outlineLevel="1" x14ac:dyDescent="0.25">
      <c r="B635" s="30" t="s">
        <v>1172</v>
      </c>
      <c r="C635" s="40">
        <v>3.65</v>
      </c>
      <c r="D635" s="40">
        <v>9</v>
      </c>
      <c r="E635" s="40">
        <v>1.4</v>
      </c>
    </row>
    <row r="636" spans="2:6" s="20" customFormat="1" hidden="1" outlineLevel="1" x14ac:dyDescent="0.25">
      <c r="B636" s="30" t="s">
        <v>1178</v>
      </c>
      <c r="C636" s="40">
        <v>3.3</v>
      </c>
      <c r="D636" s="40">
        <v>7.8</v>
      </c>
      <c r="E636" s="40">
        <v>1.1000000000000001</v>
      </c>
    </row>
    <row r="637" spans="2:6" s="20" customFormat="1" hidden="1" outlineLevel="1" x14ac:dyDescent="0.25">
      <c r="B637" s="30" t="s">
        <v>1174</v>
      </c>
      <c r="C637" s="40">
        <v>4.9000000000000004</v>
      </c>
      <c r="D637" s="40">
        <v>2.9</v>
      </c>
      <c r="E637" s="40">
        <v>1.1000000000000001</v>
      </c>
    </row>
    <row r="638" spans="2:6" s="20" customFormat="1" hidden="1" outlineLevel="1" x14ac:dyDescent="0.25"/>
    <row r="639" spans="2:6" s="20" customFormat="1" hidden="1" outlineLevel="1" x14ac:dyDescent="0.25">
      <c r="C639" s="133" t="s">
        <v>43</v>
      </c>
      <c r="D639" s="133"/>
      <c r="E639" s="133"/>
      <c r="F639" s="133"/>
    </row>
    <row r="640" spans="2:6" s="73" customFormat="1" hidden="1" outlineLevel="1" x14ac:dyDescent="0.25">
      <c r="B640" s="72" t="s">
        <v>42</v>
      </c>
      <c r="C640" s="86" t="s">
        <v>41</v>
      </c>
      <c r="D640" s="86" t="s">
        <v>170</v>
      </c>
      <c r="E640" s="86" t="s">
        <v>40</v>
      </c>
      <c r="F640" s="72"/>
    </row>
    <row r="641" spans="2:6" s="20" customFormat="1" hidden="1" outlineLevel="1" x14ac:dyDescent="0.25">
      <c r="B641" s="30" t="str">
        <f>B634</f>
        <v>1 : 2 : 6</v>
      </c>
      <c r="C641" s="44">
        <f>C634*$C$620</f>
        <v>0</v>
      </c>
      <c r="D641" s="44">
        <f>D634*$C$620</f>
        <v>0</v>
      </c>
      <c r="E641" s="44">
        <f>E634*$C$620</f>
        <v>0</v>
      </c>
      <c r="F641" s="20" t="s">
        <v>37</v>
      </c>
    </row>
    <row r="642" spans="2:6" s="20" customFormat="1" hidden="1" outlineLevel="1" x14ac:dyDescent="0.25">
      <c r="B642" s="30" t="str">
        <f t="shared" ref="B642:B644" si="33">B635</f>
        <v>1 : 4 : 16</v>
      </c>
      <c r="C642" s="44">
        <f t="shared" ref="C642:E642" si="34">C635*$C$620</f>
        <v>0</v>
      </c>
      <c r="D642" s="44">
        <f t="shared" si="34"/>
        <v>0</v>
      </c>
      <c r="E642" s="44">
        <f t="shared" si="34"/>
        <v>0</v>
      </c>
    </row>
    <row r="643" spans="2:6" s="20" customFormat="1" hidden="1" outlineLevel="1" x14ac:dyDescent="0.25">
      <c r="B643" s="30" t="str">
        <f t="shared" si="33"/>
        <v>1 : 4 : 18</v>
      </c>
      <c r="C643" s="44">
        <f t="shared" ref="C643:E643" si="35">C636*$C$620</f>
        <v>0</v>
      </c>
      <c r="D643" s="44">
        <f t="shared" si="35"/>
        <v>0</v>
      </c>
      <c r="E643" s="44">
        <f t="shared" si="35"/>
        <v>0</v>
      </c>
    </row>
    <row r="644" spans="2:6" s="20" customFormat="1" hidden="1" outlineLevel="1" x14ac:dyDescent="0.25">
      <c r="B644" s="30" t="str">
        <f t="shared" si="33"/>
        <v>1 : 1 : 12</v>
      </c>
      <c r="C644" s="44">
        <f t="shared" ref="C644:E644" si="36">C637*$C$620</f>
        <v>0</v>
      </c>
      <c r="D644" s="44">
        <f t="shared" si="36"/>
        <v>0</v>
      </c>
      <c r="E644" s="44">
        <f t="shared" si="36"/>
        <v>0</v>
      </c>
    </row>
    <row r="645" spans="2:6" s="20" customFormat="1" hidden="1" outlineLevel="1" x14ac:dyDescent="0.25"/>
    <row r="646" spans="2:6" s="20" customFormat="1" hidden="1" outlineLevel="1" x14ac:dyDescent="0.25">
      <c r="B646" s="19" t="s">
        <v>289</v>
      </c>
    </row>
    <row r="647" spans="2:6" s="20" customFormat="1" hidden="1" outlineLevel="1" x14ac:dyDescent="0.25"/>
    <row r="648" spans="2:6" s="20" customFormat="1" hidden="1" outlineLevel="1" x14ac:dyDescent="0.25">
      <c r="C648" s="133" t="s">
        <v>1195</v>
      </c>
      <c r="D648" s="133"/>
      <c r="E648" s="133"/>
      <c r="F648" s="133"/>
    </row>
    <row r="649" spans="2:6" s="73" customFormat="1" ht="30" hidden="1" outlineLevel="1" x14ac:dyDescent="0.25">
      <c r="B649" s="72" t="s">
        <v>42</v>
      </c>
      <c r="C649" s="86" t="s">
        <v>41</v>
      </c>
      <c r="D649" s="86" t="s">
        <v>166</v>
      </c>
      <c r="E649" s="86" t="s">
        <v>40</v>
      </c>
      <c r="F649" s="72"/>
    </row>
    <row r="650" spans="2:6" s="20" customFormat="1" hidden="1" outlineLevel="1" x14ac:dyDescent="0.25">
      <c r="B650" s="30" t="s">
        <v>1177</v>
      </c>
      <c r="C650" s="44">
        <v>9.8000000000000007</v>
      </c>
      <c r="D650" s="44">
        <v>0.45</v>
      </c>
      <c r="E650" s="44">
        <v>1.1000000000000001</v>
      </c>
    </row>
    <row r="651" spans="2:6" s="20" customFormat="1" hidden="1" outlineLevel="1" x14ac:dyDescent="0.25"/>
    <row r="652" spans="2:6" s="20" customFormat="1" hidden="1" outlineLevel="1" x14ac:dyDescent="0.25">
      <c r="C652" s="133" t="s">
        <v>43</v>
      </c>
      <c r="D652" s="133"/>
      <c r="E652" s="133"/>
      <c r="F652" s="133"/>
    </row>
    <row r="653" spans="2:6" s="73" customFormat="1" ht="30" hidden="1" outlineLevel="1" x14ac:dyDescent="0.25">
      <c r="B653" s="72" t="s">
        <v>42</v>
      </c>
      <c r="C653" s="86" t="s">
        <v>41</v>
      </c>
      <c r="D653" s="86" t="s">
        <v>166</v>
      </c>
      <c r="E653" s="86" t="s">
        <v>40</v>
      </c>
      <c r="F653" s="72"/>
    </row>
    <row r="654" spans="2:6" s="20" customFormat="1" hidden="1" outlineLevel="1" x14ac:dyDescent="0.25">
      <c r="B654" s="30" t="str">
        <f>B650</f>
        <v>1 : 6</v>
      </c>
      <c r="C654" s="44">
        <f>C650*$C$620</f>
        <v>0</v>
      </c>
      <c r="D654" s="44">
        <f>C654*D650</f>
        <v>0</v>
      </c>
      <c r="E654" s="44">
        <f>E650*$C$620</f>
        <v>0</v>
      </c>
    </row>
    <row r="655" spans="2:6" hidden="1" outlineLevel="1" x14ac:dyDescent="0.25"/>
    <row r="656" spans="2:6" collapsed="1" x14ac:dyDescent="0.25">
      <c r="B656" s="27" t="s">
        <v>5</v>
      </c>
      <c r="C656" s="28" t="s">
        <v>46</v>
      </c>
      <c r="D656" s="28" t="s">
        <v>6</v>
      </c>
    </row>
    <row r="657" spans="1:8" x14ac:dyDescent="0.25">
      <c r="B657" s="88" t="s">
        <v>292</v>
      </c>
      <c r="C657" s="91" t="s">
        <v>290</v>
      </c>
      <c r="D657" s="87">
        <f>IF(C611="Pronta",C628,0)</f>
        <v>0</v>
      </c>
    </row>
    <row r="658" spans="1:8" x14ac:dyDescent="0.25">
      <c r="B658" s="88" t="s">
        <v>165</v>
      </c>
      <c r="C658" s="91" t="s">
        <v>35</v>
      </c>
      <c r="D658" s="87">
        <f>IF(C611="Pronta",0,IF(C613="Não",VLOOKUP($C$612,$B$641:$E$644,2,0),C654))</f>
        <v>0</v>
      </c>
    </row>
    <row r="659" spans="1:8" ht="17.25" x14ac:dyDescent="0.25">
      <c r="B659" s="88" t="s">
        <v>34</v>
      </c>
      <c r="C659" s="91" t="s">
        <v>80</v>
      </c>
      <c r="D659" s="87">
        <f>IF(C611="Pronta",0,IF(C613="Não",VLOOKUP($C$612,$B$641:$E$644,4,0),E654))</f>
        <v>0</v>
      </c>
    </row>
    <row r="660" spans="1:8" x14ac:dyDescent="0.25">
      <c r="B660" s="88" t="s">
        <v>205</v>
      </c>
      <c r="C660" s="91" t="s">
        <v>290</v>
      </c>
      <c r="D660" s="87">
        <f>IF(C611="Pronta",0,IF(C613="Não",VLOOKUP($C$612,$B$641:$E$644,3,0),0))</f>
        <v>0</v>
      </c>
    </row>
    <row r="661" spans="1:8" x14ac:dyDescent="0.25">
      <c r="B661" s="88" t="s">
        <v>281</v>
      </c>
      <c r="C661" s="91" t="s">
        <v>79</v>
      </c>
      <c r="D661" s="87">
        <f>IF(C611="Pronta",0,IF(C613="Sim",D654,0))</f>
        <v>0</v>
      </c>
    </row>
    <row r="664" spans="1:8" s="5" customFormat="1" ht="18.75" x14ac:dyDescent="0.3">
      <c r="A664" s="7"/>
      <c r="B664" s="132" t="s">
        <v>585</v>
      </c>
      <c r="C664" s="132"/>
      <c r="D664" s="132"/>
      <c r="E664" s="7"/>
      <c r="F664" s="7"/>
      <c r="H664" s="22"/>
    </row>
    <row r="665" spans="1:8" s="5" customFormat="1" x14ac:dyDescent="0.25">
      <c r="A665" s="7"/>
      <c r="B665" s="7"/>
      <c r="C665" s="7"/>
      <c r="D665" s="7"/>
      <c r="E665" s="7"/>
      <c r="F665" s="7"/>
      <c r="H665" s="22"/>
    </row>
    <row r="666" spans="1:8" x14ac:dyDescent="0.25">
      <c r="B666" s="9" t="s">
        <v>2</v>
      </c>
    </row>
    <row r="668" spans="1:8" x14ac:dyDescent="0.25">
      <c r="B668" s="7" t="s">
        <v>286</v>
      </c>
      <c r="C668" s="29"/>
    </row>
    <row r="669" spans="1:8" x14ac:dyDescent="0.25">
      <c r="B669" s="7" t="s">
        <v>291</v>
      </c>
      <c r="C669" s="29"/>
      <c r="D669" s="7" t="s">
        <v>1194</v>
      </c>
    </row>
    <row r="670" spans="1:8" x14ac:dyDescent="0.25">
      <c r="B670" s="7" t="s">
        <v>287</v>
      </c>
      <c r="C670" s="29"/>
    </row>
    <row r="672" spans="1:8" s="20" customFormat="1" hidden="1" outlineLevel="1" x14ac:dyDescent="0.25">
      <c r="B672" s="19" t="s">
        <v>604</v>
      </c>
    </row>
    <row r="673" spans="2:4" s="20" customFormat="1" hidden="1" outlineLevel="1" x14ac:dyDescent="0.25"/>
    <row r="674" spans="2:4" s="20" customFormat="1" hidden="1" outlineLevel="1" x14ac:dyDescent="0.25">
      <c r="B674" s="20" t="s">
        <v>765</v>
      </c>
      <c r="C674" s="33">
        <v>2.5</v>
      </c>
      <c r="D674" s="20" t="s">
        <v>56</v>
      </c>
    </row>
    <row r="675" spans="2:4" s="20" customFormat="1" hidden="1" outlineLevel="1" x14ac:dyDescent="0.25"/>
    <row r="676" spans="2:4" s="20" customFormat="1" hidden="1" outlineLevel="1" x14ac:dyDescent="0.25">
      <c r="B676" s="20" t="s">
        <v>827</v>
      </c>
      <c r="C676" s="21">
        <f>C619</f>
        <v>0</v>
      </c>
      <c r="D676" s="20" t="s">
        <v>643</v>
      </c>
    </row>
    <row r="677" spans="2:4" s="20" customFormat="1" hidden="1" outlineLevel="1" x14ac:dyDescent="0.25">
      <c r="B677" s="20" t="s">
        <v>766</v>
      </c>
      <c r="C677" s="21">
        <f>C676*C674/100</f>
        <v>0</v>
      </c>
      <c r="D677" s="20" t="s">
        <v>32</v>
      </c>
    </row>
    <row r="678" spans="2:4" s="20" customFormat="1" hidden="1" outlineLevel="1" x14ac:dyDescent="0.25"/>
    <row r="679" spans="2:4" s="20" customFormat="1" hidden="1" outlineLevel="1" x14ac:dyDescent="0.25">
      <c r="B679" s="19" t="s">
        <v>293</v>
      </c>
      <c r="C679" s="38"/>
    </row>
    <row r="680" spans="2:4" s="20" customFormat="1" hidden="1" outlineLevel="1" x14ac:dyDescent="0.25">
      <c r="B680" s="19"/>
      <c r="C680" s="38"/>
    </row>
    <row r="681" spans="2:4" s="20" customFormat="1" hidden="1" outlineLevel="1" x14ac:dyDescent="0.25">
      <c r="B681" s="20" t="s">
        <v>812</v>
      </c>
      <c r="C681" s="33">
        <v>10</v>
      </c>
      <c r="D681" s="20" t="s">
        <v>832</v>
      </c>
    </row>
    <row r="682" spans="2:4" s="20" customFormat="1" hidden="1" outlineLevel="1" x14ac:dyDescent="0.25">
      <c r="B682" s="20" t="s">
        <v>295</v>
      </c>
      <c r="C682" s="37">
        <f>C674/1</f>
        <v>2.5</v>
      </c>
    </row>
    <row r="683" spans="2:4" s="20" customFormat="1" hidden="1" outlineLevel="1" x14ac:dyDescent="0.25">
      <c r="B683" s="20" t="s">
        <v>294</v>
      </c>
      <c r="C683" s="25">
        <f>C681*C676*C682</f>
        <v>0</v>
      </c>
      <c r="D683" s="20" t="s">
        <v>49</v>
      </c>
    </row>
    <row r="684" spans="2:4" s="20" customFormat="1" hidden="1" outlineLevel="1" x14ac:dyDescent="0.25">
      <c r="B684" s="20" t="s">
        <v>760</v>
      </c>
      <c r="C684" s="23">
        <v>20</v>
      </c>
      <c r="D684" s="20" t="s">
        <v>49</v>
      </c>
    </row>
    <row r="685" spans="2:4" s="20" customFormat="1" hidden="1" outlineLevel="1" x14ac:dyDescent="0.25">
      <c r="B685" s="20" t="s">
        <v>296</v>
      </c>
      <c r="C685" s="37">
        <f>C683/C684</f>
        <v>0</v>
      </c>
      <c r="D685" s="20" t="s">
        <v>764</v>
      </c>
    </row>
    <row r="686" spans="2:4" s="20" customFormat="1" hidden="1" outlineLevel="1" x14ac:dyDescent="0.25"/>
    <row r="687" spans="2:4" s="20" customFormat="1" hidden="1" outlineLevel="1" x14ac:dyDescent="0.25">
      <c r="B687" s="19" t="s">
        <v>288</v>
      </c>
    </row>
    <row r="688" spans="2:4" s="20" customFormat="1" hidden="1" outlineLevel="1" x14ac:dyDescent="0.25"/>
    <row r="689" spans="2:6" s="20" customFormat="1" hidden="1" outlineLevel="1" x14ac:dyDescent="0.25">
      <c r="C689" s="133" t="s">
        <v>168</v>
      </c>
      <c r="D689" s="133"/>
      <c r="E689" s="133"/>
      <c r="F689" s="133"/>
    </row>
    <row r="690" spans="2:6" s="73" customFormat="1" hidden="1" outlineLevel="1" x14ac:dyDescent="0.25">
      <c r="B690" s="72" t="s">
        <v>42</v>
      </c>
      <c r="C690" s="86" t="s">
        <v>41</v>
      </c>
      <c r="D690" s="86" t="s">
        <v>170</v>
      </c>
      <c r="E690" s="86" t="s">
        <v>40</v>
      </c>
      <c r="F690" s="72"/>
    </row>
    <row r="691" spans="2:6" s="20" customFormat="1" hidden="1" outlineLevel="1" x14ac:dyDescent="0.25">
      <c r="B691" s="30" t="s">
        <v>1190</v>
      </c>
      <c r="C691" s="40">
        <v>6.4799999999999995</v>
      </c>
      <c r="D691" s="40">
        <v>7.6581818181818182</v>
      </c>
      <c r="E691" s="40">
        <v>1.08</v>
      </c>
      <c r="F691" s="20" t="s">
        <v>167</v>
      </c>
    </row>
    <row r="692" spans="2:6" s="20" customFormat="1" hidden="1" outlineLevel="1" x14ac:dyDescent="0.25">
      <c r="B692" s="30" t="s">
        <v>1172</v>
      </c>
      <c r="C692" s="40">
        <v>3.65</v>
      </c>
      <c r="D692" s="40">
        <v>9</v>
      </c>
      <c r="E692" s="40">
        <v>1.4</v>
      </c>
    </row>
    <row r="693" spans="2:6" s="20" customFormat="1" hidden="1" outlineLevel="1" x14ac:dyDescent="0.25">
      <c r="B693" s="30" t="s">
        <v>1178</v>
      </c>
      <c r="C693" s="40">
        <v>3.3</v>
      </c>
      <c r="D693" s="40">
        <v>7.8</v>
      </c>
      <c r="E693" s="40">
        <v>1.1000000000000001</v>
      </c>
    </row>
    <row r="694" spans="2:6" s="20" customFormat="1" hidden="1" outlineLevel="1" x14ac:dyDescent="0.25">
      <c r="B694" s="30" t="s">
        <v>1174</v>
      </c>
      <c r="C694" s="40">
        <v>4.9000000000000004</v>
      </c>
      <c r="D694" s="40">
        <v>2.9</v>
      </c>
      <c r="E694" s="40">
        <v>1.1000000000000001</v>
      </c>
    </row>
    <row r="695" spans="2:6" s="20" customFormat="1" hidden="1" outlineLevel="1" x14ac:dyDescent="0.25"/>
    <row r="696" spans="2:6" s="20" customFormat="1" hidden="1" outlineLevel="1" x14ac:dyDescent="0.25">
      <c r="C696" s="133" t="s">
        <v>43</v>
      </c>
      <c r="D696" s="133"/>
      <c r="E696" s="133"/>
      <c r="F696" s="133"/>
    </row>
    <row r="697" spans="2:6" s="73" customFormat="1" hidden="1" outlineLevel="1" x14ac:dyDescent="0.25">
      <c r="B697" s="72" t="s">
        <v>42</v>
      </c>
      <c r="C697" s="86" t="s">
        <v>41</v>
      </c>
      <c r="D697" s="86" t="s">
        <v>170</v>
      </c>
      <c r="E697" s="86" t="s">
        <v>40</v>
      </c>
      <c r="F697" s="72"/>
    </row>
    <row r="698" spans="2:6" s="20" customFormat="1" hidden="1" outlineLevel="1" x14ac:dyDescent="0.25">
      <c r="B698" s="30" t="str">
        <f>B691</f>
        <v>1 : 2 : 6</v>
      </c>
      <c r="C698" s="44">
        <f>C691*$C$677</f>
        <v>0</v>
      </c>
      <c r="D698" s="44">
        <f>D691*$C$677</f>
        <v>0</v>
      </c>
      <c r="E698" s="44">
        <f>E691*$C$677</f>
        <v>0</v>
      </c>
      <c r="F698" s="20" t="s">
        <v>37</v>
      </c>
    </row>
    <row r="699" spans="2:6" s="20" customFormat="1" hidden="1" outlineLevel="1" x14ac:dyDescent="0.25">
      <c r="B699" s="30" t="str">
        <f t="shared" ref="B699:B701" si="37">B692</f>
        <v>1 : 4 : 16</v>
      </c>
      <c r="C699" s="44">
        <f t="shared" ref="C699:E699" si="38">C692*$C$677</f>
        <v>0</v>
      </c>
      <c r="D699" s="44">
        <f t="shared" si="38"/>
        <v>0</v>
      </c>
      <c r="E699" s="44">
        <f t="shared" si="38"/>
        <v>0</v>
      </c>
    </row>
    <row r="700" spans="2:6" s="20" customFormat="1" hidden="1" outlineLevel="1" x14ac:dyDescent="0.25">
      <c r="B700" s="30" t="str">
        <f t="shared" si="37"/>
        <v>1 : 4 : 18</v>
      </c>
      <c r="C700" s="44">
        <f t="shared" ref="C700:E700" si="39">C693*$C$677</f>
        <v>0</v>
      </c>
      <c r="D700" s="44">
        <f t="shared" si="39"/>
        <v>0</v>
      </c>
      <c r="E700" s="44">
        <f t="shared" si="39"/>
        <v>0</v>
      </c>
    </row>
    <row r="701" spans="2:6" s="20" customFormat="1" hidden="1" outlineLevel="1" x14ac:dyDescent="0.25">
      <c r="B701" s="30" t="str">
        <f t="shared" si="37"/>
        <v>1 : 1 : 12</v>
      </c>
      <c r="C701" s="44">
        <f t="shared" ref="C701:E701" si="40">C694*$C$677</f>
        <v>0</v>
      </c>
      <c r="D701" s="44">
        <f t="shared" si="40"/>
        <v>0</v>
      </c>
      <c r="E701" s="44">
        <f t="shared" si="40"/>
        <v>0</v>
      </c>
    </row>
    <row r="702" spans="2:6" s="20" customFormat="1" hidden="1" outlineLevel="1" x14ac:dyDescent="0.25"/>
    <row r="703" spans="2:6" s="20" customFormat="1" hidden="1" outlineLevel="1" x14ac:dyDescent="0.25">
      <c r="B703" s="19" t="s">
        <v>289</v>
      </c>
    </row>
    <row r="704" spans="2:6" s="20" customFormat="1" hidden="1" outlineLevel="1" x14ac:dyDescent="0.25"/>
    <row r="705" spans="2:6" s="20" customFormat="1" hidden="1" outlineLevel="1" x14ac:dyDescent="0.25">
      <c r="C705" s="133" t="s">
        <v>1195</v>
      </c>
      <c r="D705" s="133"/>
      <c r="E705" s="133"/>
      <c r="F705" s="133"/>
    </row>
    <row r="706" spans="2:6" s="73" customFormat="1" ht="30" hidden="1" outlineLevel="1" x14ac:dyDescent="0.25">
      <c r="B706" s="72" t="s">
        <v>42</v>
      </c>
      <c r="C706" s="86" t="s">
        <v>41</v>
      </c>
      <c r="D706" s="86" t="s">
        <v>166</v>
      </c>
      <c r="E706" s="86" t="s">
        <v>40</v>
      </c>
      <c r="F706" s="72"/>
    </row>
    <row r="707" spans="2:6" s="20" customFormat="1" hidden="1" outlineLevel="1" x14ac:dyDescent="0.25">
      <c r="B707" s="30" t="s">
        <v>1177</v>
      </c>
      <c r="C707" s="44">
        <v>9.8000000000000007</v>
      </c>
      <c r="D707" s="44">
        <v>0.45</v>
      </c>
      <c r="E707" s="44">
        <v>1.1000000000000001</v>
      </c>
    </row>
    <row r="708" spans="2:6" s="20" customFormat="1" hidden="1" outlineLevel="1" x14ac:dyDescent="0.25"/>
    <row r="709" spans="2:6" s="20" customFormat="1" hidden="1" outlineLevel="1" x14ac:dyDescent="0.25">
      <c r="C709" s="133" t="s">
        <v>43</v>
      </c>
      <c r="D709" s="133"/>
      <c r="E709" s="133"/>
      <c r="F709" s="133"/>
    </row>
    <row r="710" spans="2:6" s="73" customFormat="1" ht="30" hidden="1" outlineLevel="1" x14ac:dyDescent="0.25">
      <c r="B710" s="72" t="s">
        <v>42</v>
      </c>
      <c r="C710" s="86" t="s">
        <v>41</v>
      </c>
      <c r="D710" s="86" t="s">
        <v>166</v>
      </c>
      <c r="E710" s="86" t="s">
        <v>40</v>
      </c>
      <c r="F710" s="72"/>
    </row>
    <row r="711" spans="2:6" s="20" customFormat="1" hidden="1" outlineLevel="1" x14ac:dyDescent="0.25">
      <c r="B711" s="30" t="str">
        <f>B707</f>
        <v>1 : 6</v>
      </c>
      <c r="C711" s="44">
        <f>C707*$C$677</f>
        <v>0</v>
      </c>
      <c r="D711" s="44">
        <f>C711*D707</f>
        <v>0</v>
      </c>
      <c r="E711" s="44">
        <f>E707*$C$677</f>
        <v>0</v>
      </c>
    </row>
    <row r="712" spans="2:6" hidden="1" outlineLevel="1" x14ac:dyDescent="0.25"/>
    <row r="713" spans="2:6" collapsed="1" x14ac:dyDescent="0.25">
      <c r="B713" s="27" t="s">
        <v>5</v>
      </c>
      <c r="C713" s="28" t="s">
        <v>46</v>
      </c>
      <c r="D713" s="28" t="s">
        <v>6</v>
      </c>
    </row>
    <row r="714" spans="2:6" x14ac:dyDescent="0.25">
      <c r="B714" s="88" t="s">
        <v>282</v>
      </c>
      <c r="C714" s="91" t="s">
        <v>290</v>
      </c>
      <c r="D714" s="87">
        <f>IF(C668="Pronta",C685,0)</f>
        <v>0</v>
      </c>
    </row>
    <row r="715" spans="2:6" x14ac:dyDescent="0.25">
      <c r="B715" s="88" t="s">
        <v>165</v>
      </c>
      <c r="C715" s="91" t="s">
        <v>35</v>
      </c>
      <c r="D715" s="87">
        <f>IF(C668="Pronta",0,IF(C670="Não",VLOOKUP($C$669,$B$698:$E$701,2,0),C711))</f>
        <v>0</v>
      </c>
    </row>
    <row r="716" spans="2:6" ht="17.25" x14ac:dyDescent="0.25">
      <c r="B716" s="88" t="s">
        <v>34</v>
      </c>
      <c r="C716" s="91" t="s">
        <v>80</v>
      </c>
      <c r="D716" s="87">
        <f>IF(C668="Pronta",0,IF(C670="Não",VLOOKUP($C$669,$B$698:$E$701,4,0),E711))</f>
        <v>0</v>
      </c>
    </row>
    <row r="717" spans="2:6" x14ac:dyDescent="0.25">
      <c r="B717" s="88" t="s">
        <v>205</v>
      </c>
      <c r="C717" s="91" t="s">
        <v>290</v>
      </c>
      <c r="D717" s="87">
        <f>IF(C668="Pronta",0,IF(C670="Não",VLOOKUP($C$669,$B$698:$E$701,3,0),0))</f>
        <v>0</v>
      </c>
    </row>
    <row r="718" spans="2:6" x14ac:dyDescent="0.25">
      <c r="B718" s="88" t="s">
        <v>281</v>
      </c>
      <c r="C718" s="91" t="s">
        <v>79</v>
      </c>
      <c r="D718" s="87">
        <f>IF(C668="Pronta",0,IF(C670="Sim",D711,0))</f>
        <v>0</v>
      </c>
    </row>
    <row r="721" spans="1:15" s="5" customFormat="1" ht="18.75" x14ac:dyDescent="0.3">
      <c r="A721" s="7"/>
      <c r="B721" s="132" t="s">
        <v>586</v>
      </c>
      <c r="C721" s="132"/>
      <c r="D721" s="132"/>
      <c r="E721" s="7"/>
      <c r="F721" s="7"/>
      <c r="H721" s="22"/>
    </row>
    <row r="722" spans="1:15" s="5" customFormat="1" x14ac:dyDescent="0.25">
      <c r="A722" s="7"/>
      <c r="B722" s="7"/>
      <c r="C722" s="7"/>
      <c r="D722" s="7"/>
      <c r="E722" s="7"/>
      <c r="F722" s="7"/>
      <c r="H722" s="22"/>
    </row>
    <row r="723" spans="1:15" x14ac:dyDescent="0.25">
      <c r="B723" s="9" t="s">
        <v>2</v>
      </c>
    </row>
    <row r="725" spans="1:15" x14ac:dyDescent="0.25">
      <c r="B725" s="7" t="s">
        <v>453</v>
      </c>
      <c r="C725" s="41"/>
      <c r="M725" s="4"/>
      <c r="N725" s="4"/>
      <c r="O725" s="4"/>
    </row>
    <row r="726" spans="1:15" x14ac:dyDescent="0.25">
      <c r="B726" s="3" t="s">
        <v>448</v>
      </c>
      <c r="C726" s="41"/>
    </row>
    <row r="727" spans="1:15" x14ac:dyDescent="0.25">
      <c r="M727" s="4"/>
      <c r="N727" s="4"/>
      <c r="O727" s="4"/>
    </row>
    <row r="728" spans="1:15" s="20" customFormat="1" hidden="1" outlineLevel="1" x14ac:dyDescent="0.25">
      <c r="B728" s="19" t="s">
        <v>482</v>
      </c>
      <c r="M728" s="31"/>
      <c r="N728" s="31"/>
      <c r="O728" s="31"/>
    </row>
    <row r="729" spans="1:15" s="20" customFormat="1" hidden="1" outlineLevel="1" x14ac:dyDescent="0.25">
      <c r="M729" s="31"/>
      <c r="N729" s="31"/>
      <c r="O729" s="31"/>
    </row>
    <row r="730" spans="1:15" s="20" customFormat="1" hidden="1" outlineLevel="1" x14ac:dyDescent="0.25">
      <c r="B730" s="20" t="s">
        <v>828</v>
      </c>
      <c r="C730" s="21">
        <f>C676</f>
        <v>0</v>
      </c>
      <c r="D730" s="20" t="s">
        <v>643</v>
      </c>
      <c r="M730" s="31"/>
      <c r="N730" s="31"/>
      <c r="O730" s="31"/>
    </row>
    <row r="731" spans="1:15" s="20" customFormat="1" hidden="1" outlineLevel="1" x14ac:dyDescent="0.25"/>
    <row r="732" spans="1:15" s="20" customFormat="1" hidden="1" outlineLevel="1" x14ac:dyDescent="0.25">
      <c r="B732" s="19" t="s">
        <v>857</v>
      </c>
    </row>
    <row r="733" spans="1:15" s="20" customFormat="1" hidden="1" outlineLevel="1" x14ac:dyDescent="0.25"/>
    <row r="734" spans="1:15" s="73" customFormat="1" ht="30" hidden="1" outlineLevel="1" x14ac:dyDescent="0.25">
      <c r="B734" s="73" t="s">
        <v>394</v>
      </c>
      <c r="C734" s="97" t="s">
        <v>393</v>
      </c>
      <c r="D734" s="97" t="s">
        <v>395</v>
      </c>
      <c r="E734" s="97" t="s">
        <v>454</v>
      </c>
    </row>
    <row r="735" spans="1:15" s="20" customFormat="1" hidden="1" outlineLevel="1" x14ac:dyDescent="0.25">
      <c r="B735" s="20" t="s">
        <v>455</v>
      </c>
      <c r="C735" s="92">
        <v>0.11</v>
      </c>
      <c r="D735" s="21">
        <f>$C$730*C735</f>
        <v>0</v>
      </c>
      <c r="E735" s="21">
        <f>D735*$C$725</f>
        <v>0</v>
      </c>
    </row>
    <row r="736" spans="1:15" s="20" customFormat="1" hidden="1" outlineLevel="1" x14ac:dyDescent="0.25">
      <c r="B736" s="20" t="s">
        <v>456</v>
      </c>
      <c r="C736" s="92">
        <v>9.5000000000000001E-2</v>
      </c>
      <c r="D736" s="21">
        <f>$C$730*C736</f>
        <v>0</v>
      </c>
      <c r="E736" s="21">
        <f>D736*$C$725</f>
        <v>0</v>
      </c>
    </row>
    <row r="737" spans="2:5" s="20" customFormat="1" hidden="1" outlineLevel="1" x14ac:dyDescent="0.25">
      <c r="B737" s="20" t="s">
        <v>457</v>
      </c>
      <c r="C737" s="92">
        <v>0.112</v>
      </c>
      <c r="D737" s="21">
        <f>$C$730*C737</f>
        <v>0</v>
      </c>
      <c r="E737" s="21">
        <f>D737*$C$725</f>
        <v>0</v>
      </c>
    </row>
    <row r="738" spans="2:5" s="20" customFormat="1" hidden="1" outlineLevel="1" x14ac:dyDescent="0.25">
      <c r="B738" s="20" t="s">
        <v>458</v>
      </c>
      <c r="C738" s="92">
        <v>7.1999999999999995E-2</v>
      </c>
      <c r="D738" s="21">
        <f>$C$730*C738</f>
        <v>0</v>
      </c>
      <c r="E738" s="21">
        <f>D738*$C$725</f>
        <v>0</v>
      </c>
    </row>
    <row r="739" spans="2:5" s="20" customFormat="1" hidden="1" outlineLevel="1" x14ac:dyDescent="0.25">
      <c r="B739" s="20" t="s">
        <v>851</v>
      </c>
      <c r="C739" s="92">
        <v>9.5000000000000001E-2</v>
      </c>
      <c r="D739" s="21">
        <f>$C$730*C739</f>
        <v>0</v>
      </c>
      <c r="E739" s="21">
        <f>D739*$C$725</f>
        <v>0</v>
      </c>
    </row>
    <row r="740" spans="2:5" s="20" customFormat="1" hidden="1" outlineLevel="1" x14ac:dyDescent="0.25"/>
    <row r="741" spans="2:5" s="20" customFormat="1" hidden="1" outlineLevel="1" x14ac:dyDescent="0.25">
      <c r="B741" s="19" t="s">
        <v>847</v>
      </c>
    </row>
    <row r="742" spans="2:5" s="20" customFormat="1" hidden="1" outlineLevel="1" x14ac:dyDescent="0.25"/>
    <row r="743" spans="2:5" s="73" customFormat="1" ht="30" hidden="1" outlineLevel="1" x14ac:dyDescent="0.25">
      <c r="B743" s="73" t="s">
        <v>297</v>
      </c>
      <c r="C743" s="97" t="s">
        <v>393</v>
      </c>
      <c r="D743" s="97" t="s">
        <v>392</v>
      </c>
      <c r="E743" s="97"/>
    </row>
    <row r="744" spans="2:5" s="20" customFormat="1" hidden="1" outlineLevel="1" x14ac:dyDescent="0.25">
      <c r="B744" s="20" t="s">
        <v>390</v>
      </c>
      <c r="C744" s="63">
        <v>0.13</v>
      </c>
      <c r="D744" s="64">
        <f>$C$730*C744</f>
        <v>0</v>
      </c>
    </row>
    <row r="745" spans="2:5" s="20" customFormat="1" hidden="1" outlineLevel="1" x14ac:dyDescent="0.25">
      <c r="C745" s="63"/>
      <c r="D745" s="64"/>
    </row>
    <row r="746" spans="2:5" s="20" customFormat="1" hidden="1" outlineLevel="1" x14ac:dyDescent="0.25">
      <c r="B746" s="19" t="s">
        <v>848</v>
      </c>
      <c r="C746" s="63"/>
      <c r="D746" s="64"/>
    </row>
    <row r="747" spans="2:5" s="20" customFormat="1" hidden="1" outlineLevel="1" x14ac:dyDescent="0.25">
      <c r="C747" s="63"/>
      <c r="D747" s="64"/>
    </row>
    <row r="748" spans="2:5" s="20" customFormat="1" hidden="1" outlineLevel="1" x14ac:dyDescent="0.25">
      <c r="B748" s="20" t="s">
        <v>793</v>
      </c>
      <c r="C748" s="92">
        <v>2.7777777777777776E-2</v>
      </c>
      <c r="D748" s="64" t="s">
        <v>833</v>
      </c>
    </row>
    <row r="749" spans="2:5" s="20" customFormat="1" hidden="1" outlineLevel="1" x14ac:dyDescent="0.25">
      <c r="B749" s="20" t="s">
        <v>485</v>
      </c>
      <c r="C749" s="63">
        <f>ROUNDUP(C748*D758,0)</f>
        <v>0</v>
      </c>
      <c r="D749" s="64" t="s">
        <v>644</v>
      </c>
    </row>
    <row r="750" spans="2:5" s="20" customFormat="1" hidden="1" outlineLevel="1" x14ac:dyDescent="0.25">
      <c r="B750" s="20" t="s">
        <v>794</v>
      </c>
      <c r="C750" s="92">
        <v>2.7777777777777776E-2</v>
      </c>
      <c r="D750" s="64" t="s">
        <v>833</v>
      </c>
    </row>
    <row r="751" spans="2:5" s="20" customFormat="1" hidden="1" outlineLevel="1" x14ac:dyDescent="0.25">
      <c r="B751" s="20" t="s">
        <v>486</v>
      </c>
      <c r="C751" s="63">
        <f>ROUNDUP(C750*D758,0)</f>
        <v>0</v>
      </c>
      <c r="D751" s="64" t="s">
        <v>644</v>
      </c>
    </row>
    <row r="752" spans="2:5" s="20" customFormat="1" hidden="1" outlineLevel="1" x14ac:dyDescent="0.25">
      <c r="B752" s="20" t="s">
        <v>795</v>
      </c>
      <c r="C752" s="92">
        <v>0.02</v>
      </c>
      <c r="D752" s="64" t="s">
        <v>833</v>
      </c>
    </row>
    <row r="753" spans="2:15" s="20" customFormat="1" hidden="1" outlineLevel="1" x14ac:dyDescent="0.25">
      <c r="B753" s="20" t="s">
        <v>487</v>
      </c>
      <c r="C753" s="63">
        <f>C752*C730</f>
        <v>0</v>
      </c>
      <c r="D753" s="64" t="s">
        <v>644</v>
      </c>
    </row>
    <row r="754" spans="2:15" s="20" customFormat="1" hidden="1" outlineLevel="1" x14ac:dyDescent="0.25">
      <c r="B754" s="20" t="s">
        <v>796</v>
      </c>
      <c r="C754" s="92">
        <v>0.05</v>
      </c>
      <c r="D754" s="64" t="s">
        <v>834</v>
      </c>
    </row>
    <row r="755" spans="2:15" s="20" customFormat="1" hidden="1" outlineLevel="1" x14ac:dyDescent="0.25">
      <c r="B755" s="20" t="s">
        <v>488</v>
      </c>
      <c r="C755" s="63">
        <f>C754*C730</f>
        <v>0</v>
      </c>
      <c r="D755" s="64" t="s">
        <v>644</v>
      </c>
    </row>
    <row r="756" spans="2:15" hidden="1" outlineLevel="1" x14ac:dyDescent="0.25">
      <c r="D756" s="42"/>
    </row>
    <row r="757" spans="2:15" collapsed="1" x14ac:dyDescent="0.25">
      <c r="B757" s="27" t="s">
        <v>5</v>
      </c>
      <c r="C757" s="28" t="s">
        <v>46</v>
      </c>
      <c r="D757" s="28" t="s">
        <v>6</v>
      </c>
    </row>
    <row r="758" spans="2:15" x14ac:dyDescent="0.25">
      <c r="B758" s="88" t="str">
        <f>"Tinta "&amp;C726</f>
        <v xml:space="preserve">Tinta </v>
      </c>
      <c r="C758" s="91" t="s">
        <v>79</v>
      </c>
      <c r="D758" s="87">
        <f>IFERROR(VLOOKUP(C726,B734:E739,4,0),0)</f>
        <v>0</v>
      </c>
    </row>
    <row r="759" spans="2:15" x14ac:dyDescent="0.25">
      <c r="B759" s="88" t="s">
        <v>459</v>
      </c>
      <c r="C759" s="91" t="s">
        <v>79</v>
      </c>
      <c r="D759" s="87">
        <f>D744</f>
        <v>0</v>
      </c>
    </row>
    <row r="760" spans="2:15" x14ac:dyDescent="0.25">
      <c r="B760" s="88" t="s">
        <v>489</v>
      </c>
      <c r="C760" s="91" t="s">
        <v>50</v>
      </c>
      <c r="D760" s="87">
        <f>C749</f>
        <v>0</v>
      </c>
      <c r="M760" s="4"/>
      <c r="N760" s="4"/>
      <c r="O760" s="4"/>
    </row>
    <row r="761" spans="2:15" x14ac:dyDescent="0.25">
      <c r="B761" s="88" t="s">
        <v>490</v>
      </c>
      <c r="C761" s="91" t="s">
        <v>50</v>
      </c>
      <c r="D761" s="87">
        <f>C751</f>
        <v>0</v>
      </c>
    </row>
    <row r="762" spans="2:15" x14ac:dyDescent="0.25">
      <c r="B762" s="88" t="s">
        <v>849</v>
      </c>
      <c r="C762" s="91" t="s">
        <v>50</v>
      </c>
      <c r="D762" s="87">
        <f>C753</f>
        <v>0</v>
      </c>
    </row>
    <row r="763" spans="2:15" x14ac:dyDescent="0.25">
      <c r="B763" s="88" t="s">
        <v>491</v>
      </c>
      <c r="C763" s="91" t="s">
        <v>50</v>
      </c>
      <c r="D763" s="87">
        <f>C755</f>
        <v>0</v>
      </c>
    </row>
  </sheetData>
  <mergeCells count="40">
    <mergeCell ref="C696:F696"/>
    <mergeCell ref="C705:F705"/>
    <mergeCell ref="C709:F709"/>
    <mergeCell ref="B721:D721"/>
    <mergeCell ref="C359:F359"/>
    <mergeCell ref="B509:D509"/>
    <mergeCell ref="C632:F632"/>
    <mergeCell ref="C639:F639"/>
    <mergeCell ref="C648:F648"/>
    <mergeCell ref="C652:F652"/>
    <mergeCell ref="B664:D664"/>
    <mergeCell ref="C689:F689"/>
    <mergeCell ref="B544:D544"/>
    <mergeCell ref="C574:D574"/>
    <mergeCell ref="C580:D580"/>
    <mergeCell ref="C588:F588"/>
    <mergeCell ref="C594:F594"/>
    <mergeCell ref="B607:D607"/>
    <mergeCell ref="B373:D373"/>
    <mergeCell ref="C395:F395"/>
    <mergeCell ref="C404:F404"/>
    <mergeCell ref="C349:F349"/>
    <mergeCell ref="C355:F355"/>
    <mergeCell ref="C95:F95"/>
    <mergeCell ref="C104:F104"/>
    <mergeCell ref="B120:D120"/>
    <mergeCell ref="C128:F128"/>
    <mergeCell ref="C132:F132"/>
    <mergeCell ref="B142:D142"/>
    <mergeCell ref="B191:D191"/>
    <mergeCell ref="B235:D235"/>
    <mergeCell ref="B265:D265"/>
    <mergeCell ref="B287:D287"/>
    <mergeCell ref="C345:F345"/>
    <mergeCell ref="B77:D77"/>
    <mergeCell ref="B2:D2"/>
    <mergeCell ref="B4:D4"/>
    <mergeCell ref="B5:D5"/>
    <mergeCell ref="C26:F26"/>
    <mergeCell ref="C35:F35"/>
  </mergeCells>
  <dataValidations count="16">
    <dataValidation type="list" allowBlank="1" showInputMessage="1" showErrorMessage="1" sqref="C382" xr:uid="{00000000-0002-0000-1500-000000000000}">
      <formula1>$B$397:$B$402</formula1>
    </dataValidation>
    <dataValidation type="list" allowBlank="1" showInputMessage="1" showErrorMessage="1" sqref="C85" xr:uid="{00000000-0002-0000-1500-000001000000}">
      <formula1>$B$97:$B$102</formula1>
    </dataValidation>
    <dataValidation type="list" allowBlank="1" showInputMessage="1" showErrorMessage="1" sqref="C726" xr:uid="{00000000-0002-0000-1500-000002000000}">
      <formula1>$B$735:$B$739</formula1>
    </dataValidation>
    <dataValidation type="list" allowBlank="1" showInputMessage="1" showErrorMessage="1" sqref="C725" xr:uid="{00000000-0002-0000-1500-000003000000}">
      <formula1>"1,2,3,4"</formula1>
    </dataValidation>
    <dataValidation type="list" allowBlank="1" showInputMessage="1" showErrorMessage="1" sqref="C669" xr:uid="{00000000-0002-0000-1500-000004000000}">
      <formula1>$B$691:$B$694</formula1>
    </dataValidation>
    <dataValidation type="list" allowBlank="1" showInputMessage="1" showErrorMessage="1" sqref="C612" xr:uid="{00000000-0002-0000-1500-000005000000}">
      <formula1>$B$634:$B$637</formula1>
    </dataValidation>
    <dataValidation type="list" allowBlank="1" showInputMessage="1" showErrorMessage="1" sqref="C549" xr:uid="{00000000-0002-0000-1500-000006000000}">
      <formula1>$B$576:$B$578</formula1>
    </dataValidation>
    <dataValidation type="list" allowBlank="1" showInputMessage="1" showErrorMessage="1" sqref="C548 C611 C668" xr:uid="{00000000-0002-0000-1500-000007000000}">
      <formula1>"Pronta,Feita na obra"</formula1>
    </dataValidation>
    <dataValidation type="list" allowBlank="1" showInputMessage="1" showErrorMessage="1" sqref="C550 C613 C670 C294" xr:uid="{00000000-0002-0000-1500-000008000000}">
      <formula1>"Sim,Não"</formula1>
    </dataValidation>
    <dataValidation type="list" allowBlank="1" showInputMessage="1" showErrorMessage="1" sqref="C13" xr:uid="{00000000-0002-0000-1500-000009000000}">
      <formula1>$B$28:$B$33</formula1>
    </dataValidation>
    <dataValidation type="list" allowBlank="1" showInputMessage="1" showErrorMessage="1" sqref="C12 C84 C381" xr:uid="{00000000-0002-0000-1500-00000A000000}">
      <formula1>"Usinado,Feito na obra"</formula1>
    </dataValidation>
    <dataValidation type="list" allowBlank="1" showInputMessage="1" showErrorMessage="1" sqref="C293" xr:uid="{00000000-0002-0000-1500-00000B000000}">
      <formula1>$B$329:$B$331</formula1>
    </dataValidation>
    <dataValidation type="list" allowBlank="1" showInputMessage="1" showErrorMessage="1" sqref="C295" xr:uid="{00000000-0002-0000-1500-00000C000000}">
      <formula1>$B$307:$B$313</formula1>
    </dataValidation>
    <dataValidation type="list" allowBlank="1" showInputMessage="1" showErrorMessage="1" sqref="C296" xr:uid="{00000000-0002-0000-1500-00000D000000}">
      <formula1>$B$316:$B$324</formula1>
    </dataValidation>
    <dataValidation type="list" allowBlank="1" showInputMessage="1" showErrorMessage="1" sqref="C15" xr:uid="{00000000-0002-0000-1500-00000E000000}">
      <formula1>$K$51:$K$52</formula1>
    </dataValidation>
    <dataValidation type="list" allowBlank="1" showInputMessage="1" showErrorMessage="1" sqref="C379" xr:uid="{00000000-0002-0000-1500-00000F000000}">
      <formula1>$B$460:$B$475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06"/>
  <sheetViews>
    <sheetView showGridLines="0" zoomScale="130" zoomScaleNormal="130" workbookViewId="0">
      <selection activeCell="C11" sqref="C11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463</v>
      </c>
      <c r="C2" s="130"/>
      <c r="D2" s="131"/>
    </row>
    <row r="3" spans="1:8" ht="6" customHeight="1" x14ac:dyDescent="0.25"/>
    <row r="4" spans="1:8" ht="45.75" customHeight="1" x14ac:dyDescent="0.25">
      <c r="B4" s="128" t="s">
        <v>471</v>
      </c>
      <c r="C4" s="128"/>
      <c r="D4" s="128"/>
    </row>
    <row r="5" spans="1:8" s="5" customFormat="1" ht="18.75" x14ac:dyDescent="0.3">
      <c r="A5" s="7"/>
      <c r="B5" s="132" t="s">
        <v>1155</v>
      </c>
      <c r="C5" s="132"/>
      <c r="D5" s="132"/>
      <c r="E5" s="7"/>
      <c r="F5" s="7"/>
      <c r="H5" s="22"/>
    </row>
    <row r="6" spans="1:8" s="5" customFormat="1" x14ac:dyDescent="0.25">
      <c r="A6" s="7"/>
      <c r="B6" s="7"/>
      <c r="C6" s="7"/>
      <c r="D6" s="7"/>
      <c r="E6" s="7"/>
      <c r="F6" s="7"/>
      <c r="H6" s="22"/>
    </row>
    <row r="7" spans="1:8" x14ac:dyDescent="0.25">
      <c r="B7" s="9" t="s">
        <v>2</v>
      </c>
    </row>
    <row r="9" spans="1:8" x14ac:dyDescent="0.25">
      <c r="B9" s="7" t="s">
        <v>464</v>
      </c>
      <c r="C9" s="33">
        <v>1.5</v>
      </c>
      <c r="D9" s="7" t="s">
        <v>53</v>
      </c>
    </row>
    <row r="10" spans="1:8" x14ac:dyDescent="0.25">
      <c r="B10" s="7" t="s">
        <v>467</v>
      </c>
      <c r="C10" s="33">
        <v>50</v>
      </c>
      <c r="D10" s="7" t="s">
        <v>53</v>
      </c>
    </row>
    <row r="11" spans="1:8" x14ac:dyDescent="0.25">
      <c r="B11" s="7" t="s">
        <v>465</v>
      </c>
      <c r="C11" s="23">
        <v>5</v>
      </c>
      <c r="D11" s="7" t="s">
        <v>56</v>
      </c>
    </row>
    <row r="12" spans="1:8" x14ac:dyDescent="0.25">
      <c r="B12" s="7" t="s">
        <v>225</v>
      </c>
      <c r="C12" s="29" t="s">
        <v>1214</v>
      </c>
    </row>
    <row r="13" spans="1:8" x14ac:dyDescent="0.25">
      <c r="B13" s="7" t="s">
        <v>57</v>
      </c>
      <c r="C13" s="29" t="s">
        <v>1171</v>
      </c>
      <c r="D13" s="7" t="s">
        <v>1193</v>
      </c>
    </row>
    <row r="15" spans="1:8" s="20" customFormat="1" hidden="1" outlineLevel="1" x14ac:dyDescent="0.25">
      <c r="B15" s="19" t="s">
        <v>118</v>
      </c>
    </row>
    <row r="16" spans="1:8" s="20" customFormat="1" hidden="1" outlineLevel="1" x14ac:dyDescent="0.25"/>
    <row r="17" spans="2:7" s="20" customFormat="1" hidden="1" outlineLevel="1" x14ac:dyDescent="0.25">
      <c r="B17" s="20" t="s">
        <v>801</v>
      </c>
      <c r="C17" s="21">
        <f>C9*C10</f>
        <v>75</v>
      </c>
      <c r="D17" s="20" t="s">
        <v>643</v>
      </c>
    </row>
    <row r="18" spans="2:7" s="20" customFormat="1" hidden="1" outlineLevel="1" x14ac:dyDescent="0.25">
      <c r="B18" s="20" t="s">
        <v>155</v>
      </c>
      <c r="C18" s="21">
        <f>C17*(C11/100)</f>
        <v>3.75</v>
      </c>
      <c r="D18" s="20" t="s">
        <v>32</v>
      </c>
    </row>
    <row r="19" spans="2:7" s="20" customFormat="1" hidden="1" outlineLevel="1" x14ac:dyDescent="0.25">
      <c r="B19" s="20" t="s">
        <v>699</v>
      </c>
      <c r="C19" s="21">
        <f>C18*(1+'LEIA-ME'!$D$31)</f>
        <v>3.9375</v>
      </c>
      <c r="D19" s="20" t="s">
        <v>32</v>
      </c>
    </row>
    <row r="20" spans="2:7" s="20" customFormat="1" hidden="1" outlineLevel="1" x14ac:dyDescent="0.25"/>
    <row r="21" spans="2:7" s="20" customFormat="1" hidden="1" outlineLevel="1" x14ac:dyDescent="0.25">
      <c r="B21" s="19" t="s">
        <v>125</v>
      </c>
    </row>
    <row r="22" spans="2:7" s="20" customFormat="1" hidden="1" outlineLevel="1" x14ac:dyDescent="0.25"/>
    <row r="23" spans="2:7" s="20" customFormat="1" hidden="1" outlineLevel="1" x14ac:dyDescent="0.25">
      <c r="C23" s="133" t="s">
        <v>45</v>
      </c>
      <c r="D23" s="133"/>
      <c r="E23" s="133"/>
      <c r="F23" s="133"/>
    </row>
    <row r="24" spans="2:7" s="73" customFormat="1" ht="30" hidden="1" outlineLevel="1" x14ac:dyDescent="0.25">
      <c r="B24" s="72" t="s">
        <v>42</v>
      </c>
      <c r="C24" s="86" t="s">
        <v>41</v>
      </c>
      <c r="D24" s="86" t="s">
        <v>40</v>
      </c>
      <c r="E24" s="86" t="s">
        <v>39</v>
      </c>
      <c r="F24" s="86" t="s">
        <v>38</v>
      </c>
    </row>
    <row r="25" spans="2:7" s="20" customFormat="1" hidden="1" outlineLevel="1" x14ac:dyDescent="0.25">
      <c r="B25" s="30" t="s">
        <v>1171</v>
      </c>
      <c r="C25" s="21">
        <v>4.2</v>
      </c>
      <c r="D25" s="21">
        <v>0.56399999999999995</v>
      </c>
      <c r="E25" s="21">
        <v>0.88200000000000001</v>
      </c>
      <c r="F25" s="25">
        <v>168</v>
      </c>
      <c r="G25" s="20" t="s">
        <v>44</v>
      </c>
    </row>
    <row r="26" spans="2:7" s="20" customFormat="1" hidden="1" outlineLevel="1" x14ac:dyDescent="0.25">
      <c r="B26" s="30" t="s">
        <v>1170</v>
      </c>
      <c r="C26" s="21">
        <v>3.22</v>
      </c>
      <c r="D26" s="21">
        <v>0.58399999999999996</v>
      </c>
      <c r="E26" s="21">
        <v>0.91200000000000003</v>
      </c>
      <c r="F26" s="25">
        <v>194</v>
      </c>
    </row>
    <row r="27" spans="2:7" s="20" customFormat="1" hidden="1" outlineLevel="1" x14ac:dyDescent="0.25"/>
    <row r="28" spans="2:7" s="20" customFormat="1" hidden="1" outlineLevel="1" x14ac:dyDescent="0.25">
      <c r="C28" s="133" t="s">
        <v>43</v>
      </c>
      <c r="D28" s="133"/>
      <c r="E28" s="133"/>
      <c r="F28" s="133"/>
    </row>
    <row r="29" spans="2:7" s="73" customFormat="1" ht="30" hidden="1" outlineLevel="1" x14ac:dyDescent="0.25">
      <c r="B29" s="72" t="s">
        <v>42</v>
      </c>
      <c r="C29" s="86" t="s">
        <v>41</v>
      </c>
      <c r="D29" s="86" t="s">
        <v>40</v>
      </c>
      <c r="E29" s="86" t="s">
        <v>39</v>
      </c>
      <c r="F29" s="86" t="s">
        <v>38</v>
      </c>
    </row>
    <row r="30" spans="2:7" s="20" customFormat="1" hidden="1" outlineLevel="1" x14ac:dyDescent="0.25">
      <c r="B30" s="30" t="str">
        <f>B25</f>
        <v>1 : 3 : 6</v>
      </c>
      <c r="C30" s="21">
        <f t="shared" ref="C30:F31" si="0">C25*$C$19</f>
        <v>16.537500000000001</v>
      </c>
      <c r="D30" s="21">
        <f t="shared" si="0"/>
        <v>2.2207499999999998</v>
      </c>
      <c r="E30" s="21">
        <f t="shared" si="0"/>
        <v>3.4728750000000002</v>
      </c>
      <c r="F30" s="25">
        <f t="shared" si="0"/>
        <v>661.5</v>
      </c>
      <c r="G30" s="20" t="s">
        <v>37</v>
      </c>
    </row>
    <row r="31" spans="2:7" s="20" customFormat="1" hidden="1" outlineLevel="1" x14ac:dyDescent="0.25">
      <c r="B31" s="30" t="str">
        <f>B26</f>
        <v>1 : 4 : 8</v>
      </c>
      <c r="C31" s="21">
        <f t="shared" si="0"/>
        <v>12.678750000000001</v>
      </c>
      <c r="D31" s="21">
        <f t="shared" si="0"/>
        <v>2.2994999999999997</v>
      </c>
      <c r="E31" s="21">
        <f t="shared" si="0"/>
        <v>3.5910000000000002</v>
      </c>
      <c r="F31" s="25">
        <f t="shared" si="0"/>
        <v>763.875</v>
      </c>
    </row>
    <row r="32" spans="2:7" s="20" customFormat="1" hidden="1" outlineLevel="1" x14ac:dyDescent="0.25"/>
    <row r="33" spans="2:4" s="20" customFormat="1" hidden="1" outlineLevel="1" x14ac:dyDescent="0.25">
      <c r="B33" s="19" t="s">
        <v>466</v>
      </c>
    </row>
    <row r="34" spans="2:4" s="20" customFormat="1" hidden="1" outlineLevel="1" x14ac:dyDescent="0.25"/>
    <row r="35" spans="2:4" s="20" customFormat="1" hidden="1" outlineLevel="1" x14ac:dyDescent="0.25">
      <c r="B35" s="20" t="s">
        <v>468</v>
      </c>
      <c r="C35" s="85">
        <v>1.5</v>
      </c>
      <c r="D35" s="20" t="s">
        <v>56</v>
      </c>
    </row>
    <row r="36" spans="2:4" s="20" customFormat="1" hidden="1" outlineLevel="1" x14ac:dyDescent="0.25">
      <c r="B36" s="20" t="s">
        <v>396</v>
      </c>
      <c r="C36" s="21">
        <f>C10/C35</f>
        <v>33.333333333333336</v>
      </c>
      <c r="D36" s="20" t="s">
        <v>644</v>
      </c>
    </row>
    <row r="37" spans="2:4" s="20" customFormat="1" hidden="1" outlineLevel="1" x14ac:dyDescent="0.25">
      <c r="B37" s="20" t="s">
        <v>800</v>
      </c>
      <c r="C37" s="21">
        <f>C36*(1+'LEIA-ME'!$D$31)</f>
        <v>35.000000000000007</v>
      </c>
      <c r="D37" s="20" t="s">
        <v>644</v>
      </c>
    </row>
    <row r="38" spans="2:4" s="20" customFormat="1" hidden="1" outlineLevel="1" x14ac:dyDescent="0.25">
      <c r="B38" s="20" t="s">
        <v>674</v>
      </c>
      <c r="C38" s="33">
        <v>3</v>
      </c>
      <c r="D38" s="20" t="s">
        <v>53</v>
      </c>
    </row>
    <row r="39" spans="2:4" s="20" customFormat="1" hidden="1" outlineLevel="1" x14ac:dyDescent="0.25">
      <c r="B39" s="20" t="s">
        <v>232</v>
      </c>
      <c r="C39" s="21">
        <f>C37/C38</f>
        <v>11.66666666666667</v>
      </c>
      <c r="D39" s="20" t="s">
        <v>644</v>
      </c>
    </row>
    <row r="40" spans="2:4" hidden="1" outlineLevel="1" x14ac:dyDescent="0.25">
      <c r="C40" s="8"/>
    </row>
    <row r="41" spans="2:4" collapsed="1" x14ac:dyDescent="0.25">
      <c r="B41" s="27" t="s">
        <v>5</v>
      </c>
      <c r="C41" s="28" t="s">
        <v>46</v>
      </c>
      <c r="D41" s="28" t="s">
        <v>6</v>
      </c>
    </row>
    <row r="42" spans="2:4" ht="17.25" x14ac:dyDescent="0.25">
      <c r="B42" s="88" t="s">
        <v>242</v>
      </c>
      <c r="C42" s="91" t="s">
        <v>80</v>
      </c>
      <c r="D42" s="87">
        <f>IF(C12="Usinado",C19,0)</f>
        <v>3.9375</v>
      </c>
    </row>
    <row r="43" spans="2:4" x14ac:dyDescent="0.25">
      <c r="B43" s="88" t="s">
        <v>36</v>
      </c>
      <c r="C43" s="91" t="s">
        <v>35</v>
      </c>
      <c r="D43" s="87">
        <f>IFERROR(IF(C12="Feito na obra",VLOOKUP($C$13,$B$29:$F$31,2,0),0),0)</f>
        <v>0</v>
      </c>
    </row>
    <row r="44" spans="2:4" ht="17.25" x14ac:dyDescent="0.25">
      <c r="B44" s="88" t="s">
        <v>34</v>
      </c>
      <c r="C44" s="91" t="s">
        <v>80</v>
      </c>
      <c r="D44" s="87">
        <f>IFERROR(IF(C12="Feito na obra",VLOOKUP($C$13,$B$29:$F$31,3,0),0),0)</f>
        <v>0</v>
      </c>
    </row>
    <row r="45" spans="2:4" ht="17.25" x14ac:dyDescent="0.25">
      <c r="B45" s="88" t="s">
        <v>33</v>
      </c>
      <c r="C45" s="91" t="s">
        <v>80</v>
      </c>
      <c r="D45" s="87">
        <f>IFERROR(IF(C12="Feito na obra",VLOOKUP($C$13,$B$29:$F$31,4,0),0),0)</f>
        <v>0</v>
      </c>
    </row>
    <row r="46" spans="2:4" x14ac:dyDescent="0.25">
      <c r="B46" s="88" t="s">
        <v>637</v>
      </c>
      <c r="C46" s="91" t="s">
        <v>612</v>
      </c>
      <c r="D46" s="87">
        <f>C39</f>
        <v>11.66666666666667</v>
      </c>
    </row>
    <row r="49" spans="1:8" s="5" customFormat="1" ht="18.75" x14ac:dyDescent="0.3">
      <c r="A49" s="7"/>
      <c r="B49" s="132" t="s">
        <v>1156</v>
      </c>
      <c r="C49" s="132"/>
      <c r="D49" s="132"/>
      <c r="E49" s="7"/>
      <c r="F49" s="7"/>
      <c r="H49" s="22"/>
    </row>
    <row r="50" spans="1:8" s="5" customFormat="1" x14ac:dyDescent="0.25">
      <c r="A50" s="7"/>
      <c r="B50" s="7"/>
      <c r="C50" s="7"/>
      <c r="D50" s="7"/>
      <c r="E50" s="7"/>
      <c r="F50" s="7"/>
      <c r="H50" s="22"/>
    </row>
    <row r="51" spans="1:8" x14ac:dyDescent="0.25">
      <c r="B51" s="9" t="s">
        <v>2</v>
      </c>
    </row>
    <row r="53" spans="1:8" x14ac:dyDescent="0.25">
      <c r="B53" s="7" t="s">
        <v>464</v>
      </c>
      <c r="C53" s="33"/>
      <c r="D53" s="7" t="s">
        <v>53</v>
      </c>
    </row>
    <row r="54" spans="1:8" x14ac:dyDescent="0.25">
      <c r="B54" s="7" t="s">
        <v>467</v>
      </c>
      <c r="C54" s="33"/>
      <c r="D54" s="7" t="s">
        <v>53</v>
      </c>
    </row>
    <row r="55" spans="1:8" x14ac:dyDescent="0.25">
      <c r="B55" s="7" t="s">
        <v>465</v>
      </c>
      <c r="C55" s="23"/>
      <c r="D55" s="7" t="s">
        <v>56</v>
      </c>
    </row>
    <row r="56" spans="1:8" x14ac:dyDescent="0.25">
      <c r="B56" s="7" t="s">
        <v>225</v>
      </c>
      <c r="C56" s="29"/>
    </row>
    <row r="57" spans="1:8" x14ac:dyDescent="0.25">
      <c r="B57" s="7" t="s">
        <v>57</v>
      </c>
      <c r="C57" s="29"/>
      <c r="D57" s="7" t="s">
        <v>1193</v>
      </c>
    </row>
    <row r="58" spans="1:8" x14ac:dyDescent="0.25">
      <c r="B58" s="3" t="s">
        <v>151</v>
      </c>
      <c r="C58" s="41"/>
    </row>
    <row r="60" spans="1:8" s="20" customFormat="1" hidden="1" outlineLevel="1" x14ac:dyDescent="0.25">
      <c r="B60" s="19" t="s">
        <v>118</v>
      </c>
    </row>
    <row r="61" spans="1:8" s="20" customFormat="1" hidden="1" outlineLevel="1" x14ac:dyDescent="0.25"/>
    <row r="62" spans="1:8" s="20" customFormat="1" hidden="1" outlineLevel="1" x14ac:dyDescent="0.25">
      <c r="B62" s="20" t="s">
        <v>801</v>
      </c>
      <c r="C62" s="21">
        <f>C53*C54</f>
        <v>0</v>
      </c>
      <c r="D62" s="20" t="s">
        <v>643</v>
      </c>
    </row>
    <row r="63" spans="1:8" s="20" customFormat="1" hidden="1" outlineLevel="1" x14ac:dyDescent="0.25">
      <c r="B63" s="20" t="s">
        <v>155</v>
      </c>
      <c r="C63" s="21">
        <f>C62*(C55/100)</f>
        <v>0</v>
      </c>
      <c r="D63" s="20" t="s">
        <v>32</v>
      </c>
    </row>
    <row r="64" spans="1:8" s="20" customFormat="1" hidden="1" outlineLevel="1" x14ac:dyDescent="0.25">
      <c r="B64" s="20" t="s">
        <v>699</v>
      </c>
      <c r="C64" s="21">
        <f>C63*(1+'LEIA-ME'!$D$31)</f>
        <v>0</v>
      </c>
      <c r="D64" s="20" t="s">
        <v>32</v>
      </c>
    </row>
    <row r="65" spans="2:7" s="20" customFormat="1" hidden="1" outlineLevel="1" x14ac:dyDescent="0.25"/>
    <row r="66" spans="2:7" s="20" customFormat="1" hidden="1" outlineLevel="1" x14ac:dyDescent="0.25">
      <c r="B66" s="19" t="s">
        <v>125</v>
      </c>
    </row>
    <row r="67" spans="2:7" s="20" customFormat="1" hidden="1" outlineLevel="1" x14ac:dyDescent="0.25"/>
    <row r="68" spans="2:7" s="20" customFormat="1" hidden="1" outlineLevel="1" x14ac:dyDescent="0.25">
      <c r="C68" s="133" t="s">
        <v>45</v>
      </c>
      <c r="D68" s="133"/>
      <c r="E68" s="133"/>
      <c r="F68" s="133"/>
    </row>
    <row r="69" spans="2:7" s="73" customFormat="1" ht="30" hidden="1" outlineLevel="1" x14ac:dyDescent="0.25">
      <c r="B69" s="72" t="s">
        <v>42</v>
      </c>
      <c r="C69" s="86" t="s">
        <v>41</v>
      </c>
      <c r="D69" s="86" t="s">
        <v>40</v>
      </c>
      <c r="E69" s="86" t="s">
        <v>39</v>
      </c>
      <c r="F69" s="86" t="s">
        <v>38</v>
      </c>
    </row>
    <row r="70" spans="2:7" s="20" customFormat="1" hidden="1" outlineLevel="1" x14ac:dyDescent="0.25">
      <c r="B70" s="30" t="s">
        <v>1171</v>
      </c>
      <c r="C70" s="21">
        <v>4.2</v>
      </c>
      <c r="D70" s="21">
        <v>0.56399999999999995</v>
      </c>
      <c r="E70" s="21">
        <v>0.88200000000000001</v>
      </c>
      <c r="F70" s="25">
        <v>168</v>
      </c>
      <c r="G70" s="20" t="s">
        <v>44</v>
      </c>
    </row>
    <row r="71" spans="2:7" s="20" customFormat="1" hidden="1" outlineLevel="1" x14ac:dyDescent="0.25">
      <c r="B71" s="30" t="s">
        <v>1170</v>
      </c>
      <c r="C71" s="21">
        <v>3.22</v>
      </c>
      <c r="D71" s="21">
        <v>0.58399999999999996</v>
      </c>
      <c r="E71" s="21">
        <v>0.91200000000000003</v>
      </c>
      <c r="F71" s="25">
        <v>194</v>
      </c>
    </row>
    <row r="72" spans="2:7" s="20" customFormat="1" hidden="1" outlineLevel="1" x14ac:dyDescent="0.25"/>
    <row r="73" spans="2:7" s="20" customFormat="1" hidden="1" outlineLevel="1" x14ac:dyDescent="0.25">
      <c r="C73" s="133" t="s">
        <v>43</v>
      </c>
      <c r="D73" s="133"/>
      <c r="E73" s="133"/>
      <c r="F73" s="133"/>
    </row>
    <row r="74" spans="2:7" s="73" customFormat="1" ht="30" hidden="1" outlineLevel="1" x14ac:dyDescent="0.25">
      <c r="B74" s="72" t="s">
        <v>42</v>
      </c>
      <c r="C74" s="86" t="s">
        <v>41</v>
      </c>
      <c r="D74" s="86" t="s">
        <v>40</v>
      </c>
      <c r="E74" s="86" t="s">
        <v>39</v>
      </c>
      <c r="F74" s="86" t="s">
        <v>38</v>
      </c>
    </row>
    <row r="75" spans="2:7" s="20" customFormat="1" hidden="1" outlineLevel="1" x14ac:dyDescent="0.25">
      <c r="B75" s="30" t="str">
        <f>B70</f>
        <v>1 : 3 : 6</v>
      </c>
      <c r="C75" s="21">
        <f t="shared" ref="C75:F76" si="1">C70*$C$64</f>
        <v>0</v>
      </c>
      <c r="D75" s="21">
        <f t="shared" si="1"/>
        <v>0</v>
      </c>
      <c r="E75" s="21">
        <f t="shared" si="1"/>
        <v>0</v>
      </c>
      <c r="F75" s="25">
        <f t="shared" si="1"/>
        <v>0</v>
      </c>
      <c r="G75" s="20" t="s">
        <v>37</v>
      </c>
    </row>
    <row r="76" spans="2:7" s="20" customFormat="1" hidden="1" outlineLevel="1" x14ac:dyDescent="0.25">
      <c r="B76" s="30" t="str">
        <f>B71</f>
        <v>1 : 4 : 8</v>
      </c>
      <c r="C76" s="21">
        <f t="shared" si="1"/>
        <v>0</v>
      </c>
      <c r="D76" s="21">
        <f t="shared" si="1"/>
        <v>0</v>
      </c>
      <c r="E76" s="21">
        <f t="shared" si="1"/>
        <v>0</v>
      </c>
      <c r="F76" s="25">
        <f t="shared" si="1"/>
        <v>0</v>
      </c>
    </row>
    <row r="77" spans="2:7" s="20" customFormat="1" hidden="1" outlineLevel="1" x14ac:dyDescent="0.25"/>
    <row r="78" spans="2:7" s="20" customFormat="1" hidden="1" outlineLevel="1" x14ac:dyDescent="0.25">
      <c r="B78" s="19" t="s">
        <v>466</v>
      </c>
    </row>
    <row r="79" spans="2:7" s="20" customFormat="1" hidden="1" outlineLevel="1" x14ac:dyDescent="0.25"/>
    <row r="80" spans="2:7" s="20" customFormat="1" hidden="1" outlineLevel="1" x14ac:dyDescent="0.25">
      <c r="B80" s="20" t="s">
        <v>468</v>
      </c>
      <c r="C80" s="85">
        <v>1.5</v>
      </c>
      <c r="D80" s="20" t="s">
        <v>56</v>
      </c>
    </row>
    <row r="81" spans="2:12" s="20" customFormat="1" hidden="1" outlineLevel="1" x14ac:dyDescent="0.25">
      <c r="B81" s="20" t="s">
        <v>396</v>
      </c>
      <c r="C81" s="21">
        <f>C54/C80</f>
        <v>0</v>
      </c>
      <c r="D81" s="20" t="s">
        <v>644</v>
      </c>
    </row>
    <row r="82" spans="2:12" s="20" customFormat="1" hidden="1" outlineLevel="1" x14ac:dyDescent="0.25">
      <c r="B82" s="20" t="s">
        <v>800</v>
      </c>
      <c r="C82" s="21">
        <f>C81*(1+'LEIA-ME'!$D$31)</f>
        <v>0</v>
      </c>
      <c r="D82" s="20" t="s">
        <v>644</v>
      </c>
    </row>
    <row r="83" spans="2:12" s="20" customFormat="1" hidden="1" outlineLevel="1" x14ac:dyDescent="0.25">
      <c r="B83" s="20" t="s">
        <v>674</v>
      </c>
      <c r="C83" s="33">
        <v>3</v>
      </c>
      <c r="D83" s="20" t="s">
        <v>53</v>
      </c>
    </row>
    <row r="84" spans="2:12" s="20" customFormat="1" hidden="1" outlineLevel="1" x14ac:dyDescent="0.25">
      <c r="B84" s="20" t="s">
        <v>232</v>
      </c>
      <c r="C84" s="21">
        <f>C82/C83</f>
        <v>0</v>
      </c>
      <c r="D84" s="20" t="s">
        <v>644</v>
      </c>
    </row>
    <row r="85" spans="2:12" s="20" customFormat="1" hidden="1" outlineLevel="1" x14ac:dyDescent="0.25"/>
    <row r="86" spans="2:12" s="20" customFormat="1" hidden="1" outlineLevel="1" x14ac:dyDescent="0.25">
      <c r="B86" s="19" t="s">
        <v>470</v>
      </c>
    </row>
    <row r="87" spans="2:12" s="20" customFormat="1" hidden="1" outlineLevel="1" x14ac:dyDescent="0.25"/>
    <row r="88" spans="2:12" s="20" customFormat="1" hidden="1" outlineLevel="1" x14ac:dyDescent="0.25">
      <c r="B88" s="20" t="s">
        <v>801</v>
      </c>
      <c r="C88" s="21">
        <f>C62</f>
        <v>0</v>
      </c>
      <c r="D88" s="20" t="s">
        <v>643</v>
      </c>
      <c r="K88" s="20" t="s">
        <v>297</v>
      </c>
      <c r="L88" s="20" t="s">
        <v>382</v>
      </c>
    </row>
    <row r="89" spans="2:12" s="20" customFormat="1" hidden="1" outlineLevel="1" x14ac:dyDescent="0.25">
      <c r="B89" s="20" t="s">
        <v>802</v>
      </c>
      <c r="C89" s="21">
        <f>C88*(1+'LEIA-ME'!$D$31)</f>
        <v>0</v>
      </c>
      <c r="D89" s="20" t="s">
        <v>643</v>
      </c>
      <c r="K89" s="20" t="s">
        <v>144</v>
      </c>
      <c r="L89" s="20" t="s">
        <v>148</v>
      </c>
    </row>
    <row r="90" spans="2:12" s="20" customFormat="1" hidden="1" outlineLevel="1" x14ac:dyDescent="0.25">
      <c r="B90" s="20" t="s">
        <v>152</v>
      </c>
      <c r="C90" s="33">
        <v>5</v>
      </c>
      <c r="D90" s="20" t="s">
        <v>643</v>
      </c>
      <c r="K90" s="20" t="s">
        <v>145</v>
      </c>
      <c r="L90" s="20" t="s">
        <v>149</v>
      </c>
    </row>
    <row r="91" spans="2:12" s="20" customFormat="1" hidden="1" outlineLevel="1" x14ac:dyDescent="0.25">
      <c r="B91" s="20" t="s">
        <v>153</v>
      </c>
      <c r="C91" s="21">
        <f>C89/C90</f>
        <v>0</v>
      </c>
      <c r="D91" s="20" t="s">
        <v>644</v>
      </c>
      <c r="K91" s="20" t="s">
        <v>146</v>
      </c>
      <c r="L91" s="20" t="s">
        <v>150</v>
      </c>
    </row>
    <row r="92" spans="2:12" s="20" customFormat="1" hidden="1" outlineLevel="1" x14ac:dyDescent="0.25">
      <c r="B92" s="30"/>
      <c r="C92" s="21"/>
      <c r="D92" s="21"/>
      <c r="E92" s="21"/>
      <c r="F92" s="25"/>
    </row>
    <row r="93" spans="2:12" s="20" customFormat="1" hidden="1" outlineLevel="1" x14ac:dyDescent="0.25">
      <c r="B93" s="19" t="s">
        <v>226</v>
      </c>
    </row>
    <row r="94" spans="2:12" s="20" customFormat="1" hidden="1" outlineLevel="1" x14ac:dyDescent="0.25">
      <c r="C94" s="21"/>
    </row>
    <row r="95" spans="2:12" s="20" customFormat="1" hidden="1" outlineLevel="1" x14ac:dyDescent="0.25">
      <c r="B95" s="20" t="s">
        <v>60</v>
      </c>
      <c r="C95" s="85">
        <v>2</v>
      </c>
      <c r="D95" s="20" t="s">
        <v>56</v>
      </c>
    </row>
    <row r="96" spans="2:12" s="20" customFormat="1" hidden="1" outlineLevel="1" x14ac:dyDescent="0.25">
      <c r="B96" s="20" t="s">
        <v>59</v>
      </c>
      <c r="C96" s="21">
        <f>C89*((C95/100))</f>
        <v>0</v>
      </c>
      <c r="D96" s="20" t="s">
        <v>32</v>
      </c>
    </row>
    <row r="97" spans="2:4" s="20" customFormat="1" hidden="1" outlineLevel="1" x14ac:dyDescent="0.25">
      <c r="B97" s="20" t="s">
        <v>718</v>
      </c>
      <c r="C97" s="21">
        <f>C96*(1+'LEIA-ME'!$D$31)</f>
        <v>0</v>
      </c>
      <c r="D97" s="20" t="s">
        <v>32</v>
      </c>
    </row>
    <row r="98" spans="2:4" hidden="1" outlineLevel="1" x14ac:dyDescent="0.25">
      <c r="C98" s="8"/>
    </row>
    <row r="99" spans="2:4" collapsed="1" x14ac:dyDescent="0.25">
      <c r="B99" s="27" t="s">
        <v>5</v>
      </c>
      <c r="C99" s="28" t="s">
        <v>46</v>
      </c>
      <c r="D99" s="28" t="s">
        <v>6</v>
      </c>
    </row>
    <row r="100" spans="2:4" ht="17.25" x14ac:dyDescent="0.25">
      <c r="B100" s="88" t="s">
        <v>242</v>
      </c>
      <c r="C100" s="91" t="s">
        <v>80</v>
      </c>
      <c r="D100" s="87">
        <f>IF(C56="Usinado",C64,0)</f>
        <v>0</v>
      </c>
    </row>
    <row r="101" spans="2:4" x14ac:dyDescent="0.25">
      <c r="B101" s="88" t="s">
        <v>36</v>
      </c>
      <c r="C101" s="91" t="s">
        <v>35</v>
      </c>
      <c r="D101" s="87">
        <f>IFERROR(IF(C56="Feito na obra",VLOOKUP($C$57,$B$74:$F$76,2,0),0),0)</f>
        <v>0</v>
      </c>
    </row>
    <row r="102" spans="2:4" ht="17.25" x14ac:dyDescent="0.25">
      <c r="B102" s="88" t="s">
        <v>34</v>
      </c>
      <c r="C102" s="91" t="s">
        <v>80</v>
      </c>
      <c r="D102" s="87">
        <f>IFERROR(IF(C56="Feito na obra",VLOOKUP($C$57,$B$74:$F$76,3,0),0),0)</f>
        <v>0</v>
      </c>
    </row>
    <row r="103" spans="2:4" ht="17.25" x14ac:dyDescent="0.25">
      <c r="B103" s="88" t="s">
        <v>33</v>
      </c>
      <c r="C103" s="91" t="s">
        <v>80</v>
      </c>
      <c r="D103" s="87">
        <f>IFERROR(IF(C56="Feito na obra",VLOOKUP($C$57,$B$74:$F$76,4,0),0),0)</f>
        <v>0</v>
      </c>
    </row>
    <row r="104" spans="2:4" x14ac:dyDescent="0.25">
      <c r="B104" s="88" t="s">
        <v>637</v>
      </c>
      <c r="C104" s="91" t="s">
        <v>612</v>
      </c>
      <c r="D104" s="87">
        <f>C84</f>
        <v>0</v>
      </c>
    </row>
    <row r="105" spans="2:4" ht="17.25" x14ac:dyDescent="0.25">
      <c r="B105" s="88" t="s">
        <v>61</v>
      </c>
      <c r="C105" s="91" t="s">
        <v>80</v>
      </c>
      <c r="D105" s="87">
        <f>C97</f>
        <v>0</v>
      </c>
    </row>
    <row r="106" spans="2:4" x14ac:dyDescent="0.25">
      <c r="B106" s="88" t="str">
        <f>IF(C58="","",VLOOKUP(C58,K89:L91,2,0))</f>
        <v/>
      </c>
      <c r="C106" s="91" t="str">
        <f>IF(C58="","","Peça 2 x 3 m")</f>
        <v/>
      </c>
      <c r="D106" s="87" t="str">
        <f>IF(C58="","",C91)</f>
        <v/>
      </c>
    </row>
  </sheetData>
  <mergeCells count="8">
    <mergeCell ref="B49:D49"/>
    <mergeCell ref="C68:F68"/>
    <mergeCell ref="C73:F73"/>
    <mergeCell ref="B2:D2"/>
    <mergeCell ref="B4:D4"/>
    <mergeCell ref="B5:D5"/>
    <mergeCell ref="C23:F23"/>
    <mergeCell ref="C28:F28"/>
  </mergeCells>
  <dataValidations count="3">
    <dataValidation type="list" allowBlank="1" showInputMessage="1" showErrorMessage="1" sqref="C13 C57" xr:uid="{00000000-0002-0000-1600-000000000000}">
      <formula1>$B$25:$B$26</formula1>
    </dataValidation>
    <dataValidation type="list" allowBlank="1" showInputMessage="1" showErrorMessage="1" sqref="C12 C56" xr:uid="{00000000-0002-0000-1600-000001000000}">
      <formula1>"Usinado,Feito na obra"</formula1>
    </dataValidation>
    <dataValidation type="list" allowBlank="1" showInputMessage="1" showErrorMessage="1" sqref="C58" xr:uid="{00000000-0002-0000-1600-000002000000}">
      <formula1>$K$89:$K$91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H676"/>
  <sheetViews>
    <sheetView showGridLines="0" zoomScale="130" zoomScaleNormal="130" workbookViewId="0"/>
  </sheetViews>
  <sheetFormatPr defaultColWidth="8.85546875" defaultRowHeight="15" x14ac:dyDescent="0.25"/>
  <cols>
    <col min="1" max="1" width="2" style="7" customWidth="1"/>
    <col min="2" max="2" width="51.85546875" style="7" bestFit="1" customWidth="1"/>
    <col min="3" max="3" width="18" style="7" customWidth="1"/>
    <col min="4" max="4" width="12.5703125" style="7" customWidth="1"/>
    <col min="5" max="16384" width="8.85546875" style="7"/>
  </cols>
  <sheetData>
    <row r="4" spans="1:8" ht="15.75" thickBot="1" x14ac:dyDescent="0.3"/>
    <row r="5" spans="1:8" ht="21.75" thickBot="1" x14ac:dyDescent="0.4">
      <c r="B5" s="129" t="s">
        <v>537</v>
      </c>
      <c r="C5" s="130"/>
      <c r="D5" s="131"/>
    </row>
    <row r="7" spans="1:8" s="71" customFormat="1" ht="18.75" x14ac:dyDescent="0.3">
      <c r="B7" s="135" t="str">
        <f>'1. Gabarito da obra'!B2:D2</f>
        <v>Gabarito da obra</v>
      </c>
      <c r="C7" s="135"/>
      <c r="D7" s="135"/>
    </row>
    <row r="8" spans="1:8" s="69" customFormat="1" ht="15.75" x14ac:dyDescent="0.25">
      <c r="A8" s="68"/>
      <c r="B8" s="136" t="str">
        <f>'1. Gabarito da obra'!B6:D6</f>
        <v>Madeiramento do gabarito da obra</v>
      </c>
      <c r="C8" s="136"/>
      <c r="D8" s="136"/>
      <c r="E8" s="68"/>
      <c r="F8" s="68"/>
      <c r="H8" s="70"/>
    </row>
    <row r="9" spans="1:8" x14ac:dyDescent="0.25">
      <c r="B9" s="108" t="s">
        <v>5</v>
      </c>
      <c r="C9" s="109" t="s">
        <v>46</v>
      </c>
      <c r="D9" s="109" t="s">
        <v>6</v>
      </c>
    </row>
    <row r="10" spans="1:8" x14ac:dyDescent="0.25">
      <c r="B10" s="88" t="str">
        <f>'1. Gabarito da obra'!B47</f>
        <v>Caibro madeira 6,5 x 6,5 cm bruto</v>
      </c>
      <c r="C10" s="91" t="str">
        <f>'1. Gabarito da obra'!C47</f>
        <v>Peça 3,0 m</v>
      </c>
      <c r="D10" s="87">
        <f>'1. Gabarito da obra'!D47</f>
        <v>21.525000000000002</v>
      </c>
    </row>
    <row r="11" spans="1:8" x14ac:dyDescent="0.25">
      <c r="B11" s="88" t="str">
        <f>'1. Gabarito da obra'!B48</f>
        <v>Sarrafo madeira 2,3 x 10 cm bruto</v>
      </c>
      <c r="C11" s="91" t="str">
        <f>'1. Gabarito da obra'!C48</f>
        <v>Peça 3,0 m</v>
      </c>
      <c r="D11" s="87">
        <f>'1. Gabarito da obra'!D48</f>
        <v>28.700000000000003</v>
      </c>
    </row>
    <row r="12" spans="1:8" x14ac:dyDescent="0.25">
      <c r="B12" s="88" t="str">
        <f>'1. Gabarito da obra'!B49</f>
        <v>Prego aço polido c/ cabeça 17 x 27</v>
      </c>
      <c r="C12" s="91" t="str">
        <f>'1. Gabarito da obra'!C49</f>
        <v>kg</v>
      </c>
      <c r="D12" s="87">
        <f>'1. Gabarito da obra'!D49</f>
        <v>1.6400000000000001</v>
      </c>
    </row>
    <row r="13" spans="1:8" x14ac:dyDescent="0.25">
      <c r="B13" s="88" t="str">
        <f>'1. Gabarito da obra'!B50</f>
        <v>Linha de pedreiro lisa, 100 m</v>
      </c>
      <c r="C13" s="91" t="str">
        <f>'1. Gabarito da obra'!C50</f>
        <v>Carretel</v>
      </c>
      <c r="D13" s="87">
        <f>'1. Gabarito da obra'!D50</f>
        <v>6.15</v>
      </c>
    </row>
    <row r="14" spans="1:8" x14ac:dyDescent="0.25">
      <c r="B14" s="88" t="str">
        <f>'1. Gabarito da obra'!B51</f>
        <v>Cal hidratada para construção civil</v>
      </c>
      <c r="C14" s="91" t="str">
        <f>'1. Gabarito da obra'!C51</f>
        <v>Saco 20 kg</v>
      </c>
      <c r="D14" s="87">
        <f>'1. Gabarito da obra'!D51</f>
        <v>0.82000000000000006</v>
      </c>
    </row>
    <row r="15" spans="1:8" x14ac:dyDescent="0.25">
      <c r="B15" s="110"/>
      <c r="C15" s="110"/>
      <c r="D15" s="110"/>
    </row>
    <row r="16" spans="1:8" ht="18.75" x14ac:dyDescent="0.3">
      <c r="B16" s="137" t="str">
        <f>'2. Viga Baldrame'!B2:D2</f>
        <v>Viga Baldrame</v>
      </c>
      <c r="C16" s="137"/>
      <c r="D16" s="137"/>
    </row>
    <row r="17" spans="2:4" ht="15.75" x14ac:dyDescent="0.25">
      <c r="B17" s="134" t="str">
        <f>'2. Viga Baldrame'!B6:D6</f>
        <v>Concreto da viga baldrame</v>
      </c>
      <c r="C17" s="134"/>
      <c r="D17" s="134"/>
    </row>
    <row r="18" spans="2:4" x14ac:dyDescent="0.25">
      <c r="B18" s="108" t="s">
        <v>5</v>
      </c>
      <c r="C18" s="109" t="s">
        <v>46</v>
      </c>
      <c r="D18" s="109" t="s">
        <v>6</v>
      </c>
    </row>
    <row r="19" spans="2:4" x14ac:dyDescent="0.25">
      <c r="B19" s="88" t="str">
        <f>'2. Viga Baldrame'!B43</f>
        <v>Concreto usinado para vigas baldrames</v>
      </c>
      <c r="C19" s="91" t="str">
        <f>'2. Viga Baldrame'!C43</f>
        <v>m3</v>
      </c>
      <c r="D19" s="87">
        <f>'2. Viga Baldrame'!D43</f>
        <v>9.4500000000000011</v>
      </c>
    </row>
    <row r="20" spans="2:4" x14ac:dyDescent="0.25">
      <c r="B20" s="88" t="str">
        <f>'2. Viga Baldrame'!B44</f>
        <v>Cimento CP III</v>
      </c>
      <c r="C20" s="91" t="str">
        <f>'2. Viga Baldrame'!C44</f>
        <v>Saco 50kg</v>
      </c>
      <c r="D20" s="87">
        <f>'2. Viga Baldrame'!D44</f>
        <v>0</v>
      </c>
    </row>
    <row r="21" spans="2:4" x14ac:dyDescent="0.25">
      <c r="B21" s="88" t="str">
        <f>'2. Viga Baldrame'!B45</f>
        <v>Areia média</v>
      </c>
      <c r="C21" s="91" t="str">
        <f>'2. Viga Baldrame'!C45</f>
        <v>m3</v>
      </c>
      <c r="D21" s="87">
        <f>'2. Viga Baldrame'!D45</f>
        <v>0</v>
      </c>
    </row>
    <row r="22" spans="2:4" x14ac:dyDescent="0.25">
      <c r="B22" s="88" t="str">
        <f>'2. Viga Baldrame'!B46</f>
        <v>Pedra brita 1</v>
      </c>
      <c r="C22" s="91" t="str">
        <f>'2. Viga Baldrame'!C46</f>
        <v>m3</v>
      </c>
      <c r="D22" s="87">
        <f>'2. Viga Baldrame'!D46</f>
        <v>0</v>
      </c>
    </row>
    <row r="23" spans="2:4" ht="15.75" x14ac:dyDescent="0.25">
      <c r="B23" s="134" t="str">
        <f>'2. Viga Baldrame'!B49:D49</f>
        <v>Concreto magro usado como lastro</v>
      </c>
      <c r="C23" s="134"/>
      <c r="D23" s="134"/>
    </row>
    <row r="24" spans="2:4" x14ac:dyDescent="0.25">
      <c r="B24" s="108" t="s">
        <v>5</v>
      </c>
      <c r="C24" s="109" t="s">
        <v>46</v>
      </c>
      <c r="D24" s="109" t="s">
        <v>6</v>
      </c>
    </row>
    <row r="25" spans="2:4" x14ac:dyDescent="0.25">
      <c r="B25" s="88" t="str">
        <f>'2. Viga Baldrame'!B70</f>
        <v>Cimento CP III</v>
      </c>
      <c r="C25" s="91" t="str">
        <f>'2. Viga Baldrame'!C70</f>
        <v>Saco 50kg</v>
      </c>
      <c r="D25" s="87">
        <f>'2. Viga Baldrame'!D70</f>
        <v>0</v>
      </c>
    </row>
    <row r="26" spans="2:4" x14ac:dyDescent="0.25">
      <c r="B26" s="88" t="str">
        <f>'2. Viga Baldrame'!B71</f>
        <v>Areia média</v>
      </c>
      <c r="C26" s="91" t="str">
        <f>'2. Viga Baldrame'!C71</f>
        <v>m3</v>
      </c>
      <c r="D26" s="87">
        <f>'2. Viga Baldrame'!D71</f>
        <v>0</v>
      </c>
    </row>
    <row r="27" spans="2:4" x14ac:dyDescent="0.25">
      <c r="B27" s="88" t="str">
        <f>'2. Viga Baldrame'!B72</f>
        <v>Pedra brita 1</v>
      </c>
      <c r="C27" s="91" t="str">
        <f>'2. Viga Baldrame'!C72</f>
        <v>m3</v>
      </c>
      <c r="D27" s="87">
        <f>'2. Viga Baldrame'!D72</f>
        <v>0</v>
      </c>
    </row>
    <row r="28" spans="2:4" ht="15.75" x14ac:dyDescent="0.25">
      <c r="B28" s="134" t="str">
        <f>'2. Viga Baldrame'!B75:D75</f>
        <v>Armações de aço da viga baldrame</v>
      </c>
      <c r="C28" s="134"/>
      <c r="D28" s="134"/>
    </row>
    <row r="29" spans="2:4" x14ac:dyDescent="0.25">
      <c r="B29" s="108" t="s">
        <v>5</v>
      </c>
      <c r="C29" s="109" t="s">
        <v>46</v>
      </c>
      <c r="D29" s="109" t="s">
        <v>6</v>
      </c>
    </row>
    <row r="30" spans="2:4" x14ac:dyDescent="0.25">
      <c r="B30" s="88" t="str">
        <f>'2. Viga Baldrame'!B118</f>
        <v>Barra de aço CA-25, 10mm (⅜'')</v>
      </c>
      <c r="C30" s="91" t="str">
        <f>'2. Viga Baldrame'!C118</f>
        <v>Barra 12 m</v>
      </c>
      <c r="D30" s="87">
        <f>'2. Viga Baldrame'!D118</f>
        <v>0</v>
      </c>
    </row>
    <row r="31" spans="2:4" x14ac:dyDescent="0.25">
      <c r="B31" s="88" t="str">
        <f>'2. Viga Baldrame'!B119</f>
        <v>Barra de aço CA-60, 4,2mm</v>
      </c>
      <c r="C31" s="91" t="str">
        <f>'2. Viga Baldrame'!C119</f>
        <v>Barra 12 m</v>
      </c>
      <c r="D31" s="87">
        <f>'2. Viga Baldrame'!D119</f>
        <v>0</v>
      </c>
    </row>
    <row r="32" spans="2:4" x14ac:dyDescent="0.25">
      <c r="B32" s="88" t="str">
        <f>'2. Viga Baldrame'!B120</f>
        <v>Arame recozido BWG 18 (1,24mm)</v>
      </c>
      <c r="C32" s="91" t="str">
        <f>'2. Viga Baldrame'!C120</f>
        <v>Rolo 1 kg</v>
      </c>
      <c r="D32" s="87">
        <f>'2. Viga Baldrame'!D120</f>
        <v>0</v>
      </c>
    </row>
    <row r="33" spans="2:4" x14ac:dyDescent="0.25">
      <c r="B33" s="88" t="str">
        <f>'2. Viga Baldrame'!B121</f>
        <v>Espaçadores de ferragem</v>
      </c>
      <c r="C33" s="91" t="str">
        <f>'2. Viga Baldrame'!C121</f>
        <v>Peça</v>
      </c>
      <c r="D33" s="87">
        <f>'2. Viga Baldrame'!D121</f>
        <v>0</v>
      </c>
    </row>
    <row r="34" spans="2:4" ht="15.75" x14ac:dyDescent="0.25">
      <c r="B34" s="134" t="str">
        <f>'2. Viga Baldrame'!B124:D124</f>
        <v>Armações de aço das colunas de arranque</v>
      </c>
      <c r="C34" s="134"/>
      <c r="D34" s="134"/>
    </row>
    <row r="35" spans="2:4" x14ac:dyDescent="0.25">
      <c r="B35" s="108" t="s">
        <v>5</v>
      </c>
      <c r="C35" s="109" t="s">
        <v>46</v>
      </c>
      <c r="D35" s="109" t="s">
        <v>6</v>
      </c>
    </row>
    <row r="36" spans="2:4" x14ac:dyDescent="0.25">
      <c r="B36" s="88" t="str">
        <f>'2. Viga Baldrame'!B164</f>
        <v>Barra de aço CA-25, 10mm (⅜'')</v>
      </c>
      <c r="C36" s="91" t="str">
        <f>'2. Viga Baldrame'!C164</f>
        <v>Barra 12 m</v>
      </c>
      <c r="D36" s="87">
        <f>'2. Viga Baldrame'!D164</f>
        <v>0</v>
      </c>
    </row>
    <row r="37" spans="2:4" x14ac:dyDescent="0.25">
      <c r="B37" s="88" t="str">
        <f>'2. Viga Baldrame'!B165</f>
        <v>Barra de aço CA-60, 4,2mm</v>
      </c>
      <c r="C37" s="91" t="str">
        <f>'2. Viga Baldrame'!C165</f>
        <v>Barra 12 m</v>
      </c>
      <c r="D37" s="87">
        <f>'2. Viga Baldrame'!D165</f>
        <v>0</v>
      </c>
    </row>
    <row r="38" spans="2:4" ht="15.75" x14ac:dyDescent="0.25">
      <c r="B38" s="134" t="str">
        <f>'2. Viga Baldrame'!B168:D168</f>
        <v>Fôrmas de madeira da viga baldrame</v>
      </c>
      <c r="C38" s="134"/>
      <c r="D38" s="134"/>
    </row>
    <row r="39" spans="2:4" x14ac:dyDescent="0.25">
      <c r="B39" s="108" t="s">
        <v>5</v>
      </c>
      <c r="C39" s="109" t="s">
        <v>46</v>
      </c>
      <c r="D39" s="109" t="s">
        <v>6</v>
      </c>
    </row>
    <row r="40" spans="2:4" x14ac:dyDescent="0.25">
      <c r="B40" s="88" t="str">
        <f>'2. Viga Baldrame'!B197</f>
        <v>Tábua madeira 2,3 x 30 cm bruto</v>
      </c>
      <c r="C40" s="91" t="str">
        <f>'2. Viga Baldrame'!C197</f>
        <v>Peça 3,0 m</v>
      </c>
      <c r="D40" s="87">
        <f>'2. Viga Baldrame'!D197</f>
        <v>0</v>
      </c>
    </row>
    <row r="41" spans="2:4" x14ac:dyDescent="0.25">
      <c r="B41" s="88" t="str">
        <f>'2. Viga Baldrame'!B198</f>
        <v>Sarrafo madeira 2,3 x 10 cm bruto</v>
      </c>
      <c r="C41" s="91" t="str">
        <f>'2. Viga Baldrame'!C198</f>
        <v>Peça 3,0 m</v>
      </c>
      <c r="D41" s="87">
        <f>'2. Viga Baldrame'!D198</f>
        <v>0</v>
      </c>
    </row>
    <row r="42" spans="2:4" x14ac:dyDescent="0.25">
      <c r="B42" s="88" t="str">
        <f>'2. Viga Baldrame'!B199</f>
        <v>Prego aço polido c/ cabeça 17 x 27</v>
      </c>
      <c r="C42" s="91" t="str">
        <f>'2. Viga Baldrame'!C199</f>
        <v>kg</v>
      </c>
      <c r="D42" s="87">
        <f>'2. Viga Baldrame'!D199</f>
        <v>0</v>
      </c>
    </row>
    <row r="43" spans="2:4" ht="15.75" x14ac:dyDescent="0.25">
      <c r="B43" s="134" t="str">
        <f>'2. Viga Baldrame'!B202:D202</f>
        <v>Cálculo da alvenaria de embasamento</v>
      </c>
      <c r="C43" s="134"/>
      <c r="D43" s="134"/>
    </row>
    <row r="44" spans="2:4" x14ac:dyDescent="0.25">
      <c r="B44" s="108" t="s">
        <v>5</v>
      </c>
      <c r="C44" s="109" t="s">
        <v>46</v>
      </c>
      <c r="D44" s="109" t="s">
        <v>6</v>
      </c>
    </row>
    <row r="45" spans="2:4" x14ac:dyDescent="0.25">
      <c r="B45" s="88" t="str">
        <f>'2. Viga Baldrame'!B224</f>
        <v>Cimento CP III</v>
      </c>
      <c r="C45" s="91" t="str">
        <f>'2. Viga Baldrame'!C224</f>
        <v>Saco 50kg</v>
      </c>
      <c r="D45" s="87">
        <f>'2. Viga Baldrame'!D224</f>
        <v>0</v>
      </c>
    </row>
    <row r="46" spans="2:4" x14ac:dyDescent="0.25">
      <c r="B46" s="88" t="str">
        <f>'2. Viga Baldrame'!B225</f>
        <v>Areia média</v>
      </c>
      <c r="C46" s="91" t="str">
        <f>'2. Viga Baldrame'!C225</f>
        <v>m3</v>
      </c>
      <c r="D46" s="87">
        <f>'2. Viga Baldrame'!D225</f>
        <v>0</v>
      </c>
    </row>
    <row r="47" spans="2:4" x14ac:dyDescent="0.25">
      <c r="B47" s="88" t="str">
        <f>'2. Viga Baldrame'!B226</f>
        <v>Vedacit Alvenarit para argamassa</v>
      </c>
      <c r="C47" s="91" t="str">
        <f>'2. Viga Baldrame'!C226</f>
        <v>Litros</v>
      </c>
      <c r="D47" s="87">
        <f>'2. Viga Baldrame'!D226</f>
        <v>0</v>
      </c>
    </row>
    <row r="48" spans="2:4" x14ac:dyDescent="0.25">
      <c r="B48" s="88" t="str">
        <f>'2. Viga Baldrame'!B227</f>
        <v xml:space="preserve">Tijolo comum maciço </v>
      </c>
      <c r="C48" s="91" t="str">
        <f>'2. Viga Baldrame'!C227</f>
        <v>Peça</v>
      </c>
      <c r="D48" s="87">
        <f>'2. Viga Baldrame'!D227</f>
        <v>0</v>
      </c>
    </row>
    <row r="49" spans="2:4" ht="15.75" x14ac:dyDescent="0.25">
      <c r="B49" s="134" t="str">
        <f>'2. Viga Baldrame'!B230:D230</f>
        <v>Cálculo da impermeabilização</v>
      </c>
      <c r="C49" s="134"/>
      <c r="D49" s="134"/>
    </row>
    <row r="50" spans="2:4" x14ac:dyDescent="0.25">
      <c r="B50" s="108" t="s">
        <v>5</v>
      </c>
      <c r="C50" s="109" t="s">
        <v>46</v>
      </c>
      <c r="D50" s="109" t="s">
        <v>6</v>
      </c>
    </row>
    <row r="51" spans="2:4" x14ac:dyDescent="0.25">
      <c r="B51" s="88" t="str">
        <f>'2. Viga Baldrame'!B246</f>
        <v>Cimento CP III</v>
      </c>
      <c r="C51" s="91" t="str">
        <f>'2. Viga Baldrame'!C246</f>
        <v>Saco 50kg</v>
      </c>
      <c r="D51" s="87">
        <f>'2. Viga Baldrame'!D246</f>
        <v>15.75</v>
      </c>
    </row>
    <row r="52" spans="2:4" x14ac:dyDescent="0.25">
      <c r="B52" s="88" t="str">
        <f>'2. Viga Baldrame'!B247</f>
        <v>Areia média</v>
      </c>
      <c r="C52" s="91" t="str">
        <f>'2. Viga Baldrame'!C247</f>
        <v>m3</v>
      </c>
      <c r="D52" s="87">
        <f>'2. Viga Baldrame'!D247</f>
        <v>0.38272499999999998</v>
      </c>
    </row>
    <row r="53" spans="2:4" x14ac:dyDescent="0.25">
      <c r="B53" s="88" t="str">
        <f>'2. Viga Baldrame'!B248</f>
        <v>Impermeabilizante Vedatop</v>
      </c>
      <c r="C53" s="91" t="str">
        <f>'2. Viga Baldrame'!C248</f>
        <v>Caixa 12 kg</v>
      </c>
      <c r="D53" s="87">
        <f>'2. Viga Baldrame'!D248</f>
        <v>14.318181818181818</v>
      </c>
    </row>
    <row r="54" spans="2:4" x14ac:dyDescent="0.25">
      <c r="B54" s="88" t="str">
        <f>'2. Viga Baldrame'!B249</f>
        <v>Broxa para pintura rústicas, 15 cm</v>
      </c>
      <c r="C54" s="91" t="str">
        <f>'2. Viga Baldrame'!C249</f>
        <v>Peça</v>
      </c>
      <c r="D54" s="87">
        <f>'2. Viga Baldrame'!D249</f>
        <v>1</v>
      </c>
    </row>
    <row r="55" spans="2:4" x14ac:dyDescent="0.25">
      <c r="B55" s="110"/>
      <c r="C55" s="110"/>
      <c r="D55" s="110"/>
    </row>
    <row r="56" spans="2:4" ht="18.75" x14ac:dyDescent="0.3">
      <c r="B56" s="137" t="str">
        <f>'3. Sapata isolada'!B2:D2</f>
        <v>Sapata Isolada</v>
      </c>
      <c r="C56" s="137"/>
      <c r="D56" s="137"/>
    </row>
    <row r="57" spans="2:4" ht="15.75" x14ac:dyDescent="0.25">
      <c r="B57" s="134" t="str">
        <f>'3. Sapata isolada'!B6:D6</f>
        <v>Concreto das sapatas isoladas</v>
      </c>
      <c r="C57" s="134"/>
      <c r="D57" s="134"/>
    </row>
    <row r="58" spans="2:4" x14ac:dyDescent="0.25">
      <c r="B58" s="108" t="s">
        <v>5</v>
      </c>
      <c r="C58" s="109" t="s">
        <v>46</v>
      </c>
      <c r="D58" s="109" t="s">
        <v>6</v>
      </c>
    </row>
    <row r="59" spans="2:4" x14ac:dyDescent="0.25">
      <c r="B59" s="88" t="str">
        <f>'3. Sapata isolada'!B48</f>
        <v>Concreto usinado para sapatas</v>
      </c>
      <c r="C59" s="91" t="str">
        <f>'3. Sapata isolada'!C48</f>
        <v>m3</v>
      </c>
      <c r="D59" s="87">
        <f>'3. Sapata isolada'!D48</f>
        <v>0</v>
      </c>
    </row>
    <row r="60" spans="2:4" x14ac:dyDescent="0.25">
      <c r="B60" s="88" t="str">
        <f>'3. Sapata isolada'!B49</f>
        <v>Cimento CP III</v>
      </c>
      <c r="C60" s="91" t="str">
        <f>'3. Sapata isolada'!C49</f>
        <v>Saco 50kg</v>
      </c>
      <c r="D60" s="87">
        <f>'3. Sapata isolada'!D49</f>
        <v>0</v>
      </c>
    </row>
    <row r="61" spans="2:4" x14ac:dyDescent="0.25">
      <c r="B61" s="88" t="str">
        <f>'3. Sapata isolada'!B50</f>
        <v>Areia média</v>
      </c>
      <c r="C61" s="91" t="str">
        <f>'3. Sapata isolada'!C50</f>
        <v>m3</v>
      </c>
      <c r="D61" s="87">
        <f>'3. Sapata isolada'!D50</f>
        <v>0</v>
      </c>
    </row>
    <row r="62" spans="2:4" x14ac:dyDescent="0.25">
      <c r="B62" s="88" t="str">
        <f>'3. Sapata isolada'!B51</f>
        <v>Pedra brita 1</v>
      </c>
      <c r="C62" s="91" t="str">
        <f>'3. Sapata isolada'!C51</f>
        <v>m3</v>
      </c>
      <c r="D62" s="87">
        <f>'3. Sapata isolada'!D51</f>
        <v>0</v>
      </c>
    </row>
    <row r="63" spans="2:4" ht="15.75" x14ac:dyDescent="0.25">
      <c r="B63" s="134" t="str">
        <f>'3. Sapata isolada'!B54:D54</f>
        <v>Concreto magro usado como lastro</v>
      </c>
      <c r="C63" s="134"/>
      <c r="D63" s="134"/>
    </row>
    <row r="64" spans="2:4" x14ac:dyDescent="0.25">
      <c r="B64" s="108" t="s">
        <v>5</v>
      </c>
      <c r="C64" s="109" t="s">
        <v>46</v>
      </c>
      <c r="D64" s="109" t="s">
        <v>6</v>
      </c>
    </row>
    <row r="65" spans="2:4" x14ac:dyDescent="0.25">
      <c r="B65" s="88" t="str">
        <f>'3. Sapata isolada'!B76</f>
        <v>Cimento CP III</v>
      </c>
      <c r="C65" s="91" t="str">
        <f>'3. Sapata isolada'!C76</f>
        <v>Saco 50kg</v>
      </c>
      <c r="D65" s="87">
        <f>'3. Sapata isolada'!D76</f>
        <v>0</v>
      </c>
    </row>
    <row r="66" spans="2:4" x14ac:dyDescent="0.25">
      <c r="B66" s="88" t="str">
        <f>'3. Sapata isolada'!B77</f>
        <v>Areia média</v>
      </c>
      <c r="C66" s="91" t="str">
        <f>'3. Sapata isolada'!C77</f>
        <v>m3</v>
      </c>
      <c r="D66" s="87">
        <f>'3. Sapata isolada'!D77</f>
        <v>0</v>
      </c>
    </row>
    <row r="67" spans="2:4" x14ac:dyDescent="0.25">
      <c r="B67" s="88" t="str">
        <f>'3. Sapata isolada'!B78</f>
        <v>Pedra brita 1</v>
      </c>
      <c r="C67" s="91" t="str">
        <f>'3. Sapata isolada'!C78</f>
        <v>m3</v>
      </c>
      <c r="D67" s="87">
        <f>'3. Sapata isolada'!D78</f>
        <v>0</v>
      </c>
    </row>
    <row r="68" spans="2:4" ht="15.75" x14ac:dyDescent="0.25">
      <c r="B68" s="134" t="str">
        <f>'3. Sapata isolada'!B81:D81</f>
        <v>Armações de aço das sapatas isoladas</v>
      </c>
      <c r="C68" s="134"/>
      <c r="D68" s="134"/>
    </row>
    <row r="69" spans="2:4" x14ac:dyDescent="0.25">
      <c r="B69" s="108" t="s">
        <v>5</v>
      </c>
      <c r="C69" s="109" t="s">
        <v>46</v>
      </c>
      <c r="D69" s="109" t="s">
        <v>6</v>
      </c>
    </row>
    <row r="70" spans="2:4" x14ac:dyDescent="0.25">
      <c r="B70" s="88" t="str">
        <f>'3. Sapata isolada'!B135</f>
        <v xml:space="preserve">Barra de aço CA-25, </v>
      </c>
      <c r="C70" s="91" t="str">
        <f>'3. Sapata isolada'!C135</f>
        <v>Barra 12 m</v>
      </c>
      <c r="D70" s="87">
        <f>'3. Sapata isolada'!D135</f>
        <v>0</v>
      </c>
    </row>
    <row r="71" spans="2:4" x14ac:dyDescent="0.25">
      <c r="B71" s="88" t="str">
        <f>'3. Sapata isolada'!B136</f>
        <v>Arame recozido BWG 18 (1,24mm)</v>
      </c>
      <c r="C71" s="91" t="str">
        <f>'3. Sapata isolada'!C136</f>
        <v>Rolo 1 kg</v>
      </c>
      <c r="D71" s="87">
        <f>'3. Sapata isolada'!D136</f>
        <v>0</v>
      </c>
    </row>
    <row r="72" spans="2:4" x14ac:dyDescent="0.25">
      <c r="B72" s="88" t="str">
        <f>'3. Sapata isolada'!B137</f>
        <v>Espaçadores de ferragem</v>
      </c>
      <c r="C72" s="91" t="str">
        <f>'3. Sapata isolada'!C137</f>
        <v>Peça</v>
      </c>
      <c r="D72" s="87">
        <f>'3. Sapata isolada'!D137</f>
        <v>0</v>
      </c>
    </row>
    <row r="73" spans="2:4" ht="15.75" x14ac:dyDescent="0.25">
      <c r="B73" s="134" t="str">
        <f>'3. Sapata isolada'!B140:D140</f>
        <v>Armações de aço das colunas de arranque</v>
      </c>
      <c r="C73" s="134"/>
      <c r="D73" s="134"/>
    </row>
    <row r="74" spans="2:4" x14ac:dyDescent="0.25">
      <c r="B74" s="108" t="s">
        <v>5</v>
      </c>
      <c r="C74" s="109" t="s">
        <v>46</v>
      </c>
      <c r="D74" s="109" t="s">
        <v>6</v>
      </c>
    </row>
    <row r="75" spans="2:4" x14ac:dyDescent="0.25">
      <c r="B75" s="88" t="str">
        <f>'3. Sapata isolada'!B179</f>
        <v>Barra de aço CA-25, 10mm (⅜'')</v>
      </c>
      <c r="C75" s="91" t="str">
        <f>'3. Sapata isolada'!C179</f>
        <v>Barra 12 m</v>
      </c>
      <c r="D75" s="87">
        <f>'3. Sapata isolada'!D179</f>
        <v>0</v>
      </c>
    </row>
    <row r="76" spans="2:4" x14ac:dyDescent="0.25">
      <c r="B76" s="88" t="str">
        <f>'3. Sapata isolada'!B180</f>
        <v>Barra de aço CA-60, 4,2mm</v>
      </c>
      <c r="C76" s="91" t="str">
        <f>'3. Sapata isolada'!C180</f>
        <v>Barra 12 m</v>
      </c>
      <c r="D76" s="87">
        <f>'3. Sapata isolada'!D180</f>
        <v>0</v>
      </c>
    </row>
    <row r="77" spans="2:4" ht="15.75" x14ac:dyDescent="0.25">
      <c r="B77" s="134" t="str">
        <f>'3. Sapata isolada'!B183:D183</f>
        <v>Fôrmas de madeira das sapatas isoladas</v>
      </c>
      <c r="C77" s="134"/>
      <c r="D77" s="134"/>
    </row>
    <row r="78" spans="2:4" x14ac:dyDescent="0.25">
      <c r="B78" s="108" t="s">
        <v>5</v>
      </c>
      <c r="C78" s="109" t="s">
        <v>46</v>
      </c>
      <c r="D78" s="109" t="s">
        <v>6</v>
      </c>
    </row>
    <row r="79" spans="2:4" x14ac:dyDescent="0.25">
      <c r="B79" s="88" t="str">
        <f>'3. Sapata isolada'!B223</f>
        <v>Tábua madeira 2,3 x 30 cm bruto</v>
      </c>
      <c r="C79" s="91" t="str">
        <f>'3. Sapata isolada'!C223</f>
        <v>Peça 3,0 m</v>
      </c>
      <c r="D79" s="87">
        <f>'3. Sapata isolada'!D223</f>
        <v>0</v>
      </c>
    </row>
    <row r="80" spans="2:4" x14ac:dyDescent="0.25">
      <c r="B80" s="88" t="str">
        <f>'3. Sapata isolada'!B224</f>
        <v>Sarrafo madeira 2,3 x 10 cm bruto</v>
      </c>
      <c r="C80" s="91" t="str">
        <f>'3. Sapata isolada'!C224</f>
        <v>Peça 3,0 m</v>
      </c>
      <c r="D80" s="87">
        <f>'3. Sapata isolada'!D224</f>
        <v>0</v>
      </c>
    </row>
    <row r="81" spans="2:4" x14ac:dyDescent="0.25">
      <c r="B81" s="88" t="str">
        <f>'3. Sapata isolada'!B225</f>
        <v>Prego aço polido c/ cabeça 17 x 27</v>
      </c>
      <c r="C81" s="91" t="str">
        <f>'3. Sapata isolada'!C225</f>
        <v>kg</v>
      </c>
      <c r="D81" s="87">
        <f>'3. Sapata isolada'!D225</f>
        <v>0</v>
      </c>
    </row>
    <row r="82" spans="2:4" x14ac:dyDescent="0.25">
      <c r="B82" s="110"/>
      <c r="C82" s="110"/>
      <c r="D82" s="110"/>
    </row>
    <row r="83" spans="2:4" ht="18.75" x14ac:dyDescent="0.3">
      <c r="B83" s="137" t="str">
        <f>'4. Estaca'!B2</f>
        <v>Estacas</v>
      </c>
      <c r="C83" s="137"/>
      <c r="D83" s="137"/>
    </row>
    <row r="84" spans="2:4" ht="15.75" x14ac:dyDescent="0.25">
      <c r="B84" s="134" t="str">
        <f>'4. Estaca'!B5</f>
        <v>Concreto e lastro das estacas</v>
      </c>
      <c r="C84" s="134"/>
      <c r="D84" s="134"/>
    </row>
    <row r="85" spans="2:4" x14ac:dyDescent="0.25">
      <c r="B85" s="108" t="s">
        <v>5</v>
      </c>
      <c r="C85" s="109" t="s">
        <v>46</v>
      </c>
      <c r="D85" s="109" t="s">
        <v>6</v>
      </c>
    </row>
    <row r="86" spans="2:4" x14ac:dyDescent="0.25">
      <c r="B86" s="88" t="str">
        <f>'4. Estaca'!B49</f>
        <v>Concreto usinado para estaca</v>
      </c>
      <c r="C86" s="91" t="str">
        <f>'4. Estaca'!C49</f>
        <v>m3</v>
      </c>
      <c r="D86" s="87">
        <f>'4. Estaca'!D49</f>
        <v>15.462513281249999</v>
      </c>
    </row>
    <row r="87" spans="2:4" x14ac:dyDescent="0.25">
      <c r="B87" s="88" t="str">
        <f>'4. Estaca'!B50</f>
        <v>Cimento CP III</v>
      </c>
      <c r="C87" s="91" t="str">
        <f>'4. Estaca'!C50</f>
        <v>Saco 50kg</v>
      </c>
      <c r="D87" s="87">
        <f>'4. Estaca'!D50</f>
        <v>0</v>
      </c>
    </row>
    <row r="88" spans="2:4" x14ac:dyDescent="0.25">
      <c r="B88" s="88" t="str">
        <f>'4. Estaca'!B51</f>
        <v>Areia média</v>
      </c>
      <c r="C88" s="91" t="str">
        <f>'4. Estaca'!C51</f>
        <v>m3</v>
      </c>
      <c r="D88" s="87">
        <f>'4. Estaca'!D51</f>
        <v>0</v>
      </c>
    </row>
    <row r="89" spans="2:4" x14ac:dyDescent="0.25">
      <c r="B89" s="88" t="str">
        <f>'4. Estaca'!B52</f>
        <v>Pedra brita 1</v>
      </c>
      <c r="C89" s="91" t="str">
        <f>'4. Estaca'!C52</f>
        <v>m3</v>
      </c>
      <c r="D89" s="87">
        <f>'4. Estaca'!D52</f>
        <v>0</v>
      </c>
    </row>
    <row r="90" spans="2:4" x14ac:dyDescent="0.25">
      <c r="B90" s="88" t="str">
        <f>'4. Estaca'!B53</f>
        <v>Pedra brita 2 para lastro</v>
      </c>
      <c r="C90" s="91" t="str">
        <f>'4. Estaca'!C53</f>
        <v>m3</v>
      </c>
      <c r="D90" s="87">
        <f>'4. Estaca'!D53</f>
        <v>0.12885427734375002</v>
      </c>
    </row>
    <row r="91" spans="2:4" ht="15.75" x14ac:dyDescent="0.25">
      <c r="B91" s="134" t="str">
        <f>'4. Estaca'!B56</f>
        <v>Armações de aço das estacas</v>
      </c>
      <c r="C91" s="134"/>
      <c r="D91" s="134"/>
    </row>
    <row r="92" spans="2:4" x14ac:dyDescent="0.25">
      <c r="B92" s="108" t="s">
        <v>5</v>
      </c>
      <c r="C92" s="109" t="s">
        <v>46</v>
      </c>
      <c r="D92" s="109" t="s">
        <v>6</v>
      </c>
    </row>
    <row r="93" spans="2:4" x14ac:dyDescent="0.25">
      <c r="B93" s="88" t="str">
        <f>'4. Estaca'!B80</f>
        <v xml:space="preserve">Barra de aço CA-25, </v>
      </c>
      <c r="C93" s="91" t="str">
        <f>'4. Estaca'!C80</f>
        <v>Barra 12 m</v>
      </c>
      <c r="D93" s="87">
        <f>'4. Estaca'!D80</f>
        <v>0</v>
      </c>
    </row>
    <row r="94" spans="2:4" x14ac:dyDescent="0.25">
      <c r="B94" s="88" t="str">
        <f>'4. Estaca'!B81</f>
        <v>Arame recozido BWG 18 (1,24mm)</v>
      </c>
      <c r="C94" s="91" t="str">
        <f>'4. Estaca'!C81</f>
        <v>Rolo 1 kg</v>
      </c>
      <c r="D94" s="87">
        <f>'4. Estaca'!D81</f>
        <v>0</v>
      </c>
    </row>
    <row r="95" spans="2:4" x14ac:dyDescent="0.25">
      <c r="B95" s="88" t="str">
        <f>'4. Estaca'!B82</f>
        <v>Espaçadores de ferragem</v>
      </c>
      <c r="C95" s="91" t="str">
        <f>'4. Estaca'!C82</f>
        <v>Peça</v>
      </c>
      <c r="D95" s="87">
        <f>'4. Estaca'!D82</f>
        <v>0</v>
      </c>
    </row>
    <row r="96" spans="2:4" x14ac:dyDescent="0.25">
      <c r="B96" s="110"/>
      <c r="C96" s="110"/>
      <c r="D96" s="110"/>
    </row>
    <row r="97" spans="2:4" ht="18.75" x14ac:dyDescent="0.3">
      <c r="B97" s="137" t="e">
        <f>#REF!</f>
        <v>#REF!</v>
      </c>
      <c r="C97" s="137"/>
      <c r="D97" s="137"/>
    </row>
    <row r="98" spans="2:4" ht="15.75" x14ac:dyDescent="0.25">
      <c r="B98" s="134" t="e">
        <f>#REF!</f>
        <v>#REF!</v>
      </c>
      <c r="C98" s="134"/>
      <c r="D98" s="134"/>
    </row>
    <row r="99" spans="2:4" x14ac:dyDescent="0.25">
      <c r="B99" s="108" t="s">
        <v>5</v>
      </c>
      <c r="C99" s="109" t="s">
        <v>46</v>
      </c>
      <c r="D99" s="109" t="s">
        <v>6</v>
      </c>
    </row>
    <row r="100" spans="2:4" x14ac:dyDescent="0.25">
      <c r="B100" s="88" t="e">
        <f>#REF!</f>
        <v>#REF!</v>
      </c>
      <c r="C100" s="91" t="e">
        <f>#REF!</f>
        <v>#REF!</v>
      </c>
      <c r="D100" s="87" t="e">
        <f>#REF!</f>
        <v>#REF!</v>
      </c>
    </row>
    <row r="101" spans="2:4" x14ac:dyDescent="0.25">
      <c r="B101" s="88" t="e">
        <f>#REF!</f>
        <v>#REF!</v>
      </c>
      <c r="C101" s="91" t="e">
        <f>#REF!</f>
        <v>#REF!</v>
      </c>
      <c r="D101" s="87" t="e">
        <f>#REF!</f>
        <v>#REF!</v>
      </c>
    </row>
    <row r="102" spans="2:4" x14ac:dyDescent="0.25">
      <c r="B102" s="88" t="e">
        <f>#REF!</f>
        <v>#REF!</v>
      </c>
      <c r="C102" s="91" t="e">
        <f>#REF!</f>
        <v>#REF!</v>
      </c>
      <c r="D102" s="87" t="e">
        <f>#REF!</f>
        <v>#REF!</v>
      </c>
    </row>
    <row r="103" spans="2:4" x14ac:dyDescent="0.25">
      <c r="B103" s="88" t="e">
        <f>#REF!</f>
        <v>#REF!</v>
      </c>
      <c r="C103" s="91" t="e">
        <f>#REF!</f>
        <v>#REF!</v>
      </c>
      <c r="D103" s="87" t="e">
        <f>#REF!</f>
        <v>#REF!</v>
      </c>
    </row>
    <row r="104" spans="2:4" ht="15.75" x14ac:dyDescent="0.25">
      <c r="B104" s="134" t="e">
        <f>#REF!</f>
        <v>#REF!</v>
      </c>
      <c r="C104" s="134"/>
      <c r="D104" s="134"/>
    </row>
    <row r="105" spans="2:4" x14ac:dyDescent="0.25">
      <c r="B105" s="108" t="s">
        <v>5</v>
      </c>
      <c r="C105" s="109" t="s">
        <v>46</v>
      </c>
      <c r="D105" s="109" t="s">
        <v>6</v>
      </c>
    </row>
    <row r="106" spans="2:4" x14ac:dyDescent="0.25">
      <c r="B106" s="88" t="e">
        <f>#REF!</f>
        <v>#REF!</v>
      </c>
      <c r="C106" s="91" t="e">
        <f>#REF!</f>
        <v>#REF!</v>
      </c>
      <c r="D106" s="87" t="e">
        <f>#REF!</f>
        <v>#REF!</v>
      </c>
    </row>
    <row r="107" spans="2:4" ht="15.75" x14ac:dyDescent="0.25">
      <c r="B107" s="134" t="e">
        <f>#REF!</f>
        <v>#REF!</v>
      </c>
      <c r="C107" s="134"/>
      <c r="D107" s="134"/>
    </row>
    <row r="108" spans="2:4" x14ac:dyDescent="0.25">
      <c r="B108" s="108" t="s">
        <v>5</v>
      </c>
      <c r="C108" s="109" t="s">
        <v>46</v>
      </c>
      <c r="D108" s="109" t="s">
        <v>6</v>
      </c>
    </row>
    <row r="109" spans="2:4" x14ac:dyDescent="0.25">
      <c r="B109" s="88" t="e">
        <f>#REF!</f>
        <v>#REF!</v>
      </c>
      <c r="C109" s="91" t="e">
        <f>#REF!</f>
        <v>#REF!</v>
      </c>
      <c r="D109" s="87" t="e">
        <f>#REF!</f>
        <v>#REF!</v>
      </c>
    </row>
    <row r="110" spans="2:4" x14ac:dyDescent="0.25">
      <c r="B110" s="88" t="e">
        <f>#REF!</f>
        <v>#REF!</v>
      </c>
      <c r="C110" s="91" t="e">
        <f>#REF!</f>
        <v>#REF!</v>
      </c>
      <c r="D110" s="87" t="e">
        <f>#REF!</f>
        <v>#REF!</v>
      </c>
    </row>
    <row r="111" spans="2:4" x14ac:dyDescent="0.25">
      <c r="B111" s="88" t="e">
        <f>#REF!</f>
        <v>#REF!</v>
      </c>
      <c r="C111" s="91" t="e">
        <f>#REF!</f>
        <v>#REF!</v>
      </c>
      <c r="D111" s="87" t="e">
        <f>#REF!</f>
        <v>#REF!</v>
      </c>
    </row>
    <row r="112" spans="2:4" ht="15.75" x14ac:dyDescent="0.25">
      <c r="B112" s="134" t="e">
        <f>#REF!</f>
        <v>#REF!</v>
      </c>
      <c r="C112" s="134"/>
      <c r="D112" s="134"/>
    </row>
    <row r="113" spans="2:4" x14ac:dyDescent="0.25">
      <c r="B113" s="108" t="s">
        <v>5</v>
      </c>
      <c r="C113" s="109" t="s">
        <v>46</v>
      </c>
      <c r="D113" s="109" t="s">
        <v>6</v>
      </c>
    </row>
    <row r="114" spans="2:4" x14ac:dyDescent="0.25">
      <c r="B114" s="88" t="e">
        <f>#REF!</f>
        <v>#REF!</v>
      </c>
      <c r="C114" s="91" t="e">
        <f>#REF!</f>
        <v>#REF!</v>
      </c>
      <c r="D114" s="87" t="e">
        <f>#REF!</f>
        <v>#REF!</v>
      </c>
    </row>
    <row r="115" spans="2:4" x14ac:dyDescent="0.25">
      <c r="B115" s="88" t="e">
        <f>#REF!</f>
        <v>#REF!</v>
      </c>
      <c r="C115" s="91" t="e">
        <f>#REF!</f>
        <v>#REF!</v>
      </c>
      <c r="D115" s="87" t="e">
        <f>#REF!</f>
        <v>#REF!</v>
      </c>
    </row>
    <row r="116" spans="2:4" ht="15.75" x14ac:dyDescent="0.25">
      <c r="B116" s="134" t="e">
        <f>#REF!</f>
        <v>#REF!</v>
      </c>
      <c r="C116" s="134"/>
      <c r="D116" s="134"/>
    </row>
    <row r="117" spans="2:4" x14ac:dyDescent="0.25">
      <c r="B117" s="108" t="s">
        <v>5</v>
      </c>
      <c r="C117" s="109" t="s">
        <v>46</v>
      </c>
      <c r="D117" s="109" t="s">
        <v>6</v>
      </c>
    </row>
    <row r="118" spans="2:4" x14ac:dyDescent="0.25">
      <c r="B118" s="88" t="e">
        <f>#REF!</f>
        <v>#REF!</v>
      </c>
      <c r="C118" s="91" t="e">
        <f>#REF!</f>
        <v>#REF!</v>
      </c>
      <c r="D118" s="87" t="e">
        <f>#REF!</f>
        <v>#REF!</v>
      </c>
    </row>
    <row r="119" spans="2:4" x14ac:dyDescent="0.25">
      <c r="B119" s="88" t="e">
        <f>#REF!</f>
        <v>#REF!</v>
      </c>
      <c r="C119" s="91" t="e">
        <f>#REF!</f>
        <v>#REF!</v>
      </c>
      <c r="D119" s="87" t="e">
        <f>#REF!</f>
        <v>#REF!</v>
      </c>
    </row>
    <row r="120" spans="2:4" x14ac:dyDescent="0.25">
      <c r="B120" s="88" t="e">
        <f>#REF!</f>
        <v>#REF!</v>
      </c>
      <c r="C120" s="91" t="e">
        <f>#REF!</f>
        <v>#REF!</v>
      </c>
      <c r="D120" s="87" t="e">
        <f>#REF!</f>
        <v>#REF!</v>
      </c>
    </row>
    <row r="121" spans="2:4" x14ac:dyDescent="0.25">
      <c r="B121" s="110"/>
      <c r="C121" s="110"/>
      <c r="D121" s="110"/>
    </row>
    <row r="122" spans="2:4" ht="18.75" x14ac:dyDescent="0.3">
      <c r="B122" s="137" t="str">
        <f>'5. Paredes com Tijolos'!B2:D2</f>
        <v>Paredes com Tijolo Cerâmicos</v>
      </c>
      <c r="C122" s="137"/>
      <c r="D122" s="137"/>
    </row>
    <row r="123" spans="2:4" ht="15.75" x14ac:dyDescent="0.25">
      <c r="B123" s="134" t="str">
        <f>'5. Paredes com Tijolos'!B5:D5</f>
        <v>Tijolos cerâmicos</v>
      </c>
      <c r="C123" s="134"/>
      <c r="D123" s="134"/>
    </row>
    <row r="124" spans="2:4" x14ac:dyDescent="0.25">
      <c r="B124" s="108" t="s">
        <v>5</v>
      </c>
      <c r="C124" s="109" t="s">
        <v>46</v>
      </c>
      <c r="D124" s="109" t="s">
        <v>6</v>
      </c>
    </row>
    <row r="125" spans="2:4" x14ac:dyDescent="0.25">
      <c r="B125" s="88" t="str">
        <f>'5. Paredes com Tijolos'!B38</f>
        <v xml:space="preserve">Bloco cerâmico de vedação, </v>
      </c>
      <c r="C125" s="91" t="str">
        <f>'5. Paredes com Tijolos'!C38</f>
        <v>Peça</v>
      </c>
      <c r="D125" s="87">
        <f>'5. Paredes com Tijolos'!D38</f>
        <v>0</v>
      </c>
    </row>
    <row r="126" spans="2:4" ht="15.75" x14ac:dyDescent="0.25">
      <c r="B126" s="134" t="str">
        <f>'5. Paredes com Tijolos'!B41:D41</f>
        <v>Argamassa</v>
      </c>
      <c r="C126" s="134"/>
      <c r="D126" s="134"/>
    </row>
    <row r="127" spans="2:4" x14ac:dyDescent="0.25">
      <c r="B127" s="108" t="s">
        <v>5</v>
      </c>
      <c r="C127" s="109" t="s">
        <v>46</v>
      </c>
      <c r="D127" s="109" t="s">
        <v>6</v>
      </c>
    </row>
    <row r="128" spans="2:4" x14ac:dyDescent="0.25">
      <c r="B128" s="88" t="str">
        <f>'5. Paredes com Tijolos'!B87</f>
        <v>Cimento CP II</v>
      </c>
      <c r="C128" s="91" t="str">
        <f>'5. Paredes com Tijolos'!C87</f>
        <v>Saco 50kg</v>
      </c>
      <c r="D128" s="87">
        <f>'5. Paredes com Tijolos'!D87</f>
        <v>0</v>
      </c>
    </row>
    <row r="129" spans="2:4" x14ac:dyDescent="0.25">
      <c r="B129" s="88" t="str">
        <f>'5. Paredes com Tijolos'!B88</f>
        <v>Areia média</v>
      </c>
      <c r="C129" s="91" t="str">
        <f>'5. Paredes com Tijolos'!C88</f>
        <v>m3</v>
      </c>
      <c r="D129" s="87">
        <f>'5. Paredes com Tijolos'!D88</f>
        <v>0</v>
      </c>
    </row>
    <row r="130" spans="2:4" x14ac:dyDescent="0.25">
      <c r="B130" s="88" t="str">
        <f>'5. Paredes com Tijolos'!B89</f>
        <v>Cal hidratada para construção civil</v>
      </c>
      <c r="C130" s="91" t="str">
        <f>'5. Paredes com Tijolos'!C89</f>
        <v>Saco 20 kg</v>
      </c>
      <c r="D130" s="87">
        <f>'5. Paredes com Tijolos'!D89</f>
        <v>0</v>
      </c>
    </row>
    <row r="131" spans="2:4" x14ac:dyDescent="0.25">
      <c r="B131" s="88" t="str">
        <f>'5. Paredes com Tijolos'!B90</f>
        <v>Aditivo plastificante Alvenarit</v>
      </c>
      <c r="C131" s="91" t="str">
        <f>'5. Paredes com Tijolos'!C90</f>
        <v>Litros</v>
      </c>
      <c r="D131" s="87">
        <f>'5. Paredes com Tijolos'!D90</f>
        <v>0</v>
      </c>
    </row>
    <row r="132" spans="2:4" ht="15.75" x14ac:dyDescent="0.25">
      <c r="B132" s="134" t="str">
        <f>'5. Paredes com Tijolos'!B93:D93</f>
        <v>Vergas e contravergas</v>
      </c>
      <c r="C132" s="134"/>
      <c r="D132" s="134"/>
    </row>
    <row r="133" spans="2:4" x14ac:dyDescent="0.25">
      <c r="B133" s="108" t="s">
        <v>5</v>
      </c>
      <c r="C133" s="109" t="s">
        <v>46</v>
      </c>
      <c r="D133" s="109" t="s">
        <v>6</v>
      </c>
    </row>
    <row r="134" spans="2:4" x14ac:dyDescent="0.25">
      <c r="B134" s="88" t="str">
        <f>'5. Paredes com Tijolos'!B132</f>
        <v/>
      </c>
      <c r="C134" s="91" t="str">
        <f>'5. Paredes com Tijolos'!C132</f>
        <v>Peça</v>
      </c>
      <c r="D134" s="87">
        <f>'5. Paredes com Tijolos'!D132</f>
        <v>0</v>
      </c>
    </row>
    <row r="135" spans="2:4" x14ac:dyDescent="0.25">
      <c r="B135" s="88" t="str">
        <f>'5. Paredes com Tijolos'!B133</f>
        <v>Barra de aço CA-25, 10mm (⅜'')</v>
      </c>
      <c r="C135" s="91" t="str">
        <f>'5. Paredes com Tijolos'!C133</f>
        <v>Barra 12 m</v>
      </c>
      <c r="D135" s="87">
        <f>'5. Paredes com Tijolos'!D133</f>
        <v>0</v>
      </c>
    </row>
    <row r="136" spans="2:4" x14ac:dyDescent="0.25">
      <c r="B136" s="88" t="str">
        <f>'5. Paredes com Tijolos'!B134</f>
        <v>Cimento CP III</v>
      </c>
      <c r="C136" s="91" t="str">
        <f>'5. Paredes com Tijolos'!C134</f>
        <v>Saco 50kg</v>
      </c>
      <c r="D136" s="87">
        <f>'5. Paredes com Tijolos'!D134</f>
        <v>0</v>
      </c>
    </row>
    <row r="137" spans="2:4" x14ac:dyDescent="0.25">
      <c r="B137" s="88" t="str">
        <f>'5. Paredes com Tijolos'!B135</f>
        <v>Areia média</v>
      </c>
      <c r="C137" s="91" t="str">
        <f>'5. Paredes com Tijolos'!C135</f>
        <v>m3</v>
      </c>
      <c r="D137" s="87">
        <f>'5. Paredes com Tijolos'!D135</f>
        <v>0</v>
      </c>
    </row>
    <row r="138" spans="2:4" x14ac:dyDescent="0.25">
      <c r="B138" s="88" t="str">
        <f>'5. Paredes com Tijolos'!B136</f>
        <v>Pedra brita 1</v>
      </c>
      <c r="C138" s="91" t="str">
        <f>'5. Paredes com Tijolos'!C136</f>
        <v>m3</v>
      </c>
      <c r="D138" s="87">
        <f>'5. Paredes com Tijolos'!D136</f>
        <v>0</v>
      </c>
    </row>
    <row r="139" spans="2:4" x14ac:dyDescent="0.25">
      <c r="B139" s="110"/>
      <c r="C139" s="110"/>
      <c r="D139" s="110"/>
    </row>
    <row r="140" spans="2:4" ht="18.75" x14ac:dyDescent="0.3">
      <c r="B140" s="137" t="str">
        <f>'6. Paredes com Blocos'!B2:D2</f>
        <v>Paredes com Blocos de Concreto</v>
      </c>
      <c r="C140" s="137"/>
      <c r="D140" s="137"/>
    </row>
    <row r="141" spans="2:4" ht="15.75" x14ac:dyDescent="0.25">
      <c r="B141" s="134" t="str">
        <f>'6. Paredes com Blocos'!B6:D6</f>
        <v>Blocos de concreto</v>
      </c>
      <c r="C141" s="134"/>
      <c r="D141" s="134"/>
    </row>
    <row r="142" spans="2:4" x14ac:dyDescent="0.25">
      <c r="B142" s="108" t="s">
        <v>5</v>
      </c>
      <c r="C142" s="109" t="s">
        <v>46</v>
      </c>
      <c r="D142" s="109" t="s">
        <v>6</v>
      </c>
    </row>
    <row r="143" spans="2:4" x14ac:dyDescent="0.25">
      <c r="B143" s="88" t="str">
        <f>'6. Paredes com Blocos'!B31</f>
        <v xml:space="preserve">Bloco de concreto vedação, </v>
      </c>
      <c r="C143" s="91" t="str">
        <f>'6. Paredes com Blocos'!C31</f>
        <v>Peça</v>
      </c>
      <c r="D143" s="87">
        <f>'6. Paredes com Blocos'!D31</f>
        <v>0</v>
      </c>
    </row>
    <row r="144" spans="2:4" ht="15.75" x14ac:dyDescent="0.25">
      <c r="B144" s="134" t="str">
        <f>'6. Paredes com Blocos'!B34:D34</f>
        <v>Argamassa</v>
      </c>
      <c r="C144" s="134"/>
      <c r="D144" s="134"/>
    </row>
    <row r="145" spans="2:4" x14ac:dyDescent="0.25">
      <c r="B145" s="108" t="s">
        <v>5</v>
      </c>
      <c r="C145" s="109" t="s">
        <v>46</v>
      </c>
      <c r="D145" s="109" t="s">
        <v>6</v>
      </c>
    </row>
    <row r="146" spans="2:4" x14ac:dyDescent="0.25">
      <c r="B146" s="88" t="str">
        <f>'6. Paredes com Blocos'!B72</f>
        <v>Cimento CP II</v>
      </c>
      <c r="C146" s="91" t="str">
        <f>'6. Paredes com Blocos'!C72</f>
        <v>Saco 50kg</v>
      </c>
      <c r="D146" s="87">
        <f>'6. Paredes com Blocos'!D72</f>
        <v>0</v>
      </c>
    </row>
    <row r="147" spans="2:4" x14ac:dyDescent="0.25">
      <c r="B147" s="88" t="str">
        <f>'6. Paredes com Blocos'!B73</f>
        <v>Areia média</v>
      </c>
      <c r="C147" s="91" t="str">
        <f>'6. Paredes com Blocos'!C73</f>
        <v>m3</v>
      </c>
      <c r="D147" s="87">
        <f>'6. Paredes com Blocos'!D73</f>
        <v>0</v>
      </c>
    </row>
    <row r="148" spans="2:4" x14ac:dyDescent="0.25">
      <c r="B148" s="88" t="str">
        <f>'6. Paredes com Blocos'!B74</f>
        <v>Cal hidratada para construção civil</v>
      </c>
      <c r="C148" s="91" t="str">
        <f>'6. Paredes com Blocos'!C74</f>
        <v>Saco 20 kg</v>
      </c>
      <c r="D148" s="87">
        <f>'6. Paredes com Blocos'!D74</f>
        <v>0</v>
      </c>
    </row>
    <row r="149" spans="2:4" x14ac:dyDescent="0.25">
      <c r="B149" s="88" t="str">
        <f>'6. Paredes com Blocos'!B75</f>
        <v>Aditivo plastificante Alvenarit</v>
      </c>
      <c r="C149" s="91" t="str">
        <f>'6. Paredes com Blocos'!C75</f>
        <v>Litros</v>
      </c>
      <c r="D149" s="87">
        <f>'6. Paredes com Blocos'!D75</f>
        <v>0</v>
      </c>
    </row>
    <row r="150" spans="2:4" ht="15.75" x14ac:dyDescent="0.25">
      <c r="B150" s="134" t="str">
        <f>'6. Paredes com Blocos'!B78:D78</f>
        <v>Vergas e contravergas</v>
      </c>
      <c r="C150" s="134"/>
      <c r="D150" s="134"/>
    </row>
    <row r="151" spans="2:4" x14ac:dyDescent="0.25">
      <c r="B151" s="108" t="s">
        <v>5</v>
      </c>
      <c r="C151" s="109" t="s">
        <v>46</v>
      </c>
      <c r="D151" s="109" t="s">
        <v>6</v>
      </c>
    </row>
    <row r="152" spans="2:4" x14ac:dyDescent="0.25">
      <c r="B152" s="88" t="str">
        <f>'6. Paredes com Blocos'!B109</f>
        <v/>
      </c>
      <c r="C152" s="91" t="str">
        <f>'6. Paredes com Blocos'!C109</f>
        <v>Peça</v>
      </c>
      <c r="D152" s="87">
        <f>'6. Paredes com Blocos'!D109</f>
        <v>0</v>
      </c>
    </row>
    <row r="153" spans="2:4" x14ac:dyDescent="0.25">
      <c r="B153" s="88" t="str">
        <f>'6. Paredes com Blocos'!B110</f>
        <v>Barra de aço CA-25, 10mm (⅜'')</v>
      </c>
      <c r="C153" s="91" t="str">
        <f>'6. Paredes com Blocos'!C110</f>
        <v>Barra 12 m</v>
      </c>
      <c r="D153" s="87">
        <f>'6. Paredes com Blocos'!D110</f>
        <v>0</v>
      </c>
    </row>
    <row r="154" spans="2:4" x14ac:dyDescent="0.25">
      <c r="B154" s="88" t="str">
        <f>'6. Paredes com Blocos'!B111</f>
        <v>Cimento CP III</v>
      </c>
      <c r="C154" s="91" t="str">
        <f>'6. Paredes com Blocos'!C111</f>
        <v>Saco 50kg</v>
      </c>
      <c r="D154" s="87">
        <f>'6. Paredes com Blocos'!D111</f>
        <v>0</v>
      </c>
    </row>
    <row r="155" spans="2:4" x14ac:dyDescent="0.25">
      <c r="B155" s="88" t="str">
        <f>'6. Paredes com Blocos'!B112</f>
        <v>Areia média</v>
      </c>
      <c r="C155" s="91" t="str">
        <f>'6. Paredes com Blocos'!C112</f>
        <v>m3</v>
      </c>
      <c r="D155" s="87">
        <f>'6. Paredes com Blocos'!D112</f>
        <v>0</v>
      </c>
    </row>
    <row r="156" spans="2:4" x14ac:dyDescent="0.25">
      <c r="B156" s="88" t="str">
        <f>'6. Paredes com Blocos'!B113</f>
        <v>Pedra brita 1</v>
      </c>
      <c r="C156" s="91" t="str">
        <f>'6. Paredes com Blocos'!C113</f>
        <v>m3</v>
      </c>
      <c r="D156" s="87">
        <f>'6. Paredes com Blocos'!D113</f>
        <v>0</v>
      </c>
    </row>
    <row r="157" spans="2:4" x14ac:dyDescent="0.25">
      <c r="B157" s="110"/>
      <c r="C157" s="110"/>
      <c r="D157" s="110"/>
    </row>
    <row r="158" spans="2:4" ht="18.75" x14ac:dyDescent="0.3">
      <c r="B158" s="137" t="str">
        <f>'7. Colunas ou Pilares'!B2:D2</f>
        <v>Colunas ou Pilares</v>
      </c>
      <c r="C158" s="137"/>
      <c r="D158" s="137"/>
    </row>
    <row r="159" spans="2:4" ht="15.75" x14ac:dyDescent="0.25">
      <c r="B159" s="134" t="str">
        <f>'7. Colunas ou Pilares'!B5:D5</f>
        <v>Concreto das colunas ou pilares</v>
      </c>
      <c r="C159" s="134"/>
      <c r="D159" s="134"/>
    </row>
    <row r="160" spans="2:4" x14ac:dyDescent="0.25">
      <c r="B160" s="108" t="s">
        <v>5</v>
      </c>
      <c r="C160" s="109" t="s">
        <v>46</v>
      </c>
      <c r="D160" s="109" t="s">
        <v>6</v>
      </c>
    </row>
    <row r="161" spans="2:4" x14ac:dyDescent="0.25">
      <c r="B161" s="88" t="str">
        <f>'7. Colunas ou Pilares'!B44</f>
        <v>Concreto usinado para pilares</v>
      </c>
      <c r="C161" s="91" t="str">
        <f>'7. Colunas ou Pilares'!C44</f>
        <v>m3</v>
      </c>
      <c r="D161" s="87">
        <f>'7. Colunas ou Pilares'!D44</f>
        <v>0</v>
      </c>
    </row>
    <row r="162" spans="2:4" x14ac:dyDescent="0.25">
      <c r="B162" s="88" t="str">
        <f>'7. Colunas ou Pilares'!B45</f>
        <v>Cimento CP III</v>
      </c>
      <c r="C162" s="91" t="str">
        <f>'7. Colunas ou Pilares'!C45</f>
        <v>Saco 50kg</v>
      </c>
      <c r="D162" s="87">
        <f>'7. Colunas ou Pilares'!D45</f>
        <v>0</v>
      </c>
    </row>
    <row r="163" spans="2:4" x14ac:dyDescent="0.25">
      <c r="B163" s="88" t="str">
        <f>'7. Colunas ou Pilares'!B46</f>
        <v>Areia média</v>
      </c>
      <c r="C163" s="91" t="str">
        <f>'7. Colunas ou Pilares'!C46</f>
        <v>m3</v>
      </c>
      <c r="D163" s="87">
        <f>'7. Colunas ou Pilares'!D46</f>
        <v>0</v>
      </c>
    </row>
    <row r="164" spans="2:4" x14ac:dyDescent="0.25">
      <c r="B164" s="88" t="str">
        <f>'7. Colunas ou Pilares'!B47</f>
        <v>Pedra brita 1</v>
      </c>
      <c r="C164" s="91" t="str">
        <f>'7. Colunas ou Pilares'!C47</f>
        <v>m3</v>
      </c>
      <c r="D164" s="87">
        <f>'7. Colunas ou Pilares'!D47</f>
        <v>0</v>
      </c>
    </row>
    <row r="165" spans="2:4" ht="15.75" x14ac:dyDescent="0.25">
      <c r="B165" s="134" t="str">
        <f>'7. Colunas ou Pilares'!B50:D50</f>
        <v>Armações de aço das colunas ou pilares</v>
      </c>
      <c r="C165" s="134"/>
      <c r="D165" s="134"/>
    </row>
    <row r="166" spans="2:4" x14ac:dyDescent="0.25">
      <c r="B166" s="108" t="s">
        <v>5</v>
      </c>
      <c r="C166" s="109" t="s">
        <v>46</v>
      </c>
      <c r="D166" s="109" t="s">
        <v>6</v>
      </c>
    </row>
    <row r="167" spans="2:4" x14ac:dyDescent="0.25">
      <c r="B167" s="88" t="str">
        <f>'7. Colunas ou Pilares'!B95</f>
        <v>Barra de aço CA-25, 10mm (⅜'')</v>
      </c>
      <c r="C167" s="91" t="str">
        <f>'7. Colunas ou Pilares'!C95</f>
        <v>Barra 12 m</v>
      </c>
      <c r="D167" s="87">
        <f>'7. Colunas ou Pilares'!D95</f>
        <v>0</v>
      </c>
    </row>
    <row r="168" spans="2:4" x14ac:dyDescent="0.25">
      <c r="B168" s="88" t="str">
        <f>'7. Colunas ou Pilares'!B96</f>
        <v>Barra de aço CA-60, 4,2mm</v>
      </c>
      <c r="C168" s="91" t="str">
        <f>'7. Colunas ou Pilares'!C96</f>
        <v>Barra 12 m</v>
      </c>
      <c r="D168" s="87">
        <f>'7. Colunas ou Pilares'!D96</f>
        <v>0</v>
      </c>
    </row>
    <row r="169" spans="2:4" x14ac:dyDescent="0.25">
      <c r="B169" s="88" t="str">
        <f>'7. Colunas ou Pilares'!B97</f>
        <v>Arame recozido BWG 18 (1,24mm)</v>
      </c>
      <c r="C169" s="91" t="str">
        <f>'7. Colunas ou Pilares'!C97</f>
        <v>Rolo 1 kg</v>
      </c>
      <c r="D169" s="87">
        <f>'7. Colunas ou Pilares'!D97</f>
        <v>0</v>
      </c>
    </row>
    <row r="170" spans="2:4" x14ac:dyDescent="0.25">
      <c r="B170" s="88" t="str">
        <f>'7. Colunas ou Pilares'!B98</f>
        <v>Espaçadores de ferragem</v>
      </c>
      <c r="C170" s="91" t="str">
        <f>'7. Colunas ou Pilares'!C98</f>
        <v>Peça</v>
      </c>
      <c r="D170" s="87">
        <f>'7. Colunas ou Pilares'!D98</f>
        <v>0</v>
      </c>
    </row>
    <row r="171" spans="2:4" ht="15.75" x14ac:dyDescent="0.25">
      <c r="B171" s="134" t="str">
        <f>'7. Colunas ou Pilares'!B101:D101</f>
        <v>Fôrmas de madeira das colunas ou pilares</v>
      </c>
      <c r="C171" s="134"/>
      <c r="D171" s="134"/>
    </row>
    <row r="172" spans="2:4" x14ac:dyDescent="0.25">
      <c r="B172" s="108" t="s">
        <v>5</v>
      </c>
      <c r="C172" s="109" t="s">
        <v>46</v>
      </c>
      <c r="D172" s="109" t="s">
        <v>6</v>
      </c>
    </row>
    <row r="173" spans="2:4" x14ac:dyDescent="0.25">
      <c r="B173" s="88" t="str">
        <f>'7. Colunas ou Pilares'!B145</f>
        <v>Tábua madeira 2,3 x 30 cm bruto</v>
      </c>
      <c r="C173" s="91" t="str">
        <f>'7. Colunas ou Pilares'!C145</f>
        <v/>
      </c>
      <c r="D173" s="87">
        <f>'7. Colunas ou Pilares'!D145</f>
        <v>0</v>
      </c>
    </row>
    <row r="174" spans="2:4" x14ac:dyDescent="0.25">
      <c r="B174" s="88" t="str">
        <f>'7. Colunas ou Pilares'!B146</f>
        <v>Sarrafo madeira 2,3 x 10 cm bruto</v>
      </c>
      <c r="C174" s="91" t="str">
        <f>'7. Colunas ou Pilares'!C146</f>
        <v>Peça 3,0 m</v>
      </c>
      <c r="D174" s="87">
        <f>'7. Colunas ou Pilares'!D146</f>
        <v>0</v>
      </c>
    </row>
    <row r="175" spans="2:4" x14ac:dyDescent="0.25">
      <c r="B175" s="88" t="str">
        <f>'7. Colunas ou Pilares'!B147</f>
        <v>Prego aço polido c/ cabeça 17 x 27</v>
      </c>
      <c r="C175" s="91" t="str">
        <f>'7. Colunas ou Pilares'!C147</f>
        <v>kg</v>
      </c>
      <c r="D175" s="87">
        <f>'7. Colunas ou Pilares'!D147</f>
        <v>0</v>
      </c>
    </row>
    <row r="176" spans="2:4" x14ac:dyDescent="0.25">
      <c r="B176" s="110"/>
      <c r="C176" s="110"/>
      <c r="D176" s="110"/>
    </row>
    <row r="177" spans="2:4" ht="18.75" x14ac:dyDescent="0.3">
      <c r="B177" s="137" t="str">
        <f>'8. Viga'!B2</f>
        <v>Vigas</v>
      </c>
      <c r="C177" s="137"/>
      <c r="D177" s="137"/>
    </row>
    <row r="178" spans="2:4" ht="15.75" x14ac:dyDescent="0.25">
      <c r="B178" s="134" t="str">
        <f>'8. Viga'!B6</f>
        <v>Concreto das vigas</v>
      </c>
      <c r="C178" s="134"/>
      <c r="D178" s="134"/>
    </row>
    <row r="179" spans="2:4" x14ac:dyDescent="0.25">
      <c r="B179" s="108" t="s">
        <v>5</v>
      </c>
      <c r="C179" s="109" t="s">
        <v>46</v>
      </c>
      <c r="D179" s="109" t="s">
        <v>6</v>
      </c>
    </row>
    <row r="180" spans="2:4" x14ac:dyDescent="0.25">
      <c r="B180" s="88" t="str">
        <f>'8. Viga'!B43</f>
        <v>Concreto usinado para vigas</v>
      </c>
      <c r="C180" s="91" t="str">
        <f>'8. Viga'!C43</f>
        <v>m3</v>
      </c>
      <c r="D180" s="87">
        <f>'8. Viga'!D43</f>
        <v>0</v>
      </c>
    </row>
    <row r="181" spans="2:4" x14ac:dyDescent="0.25">
      <c r="B181" s="88" t="str">
        <f>'8. Viga'!B44</f>
        <v>Cimento CP III</v>
      </c>
      <c r="C181" s="91" t="str">
        <f>'8. Viga'!C44</f>
        <v>Saco 50kg</v>
      </c>
      <c r="D181" s="87">
        <f>'8. Viga'!D44</f>
        <v>0</v>
      </c>
    </row>
    <row r="182" spans="2:4" x14ac:dyDescent="0.25">
      <c r="B182" s="88" t="str">
        <f>'8. Viga'!B45</f>
        <v>Areia média</v>
      </c>
      <c r="C182" s="91" t="str">
        <f>'8. Viga'!C45</f>
        <v>m3</v>
      </c>
      <c r="D182" s="87">
        <f>'8. Viga'!D45</f>
        <v>0</v>
      </c>
    </row>
    <row r="183" spans="2:4" x14ac:dyDescent="0.25">
      <c r="B183" s="88" t="str">
        <f>'8. Viga'!B46</f>
        <v>Pedra brita 1</v>
      </c>
      <c r="C183" s="91" t="str">
        <f>'8. Viga'!C46</f>
        <v>m3</v>
      </c>
      <c r="D183" s="87">
        <f>'8. Viga'!D46</f>
        <v>0</v>
      </c>
    </row>
    <row r="184" spans="2:4" ht="15.75" x14ac:dyDescent="0.25">
      <c r="B184" s="134" t="str">
        <f>'8. Viga'!B49</f>
        <v>Armações de aço das vigas</v>
      </c>
      <c r="C184" s="134"/>
      <c r="D184" s="134"/>
    </row>
    <row r="185" spans="2:4" x14ac:dyDescent="0.25">
      <c r="B185" s="108" t="s">
        <v>5</v>
      </c>
      <c r="C185" s="109" t="s">
        <v>46</v>
      </c>
      <c r="D185" s="109" t="s">
        <v>6</v>
      </c>
    </row>
    <row r="186" spans="2:4" x14ac:dyDescent="0.25">
      <c r="B186" s="88" t="str">
        <f>'8. Viga'!B92</f>
        <v>Barra de aço CA-25, 10mm (⅜'')</v>
      </c>
      <c r="C186" s="91" t="str">
        <f>'8. Viga'!C92</f>
        <v>Barra 12 m</v>
      </c>
      <c r="D186" s="87">
        <f>'8. Viga'!D92</f>
        <v>0</v>
      </c>
    </row>
    <row r="187" spans="2:4" x14ac:dyDescent="0.25">
      <c r="B187" s="88" t="str">
        <f>'8. Viga'!B93</f>
        <v>Barra de aço CA-60, 4,2mm</v>
      </c>
      <c r="C187" s="91" t="str">
        <f>'8. Viga'!C93</f>
        <v>Barra 12 m</v>
      </c>
      <c r="D187" s="87">
        <f>'8. Viga'!D93</f>
        <v>0</v>
      </c>
    </row>
    <row r="188" spans="2:4" x14ac:dyDescent="0.25">
      <c r="B188" s="88" t="str">
        <f>'8. Viga'!B94</f>
        <v>Arame recozido BWG 18 (1,24mm)</v>
      </c>
      <c r="C188" s="91" t="str">
        <f>'8. Viga'!C94</f>
        <v>Rolo 1 kg</v>
      </c>
      <c r="D188" s="87">
        <f>'8. Viga'!D94</f>
        <v>0</v>
      </c>
    </row>
    <row r="189" spans="2:4" x14ac:dyDescent="0.25">
      <c r="B189" s="88" t="str">
        <f>'8. Viga'!B95</f>
        <v>Espaçadores de ferragem</v>
      </c>
      <c r="C189" s="91" t="str">
        <f>'8. Viga'!C95</f>
        <v>Peça</v>
      </c>
      <c r="D189" s="87">
        <f>'8. Viga'!D95</f>
        <v>0</v>
      </c>
    </row>
    <row r="190" spans="2:4" ht="15.75" x14ac:dyDescent="0.25">
      <c r="B190" s="134" t="str">
        <f>'8. Viga'!B98</f>
        <v>Fôrmas de madeira das vigas</v>
      </c>
      <c r="C190" s="134"/>
      <c r="D190" s="134"/>
    </row>
    <row r="191" spans="2:4" x14ac:dyDescent="0.25">
      <c r="B191" s="108" t="s">
        <v>5</v>
      </c>
      <c r="C191" s="109" t="s">
        <v>46</v>
      </c>
      <c r="D191" s="109" t="s">
        <v>6</v>
      </c>
    </row>
    <row r="192" spans="2:4" x14ac:dyDescent="0.25">
      <c r="B192" s="88" t="str">
        <f>'8. Viga'!B123</f>
        <v>Tábua madeira 2,3 x 30 cm bruto</v>
      </c>
      <c r="C192" s="91" t="str">
        <f>'8. Viga'!C123</f>
        <v>Peça 3,0 m</v>
      </c>
      <c r="D192" s="87">
        <f>'8. Viga'!D123</f>
        <v>0</v>
      </c>
    </row>
    <row r="193" spans="2:4" x14ac:dyDescent="0.25">
      <c r="B193" s="88" t="str">
        <f>'8. Viga'!B124</f>
        <v>Sarrafo madeira 2,3 x 10 cm bruto</v>
      </c>
      <c r="C193" s="91" t="str">
        <f>'8. Viga'!C124</f>
        <v>Peça 3,0 m</v>
      </c>
      <c r="D193" s="87">
        <f>'8. Viga'!D124</f>
        <v>0</v>
      </c>
    </row>
    <row r="194" spans="2:4" x14ac:dyDescent="0.25">
      <c r="B194" s="88" t="str">
        <f>'8. Viga'!B125</f>
        <v>Prego aço polido c/ cabeça 17 x 27</v>
      </c>
      <c r="C194" s="91" t="str">
        <f>'8. Viga'!C125</f>
        <v>kg</v>
      </c>
      <c r="D194" s="87">
        <f>'8. Viga'!D125</f>
        <v>0</v>
      </c>
    </row>
    <row r="195" spans="2:4" x14ac:dyDescent="0.25">
      <c r="B195" s="110"/>
      <c r="C195" s="110"/>
      <c r="D195" s="110"/>
    </row>
    <row r="196" spans="2:4" ht="18.75" x14ac:dyDescent="0.3">
      <c r="B196" s="137" t="str">
        <f>'9. Contrapiso'!B2</f>
        <v>Contrapiso</v>
      </c>
      <c r="C196" s="137"/>
      <c r="D196" s="137"/>
    </row>
    <row r="197" spans="2:4" ht="15.75" x14ac:dyDescent="0.25">
      <c r="B197" s="134" t="str">
        <f>'9. Contrapiso'!B5</f>
        <v>Área interna</v>
      </c>
      <c r="C197" s="134"/>
      <c r="D197" s="134"/>
    </row>
    <row r="198" spans="2:4" x14ac:dyDescent="0.25">
      <c r="B198" s="108" t="s">
        <v>5</v>
      </c>
      <c r="C198" s="109" t="s">
        <v>46</v>
      </c>
      <c r="D198" s="109" t="s">
        <v>6</v>
      </c>
    </row>
    <row r="199" spans="2:4" x14ac:dyDescent="0.25">
      <c r="B199" s="88" t="str">
        <f>'9. Contrapiso'!B62</f>
        <v>Concreto usinado para contrapiso</v>
      </c>
      <c r="C199" s="91" t="str">
        <f>'9. Contrapiso'!C62</f>
        <v>m3</v>
      </c>
      <c r="D199" s="87">
        <f>'9. Contrapiso'!D62</f>
        <v>0</v>
      </c>
    </row>
    <row r="200" spans="2:4" x14ac:dyDescent="0.25">
      <c r="B200" s="88" t="str">
        <f>'9. Contrapiso'!B63</f>
        <v>Cimento CP III</v>
      </c>
      <c r="C200" s="91" t="str">
        <f>'9. Contrapiso'!C63</f>
        <v>Saco 50kg</v>
      </c>
      <c r="D200" s="87">
        <f>'9. Contrapiso'!D63</f>
        <v>0</v>
      </c>
    </row>
    <row r="201" spans="2:4" x14ac:dyDescent="0.25">
      <c r="B201" s="88" t="str">
        <f>'9. Contrapiso'!B64</f>
        <v>Areia média</v>
      </c>
      <c r="C201" s="91" t="str">
        <f>'9. Contrapiso'!C64</f>
        <v>m3</v>
      </c>
      <c r="D201" s="87">
        <f>'9. Contrapiso'!D64</f>
        <v>0</v>
      </c>
    </row>
    <row r="202" spans="2:4" x14ac:dyDescent="0.25">
      <c r="B202" s="88" t="str">
        <f>'9. Contrapiso'!B65</f>
        <v>Pedra brita 1</v>
      </c>
      <c r="C202" s="91" t="str">
        <f>'9. Contrapiso'!C65</f>
        <v>m3</v>
      </c>
      <c r="D202" s="87">
        <f>'9. Contrapiso'!D65</f>
        <v>0</v>
      </c>
    </row>
    <row r="203" spans="2:4" x14ac:dyDescent="0.25">
      <c r="B203" s="88" t="str">
        <f>'9. Contrapiso'!B66</f>
        <v>Argamassa contrapiso</v>
      </c>
      <c r="C203" s="91" t="str">
        <f>'9. Contrapiso'!C66</f>
        <v>Saco 20 kg</v>
      </c>
      <c r="D203" s="87">
        <f>'9. Contrapiso'!D66</f>
        <v>0</v>
      </c>
    </row>
    <row r="204" spans="2:4" x14ac:dyDescent="0.25">
      <c r="B204" s="88" t="str">
        <f>'9. Contrapiso'!B67</f>
        <v>Cimento CP II</v>
      </c>
      <c r="C204" s="91" t="str">
        <f>'9. Contrapiso'!C67</f>
        <v>Saco 50kg</v>
      </c>
      <c r="D204" s="87">
        <f>'9. Contrapiso'!D67</f>
        <v>0</v>
      </c>
    </row>
    <row r="205" spans="2:4" x14ac:dyDescent="0.25">
      <c r="B205" s="88" t="str">
        <f>'9. Contrapiso'!B68</f>
        <v>Areia média</v>
      </c>
      <c r="C205" s="91" t="str">
        <f>'9. Contrapiso'!C68</f>
        <v>m3</v>
      </c>
      <c r="D205" s="87">
        <f>'9. Contrapiso'!D68</f>
        <v>0</v>
      </c>
    </row>
    <row r="206" spans="2:4" ht="15.75" x14ac:dyDescent="0.25">
      <c r="B206" s="134" t="str">
        <f>'9. Contrapiso'!B71:D71</f>
        <v>Área externa</v>
      </c>
      <c r="C206" s="134"/>
      <c r="D206" s="134"/>
    </row>
    <row r="207" spans="2:4" x14ac:dyDescent="0.25">
      <c r="B207" s="108" t="s">
        <v>5</v>
      </c>
      <c r="C207" s="109" t="s">
        <v>46</v>
      </c>
      <c r="D207" s="109" t="s">
        <v>6</v>
      </c>
    </row>
    <row r="208" spans="2:4" x14ac:dyDescent="0.25">
      <c r="B208" s="88" t="str">
        <f>'9. Contrapiso'!B142</f>
        <v>Concreto usinado para contrapiso</v>
      </c>
      <c r="C208" s="91" t="str">
        <f>'9. Contrapiso'!C142</f>
        <v>m3</v>
      </c>
      <c r="D208" s="87">
        <f>'9. Contrapiso'!D142</f>
        <v>0</v>
      </c>
    </row>
    <row r="209" spans="2:4" x14ac:dyDescent="0.25">
      <c r="B209" s="88" t="str">
        <f>'9. Contrapiso'!B143</f>
        <v>Cimento CP III</v>
      </c>
      <c r="C209" s="91" t="str">
        <f>'9. Contrapiso'!C143</f>
        <v>Saco 50kg</v>
      </c>
      <c r="D209" s="87">
        <f>'9. Contrapiso'!D143</f>
        <v>0</v>
      </c>
    </row>
    <row r="210" spans="2:4" x14ac:dyDescent="0.25">
      <c r="B210" s="88" t="str">
        <f>'9. Contrapiso'!B144</f>
        <v>Areia média</v>
      </c>
      <c r="C210" s="91" t="str">
        <f>'9. Contrapiso'!C144</f>
        <v>m3</v>
      </c>
      <c r="D210" s="87">
        <f>'9. Contrapiso'!D144</f>
        <v>0</v>
      </c>
    </row>
    <row r="211" spans="2:4" x14ac:dyDescent="0.25">
      <c r="B211" s="88" t="str">
        <f>'9. Contrapiso'!B145</f>
        <v>Pedra brita 1</v>
      </c>
      <c r="C211" s="91" t="str">
        <f>'9. Contrapiso'!C145</f>
        <v>m3</v>
      </c>
      <c r="D211" s="87">
        <f>'9. Contrapiso'!D145</f>
        <v>0</v>
      </c>
    </row>
    <row r="212" spans="2:4" x14ac:dyDescent="0.25">
      <c r="B212" s="88" t="str">
        <f>'9. Contrapiso'!B146</f>
        <v>Argamassa contrapiso</v>
      </c>
      <c r="C212" s="91" t="str">
        <f>'9. Contrapiso'!C146</f>
        <v>Saco 20 kg</v>
      </c>
      <c r="D212" s="87">
        <f>'9. Contrapiso'!D146</f>
        <v>0</v>
      </c>
    </row>
    <row r="213" spans="2:4" x14ac:dyDescent="0.25">
      <c r="B213" s="88" t="str">
        <f>'9. Contrapiso'!B147</f>
        <v>Cimento CP II</v>
      </c>
      <c r="C213" s="91" t="str">
        <f>'9. Contrapiso'!C147</f>
        <v>Saco 50kg</v>
      </c>
      <c r="D213" s="87">
        <f>'9. Contrapiso'!D147</f>
        <v>0</v>
      </c>
    </row>
    <row r="214" spans="2:4" x14ac:dyDescent="0.25">
      <c r="B214" s="88" t="str">
        <f>'9. Contrapiso'!B148</f>
        <v>Areia média</v>
      </c>
      <c r="C214" s="91" t="str">
        <f>'9. Contrapiso'!C148</f>
        <v>m3</v>
      </c>
      <c r="D214" s="87">
        <f>'9. Contrapiso'!D148</f>
        <v>0</v>
      </c>
    </row>
    <row r="215" spans="2:4" x14ac:dyDescent="0.25">
      <c r="B215" s="88" t="str">
        <f>'9. Contrapiso'!B149</f>
        <v/>
      </c>
      <c r="C215" s="91" t="str">
        <f>'9. Contrapiso'!C149</f>
        <v/>
      </c>
      <c r="D215" s="87">
        <f>'9. Contrapiso'!D149</f>
        <v>0</v>
      </c>
    </row>
    <row r="216" spans="2:4" x14ac:dyDescent="0.25">
      <c r="B216" s="88" t="str">
        <f>'9. Contrapiso'!B150</f>
        <v>Pedra brita 2 para lastro</v>
      </c>
      <c r="C216" s="91" t="str">
        <f>'9. Contrapiso'!C150</f>
        <v>m3</v>
      </c>
      <c r="D216" s="87">
        <f>'9. Contrapiso'!D150</f>
        <v>0</v>
      </c>
    </row>
    <row r="217" spans="2:4" x14ac:dyDescent="0.25">
      <c r="B217" s="110"/>
      <c r="C217" s="110"/>
      <c r="D217" s="110"/>
    </row>
    <row r="218" spans="2:4" ht="18.75" x14ac:dyDescent="0.3">
      <c r="B218" s="137" t="str">
        <f>'10. Laje'!B2</f>
        <v>Laje</v>
      </c>
      <c r="C218" s="137"/>
      <c r="D218" s="137"/>
    </row>
    <row r="219" spans="2:4" ht="15.75" x14ac:dyDescent="0.25">
      <c r="B219" s="134" t="str">
        <f>'10. Laje'!B5</f>
        <v>Concreto da laje</v>
      </c>
      <c r="C219" s="134"/>
      <c r="D219" s="134"/>
    </row>
    <row r="220" spans="2:4" x14ac:dyDescent="0.25">
      <c r="B220" s="108" t="s">
        <v>5</v>
      </c>
      <c r="C220" s="109" t="s">
        <v>46</v>
      </c>
      <c r="D220" s="109" t="s">
        <v>6</v>
      </c>
    </row>
    <row r="221" spans="2:4" x14ac:dyDescent="0.25">
      <c r="B221" s="88" t="str">
        <f>'10. Laje'!B39</f>
        <v>Concreto usinado para laje</v>
      </c>
      <c r="C221" s="91" t="str">
        <f>'10. Laje'!C39</f>
        <v>m3</v>
      </c>
      <c r="D221" s="87">
        <f>'10. Laje'!D39</f>
        <v>0</v>
      </c>
    </row>
    <row r="222" spans="2:4" x14ac:dyDescent="0.25">
      <c r="B222" s="88" t="str">
        <f>'10. Laje'!B40</f>
        <v>Cimento CP III</v>
      </c>
      <c r="C222" s="91" t="str">
        <f>'10. Laje'!C40</f>
        <v>Saco 50kg</v>
      </c>
      <c r="D222" s="87">
        <f>'10. Laje'!D40</f>
        <v>0</v>
      </c>
    </row>
    <row r="223" spans="2:4" x14ac:dyDescent="0.25">
      <c r="B223" s="88" t="str">
        <f>'10. Laje'!B41</f>
        <v>Areia média</v>
      </c>
      <c r="C223" s="91" t="str">
        <f>'10. Laje'!C41</f>
        <v>m3</v>
      </c>
      <c r="D223" s="87">
        <f>'10. Laje'!D41</f>
        <v>0</v>
      </c>
    </row>
    <row r="224" spans="2:4" x14ac:dyDescent="0.25">
      <c r="B224" s="88" t="str">
        <f>'10. Laje'!B42</f>
        <v>Pedra brita 1</v>
      </c>
      <c r="C224" s="91" t="str">
        <f>'10. Laje'!C42</f>
        <v>m3</v>
      </c>
      <c r="D224" s="87">
        <f>'10. Laje'!D42</f>
        <v>0</v>
      </c>
    </row>
    <row r="225" spans="2:4" ht="15.75" x14ac:dyDescent="0.25">
      <c r="B225" s="134" t="str">
        <f>'10. Laje'!B45</f>
        <v>Preenchimento da laje</v>
      </c>
      <c r="C225" s="134"/>
      <c r="D225" s="134"/>
    </row>
    <row r="226" spans="2:4" x14ac:dyDescent="0.25">
      <c r="B226" s="108" t="s">
        <v>5</v>
      </c>
      <c r="C226" s="109" t="s">
        <v>46</v>
      </c>
      <c r="D226" s="109" t="s">
        <v>6</v>
      </c>
    </row>
    <row r="227" spans="2:4" x14ac:dyDescent="0.25">
      <c r="B227" s="88" t="str">
        <f>'10. Laje'!B63</f>
        <v/>
      </c>
      <c r="C227" s="91" t="str">
        <f>'10. Laje'!C63</f>
        <v>m²</v>
      </c>
      <c r="D227" s="87">
        <f>'10. Laje'!D63</f>
        <v>0</v>
      </c>
    </row>
    <row r="228" spans="2:4" ht="15.75" x14ac:dyDescent="0.25">
      <c r="B228" s="134" t="str">
        <f>'10. Laje'!B66</f>
        <v>Malha de aço da laje</v>
      </c>
      <c r="C228" s="134"/>
      <c r="D228" s="134"/>
    </row>
    <row r="229" spans="2:4" x14ac:dyDescent="0.25">
      <c r="B229" s="108" t="s">
        <v>5</v>
      </c>
      <c r="C229" s="109" t="s">
        <v>46</v>
      </c>
      <c r="D229" s="109" t="s">
        <v>6</v>
      </c>
    </row>
    <row r="230" spans="2:4" x14ac:dyDescent="0.25">
      <c r="B230" s="88" t="str">
        <f>'10. Laje'!B88</f>
        <v/>
      </c>
      <c r="C230" s="91" t="str">
        <f>'10. Laje'!C88</f>
        <v>Peça 2 x 3 m</v>
      </c>
      <c r="D230" s="87">
        <f>'10. Laje'!D88</f>
        <v>0</v>
      </c>
    </row>
    <row r="231" spans="2:4" x14ac:dyDescent="0.25">
      <c r="B231" s="88" t="str">
        <f>'10. Laje'!B89</f>
        <v>Arame recozido BWG 18 (1,24mm)</v>
      </c>
      <c r="C231" s="91" t="str">
        <f>'10. Laje'!C89</f>
        <v>Rolo 1 kg</v>
      </c>
      <c r="D231" s="87">
        <f>'10. Laje'!D89</f>
        <v>0</v>
      </c>
    </row>
    <row r="232" spans="2:4" x14ac:dyDescent="0.25">
      <c r="B232" s="88" t="str">
        <f>'10. Laje'!B90</f>
        <v>Espaçadores de ferragem</v>
      </c>
      <c r="C232" s="91" t="str">
        <f>'10. Laje'!C90</f>
        <v>Peça</v>
      </c>
      <c r="D232" s="87">
        <f>'10. Laje'!D90</f>
        <v>0</v>
      </c>
    </row>
    <row r="233" spans="2:4" ht="15.75" x14ac:dyDescent="0.25">
      <c r="B233" s="134" t="str">
        <f>'10. Laje'!B93</f>
        <v>Fôrmas de madeira da laje</v>
      </c>
      <c r="C233" s="134"/>
      <c r="D233" s="134"/>
    </row>
    <row r="234" spans="2:4" x14ac:dyDescent="0.25">
      <c r="B234" s="108" t="s">
        <v>5</v>
      </c>
      <c r="C234" s="109" t="s">
        <v>46</v>
      </c>
      <c r="D234" s="109" t="s">
        <v>6</v>
      </c>
    </row>
    <row r="235" spans="2:4" x14ac:dyDescent="0.25">
      <c r="B235" s="88" t="str">
        <f>'10. Laje'!B120</f>
        <v>Tábua madeira 2,3 x 30 cm bruto</v>
      </c>
      <c r="C235" s="91" t="str">
        <f>'10. Laje'!C120</f>
        <v>Peça 3,0 m</v>
      </c>
      <c r="D235" s="87">
        <f>'10. Laje'!D120</f>
        <v>0</v>
      </c>
    </row>
    <row r="236" spans="2:4" x14ac:dyDescent="0.25">
      <c r="B236" s="88" t="str">
        <f>'10. Laje'!B121</f>
        <v>Sarrafo madeira 2,3 x 10 cm bruto</v>
      </c>
      <c r="C236" s="91" t="str">
        <f>'10. Laje'!C121</f>
        <v>Peça 3,0 m</v>
      </c>
      <c r="D236" s="87">
        <f>'10. Laje'!D121</f>
        <v>0</v>
      </c>
    </row>
    <row r="237" spans="2:4" x14ac:dyDescent="0.25">
      <c r="B237" s="88" t="str">
        <f>'10. Laje'!B122</f>
        <v>Prego aço polido c/ cabeça 17 x 27</v>
      </c>
      <c r="C237" s="91" t="str">
        <f>'10. Laje'!C122</f>
        <v>kg</v>
      </c>
      <c r="D237" s="87">
        <f>'10. Laje'!D122</f>
        <v>0</v>
      </c>
    </row>
    <row r="238" spans="2:4" ht="15.75" x14ac:dyDescent="0.25">
      <c r="B238" s="134" t="str">
        <f>'10. Laje'!B125</f>
        <v>Escoras de madeira da laje</v>
      </c>
      <c r="C238" s="134"/>
      <c r="D238" s="134"/>
    </row>
    <row r="239" spans="2:4" x14ac:dyDescent="0.25">
      <c r="B239" s="108" t="s">
        <v>5</v>
      </c>
      <c r="C239" s="109" t="s">
        <v>46</v>
      </c>
      <c r="D239" s="109" t="s">
        <v>6</v>
      </c>
    </row>
    <row r="240" spans="2:4" x14ac:dyDescent="0.25">
      <c r="B240" s="88" t="str">
        <f>'10. Laje'!B139</f>
        <v>Escora de madeira 5 x 10 cm bruto</v>
      </c>
      <c r="C240" s="91" t="str">
        <f>'10. Laje'!C139</f>
        <v>Peça 3,0 m</v>
      </c>
      <c r="D240" s="87">
        <f>'10. Laje'!D139</f>
        <v>0</v>
      </c>
    </row>
    <row r="241" spans="2:4" x14ac:dyDescent="0.25">
      <c r="B241" s="88" t="str">
        <f>'10. Laje'!B140</f>
        <v>Tábua madeira 2,3 x 30 cm bruto</v>
      </c>
      <c r="C241" s="91" t="str">
        <f>'10. Laje'!C140</f>
        <v>Peça 3,0 m</v>
      </c>
      <c r="D241" s="87">
        <f>'10. Laje'!D140</f>
        <v>0</v>
      </c>
    </row>
    <row r="242" spans="2:4" x14ac:dyDescent="0.25">
      <c r="B242" s="110"/>
      <c r="C242" s="110"/>
      <c r="D242" s="110"/>
    </row>
    <row r="243" spans="2:4" ht="18.75" x14ac:dyDescent="0.3">
      <c r="B243" s="137" t="str">
        <f>'11. Chapisco-Emboço-Reboco'!B2:D2</f>
        <v>Reboco</v>
      </c>
      <c r="C243" s="137"/>
      <c r="D243" s="137"/>
    </row>
    <row r="244" spans="2:4" ht="15.75" x14ac:dyDescent="0.25">
      <c r="B244" s="134" t="str">
        <f>'11. Chapisco-Emboço-Reboco'!B5:D5</f>
        <v>Argamassa do chapisco das paredes internas</v>
      </c>
      <c r="C244" s="134"/>
      <c r="D244" s="134"/>
    </row>
    <row r="245" spans="2:4" x14ac:dyDescent="0.25">
      <c r="B245" s="108" t="s">
        <v>5</v>
      </c>
      <c r="C245" s="109" t="s">
        <v>46</v>
      </c>
      <c r="D245" s="109" t="s">
        <v>6</v>
      </c>
    </row>
    <row r="246" spans="2:4" x14ac:dyDescent="0.25">
      <c r="B246" s="88" t="str">
        <f>'11. Chapisco-Emboço-Reboco'!B64</f>
        <v>Argamassa chapisco pronta</v>
      </c>
      <c r="C246" s="91" t="str">
        <f>'11. Chapisco-Emboço-Reboco'!C64</f>
        <v>Saco 20 kg</v>
      </c>
      <c r="D246" s="87">
        <f>'11. Chapisco-Emboço-Reboco'!D64</f>
        <v>0</v>
      </c>
    </row>
    <row r="247" spans="2:4" x14ac:dyDescent="0.25">
      <c r="B247" s="88" t="str">
        <f>'11. Chapisco-Emboço-Reboco'!B65</f>
        <v>Cimento CP II</v>
      </c>
      <c r="C247" s="91" t="str">
        <f>'11. Chapisco-Emboço-Reboco'!C65</f>
        <v>Saco 50kg</v>
      </c>
      <c r="D247" s="87">
        <f>'11. Chapisco-Emboço-Reboco'!D65</f>
        <v>0</v>
      </c>
    </row>
    <row r="248" spans="2:4" x14ac:dyDescent="0.25">
      <c r="B248" s="88" t="str">
        <f>'11. Chapisco-Emboço-Reboco'!B66</f>
        <v>Areia média</v>
      </c>
      <c r="C248" s="91" t="str">
        <f>'11. Chapisco-Emboço-Reboco'!C66</f>
        <v>m3</v>
      </c>
      <c r="D248" s="87">
        <f>'11. Chapisco-Emboço-Reboco'!D66</f>
        <v>0</v>
      </c>
    </row>
    <row r="249" spans="2:4" x14ac:dyDescent="0.25">
      <c r="B249" s="88" t="str">
        <f>'11. Chapisco-Emboço-Reboco'!B67</f>
        <v>Aditivo plastificante Bianco</v>
      </c>
      <c r="C249" s="91" t="str">
        <f>'11. Chapisco-Emboço-Reboco'!C67</f>
        <v>Litros</v>
      </c>
      <c r="D249" s="87">
        <f>'11. Chapisco-Emboço-Reboco'!D67</f>
        <v>0</v>
      </c>
    </row>
    <row r="250" spans="2:4" ht="15.75" x14ac:dyDescent="0.25">
      <c r="B250" s="134" t="str">
        <f>'11. Chapisco-Emboço-Reboco'!B70:D70</f>
        <v>Argamassa do emboço das paredes internas</v>
      </c>
      <c r="C250" s="134"/>
      <c r="D250" s="134"/>
    </row>
    <row r="251" spans="2:4" x14ac:dyDescent="0.25">
      <c r="B251" s="108" t="s">
        <v>5</v>
      </c>
      <c r="C251" s="109" t="s">
        <v>46</v>
      </c>
      <c r="D251" s="109" t="s">
        <v>6</v>
      </c>
    </row>
    <row r="252" spans="2:4" x14ac:dyDescent="0.25">
      <c r="B252" s="88" t="str">
        <f>'11. Chapisco-Emboço-Reboco'!B127</f>
        <v>Argamassa emboço pronta</v>
      </c>
      <c r="C252" s="91" t="str">
        <f>'11. Chapisco-Emboço-Reboco'!C127</f>
        <v>Saco 20 kg</v>
      </c>
      <c r="D252" s="87">
        <f>'11. Chapisco-Emboço-Reboco'!D127</f>
        <v>0</v>
      </c>
    </row>
    <row r="253" spans="2:4" x14ac:dyDescent="0.25">
      <c r="B253" s="88" t="str">
        <f>'11. Chapisco-Emboço-Reboco'!B128</f>
        <v>Cimento CP II</v>
      </c>
      <c r="C253" s="91" t="str">
        <f>'11. Chapisco-Emboço-Reboco'!C128</f>
        <v>Saco 50kg</v>
      </c>
      <c r="D253" s="87">
        <f>'11. Chapisco-Emboço-Reboco'!D128</f>
        <v>0</v>
      </c>
    </row>
    <row r="254" spans="2:4" x14ac:dyDescent="0.25">
      <c r="B254" s="88" t="str">
        <f>'11. Chapisco-Emboço-Reboco'!B129</f>
        <v>Areia média</v>
      </c>
      <c r="C254" s="91" t="str">
        <f>'11. Chapisco-Emboço-Reboco'!C129</f>
        <v>m3</v>
      </c>
      <c r="D254" s="87">
        <f>'11. Chapisco-Emboço-Reboco'!D129</f>
        <v>0</v>
      </c>
    </row>
    <row r="255" spans="2:4" x14ac:dyDescent="0.25">
      <c r="B255" s="88" t="str">
        <f>'11. Chapisco-Emboço-Reboco'!B130</f>
        <v>Cal hidratada para construção civil</v>
      </c>
      <c r="C255" s="91" t="str">
        <f>'11. Chapisco-Emboço-Reboco'!C130</f>
        <v>Saco 20 kg</v>
      </c>
      <c r="D255" s="87">
        <f>'11. Chapisco-Emboço-Reboco'!D130</f>
        <v>0</v>
      </c>
    </row>
    <row r="256" spans="2:4" x14ac:dyDescent="0.25">
      <c r="B256" s="88" t="str">
        <f>'11. Chapisco-Emboço-Reboco'!B131</f>
        <v>Aditivo plastificante Bianco</v>
      </c>
      <c r="C256" s="91" t="str">
        <f>'11. Chapisco-Emboço-Reboco'!C131</f>
        <v>Litros</v>
      </c>
      <c r="D256" s="87">
        <f>'11. Chapisco-Emboço-Reboco'!D131</f>
        <v>0</v>
      </c>
    </row>
    <row r="257" spans="2:4" ht="15.75" x14ac:dyDescent="0.25">
      <c r="B257" s="134" t="str">
        <f>'11. Chapisco-Emboço-Reboco'!B134:D134</f>
        <v>Argamassa do reboco das paredes internas</v>
      </c>
      <c r="C257" s="134"/>
      <c r="D257" s="134"/>
    </row>
    <row r="258" spans="2:4" x14ac:dyDescent="0.25">
      <c r="B258" s="108" t="s">
        <v>5</v>
      </c>
      <c r="C258" s="109" t="s">
        <v>46</v>
      </c>
      <c r="D258" s="109" t="s">
        <v>6</v>
      </c>
    </row>
    <row r="259" spans="2:4" x14ac:dyDescent="0.25">
      <c r="B259" s="88" t="str">
        <f>'11. Chapisco-Emboço-Reboco'!B191</f>
        <v>Argamassa reboco pronta</v>
      </c>
      <c r="C259" s="91" t="str">
        <f>'11. Chapisco-Emboço-Reboco'!C191</f>
        <v>Saco 20 kg</v>
      </c>
      <c r="D259" s="87">
        <f>'11. Chapisco-Emboço-Reboco'!D191</f>
        <v>0</v>
      </c>
    </row>
    <row r="260" spans="2:4" x14ac:dyDescent="0.25">
      <c r="B260" s="88" t="str">
        <f>'11. Chapisco-Emboço-Reboco'!B192</f>
        <v>Cimento CP II</v>
      </c>
      <c r="C260" s="91" t="str">
        <f>'11. Chapisco-Emboço-Reboco'!C192</f>
        <v>Saco 50kg</v>
      </c>
      <c r="D260" s="87">
        <f>'11. Chapisco-Emboço-Reboco'!D192</f>
        <v>0</v>
      </c>
    </row>
    <row r="261" spans="2:4" x14ac:dyDescent="0.25">
      <c r="B261" s="88" t="str">
        <f>'11. Chapisco-Emboço-Reboco'!B193</f>
        <v>Areia média</v>
      </c>
      <c r="C261" s="91" t="str">
        <f>'11. Chapisco-Emboço-Reboco'!C193</f>
        <v>m3</v>
      </c>
      <c r="D261" s="87">
        <f>'11. Chapisco-Emboço-Reboco'!D193</f>
        <v>0</v>
      </c>
    </row>
    <row r="262" spans="2:4" x14ac:dyDescent="0.25">
      <c r="B262" s="88" t="str">
        <f>'11. Chapisco-Emboço-Reboco'!B194</f>
        <v>Cal hidratada para construção civil</v>
      </c>
      <c r="C262" s="91" t="str">
        <f>'11. Chapisco-Emboço-Reboco'!C194</f>
        <v>Saco 20 kg</v>
      </c>
      <c r="D262" s="87">
        <f>'11. Chapisco-Emboço-Reboco'!D194</f>
        <v>0</v>
      </c>
    </row>
    <row r="263" spans="2:4" x14ac:dyDescent="0.25">
      <c r="B263" s="88" t="str">
        <f>'11. Chapisco-Emboço-Reboco'!B195</f>
        <v>Aditivo plastificante Bianco</v>
      </c>
      <c r="C263" s="91" t="str">
        <f>'11. Chapisco-Emboço-Reboco'!C195</f>
        <v>Litros</v>
      </c>
      <c r="D263" s="87">
        <f>'11. Chapisco-Emboço-Reboco'!D195</f>
        <v>0</v>
      </c>
    </row>
    <row r="264" spans="2:4" ht="15.75" x14ac:dyDescent="0.25">
      <c r="B264" s="134" t="str">
        <f>'11. Chapisco-Emboço-Reboco'!B198:D198</f>
        <v>Argamassa do chapisco das paredes externas</v>
      </c>
      <c r="C264" s="134"/>
      <c r="D264" s="134"/>
    </row>
    <row r="265" spans="2:4" x14ac:dyDescent="0.25">
      <c r="B265" s="108" t="s">
        <v>5</v>
      </c>
      <c r="C265" s="109" t="s">
        <v>46</v>
      </c>
      <c r="D265" s="109" t="s">
        <v>6</v>
      </c>
    </row>
    <row r="266" spans="2:4" x14ac:dyDescent="0.25">
      <c r="B266" s="88" t="str">
        <f>'11. Chapisco-Emboço-Reboco'!B257</f>
        <v>Argamassa chapisco pronta</v>
      </c>
      <c r="C266" s="91" t="str">
        <f>'11. Chapisco-Emboço-Reboco'!C257</f>
        <v>Saco 20 kg</v>
      </c>
      <c r="D266" s="87">
        <f>'11. Chapisco-Emboço-Reboco'!D257</f>
        <v>0</v>
      </c>
    </row>
    <row r="267" spans="2:4" x14ac:dyDescent="0.25">
      <c r="B267" s="88" t="str">
        <f>'11. Chapisco-Emboço-Reboco'!B258</f>
        <v>Cimento CP II</v>
      </c>
      <c r="C267" s="91" t="str">
        <f>'11. Chapisco-Emboço-Reboco'!C258</f>
        <v>Saco 50kg</v>
      </c>
      <c r="D267" s="87">
        <f>'11. Chapisco-Emboço-Reboco'!D258</f>
        <v>0</v>
      </c>
    </row>
    <row r="268" spans="2:4" x14ac:dyDescent="0.25">
      <c r="B268" s="88" t="str">
        <f>'11. Chapisco-Emboço-Reboco'!B259</f>
        <v>Areia média</v>
      </c>
      <c r="C268" s="91" t="str">
        <f>'11. Chapisco-Emboço-Reboco'!C259</f>
        <v>m3</v>
      </c>
      <c r="D268" s="87">
        <f>'11. Chapisco-Emboço-Reboco'!D259</f>
        <v>0</v>
      </c>
    </row>
    <row r="269" spans="2:4" x14ac:dyDescent="0.25">
      <c r="B269" s="88" t="str">
        <f>'11. Chapisco-Emboço-Reboco'!B260</f>
        <v>Aditivo plastificante Bianco</v>
      </c>
      <c r="C269" s="91" t="str">
        <f>'11. Chapisco-Emboço-Reboco'!C260</f>
        <v>Litros</v>
      </c>
      <c r="D269" s="87">
        <f>'11. Chapisco-Emboço-Reboco'!D260</f>
        <v>0</v>
      </c>
    </row>
    <row r="270" spans="2:4" ht="15.75" x14ac:dyDescent="0.25">
      <c r="B270" s="134" t="str">
        <f>'11. Chapisco-Emboço-Reboco'!B263:D263</f>
        <v>Argamassa do emboço das paredes externas</v>
      </c>
      <c r="C270" s="134"/>
      <c r="D270" s="134"/>
    </row>
    <row r="271" spans="2:4" x14ac:dyDescent="0.25">
      <c r="B271" s="108" t="s">
        <v>5</v>
      </c>
      <c r="C271" s="109" t="s">
        <v>46</v>
      </c>
      <c r="D271" s="109" t="s">
        <v>6</v>
      </c>
    </row>
    <row r="272" spans="2:4" x14ac:dyDescent="0.25">
      <c r="B272" s="88" t="str">
        <f>'11. Chapisco-Emboço-Reboco'!B320</f>
        <v>Argamassa emboço pronta</v>
      </c>
      <c r="C272" s="91" t="str">
        <f>'11. Chapisco-Emboço-Reboco'!C320</f>
        <v>Saco 20 kg</v>
      </c>
      <c r="D272" s="87">
        <f>'11. Chapisco-Emboço-Reboco'!D320</f>
        <v>0</v>
      </c>
    </row>
    <row r="273" spans="2:4" x14ac:dyDescent="0.25">
      <c r="B273" s="88" t="str">
        <f>'11. Chapisco-Emboço-Reboco'!B321</f>
        <v>Cimento CP II</v>
      </c>
      <c r="C273" s="91" t="str">
        <f>'11. Chapisco-Emboço-Reboco'!C321</f>
        <v>Saco 50kg</v>
      </c>
      <c r="D273" s="87">
        <f>'11. Chapisco-Emboço-Reboco'!D321</f>
        <v>0</v>
      </c>
    </row>
    <row r="274" spans="2:4" x14ac:dyDescent="0.25">
      <c r="B274" s="88" t="str">
        <f>'11. Chapisco-Emboço-Reboco'!B322</f>
        <v>Areia média</v>
      </c>
      <c r="C274" s="91" t="str">
        <f>'11. Chapisco-Emboço-Reboco'!C322</f>
        <v>m3</v>
      </c>
      <c r="D274" s="87">
        <f>'11. Chapisco-Emboço-Reboco'!D322</f>
        <v>0</v>
      </c>
    </row>
    <row r="275" spans="2:4" x14ac:dyDescent="0.25">
      <c r="B275" s="88" t="str">
        <f>'11. Chapisco-Emboço-Reboco'!B323</f>
        <v>Cal hidratada para construção civil</v>
      </c>
      <c r="C275" s="91" t="str">
        <f>'11. Chapisco-Emboço-Reboco'!C323</f>
        <v>Saco 20 kg</v>
      </c>
      <c r="D275" s="87">
        <f>'11. Chapisco-Emboço-Reboco'!D323</f>
        <v>0</v>
      </c>
    </row>
    <row r="276" spans="2:4" x14ac:dyDescent="0.25">
      <c r="B276" s="88" t="str">
        <f>'11. Chapisco-Emboço-Reboco'!B324</f>
        <v>Aditivo plastificante Bianco</v>
      </c>
      <c r="C276" s="91" t="str">
        <f>'11. Chapisco-Emboço-Reboco'!C324</f>
        <v>Litros</v>
      </c>
      <c r="D276" s="87">
        <f>'11. Chapisco-Emboço-Reboco'!D324</f>
        <v>0</v>
      </c>
    </row>
    <row r="277" spans="2:4" ht="15.75" x14ac:dyDescent="0.25">
      <c r="B277" s="134" t="str">
        <f>'11. Chapisco-Emboço-Reboco'!B327:D327</f>
        <v>Argamassa do reboco das paredes externas</v>
      </c>
      <c r="C277" s="134"/>
      <c r="D277" s="134"/>
    </row>
    <row r="278" spans="2:4" x14ac:dyDescent="0.25">
      <c r="B278" s="108" t="s">
        <v>5</v>
      </c>
      <c r="C278" s="109" t="s">
        <v>46</v>
      </c>
      <c r="D278" s="109" t="s">
        <v>6</v>
      </c>
    </row>
    <row r="279" spans="2:4" x14ac:dyDescent="0.25">
      <c r="B279" s="88" t="str">
        <f>'11. Chapisco-Emboço-Reboco'!B384</f>
        <v>Argamassa reboco pronta</v>
      </c>
      <c r="C279" s="91" t="str">
        <f>'11. Chapisco-Emboço-Reboco'!C384</f>
        <v>Saco 20 kg</v>
      </c>
      <c r="D279" s="87">
        <f>'11. Chapisco-Emboço-Reboco'!D384</f>
        <v>0</v>
      </c>
    </row>
    <row r="280" spans="2:4" x14ac:dyDescent="0.25">
      <c r="B280" s="88" t="str">
        <f>'11. Chapisco-Emboço-Reboco'!B385</f>
        <v>Cimento CP II</v>
      </c>
      <c r="C280" s="91" t="str">
        <f>'11. Chapisco-Emboço-Reboco'!C385</f>
        <v>Saco 50kg</v>
      </c>
      <c r="D280" s="87">
        <f>'11. Chapisco-Emboço-Reboco'!D385</f>
        <v>0</v>
      </c>
    </row>
    <row r="281" spans="2:4" x14ac:dyDescent="0.25">
      <c r="B281" s="88" t="str">
        <f>'11. Chapisco-Emboço-Reboco'!B386</f>
        <v>Areia média</v>
      </c>
      <c r="C281" s="91" t="str">
        <f>'11. Chapisco-Emboço-Reboco'!C386</f>
        <v>m3</v>
      </c>
      <c r="D281" s="87">
        <f>'11. Chapisco-Emboço-Reboco'!D386</f>
        <v>0</v>
      </c>
    </row>
    <row r="282" spans="2:4" x14ac:dyDescent="0.25">
      <c r="B282" s="88" t="str">
        <f>'11. Chapisco-Emboço-Reboco'!B387</f>
        <v>Cal hidratada para construção civil</v>
      </c>
      <c r="C282" s="91" t="str">
        <f>'11. Chapisco-Emboço-Reboco'!C387</f>
        <v>Saco 20 kg</v>
      </c>
      <c r="D282" s="87">
        <f>'11. Chapisco-Emboço-Reboco'!D387</f>
        <v>0</v>
      </c>
    </row>
    <row r="283" spans="2:4" x14ac:dyDescent="0.25">
      <c r="B283" s="88" t="str">
        <f>'11. Chapisco-Emboço-Reboco'!B388</f>
        <v>Aditivo plastificante Bianco</v>
      </c>
      <c r="C283" s="91" t="str">
        <f>'11. Chapisco-Emboço-Reboco'!C388</f>
        <v>Litros</v>
      </c>
      <c r="D283" s="87">
        <f>'11. Chapisco-Emboço-Reboco'!D388</f>
        <v>0</v>
      </c>
    </row>
    <row r="284" spans="2:4" ht="15.75" x14ac:dyDescent="0.25">
      <c r="B284" s="134" t="str">
        <f>'11. Chapisco-Emboço-Reboco'!B391:D391</f>
        <v>Argamassa do chapisco das teto</v>
      </c>
      <c r="C284" s="134"/>
      <c r="D284" s="134"/>
    </row>
    <row r="285" spans="2:4" x14ac:dyDescent="0.25">
      <c r="B285" s="108" t="s">
        <v>5</v>
      </c>
      <c r="C285" s="109" t="s">
        <v>46</v>
      </c>
      <c r="D285" s="109" t="s">
        <v>6</v>
      </c>
    </row>
    <row r="286" spans="2:4" x14ac:dyDescent="0.25">
      <c r="B286" s="88" t="str">
        <f>'11. Chapisco-Emboço-Reboco'!B446</f>
        <v>Argamassa chapisco pronta</v>
      </c>
      <c r="C286" s="91" t="str">
        <f>'11. Chapisco-Emboço-Reboco'!C446</f>
        <v>Saco 20 kg</v>
      </c>
      <c r="D286" s="87">
        <f>'11. Chapisco-Emboço-Reboco'!D446</f>
        <v>0</v>
      </c>
    </row>
    <row r="287" spans="2:4" x14ac:dyDescent="0.25">
      <c r="B287" s="88" t="str">
        <f>'11. Chapisco-Emboço-Reboco'!B447</f>
        <v>Cimento CP II</v>
      </c>
      <c r="C287" s="91" t="str">
        <f>'11. Chapisco-Emboço-Reboco'!C447</f>
        <v>Saco 50kg</v>
      </c>
      <c r="D287" s="87">
        <f>'11. Chapisco-Emboço-Reboco'!D447</f>
        <v>0</v>
      </c>
    </row>
    <row r="288" spans="2:4" x14ac:dyDescent="0.25">
      <c r="B288" s="88" t="str">
        <f>'11. Chapisco-Emboço-Reboco'!B448</f>
        <v>Areia média</v>
      </c>
      <c r="C288" s="91" t="str">
        <f>'11. Chapisco-Emboço-Reboco'!C448</f>
        <v>m3</v>
      </c>
      <c r="D288" s="87">
        <f>'11. Chapisco-Emboço-Reboco'!D448</f>
        <v>0</v>
      </c>
    </row>
    <row r="289" spans="2:4" x14ac:dyDescent="0.25">
      <c r="B289" s="88" t="str">
        <f>'11. Chapisco-Emboço-Reboco'!B449</f>
        <v>Aditivo plastificante Bianco</v>
      </c>
      <c r="C289" s="91" t="str">
        <f>'11. Chapisco-Emboço-Reboco'!C449</f>
        <v>Litros</v>
      </c>
      <c r="D289" s="87">
        <f>'11. Chapisco-Emboço-Reboco'!D449</f>
        <v>0</v>
      </c>
    </row>
    <row r="290" spans="2:4" ht="15.75" x14ac:dyDescent="0.25">
      <c r="B290" s="134" t="str">
        <f>'11. Chapisco-Emboço-Reboco'!B452:D452</f>
        <v>Argamassa do emboço das teto</v>
      </c>
      <c r="C290" s="134"/>
      <c r="D290" s="134"/>
    </row>
    <row r="291" spans="2:4" x14ac:dyDescent="0.25">
      <c r="B291" s="108" t="s">
        <v>5</v>
      </c>
      <c r="C291" s="109" t="s">
        <v>46</v>
      </c>
      <c r="D291" s="109" t="s">
        <v>6</v>
      </c>
    </row>
    <row r="292" spans="2:4" x14ac:dyDescent="0.25">
      <c r="B292" s="88" t="str">
        <f>'11. Chapisco-Emboço-Reboco'!B505</f>
        <v>Argamassa emboço pronta</v>
      </c>
      <c r="C292" s="91" t="str">
        <f>'11. Chapisco-Emboço-Reboco'!C505</f>
        <v>Saco 20 kg</v>
      </c>
      <c r="D292" s="87">
        <f>'11. Chapisco-Emboço-Reboco'!D505</f>
        <v>0</v>
      </c>
    </row>
    <row r="293" spans="2:4" x14ac:dyDescent="0.25">
      <c r="B293" s="88" t="str">
        <f>'11. Chapisco-Emboço-Reboco'!B506</f>
        <v>Cimento CP II</v>
      </c>
      <c r="C293" s="91" t="str">
        <f>'11. Chapisco-Emboço-Reboco'!C506</f>
        <v>Saco 50kg</v>
      </c>
      <c r="D293" s="87">
        <f>'11. Chapisco-Emboço-Reboco'!D506</f>
        <v>0</v>
      </c>
    </row>
    <row r="294" spans="2:4" x14ac:dyDescent="0.25">
      <c r="B294" s="88" t="str">
        <f>'11. Chapisco-Emboço-Reboco'!B507</f>
        <v>Areia média</v>
      </c>
      <c r="C294" s="91" t="str">
        <f>'11. Chapisco-Emboço-Reboco'!C507</f>
        <v>m3</v>
      </c>
      <c r="D294" s="87">
        <f>'11. Chapisco-Emboço-Reboco'!D507</f>
        <v>0</v>
      </c>
    </row>
    <row r="295" spans="2:4" x14ac:dyDescent="0.25">
      <c r="B295" s="88" t="str">
        <f>'11. Chapisco-Emboço-Reboco'!B508</f>
        <v>Cal hidratada para construção civil</v>
      </c>
      <c r="C295" s="91" t="str">
        <f>'11. Chapisco-Emboço-Reboco'!C508</f>
        <v>Saco 20 kg</v>
      </c>
      <c r="D295" s="87">
        <f>'11. Chapisco-Emboço-Reboco'!D508</f>
        <v>0</v>
      </c>
    </row>
    <row r="296" spans="2:4" x14ac:dyDescent="0.25">
      <c r="B296" s="88" t="str">
        <f>'11. Chapisco-Emboço-Reboco'!B509</f>
        <v>Aditivo plastificante Bianco</v>
      </c>
      <c r="C296" s="91" t="str">
        <f>'11. Chapisco-Emboço-Reboco'!C509</f>
        <v>Litros</v>
      </c>
      <c r="D296" s="87">
        <f>'11. Chapisco-Emboço-Reboco'!D509</f>
        <v>0</v>
      </c>
    </row>
    <row r="297" spans="2:4" ht="15.75" x14ac:dyDescent="0.25">
      <c r="B297" s="134" t="str">
        <f>'11. Chapisco-Emboço-Reboco'!B512:D512</f>
        <v>Argamassa do reboco das teto</v>
      </c>
      <c r="C297" s="134"/>
      <c r="D297" s="134"/>
    </row>
    <row r="298" spans="2:4" x14ac:dyDescent="0.25">
      <c r="B298" s="108" t="s">
        <v>5</v>
      </c>
      <c r="C298" s="109" t="s">
        <v>46</v>
      </c>
      <c r="D298" s="109" t="s">
        <v>6</v>
      </c>
    </row>
    <row r="299" spans="2:4" x14ac:dyDescent="0.25">
      <c r="B299" s="88" t="str">
        <f>'11. Chapisco-Emboço-Reboco'!B565</f>
        <v>Argamassa reboco pronta</v>
      </c>
      <c r="C299" s="91" t="str">
        <f>'11. Chapisco-Emboço-Reboco'!C565</f>
        <v>Saco 20 kg</v>
      </c>
      <c r="D299" s="87">
        <f>'11. Chapisco-Emboço-Reboco'!D565</f>
        <v>0</v>
      </c>
    </row>
    <row r="300" spans="2:4" x14ac:dyDescent="0.25">
      <c r="B300" s="88" t="str">
        <f>'11. Chapisco-Emboço-Reboco'!B566</f>
        <v>Cimento CP II</v>
      </c>
      <c r="C300" s="91" t="str">
        <f>'11. Chapisco-Emboço-Reboco'!C566</f>
        <v>Saco 50kg</v>
      </c>
      <c r="D300" s="87">
        <f>'11. Chapisco-Emboço-Reboco'!D566</f>
        <v>0</v>
      </c>
    </row>
    <row r="301" spans="2:4" x14ac:dyDescent="0.25">
      <c r="B301" s="88" t="str">
        <f>'11. Chapisco-Emboço-Reboco'!B567</f>
        <v>Areia média</v>
      </c>
      <c r="C301" s="91" t="str">
        <f>'11. Chapisco-Emboço-Reboco'!C567</f>
        <v>m3</v>
      </c>
      <c r="D301" s="87">
        <f>'11. Chapisco-Emboço-Reboco'!D567</f>
        <v>0</v>
      </c>
    </row>
    <row r="302" spans="2:4" x14ac:dyDescent="0.25">
      <c r="B302" s="88" t="str">
        <f>'11. Chapisco-Emboço-Reboco'!B568</f>
        <v>Cal hidratada para construção civil</v>
      </c>
      <c r="C302" s="91" t="str">
        <f>'11. Chapisco-Emboço-Reboco'!C568</f>
        <v>Saco 20 kg</v>
      </c>
      <c r="D302" s="87">
        <f>'11. Chapisco-Emboço-Reboco'!D568</f>
        <v>0</v>
      </c>
    </row>
    <row r="303" spans="2:4" x14ac:dyDescent="0.25">
      <c r="B303" s="88" t="str">
        <f>'11. Chapisco-Emboço-Reboco'!B569</f>
        <v>Aditivo plastificante Bianco</v>
      </c>
      <c r="C303" s="91" t="str">
        <f>'11. Chapisco-Emboço-Reboco'!C569</f>
        <v>Litros</v>
      </c>
      <c r="D303" s="87">
        <f>'11. Chapisco-Emboço-Reboco'!D569</f>
        <v>0</v>
      </c>
    </row>
    <row r="304" spans="2:4" x14ac:dyDescent="0.25">
      <c r="B304" s="110"/>
      <c r="C304" s="110"/>
      <c r="D304" s="110"/>
    </row>
    <row r="305" spans="2:4" ht="18.75" x14ac:dyDescent="0.3">
      <c r="B305" s="137" t="str">
        <f>'12. Gesso'!B2</f>
        <v>Gesso</v>
      </c>
      <c r="C305" s="137"/>
      <c r="D305" s="137"/>
    </row>
    <row r="306" spans="2:4" ht="15.75" x14ac:dyDescent="0.25">
      <c r="B306" s="134" t="str">
        <f>'12. Gesso'!B5</f>
        <v>Gesso das paredes internas</v>
      </c>
      <c r="C306" s="134"/>
      <c r="D306" s="134"/>
    </row>
    <row r="307" spans="2:4" x14ac:dyDescent="0.25">
      <c r="B307" s="108" t="s">
        <v>5</v>
      </c>
      <c r="C307" s="109" t="s">
        <v>46</v>
      </c>
      <c r="D307" s="109" t="s">
        <v>6</v>
      </c>
    </row>
    <row r="308" spans="2:4" x14ac:dyDescent="0.25">
      <c r="B308" s="88" t="str">
        <f>'12. Gesso'!B30</f>
        <v>Gesso liso aplicado</v>
      </c>
      <c r="C308" s="91" t="str">
        <f>'12. Gesso'!C30</f>
        <v>m²</v>
      </c>
      <c r="D308" s="87">
        <f>'12. Gesso'!D30</f>
        <v>0</v>
      </c>
    </row>
    <row r="309" spans="2:4" x14ac:dyDescent="0.25">
      <c r="B309" s="88" t="str">
        <f>'12. Gesso'!B31</f>
        <v>Gesso em pó secagem rápida</v>
      </c>
      <c r="C309" s="91" t="str">
        <f>'12. Gesso'!C31</f>
        <v>Saco 20 kg</v>
      </c>
      <c r="D309" s="87">
        <f>'12. Gesso'!D31</f>
        <v>0</v>
      </c>
    </row>
    <row r="310" spans="2:4" ht="15.75" x14ac:dyDescent="0.25">
      <c r="B310" s="134" t="str">
        <f>'12. Gesso'!B34</f>
        <v>Gesso do teto</v>
      </c>
      <c r="C310" s="134"/>
      <c r="D310" s="134"/>
    </row>
    <row r="311" spans="2:4" x14ac:dyDescent="0.25">
      <c r="B311" s="108" t="s">
        <v>5</v>
      </c>
      <c r="C311" s="109" t="s">
        <v>46</v>
      </c>
      <c r="D311" s="109" t="s">
        <v>6</v>
      </c>
    </row>
    <row r="312" spans="2:4" x14ac:dyDescent="0.25">
      <c r="B312" s="88" t="str">
        <f>'12. Gesso'!B55</f>
        <v>Gesso liso aplicado</v>
      </c>
      <c r="C312" s="91" t="str">
        <f>'12. Gesso'!C55</f>
        <v>m²</v>
      </c>
      <c r="D312" s="87">
        <f>'12. Gesso'!D55</f>
        <v>0</v>
      </c>
    </row>
    <row r="313" spans="2:4" x14ac:dyDescent="0.25">
      <c r="B313" s="88" t="str">
        <f>'12. Gesso'!B56</f>
        <v>Gesso em pó secagem rápida</v>
      </c>
      <c r="C313" s="91" t="str">
        <f>'12. Gesso'!C56</f>
        <v>Saco 20 kg</v>
      </c>
      <c r="D313" s="87">
        <f>'12. Gesso'!D56</f>
        <v>131.25</v>
      </c>
    </row>
    <row r="314" spans="2:4" x14ac:dyDescent="0.25">
      <c r="B314" s="110"/>
      <c r="C314" s="110"/>
      <c r="D314" s="110"/>
    </row>
    <row r="315" spans="2:4" ht="18.75" x14ac:dyDescent="0.3">
      <c r="B315" s="137" t="str">
        <f>'13. Portas'!B2</f>
        <v>Portas</v>
      </c>
      <c r="C315" s="137"/>
      <c r="D315" s="137"/>
    </row>
    <row r="316" spans="2:4" ht="15.75" x14ac:dyDescent="0.25">
      <c r="B316" s="134" t="str">
        <f>'13. Portas'!B5</f>
        <v>Portas e materiais para instalação</v>
      </c>
      <c r="C316" s="134"/>
      <c r="D316" s="134"/>
    </row>
    <row r="317" spans="2:4" x14ac:dyDescent="0.25">
      <c r="B317" s="108" t="s">
        <v>5</v>
      </c>
      <c r="C317" s="109" t="s">
        <v>46</v>
      </c>
      <c r="D317" s="109" t="s">
        <v>6</v>
      </c>
    </row>
    <row r="318" spans="2:4" x14ac:dyDescent="0.25">
      <c r="B318" s="88" t="str">
        <f>'13. Portas'!B211</f>
        <v>Espuma expansiva</v>
      </c>
      <c r="C318" s="91" t="str">
        <f>'13. Portas'!C211</f>
        <v>Tubo</v>
      </c>
      <c r="D318" s="87">
        <f>'13. Portas'!D211</f>
        <v>0</v>
      </c>
    </row>
    <row r="319" spans="2:4" x14ac:dyDescent="0.25">
      <c r="B319" s="88" t="str">
        <f>'13. Portas'!B212</f>
        <v>Kit de instalação de porta de madeira</v>
      </c>
      <c r="C319" s="91" t="str">
        <f>'13. Portas'!C212</f>
        <v>Peça</v>
      </c>
      <c r="D319" s="87">
        <f>'13. Portas'!D212</f>
        <v>0</v>
      </c>
    </row>
    <row r="320" spans="2:4" x14ac:dyDescent="0.25">
      <c r="B320" s="88" t="str">
        <f>'13. Portas'!B213</f>
        <v>Soleira para portas</v>
      </c>
      <c r="C320" s="91" t="str">
        <f>'13. Portas'!C213</f>
        <v>Peça</v>
      </c>
      <c r="D320" s="87">
        <f>'13. Portas'!D213</f>
        <v>0</v>
      </c>
    </row>
    <row r="321" spans="2:4" x14ac:dyDescent="0.25">
      <c r="B321" s="88" t="str">
        <f>'13. Portas'!B214</f>
        <v/>
      </c>
      <c r="C321" s="91" t="str">
        <f>'13. Portas'!C214</f>
        <v/>
      </c>
      <c r="D321" s="87" t="str">
        <f>'13. Portas'!D214</f>
        <v/>
      </c>
    </row>
    <row r="322" spans="2:4" x14ac:dyDescent="0.25">
      <c r="B322" s="88" t="str">
        <f>'13. Portas'!B215</f>
        <v/>
      </c>
      <c r="C322" s="91" t="str">
        <f>'13. Portas'!C215</f>
        <v/>
      </c>
      <c r="D322" s="87" t="str">
        <f>'13. Portas'!D215</f>
        <v/>
      </c>
    </row>
    <row r="323" spans="2:4" x14ac:dyDescent="0.25">
      <c r="B323" s="88" t="str">
        <f>'13. Portas'!B216</f>
        <v/>
      </c>
      <c r="C323" s="91" t="str">
        <f>'13. Portas'!C216</f>
        <v/>
      </c>
      <c r="D323" s="87" t="str">
        <f>'13. Portas'!D216</f>
        <v/>
      </c>
    </row>
    <row r="324" spans="2:4" x14ac:dyDescent="0.25">
      <c r="B324" s="88" t="str">
        <f>'13. Portas'!B217</f>
        <v/>
      </c>
      <c r="C324" s="91" t="str">
        <f>'13. Portas'!C217</f>
        <v/>
      </c>
      <c r="D324" s="87" t="str">
        <f>'13. Portas'!D217</f>
        <v/>
      </c>
    </row>
    <row r="325" spans="2:4" x14ac:dyDescent="0.25">
      <c r="B325" s="88" t="str">
        <f>'13. Portas'!B218</f>
        <v/>
      </c>
      <c r="C325" s="91" t="str">
        <f>'13. Portas'!C218</f>
        <v/>
      </c>
      <c r="D325" s="87" t="str">
        <f>'13. Portas'!D218</f>
        <v/>
      </c>
    </row>
    <row r="326" spans="2:4" x14ac:dyDescent="0.25">
      <c r="B326" s="88" t="str">
        <f>'13. Portas'!B219</f>
        <v/>
      </c>
      <c r="C326" s="91" t="str">
        <f>'13. Portas'!C219</f>
        <v/>
      </c>
      <c r="D326" s="87" t="str">
        <f>'13. Portas'!D219</f>
        <v/>
      </c>
    </row>
    <row r="327" spans="2:4" x14ac:dyDescent="0.25">
      <c r="B327" s="88" t="str">
        <f>'13. Portas'!B220</f>
        <v/>
      </c>
      <c r="C327" s="91" t="str">
        <f>'13. Portas'!C220</f>
        <v/>
      </c>
      <c r="D327" s="87" t="str">
        <f>'13. Portas'!D220</f>
        <v/>
      </c>
    </row>
    <row r="328" spans="2:4" x14ac:dyDescent="0.25">
      <c r="B328" s="88" t="str">
        <f>'13. Portas'!B221</f>
        <v/>
      </c>
      <c r="C328" s="91" t="str">
        <f>'13. Portas'!C221</f>
        <v/>
      </c>
      <c r="D328" s="87" t="str">
        <f>'13. Portas'!D221</f>
        <v/>
      </c>
    </row>
    <row r="329" spans="2:4" x14ac:dyDescent="0.25">
      <c r="B329" s="88" t="str">
        <f>'13. Portas'!B222</f>
        <v/>
      </c>
      <c r="C329" s="91" t="str">
        <f>'13. Portas'!C222</f>
        <v/>
      </c>
      <c r="D329" s="87" t="str">
        <f>'13. Portas'!D222</f>
        <v/>
      </c>
    </row>
    <row r="330" spans="2:4" x14ac:dyDescent="0.25">
      <c r="B330" s="88" t="str">
        <f>'13. Portas'!B223</f>
        <v/>
      </c>
      <c r="C330" s="91" t="str">
        <f>'13. Portas'!C223</f>
        <v/>
      </c>
      <c r="D330" s="87" t="str">
        <f>'13. Portas'!D223</f>
        <v/>
      </c>
    </row>
    <row r="331" spans="2:4" x14ac:dyDescent="0.25">
      <c r="B331" s="110"/>
      <c r="C331" s="110"/>
      <c r="D331" s="110"/>
    </row>
    <row r="332" spans="2:4" ht="18.75" x14ac:dyDescent="0.3">
      <c r="B332" s="137" t="str">
        <f>'14. Janelas'!B2</f>
        <v>Janelas</v>
      </c>
      <c r="C332" s="137"/>
      <c r="D332" s="137"/>
    </row>
    <row r="333" spans="2:4" ht="15.75" x14ac:dyDescent="0.25">
      <c r="B333" s="134" t="str">
        <f>'14. Janelas'!B5</f>
        <v>Janelas e materias para instalação</v>
      </c>
      <c r="C333" s="134"/>
      <c r="D333" s="134"/>
    </row>
    <row r="334" spans="2:4" x14ac:dyDescent="0.25">
      <c r="B334" s="108" t="s">
        <v>5</v>
      </c>
      <c r="C334" s="109" t="s">
        <v>46</v>
      </c>
      <c r="D334" s="109" t="s">
        <v>6</v>
      </c>
    </row>
    <row r="335" spans="2:4" x14ac:dyDescent="0.25">
      <c r="B335" s="88" t="str">
        <f>'14. Janelas'!B181</f>
        <v>Espuma expansiva</v>
      </c>
      <c r="C335" s="91" t="str">
        <f>'14. Janelas'!C181</f>
        <v>Tubo</v>
      </c>
      <c r="D335" s="87">
        <f>'14. Janelas'!D181</f>
        <v>0</v>
      </c>
    </row>
    <row r="336" spans="2:4" x14ac:dyDescent="0.25">
      <c r="B336" s="88" t="str">
        <f>'14. Janelas'!B182</f>
        <v>Kit de instalação de janela de madeira</v>
      </c>
      <c r="C336" s="91" t="str">
        <f>'14. Janelas'!C182</f>
        <v>Peça</v>
      </c>
      <c r="D336" s="87">
        <f>'14. Janelas'!D182</f>
        <v>0</v>
      </c>
    </row>
    <row r="337" spans="2:4" x14ac:dyDescent="0.25">
      <c r="B337" s="88" t="str">
        <f>'14. Janelas'!B183</f>
        <v>Peitoril para janela</v>
      </c>
      <c r="C337" s="91" t="str">
        <f>'14. Janelas'!C183</f>
        <v>Peça</v>
      </c>
      <c r="D337" s="87">
        <f>'14. Janelas'!D183</f>
        <v>0</v>
      </c>
    </row>
    <row r="338" spans="2:4" x14ac:dyDescent="0.25">
      <c r="B338" s="88" t="str">
        <f>'14. Janelas'!B184</f>
        <v/>
      </c>
      <c r="C338" s="91" t="str">
        <f>'14. Janelas'!C184</f>
        <v/>
      </c>
      <c r="D338" s="87" t="str">
        <f>'14. Janelas'!D184</f>
        <v/>
      </c>
    </row>
    <row r="339" spans="2:4" x14ac:dyDescent="0.25">
      <c r="B339" s="88" t="str">
        <f>'14. Janelas'!B185</f>
        <v/>
      </c>
      <c r="C339" s="91" t="str">
        <f>'14. Janelas'!C185</f>
        <v/>
      </c>
      <c r="D339" s="87" t="str">
        <f>'14. Janelas'!D185</f>
        <v/>
      </c>
    </row>
    <row r="340" spans="2:4" x14ac:dyDescent="0.25">
      <c r="B340" s="88" t="str">
        <f>'14. Janelas'!B186</f>
        <v/>
      </c>
      <c r="C340" s="91" t="str">
        <f>'14. Janelas'!C186</f>
        <v/>
      </c>
      <c r="D340" s="87" t="str">
        <f>'14. Janelas'!D186</f>
        <v/>
      </c>
    </row>
    <row r="341" spans="2:4" x14ac:dyDescent="0.25">
      <c r="B341" s="88" t="str">
        <f>'14. Janelas'!B187</f>
        <v/>
      </c>
      <c r="C341" s="91" t="str">
        <f>'14. Janelas'!C187</f>
        <v/>
      </c>
      <c r="D341" s="87" t="str">
        <f>'14. Janelas'!D187</f>
        <v/>
      </c>
    </row>
    <row r="342" spans="2:4" x14ac:dyDescent="0.25">
      <c r="B342" s="88" t="str">
        <f>'14. Janelas'!B188</f>
        <v/>
      </c>
      <c r="C342" s="91" t="str">
        <f>'14. Janelas'!C188</f>
        <v/>
      </c>
      <c r="D342" s="87" t="str">
        <f>'14. Janelas'!D188</f>
        <v/>
      </c>
    </row>
    <row r="343" spans="2:4" x14ac:dyDescent="0.25">
      <c r="B343" s="88" t="str">
        <f>'14. Janelas'!B189</f>
        <v/>
      </c>
      <c r="C343" s="91" t="str">
        <f>'14. Janelas'!C189</f>
        <v/>
      </c>
      <c r="D343" s="87" t="str">
        <f>'14. Janelas'!D189</f>
        <v/>
      </c>
    </row>
    <row r="344" spans="2:4" x14ac:dyDescent="0.25">
      <c r="B344" s="88" t="str">
        <f>'14. Janelas'!B190</f>
        <v/>
      </c>
      <c r="C344" s="91" t="str">
        <f>'14. Janelas'!C190</f>
        <v/>
      </c>
      <c r="D344" s="87" t="str">
        <f>'14. Janelas'!D190</f>
        <v/>
      </c>
    </row>
    <row r="345" spans="2:4" x14ac:dyDescent="0.25">
      <c r="B345" s="88" t="str">
        <f>'14. Janelas'!B191</f>
        <v/>
      </c>
      <c r="C345" s="91" t="str">
        <f>'14. Janelas'!C191</f>
        <v/>
      </c>
      <c r="D345" s="87" t="str">
        <f>'14. Janelas'!D191</f>
        <v/>
      </c>
    </row>
    <row r="346" spans="2:4" x14ac:dyDescent="0.25">
      <c r="B346" s="88" t="str">
        <f>'14. Janelas'!B192</f>
        <v/>
      </c>
      <c r="C346" s="91" t="str">
        <f>'14. Janelas'!C192</f>
        <v/>
      </c>
      <c r="D346" s="87" t="str">
        <f>'14. Janelas'!D192</f>
        <v/>
      </c>
    </row>
    <row r="347" spans="2:4" x14ac:dyDescent="0.25">
      <c r="B347" s="88" t="str">
        <f>'14. Janelas'!B193</f>
        <v/>
      </c>
      <c r="C347" s="91" t="str">
        <f>'14. Janelas'!C193</f>
        <v/>
      </c>
      <c r="D347" s="87" t="str">
        <f>'14. Janelas'!D193</f>
        <v/>
      </c>
    </row>
    <row r="348" spans="2:4" x14ac:dyDescent="0.25">
      <c r="B348" s="110"/>
      <c r="C348" s="110"/>
      <c r="D348" s="110"/>
    </row>
    <row r="349" spans="2:4" ht="18.75" x14ac:dyDescent="0.3">
      <c r="B349" s="137" t="str">
        <f>'15. Telhado exposto'!B2:D2</f>
        <v>Telhado exposto</v>
      </c>
      <c r="C349" s="137"/>
      <c r="D349" s="137"/>
    </row>
    <row r="350" spans="2:4" ht="15.75" x14ac:dyDescent="0.25">
      <c r="B350" s="134" t="str">
        <f>'15. Telhado exposto'!B5:D5</f>
        <v>Telhas e madeiramento do telhado exposto</v>
      </c>
      <c r="C350" s="134"/>
      <c r="D350" s="134"/>
    </row>
    <row r="351" spans="2:4" x14ac:dyDescent="0.25">
      <c r="B351" s="108" t="s">
        <v>5</v>
      </c>
      <c r="C351" s="109" t="s">
        <v>46</v>
      </c>
      <c r="D351" s="109" t="s">
        <v>6</v>
      </c>
    </row>
    <row r="352" spans="2:4" x14ac:dyDescent="0.25">
      <c r="B352" s="88" t="str">
        <f>'15. Telhado exposto'!B82</f>
        <v>Telha concreto</v>
      </c>
      <c r="C352" s="91" t="str">
        <f>'15. Telhado exposto'!C82</f>
        <v>Peça</v>
      </c>
      <c r="D352" s="87">
        <f>'15. Telhado exposto'!D82</f>
        <v>2740.5</v>
      </c>
    </row>
    <row r="353" spans="2:4" x14ac:dyDescent="0.25">
      <c r="B353" s="88" t="str">
        <f>'15. Telhado exposto'!B83</f>
        <v>Telha concreto cumeeira</v>
      </c>
      <c r="C353" s="91" t="str">
        <f>'15. Telhado exposto'!C83</f>
        <v>Peça</v>
      </c>
      <c r="D353" s="87">
        <f>'15. Telhado exposto'!D83</f>
        <v>78.75</v>
      </c>
    </row>
    <row r="354" spans="2:4" x14ac:dyDescent="0.25">
      <c r="B354" s="88" t="str">
        <f>'15. Telhado exposto'!B84</f>
        <v>Viga madeira 5 x 15 cm bruto</v>
      </c>
      <c r="C354" s="91" t="str">
        <f>'15. Telhado exposto'!C84</f>
        <v>Peça 3,0 m</v>
      </c>
      <c r="D354" s="87">
        <f>'15. Telhado exposto'!D84</f>
        <v>149.91984213972145</v>
      </c>
    </row>
    <row r="355" spans="2:4" x14ac:dyDescent="0.25">
      <c r="B355" s="88" t="str">
        <f>'15. Telhado exposto'!B85</f>
        <v>Viga madeira 5 x 11 cm bruto</v>
      </c>
      <c r="C355" s="91" t="str">
        <f>'15. Telhado exposto'!C85</f>
        <v>Peça 3,0 m</v>
      </c>
      <c r="D355" s="87">
        <f>'15. Telhado exposto'!D85</f>
        <v>80.187537387448018</v>
      </c>
    </row>
    <row r="356" spans="2:4" x14ac:dyDescent="0.25">
      <c r="B356" s="88" t="str">
        <f>'15. Telhado exposto'!B86</f>
        <v>Caibro madeira 5 x 7 cm bruto</v>
      </c>
      <c r="C356" s="91" t="str">
        <f>'15. Telhado exposto'!C86</f>
        <v>Peça 3,0 m</v>
      </c>
      <c r="D356" s="87">
        <f>'15. Telhado exposto'!D86</f>
        <v>200.78342306320857</v>
      </c>
    </row>
    <row r="357" spans="2:4" x14ac:dyDescent="0.25">
      <c r="B357" s="88" t="str">
        <f>'15. Telhado exposto'!B87</f>
        <v>Ripa madeira 1,5 x 5 cm bruto</v>
      </c>
      <c r="C357" s="91" t="str">
        <f>'15. Telhado exposto'!C87</f>
        <v>Metro Linear</v>
      </c>
      <c r="D357" s="87">
        <f>'15. Telhado exposto'!D87</f>
        <v>941.17229560879014</v>
      </c>
    </row>
    <row r="358" spans="2:4" x14ac:dyDescent="0.25">
      <c r="B358" s="88" t="str">
        <f>'15. Telhado exposto'!B88</f>
        <v>Prego aço polido c/ cabeça 17 x 27</v>
      </c>
      <c r="C358" s="91" t="str">
        <f>'15. Telhado exposto'!C88</f>
        <v>kg</v>
      </c>
      <c r="D358" s="87">
        <f>'15. Telhado exposto'!D88</f>
        <v>27</v>
      </c>
    </row>
    <row r="359" spans="2:4" x14ac:dyDescent="0.25">
      <c r="B359" s="110"/>
      <c r="C359" s="110"/>
      <c r="D359" s="110"/>
    </row>
    <row r="360" spans="2:4" ht="18.75" x14ac:dyDescent="0.3">
      <c r="B360" s="137" t="str">
        <f>'16. Pintura'!B2</f>
        <v>Pintura</v>
      </c>
      <c r="C360" s="137"/>
      <c r="D360" s="137"/>
    </row>
    <row r="361" spans="2:4" ht="15.75" x14ac:dyDescent="0.25">
      <c r="B361" s="134" t="str">
        <f>'16. Pintura'!B5</f>
        <v>Pintura das paredes internas</v>
      </c>
      <c r="C361" s="134"/>
      <c r="D361" s="134"/>
    </row>
    <row r="362" spans="2:4" x14ac:dyDescent="0.25">
      <c r="B362" s="108" t="s">
        <v>5</v>
      </c>
      <c r="C362" s="109" t="s">
        <v>46</v>
      </c>
      <c r="D362" s="109" t="s">
        <v>6</v>
      </c>
    </row>
    <row r="363" spans="2:4" x14ac:dyDescent="0.25">
      <c r="B363" s="88" t="str">
        <f>'16. Pintura'!B50</f>
        <v xml:space="preserve">Tinta </v>
      </c>
      <c r="C363" s="91" t="str">
        <f>'16. Pintura'!C50</f>
        <v>Litros</v>
      </c>
      <c r="D363" s="87">
        <f>'16. Pintura'!D50</f>
        <v>0</v>
      </c>
    </row>
    <row r="364" spans="2:4" x14ac:dyDescent="0.25">
      <c r="B364" s="88" t="str">
        <f>'16. Pintura'!B51</f>
        <v>Fundo preparador</v>
      </c>
      <c r="C364" s="91" t="str">
        <f>'16. Pintura'!C51</f>
        <v>Litros</v>
      </c>
      <c r="D364" s="87">
        <f>'16. Pintura'!D51</f>
        <v>0</v>
      </c>
    </row>
    <row r="365" spans="2:4" x14ac:dyDescent="0.25">
      <c r="B365" s="88" t="str">
        <f>'16. Pintura'!B52</f>
        <v>Rolo para pintura</v>
      </c>
      <c r="C365" s="91" t="str">
        <f>'16. Pintura'!C52</f>
        <v>Peça</v>
      </c>
      <c r="D365" s="87">
        <f>'16. Pintura'!D52</f>
        <v>0</v>
      </c>
    </row>
    <row r="366" spans="2:4" x14ac:dyDescent="0.25">
      <c r="B366" s="88" t="str">
        <f>'16. Pintura'!B53</f>
        <v>Pincel para pintura</v>
      </c>
      <c r="C366" s="91" t="str">
        <f>'16. Pintura'!C53</f>
        <v>Peça</v>
      </c>
      <c r="D366" s="87">
        <f>'16. Pintura'!D53</f>
        <v>0</v>
      </c>
    </row>
    <row r="367" spans="2:4" x14ac:dyDescent="0.25">
      <c r="B367" s="88" t="str">
        <f>'16. Pintura'!B54</f>
        <v>Fita crepe larga</v>
      </c>
      <c r="C367" s="91" t="str">
        <f>'16. Pintura'!C54</f>
        <v>Peça</v>
      </c>
      <c r="D367" s="87">
        <f>'16. Pintura'!D54</f>
        <v>0</v>
      </c>
    </row>
    <row r="368" spans="2:4" x14ac:dyDescent="0.25">
      <c r="B368" s="88" t="str">
        <f>'16. Pintura'!B55</f>
        <v>Lixa para parede</v>
      </c>
      <c r="C368" s="91" t="str">
        <f>'16. Pintura'!C55</f>
        <v>Peça</v>
      </c>
      <c r="D368" s="87">
        <f>'16. Pintura'!D55</f>
        <v>0</v>
      </c>
    </row>
    <row r="369" spans="2:4" ht="15.75" x14ac:dyDescent="0.25">
      <c r="B369" s="134" t="str">
        <f>'16. Pintura'!B58</f>
        <v>Pintura das paredes externas</v>
      </c>
      <c r="C369" s="134"/>
      <c r="D369" s="134"/>
    </row>
    <row r="370" spans="2:4" x14ac:dyDescent="0.25">
      <c r="B370" s="108" t="s">
        <v>5</v>
      </c>
      <c r="C370" s="109" t="s">
        <v>46</v>
      </c>
      <c r="D370" s="109" t="s">
        <v>6</v>
      </c>
    </row>
    <row r="371" spans="2:4" x14ac:dyDescent="0.25">
      <c r="B371" s="88" t="str">
        <f>'16. Pintura'!B102</f>
        <v xml:space="preserve">Tinta </v>
      </c>
      <c r="C371" s="91" t="str">
        <f>'16. Pintura'!C102</f>
        <v>Litros</v>
      </c>
      <c r="D371" s="87">
        <f>'16. Pintura'!D102</f>
        <v>0</v>
      </c>
    </row>
    <row r="372" spans="2:4" x14ac:dyDescent="0.25">
      <c r="B372" s="88" t="str">
        <f>'16. Pintura'!B103</f>
        <v>Fundo preparador</v>
      </c>
      <c r="C372" s="91" t="str">
        <f>'16. Pintura'!C103</f>
        <v>Litros</v>
      </c>
      <c r="D372" s="87">
        <f>'16. Pintura'!D103</f>
        <v>0</v>
      </c>
    </row>
    <row r="373" spans="2:4" x14ac:dyDescent="0.25">
      <c r="B373" s="88" t="str">
        <f>'16. Pintura'!B104</f>
        <v>Rolo para pintura</v>
      </c>
      <c r="C373" s="91" t="str">
        <f>'16. Pintura'!C104</f>
        <v>Peça</v>
      </c>
      <c r="D373" s="87">
        <f>'16. Pintura'!D104</f>
        <v>0</v>
      </c>
    </row>
    <row r="374" spans="2:4" x14ac:dyDescent="0.25">
      <c r="B374" s="88" t="str">
        <f>'16. Pintura'!B105</f>
        <v>Pincel para pintura</v>
      </c>
      <c r="C374" s="91" t="str">
        <f>'16. Pintura'!C105</f>
        <v>Peça</v>
      </c>
      <c r="D374" s="87">
        <f>'16. Pintura'!D105</f>
        <v>0</v>
      </c>
    </row>
    <row r="375" spans="2:4" x14ac:dyDescent="0.25">
      <c r="B375" s="88" t="str">
        <f>'16. Pintura'!B106</f>
        <v>Fita crepe larga</v>
      </c>
      <c r="C375" s="91" t="str">
        <f>'16. Pintura'!C106</f>
        <v>Peça</v>
      </c>
      <c r="D375" s="87">
        <f>'16. Pintura'!D106</f>
        <v>0</v>
      </c>
    </row>
    <row r="376" spans="2:4" x14ac:dyDescent="0.25">
      <c r="B376" s="88" t="str">
        <f>'16. Pintura'!B107</f>
        <v>Lixa para parede</v>
      </c>
      <c r="C376" s="91" t="str">
        <f>'16. Pintura'!C107</f>
        <v>Peça</v>
      </c>
      <c r="D376" s="87">
        <f>'16. Pintura'!D107</f>
        <v>0</v>
      </c>
    </row>
    <row r="377" spans="2:4" ht="15.75" x14ac:dyDescent="0.25">
      <c r="B377" s="134" t="str">
        <f>'16. Pintura'!B110</f>
        <v>Pintura do teto</v>
      </c>
      <c r="C377" s="134"/>
      <c r="D377" s="134"/>
    </row>
    <row r="378" spans="2:4" x14ac:dyDescent="0.25">
      <c r="B378" s="108" t="s">
        <v>5</v>
      </c>
      <c r="C378" s="109" t="s">
        <v>46</v>
      </c>
      <c r="D378" s="109" t="s">
        <v>6</v>
      </c>
    </row>
    <row r="379" spans="2:4" x14ac:dyDescent="0.25">
      <c r="B379" s="88" t="str">
        <f>'16. Pintura'!B151</f>
        <v xml:space="preserve">Tinta </v>
      </c>
      <c r="C379" s="91" t="str">
        <f>'16. Pintura'!C151</f>
        <v>Litros</v>
      </c>
      <c r="D379" s="87">
        <f>'16. Pintura'!D151</f>
        <v>0</v>
      </c>
    </row>
    <row r="380" spans="2:4" x14ac:dyDescent="0.25">
      <c r="B380" s="88" t="str">
        <f>'16. Pintura'!B152</f>
        <v>Fundo preparador</v>
      </c>
      <c r="C380" s="91" t="str">
        <f>'16. Pintura'!C152</f>
        <v>Litros</v>
      </c>
      <c r="D380" s="87">
        <f>'16. Pintura'!D152</f>
        <v>0</v>
      </c>
    </row>
    <row r="381" spans="2:4" x14ac:dyDescent="0.25">
      <c r="B381" s="88" t="str">
        <f>'16. Pintura'!B153</f>
        <v>Rolo para pintura</v>
      </c>
      <c r="C381" s="91" t="str">
        <f>'16. Pintura'!C153</f>
        <v>Peça</v>
      </c>
      <c r="D381" s="87">
        <f>'16. Pintura'!D153</f>
        <v>0</v>
      </c>
    </row>
    <row r="382" spans="2:4" x14ac:dyDescent="0.25">
      <c r="B382" s="88" t="str">
        <f>'16. Pintura'!B154</f>
        <v>Pincel para pintura</v>
      </c>
      <c r="C382" s="91" t="str">
        <f>'16. Pintura'!C154</f>
        <v>Peça</v>
      </c>
      <c r="D382" s="87">
        <f>'16. Pintura'!D154</f>
        <v>0</v>
      </c>
    </row>
    <row r="383" spans="2:4" x14ac:dyDescent="0.25">
      <c r="B383" s="88" t="str">
        <f>'16. Pintura'!B155</f>
        <v>Fita crepe larga</v>
      </c>
      <c r="C383" s="91" t="str">
        <f>'16. Pintura'!C155</f>
        <v>Peça</v>
      </c>
      <c r="D383" s="87">
        <f>'16. Pintura'!D155</f>
        <v>0</v>
      </c>
    </row>
    <row r="384" spans="2:4" x14ac:dyDescent="0.25">
      <c r="B384" s="88" t="str">
        <f>'16. Pintura'!B156</f>
        <v>Lixa para parede</v>
      </c>
      <c r="C384" s="91" t="str">
        <f>'16. Pintura'!C156</f>
        <v>Peça</v>
      </c>
      <c r="D384" s="87">
        <f>'16. Pintura'!D156</f>
        <v>0</v>
      </c>
    </row>
    <row r="385" spans="2:4" x14ac:dyDescent="0.25">
      <c r="B385" s="110"/>
      <c r="C385" s="110"/>
      <c r="D385" s="110"/>
    </row>
    <row r="386" spans="2:4" ht="18.75" x14ac:dyDescent="0.3">
      <c r="B386" s="137" t="str">
        <f>'17. Pisos'!B2</f>
        <v>Pisos</v>
      </c>
      <c r="C386" s="137"/>
      <c r="D386" s="137"/>
    </row>
    <row r="387" spans="2:4" ht="15.75" x14ac:dyDescent="0.25">
      <c r="B387" s="134" t="str">
        <f>'17. Pisos'!B5</f>
        <v>Pisos ambiente interno seco</v>
      </c>
      <c r="C387" s="134"/>
      <c r="D387" s="134"/>
    </row>
    <row r="388" spans="2:4" x14ac:dyDescent="0.25">
      <c r="B388" s="108" t="s">
        <v>5</v>
      </c>
      <c r="C388" s="109" t="s">
        <v>46</v>
      </c>
      <c r="D388" s="109" t="s">
        <v>6</v>
      </c>
    </row>
    <row r="389" spans="2:4" x14ac:dyDescent="0.25">
      <c r="B389" s="88" t="str">
        <f>'17. Pisos'!B36</f>
        <v>Piso cerâmico,  x  cm</v>
      </c>
      <c r="C389" s="91" t="str">
        <f>'17. Pisos'!C36</f>
        <v>m²</v>
      </c>
      <c r="D389" s="87">
        <f>'17. Pisos'!D36</f>
        <v>0</v>
      </c>
    </row>
    <row r="390" spans="2:4" x14ac:dyDescent="0.25">
      <c r="B390" s="88" t="str">
        <f>'17. Pisos'!B37</f>
        <v>Porcelanato,  x  cm</v>
      </c>
      <c r="C390" s="91" t="str">
        <f>'17. Pisos'!C37</f>
        <v>m²</v>
      </c>
      <c r="D390" s="87">
        <f>'17. Pisos'!D37</f>
        <v>0</v>
      </c>
    </row>
    <row r="391" spans="2:4" x14ac:dyDescent="0.25">
      <c r="B391" s="88" t="str">
        <f>'17. Pisos'!B38</f>
        <v>Piso cimentício,  x  cm</v>
      </c>
      <c r="C391" s="91" t="str">
        <f>'17. Pisos'!C38</f>
        <v>m²</v>
      </c>
      <c r="D391" s="87">
        <f>'17. Pisos'!D38</f>
        <v>0</v>
      </c>
    </row>
    <row r="392" spans="2:4" x14ac:dyDescent="0.25">
      <c r="B392" s="88" t="str">
        <f>'17. Pisos'!B39</f>
        <v>Argamassa colante AC-I</v>
      </c>
      <c r="C392" s="91" t="str">
        <f>'17. Pisos'!C39</f>
        <v>Saco 20 kg</v>
      </c>
      <c r="D392" s="87">
        <f>'17. Pisos'!D39</f>
        <v>0</v>
      </c>
    </row>
    <row r="393" spans="2:4" x14ac:dyDescent="0.25">
      <c r="B393" s="88" t="str">
        <f>'17. Pisos'!B40</f>
        <v>Rejunte cimentício</v>
      </c>
      <c r="C393" s="91" t="str">
        <f>'17. Pisos'!C40</f>
        <v>Saco 5 kg</v>
      </c>
      <c r="D393" s="87">
        <f>'17. Pisos'!D40</f>
        <v>0</v>
      </c>
    </row>
    <row r="394" spans="2:4" x14ac:dyDescent="0.25">
      <c r="B394" s="88" t="str">
        <f>'17. Pisos'!B41</f>
        <v>Espaçador nivelador</v>
      </c>
      <c r="C394" s="91" t="str">
        <f>'17. Pisos'!C41</f>
        <v>Pacote 50 pç</v>
      </c>
      <c r="D394" s="87">
        <f>'17. Pisos'!D41</f>
        <v>0</v>
      </c>
    </row>
    <row r="395" spans="2:4" ht="15.75" x14ac:dyDescent="0.25">
      <c r="B395" s="134" t="str">
        <f>'17. Pisos'!B44</f>
        <v>Pisos ambiente interno úmido</v>
      </c>
      <c r="C395" s="134"/>
      <c r="D395" s="134"/>
    </row>
    <row r="396" spans="2:4" x14ac:dyDescent="0.25">
      <c r="B396" s="108" t="s">
        <v>5</v>
      </c>
      <c r="C396" s="109" t="s">
        <v>46</v>
      </c>
      <c r="D396" s="109" t="s">
        <v>6</v>
      </c>
    </row>
    <row r="397" spans="2:4" x14ac:dyDescent="0.25">
      <c r="B397" s="88" t="str">
        <f>'17. Pisos'!B75</f>
        <v>Piso cerâmico,  x  cm</v>
      </c>
      <c r="C397" s="91" t="str">
        <f>'17. Pisos'!C75</f>
        <v>m²</v>
      </c>
      <c r="D397" s="87">
        <f>'17. Pisos'!D75</f>
        <v>0</v>
      </c>
    </row>
    <row r="398" spans="2:4" x14ac:dyDescent="0.25">
      <c r="B398" s="88" t="str">
        <f>'17. Pisos'!B76</f>
        <v>Porcelanato,  x  cm</v>
      </c>
      <c r="C398" s="91" t="str">
        <f>'17. Pisos'!C76</f>
        <v>m²</v>
      </c>
      <c r="D398" s="87">
        <f>'17. Pisos'!D76</f>
        <v>0</v>
      </c>
    </row>
    <row r="399" spans="2:4" x14ac:dyDescent="0.25">
      <c r="B399" s="88" t="str">
        <f>'17. Pisos'!B77</f>
        <v>Piso cimentício,  x  cm</v>
      </c>
      <c r="C399" s="91" t="str">
        <f>'17. Pisos'!C77</f>
        <v>m²</v>
      </c>
      <c r="D399" s="87">
        <f>'17. Pisos'!D77</f>
        <v>0</v>
      </c>
    </row>
    <row r="400" spans="2:4" x14ac:dyDescent="0.25">
      <c r="B400" s="88" t="str">
        <f>'17. Pisos'!B78</f>
        <v>Argamassa colante AC-I</v>
      </c>
      <c r="C400" s="91" t="str">
        <f>'17. Pisos'!C78</f>
        <v>Saco 20 kg</v>
      </c>
      <c r="D400" s="87">
        <f>'17. Pisos'!D78</f>
        <v>0</v>
      </c>
    </row>
    <row r="401" spans="2:4" x14ac:dyDescent="0.25">
      <c r="B401" s="88" t="str">
        <f>'17. Pisos'!B79</f>
        <v>Argamassa colante AC-II</v>
      </c>
      <c r="C401" s="91" t="str">
        <f>'17. Pisos'!C79</f>
        <v>Saco 20 kg</v>
      </c>
      <c r="D401" s="87">
        <f>'17. Pisos'!D79</f>
        <v>0</v>
      </c>
    </row>
    <row r="402" spans="2:4" x14ac:dyDescent="0.25">
      <c r="B402" s="88" t="str">
        <f>'17. Pisos'!B80</f>
        <v>Rejunte acrílico</v>
      </c>
      <c r="C402" s="91" t="str">
        <f>'17. Pisos'!C80</f>
        <v>Saco 5 kg</v>
      </c>
      <c r="D402" s="87">
        <f>'17. Pisos'!D80</f>
        <v>0</v>
      </c>
    </row>
    <row r="403" spans="2:4" x14ac:dyDescent="0.25">
      <c r="B403" s="88" t="str">
        <f>'17. Pisos'!B81</f>
        <v>Espaçador nivelador</v>
      </c>
      <c r="C403" s="91" t="str">
        <f>'17. Pisos'!C81</f>
        <v>Pacote 50 pç</v>
      </c>
      <c r="D403" s="87">
        <f>'17. Pisos'!D81</f>
        <v>0</v>
      </c>
    </row>
    <row r="404" spans="2:4" ht="15.75" x14ac:dyDescent="0.25">
      <c r="B404" s="134" t="str">
        <f>'17. Pisos'!B84</f>
        <v>Pisos ambiente externo seco</v>
      </c>
      <c r="C404" s="134"/>
      <c r="D404" s="134"/>
    </row>
    <row r="405" spans="2:4" x14ac:dyDescent="0.25">
      <c r="B405" s="108" t="s">
        <v>5</v>
      </c>
      <c r="C405" s="109" t="s">
        <v>46</v>
      </c>
      <c r="D405" s="109" t="s">
        <v>6</v>
      </c>
    </row>
    <row r="406" spans="2:4" x14ac:dyDescent="0.25">
      <c r="B406" s="88" t="str">
        <f>'17. Pisos'!B115</f>
        <v>Piso cerâmico,  x  cm</v>
      </c>
      <c r="C406" s="91" t="str">
        <f>'17. Pisos'!C115</f>
        <v>m²</v>
      </c>
      <c r="D406" s="87">
        <f>'17. Pisos'!D115</f>
        <v>0</v>
      </c>
    </row>
    <row r="407" spans="2:4" x14ac:dyDescent="0.25">
      <c r="B407" s="88" t="str">
        <f>'17. Pisos'!B116</f>
        <v>Porcelanato,  x  cm</v>
      </c>
      <c r="C407" s="91" t="str">
        <f>'17. Pisos'!C116</f>
        <v>m²</v>
      </c>
      <c r="D407" s="87">
        <f>'17. Pisos'!D116</f>
        <v>0</v>
      </c>
    </row>
    <row r="408" spans="2:4" x14ac:dyDescent="0.25">
      <c r="B408" s="88" t="str">
        <f>'17. Pisos'!B117</f>
        <v>Piso cimentício,  x  cm</v>
      </c>
      <c r="C408" s="91" t="str">
        <f>'17. Pisos'!C117</f>
        <v>m²</v>
      </c>
      <c r="D408" s="87">
        <f>'17. Pisos'!D117</f>
        <v>0</v>
      </c>
    </row>
    <row r="409" spans="2:4" x14ac:dyDescent="0.25">
      <c r="B409" s="88" t="str">
        <f>'17. Pisos'!B118</f>
        <v>Argamassa colante AC-II</v>
      </c>
      <c r="C409" s="91" t="str">
        <f>'17. Pisos'!C118</f>
        <v>Saco 20 kg</v>
      </c>
      <c r="D409" s="87">
        <f>'17. Pisos'!D118</f>
        <v>0</v>
      </c>
    </row>
    <row r="410" spans="2:4" x14ac:dyDescent="0.25">
      <c r="B410" s="88" t="str">
        <f>'17. Pisos'!B119</f>
        <v>Rejunte acrílico</v>
      </c>
      <c r="C410" s="91" t="str">
        <f>'17. Pisos'!C119</f>
        <v>Saco 5 kg</v>
      </c>
      <c r="D410" s="87">
        <f>'17. Pisos'!D119</f>
        <v>0</v>
      </c>
    </row>
    <row r="411" spans="2:4" x14ac:dyDescent="0.25">
      <c r="B411" s="88" t="str">
        <f>'17. Pisos'!B120</f>
        <v>Espaçador nivelador</v>
      </c>
      <c r="C411" s="91" t="str">
        <f>'17. Pisos'!C120</f>
        <v>Pacote 50 pç</v>
      </c>
      <c r="D411" s="87">
        <f>'17. Pisos'!D120</f>
        <v>0</v>
      </c>
    </row>
    <row r="412" spans="2:4" ht="15.75" x14ac:dyDescent="0.25">
      <c r="B412" s="134" t="str">
        <f>'17. Pisos'!B123</f>
        <v>Pisos ambiente externo úmido</v>
      </c>
      <c r="C412" s="134"/>
      <c r="D412" s="134"/>
    </row>
    <row r="413" spans="2:4" x14ac:dyDescent="0.25">
      <c r="B413" s="108" t="s">
        <v>5</v>
      </c>
      <c r="C413" s="109" t="s">
        <v>46</v>
      </c>
      <c r="D413" s="109" t="s">
        <v>6</v>
      </c>
    </row>
    <row r="414" spans="2:4" x14ac:dyDescent="0.25">
      <c r="B414" s="88" t="str">
        <f>'17. Pisos'!B154</f>
        <v>Piso cerâmico,  x  cm</v>
      </c>
      <c r="C414" s="91" t="str">
        <f>'17. Pisos'!C154</f>
        <v>m²</v>
      </c>
      <c r="D414" s="87">
        <f>'17. Pisos'!D154</f>
        <v>0</v>
      </c>
    </row>
    <row r="415" spans="2:4" x14ac:dyDescent="0.25">
      <c r="B415" s="88" t="str">
        <f>'17. Pisos'!B155</f>
        <v>Porcelanato,  x  cm</v>
      </c>
      <c r="C415" s="91" t="str">
        <f>'17. Pisos'!C155</f>
        <v>m²</v>
      </c>
      <c r="D415" s="87">
        <f>'17. Pisos'!D155</f>
        <v>0</v>
      </c>
    </row>
    <row r="416" spans="2:4" x14ac:dyDescent="0.25">
      <c r="B416" s="88" t="str">
        <f>'17. Pisos'!B156</f>
        <v>Piso cimentício,  x  cm</v>
      </c>
      <c r="C416" s="91" t="str">
        <f>'17. Pisos'!C156</f>
        <v>m²</v>
      </c>
      <c r="D416" s="87">
        <f>'17. Pisos'!D156</f>
        <v>0</v>
      </c>
    </row>
    <row r="417" spans="2:4" x14ac:dyDescent="0.25">
      <c r="B417" s="88" t="str">
        <f>'17. Pisos'!B157</f>
        <v>Argamassa colante AC-II</v>
      </c>
      <c r="C417" s="91" t="str">
        <f>'17. Pisos'!C157</f>
        <v>Saco 20 kg</v>
      </c>
      <c r="D417" s="87">
        <f>'17. Pisos'!D157</f>
        <v>0</v>
      </c>
    </row>
    <row r="418" spans="2:4" x14ac:dyDescent="0.25">
      <c r="B418" s="88" t="str">
        <f>'17. Pisos'!B158</f>
        <v>Argamassa colante AC-III</v>
      </c>
      <c r="C418" s="91" t="str">
        <f>'17. Pisos'!C158</f>
        <v>Saco 20 kg</v>
      </c>
      <c r="D418" s="87">
        <f>'17. Pisos'!D158</f>
        <v>0</v>
      </c>
    </row>
    <row r="419" spans="2:4" x14ac:dyDescent="0.25">
      <c r="B419" s="88" t="str">
        <f>'17. Pisos'!B159</f>
        <v>Rejunte epóxi</v>
      </c>
      <c r="C419" s="91" t="str">
        <f>'17. Pisos'!C159</f>
        <v>Saco 5 kg</v>
      </c>
      <c r="D419" s="87">
        <f>'17. Pisos'!D159</f>
        <v>0</v>
      </c>
    </row>
    <row r="420" spans="2:4" x14ac:dyDescent="0.25">
      <c r="B420" s="88" t="str">
        <f>'17. Pisos'!B160</f>
        <v>Espaçador nivelador</v>
      </c>
      <c r="C420" s="91" t="str">
        <f>'17. Pisos'!C160</f>
        <v>Pacote 50 pç</v>
      </c>
      <c r="D420" s="87">
        <f>'17. Pisos'!D160</f>
        <v>0</v>
      </c>
    </row>
    <row r="421" spans="2:4" x14ac:dyDescent="0.25">
      <c r="B421" s="110"/>
      <c r="C421" s="110"/>
      <c r="D421" s="110"/>
    </row>
    <row r="422" spans="2:4" ht="18.75" x14ac:dyDescent="0.3">
      <c r="B422" s="137" t="str">
        <f>'18. Revestimentos'!B2</f>
        <v>Revestimentos</v>
      </c>
      <c r="C422" s="137"/>
      <c r="D422" s="137"/>
    </row>
    <row r="423" spans="2:4" ht="15.75" x14ac:dyDescent="0.25">
      <c r="B423" s="134" t="str">
        <f>'18. Revestimentos'!B5</f>
        <v>Revestimentos ambiente interno seco</v>
      </c>
      <c r="C423" s="134"/>
      <c r="D423" s="134"/>
    </row>
    <row r="424" spans="2:4" x14ac:dyDescent="0.25">
      <c r="B424" s="108" t="s">
        <v>5</v>
      </c>
      <c r="C424" s="109" t="s">
        <v>46</v>
      </c>
      <c r="D424" s="109" t="s">
        <v>6</v>
      </c>
    </row>
    <row r="425" spans="2:4" x14ac:dyDescent="0.25">
      <c r="B425" s="88" t="str">
        <f>'18. Revestimentos'!B36</f>
        <v>Azulejos,  x  cm</v>
      </c>
      <c r="C425" s="91" t="str">
        <f>'18. Revestimentos'!C36</f>
        <v>m²</v>
      </c>
      <c r="D425" s="87">
        <f>'18. Revestimentos'!D36</f>
        <v>0</v>
      </c>
    </row>
    <row r="426" spans="2:4" x14ac:dyDescent="0.25">
      <c r="B426" s="88" t="str">
        <f>'18. Revestimentos'!B37</f>
        <v>Porcelanato,  x  cm</v>
      </c>
      <c r="C426" s="91" t="str">
        <f>'18. Revestimentos'!C37</f>
        <v>m²</v>
      </c>
      <c r="D426" s="87">
        <f>'18. Revestimentos'!D37</f>
        <v>0</v>
      </c>
    </row>
    <row r="427" spans="2:4" x14ac:dyDescent="0.25">
      <c r="B427" s="88" t="str">
        <f>'18. Revestimentos'!B38</f>
        <v>Pastilhas,  x  cm</v>
      </c>
      <c r="C427" s="91" t="str">
        <f>'18. Revestimentos'!C38</f>
        <v>m²</v>
      </c>
      <c r="D427" s="87">
        <f>'18. Revestimentos'!D38</f>
        <v>0</v>
      </c>
    </row>
    <row r="428" spans="2:4" x14ac:dyDescent="0.25">
      <c r="B428" s="88" t="str">
        <f>'18. Revestimentos'!B39</f>
        <v>Argamassa colante AC-I</v>
      </c>
      <c r="C428" s="91" t="str">
        <f>'18. Revestimentos'!C39</f>
        <v>Saco 20 kg</v>
      </c>
      <c r="D428" s="87">
        <f>'18. Revestimentos'!D39</f>
        <v>0</v>
      </c>
    </row>
    <row r="429" spans="2:4" x14ac:dyDescent="0.25">
      <c r="B429" s="88" t="str">
        <f>'18. Revestimentos'!B40</f>
        <v>Rejunte cimentício</v>
      </c>
      <c r="C429" s="91" t="str">
        <f>'18. Revestimentos'!C40</f>
        <v>Saco 5 kg</v>
      </c>
      <c r="D429" s="87">
        <f>'18. Revestimentos'!D40</f>
        <v>0</v>
      </c>
    </row>
    <row r="430" spans="2:4" x14ac:dyDescent="0.25">
      <c r="B430" s="88" t="str">
        <f>'18. Revestimentos'!B41</f>
        <v>Espaçador nivelador</v>
      </c>
      <c r="C430" s="91" t="str">
        <f>'18. Revestimentos'!C41</f>
        <v>Pacote 50 pç</v>
      </c>
      <c r="D430" s="87">
        <f>'18. Revestimentos'!D41</f>
        <v>0</v>
      </c>
    </row>
    <row r="431" spans="2:4" ht="15.75" x14ac:dyDescent="0.25">
      <c r="B431" s="134" t="str">
        <f>'18. Revestimentos'!B44</f>
        <v>Revestimentos ambiente interno úmido</v>
      </c>
      <c r="C431" s="134"/>
      <c r="D431" s="134"/>
    </row>
    <row r="432" spans="2:4" x14ac:dyDescent="0.25">
      <c r="B432" s="108" t="s">
        <v>5</v>
      </c>
      <c r="C432" s="109" t="s">
        <v>46</v>
      </c>
      <c r="D432" s="109" t="s">
        <v>6</v>
      </c>
    </row>
    <row r="433" spans="2:4" x14ac:dyDescent="0.25">
      <c r="B433" s="88" t="str">
        <f>'18. Revestimentos'!B75</f>
        <v>Azulejos,  x  cm</v>
      </c>
      <c r="C433" s="91" t="str">
        <f>'18. Revestimentos'!C75</f>
        <v>m²</v>
      </c>
      <c r="D433" s="87">
        <f>'18. Revestimentos'!D75</f>
        <v>0</v>
      </c>
    </row>
    <row r="434" spans="2:4" x14ac:dyDescent="0.25">
      <c r="B434" s="88" t="str">
        <f>'18. Revestimentos'!B76</f>
        <v>Porcelanato,  x  cm</v>
      </c>
      <c r="C434" s="91" t="str">
        <f>'18. Revestimentos'!C76</f>
        <v>m²</v>
      </c>
      <c r="D434" s="87">
        <f>'18. Revestimentos'!D76</f>
        <v>0</v>
      </c>
    </row>
    <row r="435" spans="2:4" x14ac:dyDescent="0.25">
      <c r="B435" s="88" t="str">
        <f>'18. Revestimentos'!B77</f>
        <v>Pastilhas,  x  cm</v>
      </c>
      <c r="C435" s="91" t="str">
        <f>'18. Revestimentos'!C77</f>
        <v>m²</v>
      </c>
      <c r="D435" s="87">
        <f>'18. Revestimentos'!D77</f>
        <v>0</v>
      </c>
    </row>
    <row r="436" spans="2:4" x14ac:dyDescent="0.25">
      <c r="B436" s="88" t="str">
        <f>'18. Revestimentos'!B78</f>
        <v>Argamassa colante AC-I</v>
      </c>
      <c r="C436" s="91" t="str">
        <f>'18. Revestimentos'!C78</f>
        <v>Saco 20 kg</v>
      </c>
      <c r="D436" s="87">
        <f>'18. Revestimentos'!D78</f>
        <v>0</v>
      </c>
    </row>
    <row r="437" spans="2:4" x14ac:dyDescent="0.25">
      <c r="B437" s="88" t="str">
        <f>'18. Revestimentos'!B79</f>
        <v>Argamassa colante AC-II</v>
      </c>
      <c r="C437" s="91" t="str">
        <f>'18. Revestimentos'!C79</f>
        <v>Saco 20 kg</v>
      </c>
      <c r="D437" s="87">
        <f>'18. Revestimentos'!D79</f>
        <v>0</v>
      </c>
    </row>
    <row r="438" spans="2:4" x14ac:dyDescent="0.25">
      <c r="B438" s="88" t="str">
        <f>'18. Revestimentos'!B80</f>
        <v>Rejunte acrílico</v>
      </c>
      <c r="C438" s="91" t="str">
        <f>'18. Revestimentos'!C80</f>
        <v>Saco 5 kg</v>
      </c>
      <c r="D438" s="87">
        <f>'18. Revestimentos'!D80</f>
        <v>0</v>
      </c>
    </row>
    <row r="439" spans="2:4" x14ac:dyDescent="0.25">
      <c r="B439" s="88" t="str">
        <f>'18. Revestimentos'!B81</f>
        <v>Espaçador nivelador</v>
      </c>
      <c r="C439" s="91" t="str">
        <f>'18. Revestimentos'!C81</f>
        <v>Pacote 50 pç</v>
      </c>
      <c r="D439" s="87">
        <f>'18. Revestimentos'!D81</f>
        <v>0</v>
      </c>
    </row>
    <row r="440" spans="2:4" ht="15.75" x14ac:dyDescent="0.25">
      <c r="B440" s="134" t="str">
        <f>'18. Revestimentos'!B84</f>
        <v>Revestimentos ambiente externo seco</v>
      </c>
      <c r="C440" s="134"/>
      <c r="D440" s="134"/>
    </row>
    <row r="441" spans="2:4" x14ac:dyDescent="0.25">
      <c r="B441" s="108" t="s">
        <v>5</v>
      </c>
      <c r="C441" s="109" t="s">
        <v>46</v>
      </c>
      <c r="D441" s="109" t="s">
        <v>6</v>
      </c>
    </row>
    <row r="442" spans="2:4" x14ac:dyDescent="0.25">
      <c r="B442" s="88" t="str">
        <f>'18. Revestimentos'!B115</f>
        <v>Azulejos,  x  cm</v>
      </c>
      <c r="C442" s="91" t="str">
        <f>'18. Revestimentos'!C115</f>
        <v>m²</v>
      </c>
      <c r="D442" s="87">
        <f>'18. Revestimentos'!D115</f>
        <v>0</v>
      </c>
    </row>
    <row r="443" spans="2:4" x14ac:dyDescent="0.25">
      <c r="B443" s="88" t="str">
        <f>'18. Revestimentos'!B116</f>
        <v>Porcelanato,  x  cm</v>
      </c>
      <c r="C443" s="91" t="str">
        <f>'18. Revestimentos'!C116</f>
        <v>m²</v>
      </c>
      <c r="D443" s="87">
        <f>'18. Revestimentos'!D116</f>
        <v>0</v>
      </c>
    </row>
    <row r="444" spans="2:4" x14ac:dyDescent="0.25">
      <c r="B444" s="88" t="str">
        <f>'18. Revestimentos'!B117</f>
        <v>Pastilhas,  x  cm</v>
      </c>
      <c r="C444" s="91" t="str">
        <f>'18. Revestimentos'!C117</f>
        <v>m²</v>
      </c>
      <c r="D444" s="87">
        <f>'18. Revestimentos'!D117</f>
        <v>0</v>
      </c>
    </row>
    <row r="445" spans="2:4" x14ac:dyDescent="0.25">
      <c r="B445" s="88" t="str">
        <f>'18. Revestimentos'!B118</f>
        <v>Argamassa colante AC-II</v>
      </c>
      <c r="C445" s="91" t="str">
        <f>'18. Revestimentos'!C118</f>
        <v>Saco 20 kg</v>
      </c>
      <c r="D445" s="87">
        <f>'18. Revestimentos'!D118</f>
        <v>0</v>
      </c>
    </row>
    <row r="446" spans="2:4" x14ac:dyDescent="0.25">
      <c r="B446" s="88" t="str">
        <f>'18. Revestimentos'!B119</f>
        <v>Rejunte acrílico</v>
      </c>
      <c r="C446" s="91" t="str">
        <f>'18. Revestimentos'!C119</f>
        <v>Saco 5 kg</v>
      </c>
      <c r="D446" s="87">
        <f>'18. Revestimentos'!D119</f>
        <v>0</v>
      </c>
    </row>
    <row r="447" spans="2:4" x14ac:dyDescent="0.25">
      <c r="B447" s="88" t="str">
        <f>'18. Revestimentos'!B120</f>
        <v>Espaçador nivelador</v>
      </c>
      <c r="C447" s="91" t="str">
        <f>'18. Revestimentos'!C120</f>
        <v>Pacote 50 pç</v>
      </c>
      <c r="D447" s="87">
        <f>'18. Revestimentos'!D120</f>
        <v>0</v>
      </c>
    </row>
    <row r="448" spans="2:4" ht="15.75" x14ac:dyDescent="0.25">
      <c r="B448" s="134" t="str">
        <f>'18. Revestimentos'!B123</f>
        <v>Revestimentos ambiente externo úmido</v>
      </c>
      <c r="C448" s="134"/>
      <c r="D448" s="134"/>
    </row>
    <row r="449" spans="2:4" x14ac:dyDescent="0.25">
      <c r="B449" s="108" t="s">
        <v>5</v>
      </c>
      <c r="C449" s="109" t="s">
        <v>46</v>
      </c>
      <c r="D449" s="109" t="s">
        <v>6</v>
      </c>
    </row>
    <row r="450" spans="2:4" x14ac:dyDescent="0.25">
      <c r="B450" s="88" t="str">
        <f>'18. Revestimentos'!B154</f>
        <v>Azulejos,  x  cm</v>
      </c>
      <c r="C450" s="91" t="str">
        <f>'18. Revestimentos'!C154</f>
        <v>m²</v>
      </c>
      <c r="D450" s="87">
        <f>'18. Revestimentos'!D154</f>
        <v>0</v>
      </c>
    </row>
    <row r="451" spans="2:4" x14ac:dyDescent="0.25">
      <c r="B451" s="88" t="str">
        <f>'18. Revestimentos'!B155</f>
        <v>Porcelanato,  x  cm</v>
      </c>
      <c r="C451" s="91" t="str">
        <f>'18. Revestimentos'!C155</f>
        <v>m²</v>
      </c>
      <c r="D451" s="87">
        <f>'18. Revestimentos'!D155</f>
        <v>0</v>
      </c>
    </row>
    <row r="452" spans="2:4" x14ac:dyDescent="0.25">
      <c r="B452" s="88" t="str">
        <f>'18. Revestimentos'!B156</f>
        <v>Pastilhas,  x  cm</v>
      </c>
      <c r="C452" s="91" t="str">
        <f>'18. Revestimentos'!C156</f>
        <v>m²</v>
      </c>
      <c r="D452" s="87">
        <f>'18. Revestimentos'!D156</f>
        <v>0</v>
      </c>
    </row>
    <row r="453" spans="2:4" x14ac:dyDescent="0.25">
      <c r="B453" s="88" t="str">
        <f>'18. Revestimentos'!B157</f>
        <v>Argamassa colante AC-II</v>
      </c>
      <c r="C453" s="91" t="str">
        <f>'18. Revestimentos'!C157</f>
        <v>Saco 20 kg</v>
      </c>
      <c r="D453" s="87">
        <f>'18. Revestimentos'!D157</f>
        <v>0</v>
      </c>
    </row>
    <row r="454" spans="2:4" x14ac:dyDescent="0.25">
      <c r="B454" s="88" t="str">
        <f>'18. Revestimentos'!B158</f>
        <v>Argamassa colante AC-III</v>
      </c>
      <c r="C454" s="91" t="str">
        <f>'18. Revestimentos'!C158</f>
        <v>Saco 20 kg</v>
      </c>
      <c r="D454" s="87">
        <f>'18. Revestimentos'!D158</f>
        <v>0</v>
      </c>
    </row>
    <row r="455" spans="2:4" x14ac:dyDescent="0.25">
      <c r="B455" s="88" t="str">
        <f>'18. Revestimentos'!B159</f>
        <v>Rejunte epóxi</v>
      </c>
      <c r="C455" s="91" t="str">
        <f>'18. Revestimentos'!C159</f>
        <v>Saco 5 kg</v>
      </c>
      <c r="D455" s="87">
        <f>'18. Revestimentos'!D159</f>
        <v>0</v>
      </c>
    </row>
    <row r="456" spans="2:4" x14ac:dyDescent="0.25">
      <c r="B456" s="88" t="str">
        <f>'18. Revestimentos'!B160</f>
        <v>Espaçador nivelador</v>
      </c>
      <c r="C456" s="91" t="str">
        <f>'18. Revestimentos'!C160</f>
        <v>Pacote 50 pç</v>
      </c>
      <c r="D456" s="87">
        <f>'18. Revestimentos'!D160</f>
        <v>0</v>
      </c>
    </row>
    <row r="457" spans="2:4" x14ac:dyDescent="0.25">
      <c r="B457" s="110"/>
      <c r="C457" s="110"/>
      <c r="D457" s="110"/>
    </row>
    <row r="458" spans="2:4" ht="18.75" x14ac:dyDescent="0.3">
      <c r="B458" s="137" t="str">
        <f>'19. Muro com Tijolos'!B2:D2</f>
        <v>Muro com Tijolos Cerâmicos</v>
      </c>
      <c r="C458" s="137"/>
      <c r="D458" s="137"/>
    </row>
    <row r="459" spans="2:4" ht="15.75" x14ac:dyDescent="0.25">
      <c r="B459" s="134" t="str">
        <f>'19. Muro com Tijolos'!B5:D5</f>
        <v>Fundação de estacas do muro</v>
      </c>
      <c r="C459" s="134"/>
      <c r="D459" s="134"/>
    </row>
    <row r="460" spans="2:4" x14ac:dyDescent="0.25">
      <c r="B460" s="108" t="s">
        <v>5</v>
      </c>
      <c r="C460" s="109" t="s">
        <v>46</v>
      </c>
      <c r="D460" s="109" t="s">
        <v>6</v>
      </c>
    </row>
    <row r="461" spans="2:4" x14ac:dyDescent="0.25">
      <c r="B461" s="88" t="str">
        <f>'19. Muro com Tijolos'!B67</f>
        <v>Concreto usinado para estaca</v>
      </c>
      <c r="C461" s="91" t="str">
        <f>'19. Muro com Tijolos'!C67</f>
        <v>m3</v>
      </c>
      <c r="D461" s="87">
        <f>'19. Muro com Tijolos'!D67</f>
        <v>0</v>
      </c>
    </row>
    <row r="462" spans="2:4" x14ac:dyDescent="0.25">
      <c r="B462" s="88" t="str">
        <f>'19. Muro com Tijolos'!B68</f>
        <v>Cimento CP III</v>
      </c>
      <c r="C462" s="91" t="str">
        <f>'19. Muro com Tijolos'!C68</f>
        <v>Saco 50kg</v>
      </c>
      <c r="D462" s="87">
        <f>'19. Muro com Tijolos'!D68</f>
        <v>0</v>
      </c>
    </row>
    <row r="463" spans="2:4" x14ac:dyDescent="0.25">
      <c r="B463" s="88" t="str">
        <f>'19. Muro com Tijolos'!B69</f>
        <v>Areia média</v>
      </c>
      <c r="C463" s="91" t="str">
        <f>'19. Muro com Tijolos'!C69</f>
        <v>m3</v>
      </c>
      <c r="D463" s="87">
        <f>'19. Muro com Tijolos'!D69</f>
        <v>0</v>
      </c>
    </row>
    <row r="464" spans="2:4" x14ac:dyDescent="0.25">
      <c r="B464" s="88" t="str">
        <f>'19. Muro com Tijolos'!B70</f>
        <v>Pedra brita 1</v>
      </c>
      <c r="C464" s="91" t="str">
        <f>'19. Muro com Tijolos'!C70</f>
        <v>m3</v>
      </c>
      <c r="D464" s="87">
        <f>'19. Muro com Tijolos'!D70</f>
        <v>0</v>
      </c>
    </row>
    <row r="465" spans="2:4" x14ac:dyDescent="0.25">
      <c r="B465" s="88" t="str">
        <f>'19. Muro com Tijolos'!B71</f>
        <v>Pedra brita 2 para lastro</v>
      </c>
      <c r="C465" s="91" t="str">
        <f>'19. Muro com Tijolos'!C71</f>
        <v>m3</v>
      </c>
      <c r="D465" s="87">
        <f>'19. Muro com Tijolos'!D71</f>
        <v>0</v>
      </c>
    </row>
    <row r="466" spans="2:4" x14ac:dyDescent="0.25">
      <c r="B466" s="88" t="str">
        <f>'19. Muro com Tijolos'!B72</f>
        <v xml:space="preserve">Barra de aço CA-25, </v>
      </c>
      <c r="C466" s="91" t="str">
        <f>'19. Muro com Tijolos'!C72</f>
        <v>Barra 12 m</v>
      </c>
      <c r="D466" s="87">
        <f>'19. Muro com Tijolos'!D72</f>
        <v>0</v>
      </c>
    </row>
    <row r="467" spans="2:4" x14ac:dyDescent="0.25">
      <c r="B467" s="88" t="str">
        <f>'19. Muro com Tijolos'!B73</f>
        <v>Arame recozido BWG 18 (1,24mm)</v>
      </c>
      <c r="C467" s="91" t="str">
        <f>'19. Muro com Tijolos'!C73</f>
        <v>Rolo 1 kg</v>
      </c>
      <c r="D467" s="87">
        <f>'19. Muro com Tijolos'!D73</f>
        <v>0</v>
      </c>
    </row>
    <row r="468" spans="2:4" x14ac:dyDescent="0.25">
      <c r="B468" s="88" t="str">
        <f>'19. Muro com Tijolos'!B74</f>
        <v>Espaçadores de ferragem</v>
      </c>
      <c r="C468" s="91" t="str">
        <f>'19. Muro com Tijolos'!C74</f>
        <v>Peça</v>
      </c>
      <c r="D468" s="87">
        <f>'19. Muro com Tijolos'!D74</f>
        <v>0</v>
      </c>
    </row>
    <row r="469" spans="2:4" ht="15.75" x14ac:dyDescent="0.25">
      <c r="B469" s="134" t="str">
        <f>'19. Muro com Tijolos'!B77:D77</f>
        <v>Concreto da viga baldrame do muro</v>
      </c>
      <c r="C469" s="134"/>
      <c r="D469" s="134"/>
    </row>
    <row r="470" spans="2:4" x14ac:dyDescent="0.25">
      <c r="B470" s="108" t="s">
        <v>5</v>
      </c>
      <c r="C470" s="109" t="s">
        <v>46</v>
      </c>
      <c r="D470" s="109" t="s">
        <v>6</v>
      </c>
    </row>
    <row r="471" spans="2:4" x14ac:dyDescent="0.25">
      <c r="B471" s="88" t="str">
        <f>'19. Muro com Tijolos'!B114</f>
        <v>Concreto usinado para vigas baldrames</v>
      </c>
      <c r="C471" s="91" t="str">
        <f>'19. Muro com Tijolos'!C114</f>
        <v>m3</v>
      </c>
      <c r="D471" s="87">
        <f>'19. Muro com Tijolos'!D114</f>
        <v>0</v>
      </c>
    </row>
    <row r="472" spans="2:4" x14ac:dyDescent="0.25">
      <c r="B472" s="88" t="str">
        <f>'19. Muro com Tijolos'!B115</f>
        <v>Cimento CP III</v>
      </c>
      <c r="C472" s="91" t="str">
        <f>'19. Muro com Tijolos'!C115</f>
        <v>Saco 50kg</v>
      </c>
      <c r="D472" s="87">
        <f>'19. Muro com Tijolos'!D115</f>
        <v>0</v>
      </c>
    </row>
    <row r="473" spans="2:4" x14ac:dyDescent="0.25">
      <c r="B473" s="88" t="str">
        <f>'19. Muro com Tijolos'!B116</f>
        <v>Areia média</v>
      </c>
      <c r="C473" s="91" t="str">
        <f>'19. Muro com Tijolos'!C116</f>
        <v>m3</v>
      </c>
      <c r="D473" s="87">
        <f>'19. Muro com Tijolos'!D116</f>
        <v>0</v>
      </c>
    </row>
    <row r="474" spans="2:4" x14ac:dyDescent="0.25">
      <c r="B474" s="88" t="str">
        <f>'19. Muro com Tijolos'!B117</f>
        <v>Pedra brita 1</v>
      </c>
      <c r="C474" s="91" t="str">
        <f>'19. Muro com Tijolos'!C117</f>
        <v>m3</v>
      </c>
      <c r="D474" s="87">
        <f>'19. Muro com Tijolos'!D117</f>
        <v>0</v>
      </c>
    </row>
    <row r="475" spans="2:4" ht="15.75" x14ac:dyDescent="0.25">
      <c r="B475" s="134" t="str">
        <f>'19. Muro com Tijolos'!B120:D120</f>
        <v>Concreto magro usado no lastro</v>
      </c>
      <c r="C475" s="134"/>
      <c r="D475" s="134"/>
    </row>
    <row r="476" spans="2:4" x14ac:dyDescent="0.25">
      <c r="B476" s="108" t="s">
        <v>5</v>
      </c>
      <c r="C476" s="109" t="s">
        <v>46</v>
      </c>
      <c r="D476" s="109" t="s">
        <v>6</v>
      </c>
    </row>
    <row r="477" spans="2:4" x14ac:dyDescent="0.25">
      <c r="B477" s="88" t="str">
        <f>'19. Muro com Tijolos'!B137</f>
        <v>Cimento CP III</v>
      </c>
      <c r="C477" s="91" t="str">
        <f>'19. Muro com Tijolos'!C137</f>
        <v>Saco 50kg</v>
      </c>
      <c r="D477" s="87">
        <f>'19. Muro com Tijolos'!D137</f>
        <v>0</v>
      </c>
    </row>
    <row r="478" spans="2:4" x14ac:dyDescent="0.25">
      <c r="B478" s="88" t="str">
        <f>'19. Muro com Tijolos'!B138</f>
        <v>Areia média</v>
      </c>
      <c r="C478" s="91" t="str">
        <f>'19. Muro com Tijolos'!C138</f>
        <v>m3</v>
      </c>
      <c r="D478" s="87">
        <f>'19. Muro com Tijolos'!D138</f>
        <v>0</v>
      </c>
    </row>
    <row r="479" spans="2:4" x14ac:dyDescent="0.25">
      <c r="B479" s="88" t="str">
        <f>'19. Muro com Tijolos'!B139</f>
        <v>Pedra brita 1</v>
      </c>
      <c r="C479" s="91" t="str">
        <f>'19. Muro com Tijolos'!C139</f>
        <v>m3</v>
      </c>
      <c r="D479" s="87">
        <f>'19. Muro com Tijolos'!D139</f>
        <v>0</v>
      </c>
    </row>
    <row r="480" spans="2:4" ht="15.75" x14ac:dyDescent="0.25">
      <c r="B480" s="134" t="str">
        <f>'19. Muro com Tijolos'!B142:D142</f>
        <v>Armações de aço da viga baldrame do muro</v>
      </c>
      <c r="C480" s="134"/>
      <c r="D480" s="134"/>
    </row>
    <row r="481" spans="2:4" x14ac:dyDescent="0.25">
      <c r="B481" s="108" t="s">
        <v>5</v>
      </c>
      <c r="C481" s="109" t="s">
        <v>46</v>
      </c>
      <c r="D481" s="109" t="s">
        <v>6</v>
      </c>
    </row>
    <row r="482" spans="2:4" x14ac:dyDescent="0.25">
      <c r="B482" s="88" t="str">
        <f>'19. Muro com Tijolos'!B185</f>
        <v>Barra de aço CA-25, 10mm (⅜'')</v>
      </c>
      <c r="C482" s="91" t="str">
        <f>'19. Muro com Tijolos'!C185</f>
        <v>Barra 12 m</v>
      </c>
      <c r="D482" s="87">
        <f>'19. Muro com Tijolos'!D185</f>
        <v>0</v>
      </c>
    </row>
    <row r="483" spans="2:4" x14ac:dyDescent="0.25">
      <c r="B483" s="88" t="str">
        <f>'19. Muro com Tijolos'!B186</f>
        <v>Barra de aço CA-60, 4,2mm</v>
      </c>
      <c r="C483" s="91" t="str">
        <f>'19. Muro com Tijolos'!C186</f>
        <v>Barra 12 m</v>
      </c>
      <c r="D483" s="87">
        <f>'19. Muro com Tijolos'!D186</f>
        <v>0</v>
      </c>
    </row>
    <row r="484" spans="2:4" x14ac:dyDescent="0.25">
      <c r="B484" s="88" t="str">
        <f>'19. Muro com Tijolos'!B187</f>
        <v>Arame recozido BWG 18 (1,24mm)</v>
      </c>
      <c r="C484" s="91" t="str">
        <f>'19. Muro com Tijolos'!C187</f>
        <v>Rolo 1 kg</v>
      </c>
      <c r="D484" s="87">
        <f>'19. Muro com Tijolos'!D187</f>
        <v>0</v>
      </c>
    </row>
    <row r="485" spans="2:4" x14ac:dyDescent="0.25">
      <c r="B485" s="88" t="str">
        <f>'19. Muro com Tijolos'!B188</f>
        <v>Espaçadores de ferragem</v>
      </c>
      <c r="C485" s="91" t="str">
        <f>'19. Muro com Tijolos'!C188</f>
        <v>Peça</v>
      </c>
      <c r="D485" s="87">
        <f>'19. Muro com Tijolos'!D188</f>
        <v>0</v>
      </c>
    </row>
    <row r="486" spans="2:4" ht="15.75" x14ac:dyDescent="0.25">
      <c r="B486" s="134" t="str">
        <f>'19. Muro com Tijolos'!B191:D191</f>
        <v>Armações de aço das colunas de arranque</v>
      </c>
      <c r="C486" s="134"/>
      <c r="D486" s="134"/>
    </row>
    <row r="487" spans="2:4" x14ac:dyDescent="0.25">
      <c r="B487" s="108" t="s">
        <v>5</v>
      </c>
      <c r="C487" s="109" t="s">
        <v>46</v>
      </c>
      <c r="D487" s="109" t="s">
        <v>6</v>
      </c>
    </row>
    <row r="488" spans="2:4" x14ac:dyDescent="0.25">
      <c r="B488" s="88" t="str">
        <f>'19. Muro com Tijolos'!B231</f>
        <v>Barra de aço CA-25, 10mm (⅜'')</v>
      </c>
      <c r="C488" s="91" t="str">
        <f>'19. Muro com Tijolos'!C231</f>
        <v>Barra 12 m</v>
      </c>
      <c r="D488" s="87">
        <f>'19. Muro com Tijolos'!D231</f>
        <v>0</v>
      </c>
    </row>
    <row r="489" spans="2:4" x14ac:dyDescent="0.25">
      <c r="B489" s="88" t="str">
        <f>'19. Muro com Tijolos'!B232</f>
        <v>Barra de aço CA-60, 4,2mm</v>
      </c>
      <c r="C489" s="91" t="str">
        <f>'19. Muro com Tijolos'!C232</f>
        <v>Barra 12 m</v>
      </c>
      <c r="D489" s="87">
        <f>'19. Muro com Tijolos'!D232</f>
        <v>0</v>
      </c>
    </row>
    <row r="490" spans="2:4" ht="15.75" x14ac:dyDescent="0.25">
      <c r="B490" s="134" t="str">
        <f>'19. Muro com Tijolos'!B235:D235</f>
        <v>Fôrmas de madeira da viga baldrame do muro</v>
      </c>
      <c r="C490" s="134"/>
      <c r="D490" s="134"/>
    </row>
    <row r="491" spans="2:4" x14ac:dyDescent="0.25">
      <c r="B491" s="108" t="s">
        <v>5</v>
      </c>
      <c r="C491" s="109" t="s">
        <v>46</v>
      </c>
      <c r="D491" s="109" t="s">
        <v>6</v>
      </c>
    </row>
    <row r="492" spans="2:4" x14ac:dyDescent="0.25">
      <c r="B492" s="88" t="str">
        <f>'19. Muro com Tijolos'!B260</f>
        <v>Tábua madeira 2,3 x 30 cm bruto</v>
      </c>
      <c r="C492" s="91" t="str">
        <f>'19. Muro com Tijolos'!C260</f>
        <v>Peça 3,0 m</v>
      </c>
      <c r="D492" s="87">
        <f>'19. Muro com Tijolos'!D260</f>
        <v>0</v>
      </c>
    </row>
    <row r="493" spans="2:4" x14ac:dyDescent="0.25">
      <c r="B493" s="88" t="str">
        <f>'19. Muro com Tijolos'!B261</f>
        <v>Sarrafo madeira 2,3 x 10 cm bruto</v>
      </c>
      <c r="C493" s="91" t="str">
        <f>'19. Muro com Tijolos'!C261</f>
        <v>Peça 3,0 m</v>
      </c>
      <c r="D493" s="87">
        <f>'19. Muro com Tijolos'!D261</f>
        <v>0</v>
      </c>
    </row>
    <row r="494" spans="2:4" x14ac:dyDescent="0.25">
      <c r="B494" s="88" t="str">
        <f>'19. Muro com Tijolos'!B262</f>
        <v>Prego aço polido c/ cabeça 17 x 27</v>
      </c>
      <c r="C494" s="91" t="str">
        <f>'19. Muro com Tijolos'!C262</f>
        <v>kg</v>
      </c>
      <c r="D494" s="87">
        <f>'19. Muro com Tijolos'!D262</f>
        <v>0</v>
      </c>
    </row>
    <row r="495" spans="2:4" ht="15.75" x14ac:dyDescent="0.25">
      <c r="B495" s="134" t="str">
        <f>'19. Muro com Tijolos'!B265:D265</f>
        <v>Impermeabilização da viga baldrame do muro</v>
      </c>
      <c r="C495" s="134"/>
      <c r="D495" s="134"/>
    </row>
    <row r="496" spans="2:4" x14ac:dyDescent="0.25">
      <c r="B496" s="108" t="s">
        <v>5</v>
      </c>
      <c r="C496" s="109" t="s">
        <v>46</v>
      </c>
      <c r="D496" s="109" t="s">
        <v>6</v>
      </c>
    </row>
    <row r="497" spans="2:4" x14ac:dyDescent="0.25">
      <c r="B497" s="88" t="str">
        <f>'19. Muro com Tijolos'!B281</f>
        <v>Cimento CP III</v>
      </c>
      <c r="C497" s="91" t="str">
        <f>'19. Muro com Tijolos'!C281</f>
        <v>Saco 50kg</v>
      </c>
      <c r="D497" s="87">
        <f>'19. Muro com Tijolos'!D281</f>
        <v>0</v>
      </c>
    </row>
    <row r="498" spans="2:4" x14ac:dyDescent="0.25">
      <c r="B498" s="88" t="str">
        <f>'19. Muro com Tijolos'!B282</f>
        <v>Areia média</v>
      </c>
      <c r="C498" s="91" t="str">
        <f>'19. Muro com Tijolos'!C282</f>
        <v>m3</v>
      </c>
      <c r="D498" s="87">
        <f>'19. Muro com Tijolos'!D282</f>
        <v>0</v>
      </c>
    </row>
    <row r="499" spans="2:4" x14ac:dyDescent="0.25">
      <c r="B499" s="88" t="str">
        <f>'19. Muro com Tijolos'!B283</f>
        <v>Impermeabilizante Vedatop</v>
      </c>
      <c r="C499" s="91" t="str">
        <f>'19. Muro com Tijolos'!C283</f>
        <v>Caixa 12 kg</v>
      </c>
      <c r="D499" s="87">
        <f>'19. Muro com Tijolos'!D283</f>
        <v>0</v>
      </c>
    </row>
    <row r="500" spans="2:4" x14ac:dyDescent="0.25">
      <c r="B500" s="88" t="str">
        <f>'19. Muro com Tijolos'!B284</f>
        <v>Broxa para pintura rústicas, 15 cm</v>
      </c>
      <c r="C500" s="91" t="str">
        <f>'19. Muro com Tijolos'!C284</f>
        <v>Peça</v>
      </c>
      <c r="D500" s="87">
        <f>'19. Muro com Tijolos'!D284</f>
        <v>0</v>
      </c>
    </row>
    <row r="501" spans="2:4" ht="15.75" x14ac:dyDescent="0.25">
      <c r="B501" s="134" t="str">
        <f>'19. Muro com Tijolos'!B287:D287</f>
        <v>Tijolos cerâmicos e argamassa do muro</v>
      </c>
      <c r="C501" s="134"/>
      <c r="D501" s="134"/>
    </row>
    <row r="502" spans="2:4" x14ac:dyDescent="0.25">
      <c r="B502" s="108" t="s">
        <v>5</v>
      </c>
      <c r="C502" s="109" t="s">
        <v>46</v>
      </c>
      <c r="D502" s="109" t="s">
        <v>6</v>
      </c>
    </row>
    <row r="503" spans="2:4" x14ac:dyDescent="0.25">
      <c r="B503" s="88" t="str">
        <f>'19. Muro com Tijolos'!B380</f>
        <v xml:space="preserve">Bloco cerâmico de vedação, </v>
      </c>
      <c r="C503" s="91" t="str">
        <f>'19. Muro com Tijolos'!C380</f>
        <v>Peça</v>
      </c>
      <c r="D503" s="87">
        <f>'19. Muro com Tijolos'!D380</f>
        <v>0</v>
      </c>
    </row>
    <row r="504" spans="2:4" x14ac:dyDescent="0.25">
      <c r="B504" s="88" t="str">
        <f>'19. Muro com Tijolos'!B381</f>
        <v>Cimento CP II</v>
      </c>
      <c r="C504" s="91" t="str">
        <f>'19. Muro com Tijolos'!C381</f>
        <v>Saco 50kg</v>
      </c>
      <c r="D504" s="87">
        <f>'19. Muro com Tijolos'!D381</f>
        <v>0</v>
      </c>
    </row>
    <row r="505" spans="2:4" x14ac:dyDescent="0.25">
      <c r="B505" s="88" t="str">
        <f>'19. Muro com Tijolos'!B382</f>
        <v>Areia média</v>
      </c>
      <c r="C505" s="91" t="str">
        <f>'19. Muro com Tijolos'!C382</f>
        <v>m3</v>
      </c>
      <c r="D505" s="87">
        <f>'19. Muro com Tijolos'!D382</f>
        <v>0</v>
      </c>
    </row>
    <row r="506" spans="2:4" x14ac:dyDescent="0.25">
      <c r="B506" s="88" t="str">
        <f>'19. Muro com Tijolos'!B383</f>
        <v>Cal hidratada para construção civil</v>
      </c>
      <c r="C506" s="91" t="str">
        <f>'19. Muro com Tijolos'!C383</f>
        <v>Saco 20 kg</v>
      </c>
      <c r="D506" s="87">
        <f>'19. Muro com Tijolos'!D383</f>
        <v>0</v>
      </c>
    </row>
    <row r="507" spans="2:4" x14ac:dyDescent="0.25">
      <c r="B507" s="88" t="str">
        <f>'19. Muro com Tijolos'!B384</f>
        <v>Aditivo plastificante Alvenarit</v>
      </c>
      <c r="C507" s="91" t="str">
        <f>'19. Muro com Tijolos'!C384</f>
        <v>Litros</v>
      </c>
      <c r="D507" s="87">
        <f>'19. Muro com Tijolos'!D384</f>
        <v>0</v>
      </c>
    </row>
    <row r="508" spans="2:4" x14ac:dyDescent="0.25">
      <c r="B508" s="88" t="str">
        <f>'19. Muro com Tijolos'!B385</f>
        <v xml:space="preserve">Portão para carros, </v>
      </c>
      <c r="C508" s="91" t="str">
        <f>'19. Muro com Tijolos'!C385</f>
        <v>Peça</v>
      </c>
      <c r="D508" s="87">
        <f>'19. Muro com Tijolos'!D385</f>
        <v>0</v>
      </c>
    </row>
    <row r="509" spans="2:4" x14ac:dyDescent="0.25">
      <c r="B509" s="88" t="str">
        <f>'19. Muro com Tijolos'!B386</f>
        <v xml:space="preserve">Portão social, </v>
      </c>
      <c r="C509" s="91" t="str">
        <f>'19. Muro com Tijolos'!C386</f>
        <v>Peça</v>
      </c>
      <c r="D509" s="87">
        <f>'19. Muro com Tijolos'!D386</f>
        <v>0</v>
      </c>
    </row>
    <row r="510" spans="2:4" ht="15.75" x14ac:dyDescent="0.25">
      <c r="B510" s="134" t="str">
        <f>'19. Muro com Tijolos'!B389:D389</f>
        <v>Colunas ou pilares do muro</v>
      </c>
      <c r="C510" s="134"/>
      <c r="D510" s="134"/>
    </row>
    <row r="511" spans="2:4" x14ac:dyDescent="0.25">
      <c r="B511" s="108" t="s">
        <v>5</v>
      </c>
      <c r="C511" s="109" t="s">
        <v>46</v>
      </c>
      <c r="D511" s="109" t="s">
        <v>6</v>
      </c>
    </row>
    <row r="512" spans="2:4" x14ac:dyDescent="0.25">
      <c r="B512" s="88" t="str">
        <f>'19. Muro com Tijolos'!B512</f>
        <v>Concreto usinado para pilares</v>
      </c>
      <c r="C512" s="91" t="str">
        <f>'19. Muro com Tijolos'!C512</f>
        <v>m3</v>
      </c>
      <c r="D512" s="87">
        <f>'19. Muro com Tijolos'!D512</f>
        <v>0</v>
      </c>
    </row>
    <row r="513" spans="2:4" x14ac:dyDescent="0.25">
      <c r="B513" s="88" t="str">
        <f>'19. Muro com Tijolos'!B513</f>
        <v>Cimento CP III</v>
      </c>
      <c r="C513" s="91" t="str">
        <f>'19. Muro com Tijolos'!C513</f>
        <v>Saco 50kg</v>
      </c>
      <c r="D513" s="87">
        <f>'19. Muro com Tijolos'!D513</f>
        <v>0</v>
      </c>
    </row>
    <row r="514" spans="2:4" x14ac:dyDescent="0.25">
      <c r="B514" s="88" t="str">
        <f>'19. Muro com Tijolos'!B514</f>
        <v>Areia média</v>
      </c>
      <c r="C514" s="91" t="str">
        <f>'19. Muro com Tijolos'!C514</f>
        <v>m3</v>
      </c>
      <c r="D514" s="87">
        <f>'19. Muro com Tijolos'!D514</f>
        <v>0</v>
      </c>
    </row>
    <row r="515" spans="2:4" x14ac:dyDescent="0.25">
      <c r="B515" s="88" t="str">
        <f>'19. Muro com Tijolos'!B515</f>
        <v>Pedra brita 1</v>
      </c>
      <c r="C515" s="91" t="str">
        <f>'19. Muro com Tijolos'!C515</f>
        <v>m3</v>
      </c>
      <c r="D515" s="87">
        <f>'19. Muro com Tijolos'!D515</f>
        <v>0</v>
      </c>
    </row>
    <row r="516" spans="2:4" x14ac:dyDescent="0.25">
      <c r="B516" s="88" t="str">
        <f>'19. Muro com Tijolos'!B516</f>
        <v>Barra de aço CA-25, 10mm (⅜'')</v>
      </c>
      <c r="C516" s="91" t="str">
        <f>'19. Muro com Tijolos'!C516</f>
        <v>Barra 12 m</v>
      </c>
      <c r="D516" s="87">
        <f>'19. Muro com Tijolos'!D516</f>
        <v>0</v>
      </c>
    </row>
    <row r="517" spans="2:4" x14ac:dyDescent="0.25">
      <c r="B517" s="88" t="str">
        <f>'19. Muro com Tijolos'!B517</f>
        <v>Barra de aço CA-60, 4,2mm</v>
      </c>
      <c r="C517" s="91" t="str">
        <f>'19. Muro com Tijolos'!C517</f>
        <v>Barra 12 m</v>
      </c>
      <c r="D517" s="87">
        <f>'19. Muro com Tijolos'!D517</f>
        <v>0</v>
      </c>
    </row>
    <row r="518" spans="2:4" x14ac:dyDescent="0.25">
      <c r="B518" s="88" t="str">
        <f>'19. Muro com Tijolos'!B518</f>
        <v>Arame recozido BWG 18 (1,24mm)</v>
      </c>
      <c r="C518" s="91" t="str">
        <f>'19. Muro com Tijolos'!C518</f>
        <v>Rolo 1 kg</v>
      </c>
      <c r="D518" s="87">
        <f>'19. Muro com Tijolos'!D518</f>
        <v>0</v>
      </c>
    </row>
    <row r="519" spans="2:4" x14ac:dyDescent="0.25">
      <c r="B519" s="88" t="str">
        <f>'19. Muro com Tijolos'!B519</f>
        <v>Espaçadores de ferragem</v>
      </c>
      <c r="C519" s="91" t="str">
        <f>'19. Muro com Tijolos'!C519</f>
        <v>Peça</v>
      </c>
      <c r="D519" s="87">
        <f>'19. Muro com Tijolos'!D519</f>
        <v>0</v>
      </c>
    </row>
    <row r="520" spans="2:4" x14ac:dyDescent="0.25">
      <c r="B520" s="88" t="str">
        <f>'19. Muro com Tijolos'!B520</f>
        <v>Tábua madeira 2,3 x 30 cm bruto</v>
      </c>
      <c r="C520" s="91" t="str">
        <f>'19. Muro com Tijolos'!C520</f>
        <v/>
      </c>
      <c r="D520" s="87">
        <f>'19. Muro com Tijolos'!D520</f>
        <v>0</v>
      </c>
    </row>
    <row r="521" spans="2:4" x14ac:dyDescent="0.25">
      <c r="B521" s="88" t="str">
        <f>'19. Muro com Tijolos'!B521</f>
        <v>Sarrafo madeira 2,3 x 10 cm bruto</v>
      </c>
      <c r="C521" s="91" t="str">
        <f>'19. Muro com Tijolos'!C521</f>
        <v>Peça 3,0 m</v>
      </c>
      <c r="D521" s="87">
        <f>'19. Muro com Tijolos'!D521</f>
        <v>0</v>
      </c>
    </row>
    <row r="522" spans="2:4" x14ac:dyDescent="0.25">
      <c r="B522" s="88" t="str">
        <f>'19. Muro com Tijolos'!B522</f>
        <v>Prego aço polido c/ cabeça 17 x 27</v>
      </c>
      <c r="C522" s="91" t="str">
        <f>'19. Muro com Tijolos'!C522</f>
        <v>kg</v>
      </c>
      <c r="D522" s="87">
        <f>'19. Muro com Tijolos'!D522</f>
        <v>0</v>
      </c>
    </row>
    <row r="523" spans="2:4" ht="15.75" x14ac:dyDescent="0.25">
      <c r="B523" s="134" t="str">
        <f>'19. Muro com Tijolos'!B525:D525</f>
        <v>Cintas de amarração do muro</v>
      </c>
      <c r="C523" s="134"/>
      <c r="D523" s="134"/>
    </row>
    <row r="524" spans="2:4" x14ac:dyDescent="0.25">
      <c r="B524" s="108" t="s">
        <v>5</v>
      </c>
      <c r="C524" s="109" t="s">
        <v>46</v>
      </c>
      <c r="D524" s="109" t="s">
        <v>6</v>
      </c>
    </row>
    <row r="525" spans="2:4" x14ac:dyDescent="0.25">
      <c r="B525" s="88" t="str">
        <f>'19. Muro com Tijolos'!B561</f>
        <v/>
      </c>
      <c r="C525" s="91" t="str">
        <f>'19. Muro com Tijolos'!C561</f>
        <v>Peça</v>
      </c>
      <c r="D525" s="87">
        <f>'19. Muro com Tijolos'!D561</f>
        <v>0</v>
      </c>
    </row>
    <row r="526" spans="2:4" x14ac:dyDescent="0.25">
      <c r="B526" s="88" t="str">
        <f>'19. Muro com Tijolos'!B562</f>
        <v>Barra de aço CA-25, 10mm (⅜'')</v>
      </c>
      <c r="C526" s="91" t="str">
        <f>'19. Muro com Tijolos'!C562</f>
        <v>Barra 12 m</v>
      </c>
      <c r="D526" s="87">
        <f>'19. Muro com Tijolos'!D562</f>
        <v>0</v>
      </c>
    </row>
    <row r="527" spans="2:4" x14ac:dyDescent="0.25">
      <c r="B527" s="88" t="str">
        <f>'19. Muro com Tijolos'!B563</f>
        <v>Cimento CP III</v>
      </c>
      <c r="C527" s="91" t="str">
        <f>'19. Muro com Tijolos'!C563</f>
        <v>Saco 50kg</v>
      </c>
      <c r="D527" s="87">
        <f>'19. Muro com Tijolos'!D563</f>
        <v>0</v>
      </c>
    </row>
    <row r="528" spans="2:4" x14ac:dyDescent="0.25">
      <c r="B528" s="88" t="str">
        <f>'19. Muro com Tijolos'!B564</f>
        <v>Areia média</v>
      </c>
      <c r="C528" s="91" t="str">
        <f>'19. Muro com Tijolos'!C564</f>
        <v>m3</v>
      </c>
      <c r="D528" s="87">
        <f>'19. Muro com Tijolos'!D564</f>
        <v>0</v>
      </c>
    </row>
    <row r="529" spans="2:4" x14ac:dyDescent="0.25">
      <c r="B529" s="88" t="str">
        <f>'19. Muro com Tijolos'!B565</f>
        <v>Pedra brita 1</v>
      </c>
      <c r="C529" s="91" t="str">
        <f>'19. Muro com Tijolos'!C565</f>
        <v>m3</v>
      </c>
      <c r="D529" s="87">
        <f>'19. Muro com Tijolos'!D565</f>
        <v>0</v>
      </c>
    </row>
    <row r="530" spans="2:4" ht="15.75" x14ac:dyDescent="0.25">
      <c r="B530" s="134" t="str">
        <f>'19. Muro com Tijolos'!B568:D568</f>
        <v>Argamassa do chapisco do muro</v>
      </c>
      <c r="C530" s="134"/>
      <c r="D530" s="134"/>
    </row>
    <row r="531" spans="2:4" x14ac:dyDescent="0.25">
      <c r="B531" s="108" t="s">
        <v>5</v>
      </c>
      <c r="C531" s="109" t="s">
        <v>46</v>
      </c>
      <c r="D531" s="109" t="s">
        <v>6</v>
      </c>
    </row>
    <row r="532" spans="2:4" x14ac:dyDescent="0.25">
      <c r="B532" s="88" t="str">
        <f>'19. Muro com Tijolos'!B625</f>
        <v>Argamassa chapisco pronta</v>
      </c>
      <c r="C532" s="91" t="str">
        <f>'19. Muro com Tijolos'!C625</f>
        <v>Saco 20 kg</v>
      </c>
      <c r="D532" s="87">
        <f>'19. Muro com Tijolos'!D625</f>
        <v>0</v>
      </c>
    </row>
    <row r="533" spans="2:4" x14ac:dyDescent="0.25">
      <c r="B533" s="88" t="str">
        <f>'19. Muro com Tijolos'!B626</f>
        <v>Cimento CP II</v>
      </c>
      <c r="C533" s="91" t="str">
        <f>'19. Muro com Tijolos'!C626</f>
        <v>Saco 50kg</v>
      </c>
      <c r="D533" s="87">
        <f>'19. Muro com Tijolos'!D626</f>
        <v>0</v>
      </c>
    </row>
    <row r="534" spans="2:4" x14ac:dyDescent="0.25">
      <c r="B534" s="88" t="str">
        <f>'19. Muro com Tijolos'!B627</f>
        <v>Areia média</v>
      </c>
      <c r="C534" s="91" t="str">
        <f>'19. Muro com Tijolos'!C627</f>
        <v>m3</v>
      </c>
      <c r="D534" s="87">
        <f>'19. Muro com Tijolos'!D627</f>
        <v>0</v>
      </c>
    </row>
    <row r="535" spans="2:4" x14ac:dyDescent="0.25">
      <c r="B535" s="88" t="str">
        <f>'19. Muro com Tijolos'!B628</f>
        <v>Aditivo plastificante Bianco</v>
      </c>
      <c r="C535" s="91" t="str">
        <f>'19. Muro com Tijolos'!C628</f>
        <v>Litros</v>
      </c>
      <c r="D535" s="87">
        <f>'19. Muro com Tijolos'!D628</f>
        <v>0</v>
      </c>
    </row>
    <row r="536" spans="2:4" ht="15.75" x14ac:dyDescent="0.25">
      <c r="B536" s="134" t="str">
        <f>'19. Muro com Tijolos'!B631:D631</f>
        <v>Argamassa do emboço do muro</v>
      </c>
      <c r="C536" s="134"/>
      <c r="D536" s="134"/>
    </row>
    <row r="537" spans="2:4" x14ac:dyDescent="0.25">
      <c r="B537" s="108" t="s">
        <v>5</v>
      </c>
      <c r="C537" s="109" t="s">
        <v>46</v>
      </c>
      <c r="D537" s="109" t="s">
        <v>6</v>
      </c>
    </row>
    <row r="538" spans="2:4" x14ac:dyDescent="0.25">
      <c r="B538" s="88" t="str">
        <f>'19. Muro com Tijolos'!B681</f>
        <v>Argamassa emboço pronta</v>
      </c>
      <c r="C538" s="91" t="str">
        <f>'19. Muro com Tijolos'!C681</f>
        <v>Saco 20 kg</v>
      </c>
      <c r="D538" s="87">
        <f>'19. Muro com Tijolos'!D681</f>
        <v>0</v>
      </c>
    </row>
    <row r="539" spans="2:4" x14ac:dyDescent="0.25">
      <c r="B539" s="88" t="str">
        <f>'19. Muro com Tijolos'!B682</f>
        <v>Cimento CP II</v>
      </c>
      <c r="C539" s="91" t="str">
        <f>'19. Muro com Tijolos'!C682</f>
        <v>Saco 50kg</v>
      </c>
      <c r="D539" s="87">
        <f>'19. Muro com Tijolos'!D682</f>
        <v>0</v>
      </c>
    </row>
    <row r="540" spans="2:4" x14ac:dyDescent="0.25">
      <c r="B540" s="88" t="str">
        <f>'19. Muro com Tijolos'!B683</f>
        <v>Areia média</v>
      </c>
      <c r="C540" s="91" t="str">
        <f>'19. Muro com Tijolos'!C683</f>
        <v>m3</v>
      </c>
      <c r="D540" s="87">
        <f>'19. Muro com Tijolos'!D683</f>
        <v>0</v>
      </c>
    </row>
    <row r="541" spans="2:4" x14ac:dyDescent="0.25">
      <c r="B541" s="88" t="str">
        <f>'19. Muro com Tijolos'!B684</f>
        <v>Cal hidratada para construção civil</v>
      </c>
      <c r="C541" s="91" t="str">
        <f>'19. Muro com Tijolos'!C684</f>
        <v>Saco 20 kg</v>
      </c>
      <c r="D541" s="87">
        <f>'19. Muro com Tijolos'!D684</f>
        <v>0</v>
      </c>
    </row>
    <row r="542" spans="2:4" x14ac:dyDescent="0.25">
      <c r="B542" s="88" t="str">
        <f>'19. Muro com Tijolos'!B685</f>
        <v>Aditivo plastificante Bianco</v>
      </c>
      <c r="C542" s="91" t="str">
        <f>'19. Muro com Tijolos'!C685</f>
        <v>Litros</v>
      </c>
      <c r="D542" s="87">
        <f>'19. Muro com Tijolos'!D685</f>
        <v>0</v>
      </c>
    </row>
    <row r="543" spans="2:4" ht="15.75" x14ac:dyDescent="0.25">
      <c r="B543" s="134" t="str">
        <f>'19. Muro com Tijolos'!B688:D688</f>
        <v>Argamassa do reboco do muro</v>
      </c>
      <c r="C543" s="134"/>
      <c r="D543" s="134"/>
    </row>
    <row r="544" spans="2:4" x14ac:dyDescent="0.25">
      <c r="B544" s="108" t="s">
        <v>5</v>
      </c>
      <c r="C544" s="109" t="s">
        <v>46</v>
      </c>
      <c r="D544" s="109" t="s">
        <v>6</v>
      </c>
    </row>
    <row r="545" spans="2:4" x14ac:dyDescent="0.25">
      <c r="B545" s="88" t="str">
        <f>'19. Muro com Tijolos'!B738</f>
        <v>Argamassa reboco pronta</v>
      </c>
      <c r="C545" s="91" t="str">
        <f>'19. Muro com Tijolos'!C738</f>
        <v>Saco 20 kg</v>
      </c>
      <c r="D545" s="87">
        <f>'19. Muro com Tijolos'!D738</f>
        <v>0</v>
      </c>
    </row>
    <row r="546" spans="2:4" x14ac:dyDescent="0.25">
      <c r="B546" s="88" t="str">
        <f>'19. Muro com Tijolos'!B739</f>
        <v>Cimento CP II</v>
      </c>
      <c r="C546" s="91" t="str">
        <f>'19. Muro com Tijolos'!C739</f>
        <v>Saco 50kg</v>
      </c>
      <c r="D546" s="87">
        <f>'19. Muro com Tijolos'!D739</f>
        <v>0</v>
      </c>
    </row>
    <row r="547" spans="2:4" x14ac:dyDescent="0.25">
      <c r="B547" s="88" t="str">
        <f>'19. Muro com Tijolos'!B740</f>
        <v>Areia média</v>
      </c>
      <c r="C547" s="91" t="str">
        <f>'19. Muro com Tijolos'!C740</f>
        <v>m3</v>
      </c>
      <c r="D547" s="87">
        <f>'19. Muro com Tijolos'!D740</f>
        <v>0</v>
      </c>
    </row>
    <row r="548" spans="2:4" x14ac:dyDescent="0.25">
      <c r="B548" s="88" t="str">
        <f>'19. Muro com Tijolos'!B741</f>
        <v>Cal hidratada para construção civil</v>
      </c>
      <c r="C548" s="91" t="str">
        <f>'19. Muro com Tijolos'!C741</f>
        <v>Saco 20 kg</v>
      </c>
      <c r="D548" s="87">
        <f>'19. Muro com Tijolos'!D741</f>
        <v>0</v>
      </c>
    </row>
    <row r="549" spans="2:4" x14ac:dyDescent="0.25">
      <c r="B549" s="88" t="str">
        <f>'19. Muro com Tijolos'!B742</f>
        <v>Aditivo plastificante Bianco</v>
      </c>
      <c r="C549" s="91" t="str">
        <f>'19. Muro com Tijolos'!C742</f>
        <v>Litros</v>
      </c>
      <c r="D549" s="87">
        <f>'19. Muro com Tijolos'!D742</f>
        <v>0</v>
      </c>
    </row>
    <row r="550" spans="2:4" ht="15.75" x14ac:dyDescent="0.25">
      <c r="B550" s="134" t="str">
        <f>'19. Muro com Tijolos'!B745:D745</f>
        <v>Pintura do muro</v>
      </c>
      <c r="C550" s="134"/>
      <c r="D550" s="134"/>
    </row>
    <row r="551" spans="2:4" x14ac:dyDescent="0.25">
      <c r="B551" s="108" t="s">
        <v>5</v>
      </c>
      <c r="C551" s="109" t="s">
        <v>46</v>
      </c>
      <c r="D551" s="109" t="s">
        <v>6</v>
      </c>
    </row>
    <row r="552" spans="2:4" x14ac:dyDescent="0.25">
      <c r="B552" s="88" t="str">
        <f>'19. Muro com Tijolos'!B782</f>
        <v xml:space="preserve">Tinta </v>
      </c>
      <c r="C552" s="91" t="str">
        <f>'19. Muro com Tijolos'!C782</f>
        <v>Litros</v>
      </c>
      <c r="D552" s="87">
        <f>'19. Muro com Tijolos'!D782</f>
        <v>0</v>
      </c>
    </row>
    <row r="553" spans="2:4" x14ac:dyDescent="0.25">
      <c r="B553" s="88" t="str">
        <f>'19. Muro com Tijolos'!B783</f>
        <v>Fundo preparador</v>
      </c>
      <c r="C553" s="91" t="str">
        <f>'19. Muro com Tijolos'!C783</f>
        <v>Litros</v>
      </c>
      <c r="D553" s="87">
        <f>'19. Muro com Tijolos'!D783</f>
        <v>0</v>
      </c>
    </row>
    <row r="554" spans="2:4" x14ac:dyDescent="0.25">
      <c r="B554" s="88" t="str">
        <f>'19. Muro com Tijolos'!B784</f>
        <v>Rolo para pintura</v>
      </c>
      <c r="C554" s="91" t="str">
        <f>'19. Muro com Tijolos'!C784</f>
        <v>Peça</v>
      </c>
      <c r="D554" s="87">
        <f>'19. Muro com Tijolos'!D784</f>
        <v>0</v>
      </c>
    </row>
    <row r="555" spans="2:4" x14ac:dyDescent="0.25">
      <c r="B555" s="88" t="str">
        <f>'19. Muro com Tijolos'!B785</f>
        <v>Pincel para pintura</v>
      </c>
      <c r="C555" s="91" t="str">
        <f>'19. Muro com Tijolos'!C785</f>
        <v>Peça</v>
      </c>
      <c r="D555" s="87">
        <f>'19. Muro com Tijolos'!D785</f>
        <v>0</v>
      </c>
    </row>
    <row r="556" spans="2:4" x14ac:dyDescent="0.25">
      <c r="B556" s="88" t="str">
        <f>'19. Muro com Tijolos'!B786</f>
        <v>Fita crepe larga</v>
      </c>
      <c r="C556" s="91" t="str">
        <f>'19. Muro com Tijolos'!C786</f>
        <v>Peça</v>
      </c>
      <c r="D556" s="87">
        <f>'19. Muro com Tijolos'!D786</f>
        <v>0</v>
      </c>
    </row>
    <row r="557" spans="2:4" x14ac:dyDescent="0.25">
      <c r="B557" s="88" t="str">
        <f>'19. Muro com Tijolos'!B787</f>
        <v>Lixa para parede</v>
      </c>
      <c r="C557" s="91" t="str">
        <f>'19. Muro com Tijolos'!C787</f>
        <v>Peça</v>
      </c>
      <c r="D557" s="87">
        <f>'19. Muro com Tijolos'!D787</f>
        <v>0</v>
      </c>
    </row>
    <row r="558" spans="2:4" x14ac:dyDescent="0.25">
      <c r="B558" s="110"/>
      <c r="C558" s="110"/>
      <c r="D558" s="110"/>
    </row>
    <row r="559" spans="2:4" ht="18.75" x14ac:dyDescent="0.3">
      <c r="B559" s="137" t="str">
        <f>'20. Muro com Blocos'!B2:D2</f>
        <v>Muro com Blocos de Concreto</v>
      </c>
      <c r="C559" s="137"/>
      <c r="D559" s="137"/>
    </row>
    <row r="560" spans="2:4" ht="15.75" x14ac:dyDescent="0.25">
      <c r="B560" s="134" t="str">
        <f>'20. Muro com Blocos'!B5:D5</f>
        <v>Fundação de estacas do muro</v>
      </c>
      <c r="C560" s="134"/>
      <c r="D560" s="134"/>
    </row>
    <row r="561" spans="2:4" x14ac:dyDescent="0.25">
      <c r="B561" s="108" t="s">
        <v>5</v>
      </c>
      <c r="C561" s="109" t="s">
        <v>46</v>
      </c>
      <c r="D561" s="109" t="s">
        <v>6</v>
      </c>
    </row>
    <row r="562" spans="2:4" x14ac:dyDescent="0.25">
      <c r="B562" s="88" t="str">
        <f>'20. Muro com Blocos'!B67</f>
        <v>Concreto usinado para estaca</v>
      </c>
      <c r="C562" s="91" t="str">
        <f>'20. Muro com Blocos'!C67</f>
        <v>m3</v>
      </c>
      <c r="D562" s="87">
        <f>'20. Muro com Blocos'!D67</f>
        <v>0</v>
      </c>
    </row>
    <row r="563" spans="2:4" x14ac:dyDescent="0.25">
      <c r="B563" s="88" t="str">
        <f>'20. Muro com Blocos'!B68</f>
        <v>Cimento CP III</v>
      </c>
      <c r="C563" s="91" t="str">
        <f>'20. Muro com Blocos'!C68</f>
        <v>Saco 50kg</v>
      </c>
      <c r="D563" s="87">
        <f>'20. Muro com Blocos'!D68</f>
        <v>0</v>
      </c>
    </row>
    <row r="564" spans="2:4" x14ac:dyDescent="0.25">
      <c r="B564" s="88" t="str">
        <f>'20. Muro com Blocos'!B69</f>
        <v>Areia média</v>
      </c>
      <c r="C564" s="91" t="str">
        <f>'20. Muro com Blocos'!C69</f>
        <v>m3</v>
      </c>
      <c r="D564" s="87">
        <f>'20. Muro com Blocos'!D69</f>
        <v>0</v>
      </c>
    </row>
    <row r="565" spans="2:4" x14ac:dyDescent="0.25">
      <c r="B565" s="88" t="str">
        <f>'20. Muro com Blocos'!B70</f>
        <v>Pedra brita 1</v>
      </c>
      <c r="C565" s="91" t="str">
        <f>'20. Muro com Blocos'!C70</f>
        <v>m3</v>
      </c>
      <c r="D565" s="87">
        <f>'20. Muro com Blocos'!D70</f>
        <v>0</v>
      </c>
    </row>
    <row r="566" spans="2:4" x14ac:dyDescent="0.25">
      <c r="B566" s="88" t="str">
        <f>'20. Muro com Blocos'!B71</f>
        <v>Pedra brita 2 para lastro</v>
      </c>
      <c r="C566" s="91" t="str">
        <f>'20. Muro com Blocos'!C71</f>
        <v>m3</v>
      </c>
      <c r="D566" s="87">
        <f>'20. Muro com Blocos'!D71</f>
        <v>0</v>
      </c>
    </row>
    <row r="567" spans="2:4" x14ac:dyDescent="0.25">
      <c r="B567" s="88" t="str">
        <f>'20. Muro com Blocos'!B72</f>
        <v xml:space="preserve">Barra de aço CA-25, </v>
      </c>
      <c r="C567" s="91" t="str">
        <f>'20. Muro com Blocos'!C72</f>
        <v>Barra 12 m</v>
      </c>
      <c r="D567" s="87">
        <f>'20. Muro com Blocos'!D72</f>
        <v>0</v>
      </c>
    </row>
    <row r="568" spans="2:4" x14ac:dyDescent="0.25">
      <c r="B568" s="88" t="str">
        <f>'20. Muro com Blocos'!B73</f>
        <v>Arame recozido BWG 18 (1,24mm)</v>
      </c>
      <c r="C568" s="91" t="str">
        <f>'20. Muro com Blocos'!C73</f>
        <v>Rolo 1 kg</v>
      </c>
      <c r="D568" s="87">
        <f>'20. Muro com Blocos'!D73</f>
        <v>0</v>
      </c>
    </row>
    <row r="569" spans="2:4" x14ac:dyDescent="0.25">
      <c r="B569" s="88" t="str">
        <f>'20. Muro com Blocos'!B74</f>
        <v>Espaçadores de ferragem</v>
      </c>
      <c r="C569" s="91" t="str">
        <f>'20. Muro com Blocos'!C74</f>
        <v>Peça</v>
      </c>
      <c r="D569" s="87">
        <f>'20. Muro com Blocos'!D74</f>
        <v>0</v>
      </c>
    </row>
    <row r="570" spans="2:4" ht="15.75" x14ac:dyDescent="0.25">
      <c r="B570" s="134" t="str">
        <f>'20. Muro com Blocos'!B77:D77</f>
        <v>Concreto da viga baldrame do muro</v>
      </c>
      <c r="C570" s="134"/>
      <c r="D570" s="134"/>
    </row>
    <row r="571" spans="2:4" x14ac:dyDescent="0.25">
      <c r="B571" s="108" t="s">
        <v>5</v>
      </c>
      <c r="C571" s="109" t="s">
        <v>46</v>
      </c>
      <c r="D571" s="109" t="s">
        <v>6</v>
      </c>
    </row>
    <row r="572" spans="2:4" x14ac:dyDescent="0.25">
      <c r="B572" s="88" t="str">
        <f>'20. Muro com Blocos'!B114</f>
        <v>Concreto usinado para vigas baldrames</v>
      </c>
      <c r="C572" s="91" t="str">
        <f>'20. Muro com Blocos'!C114</f>
        <v>m3</v>
      </c>
      <c r="D572" s="87">
        <f>'20. Muro com Blocos'!D114</f>
        <v>0</v>
      </c>
    </row>
    <row r="573" spans="2:4" x14ac:dyDescent="0.25">
      <c r="B573" s="88" t="str">
        <f>'20. Muro com Blocos'!B115</f>
        <v>Cimento CP III</v>
      </c>
      <c r="C573" s="91" t="str">
        <f>'20. Muro com Blocos'!C115</f>
        <v>Saco 50kg</v>
      </c>
      <c r="D573" s="87">
        <f>'20. Muro com Blocos'!D115</f>
        <v>0</v>
      </c>
    </row>
    <row r="574" spans="2:4" x14ac:dyDescent="0.25">
      <c r="B574" s="88" t="str">
        <f>'20. Muro com Blocos'!B116</f>
        <v>Areia média</v>
      </c>
      <c r="C574" s="91" t="str">
        <f>'20. Muro com Blocos'!C116</f>
        <v>m3</v>
      </c>
      <c r="D574" s="87">
        <f>'20. Muro com Blocos'!D116</f>
        <v>0</v>
      </c>
    </row>
    <row r="575" spans="2:4" x14ac:dyDescent="0.25">
      <c r="B575" s="88" t="str">
        <f>'20. Muro com Blocos'!B117</f>
        <v>Pedra brita 1</v>
      </c>
      <c r="C575" s="91" t="str">
        <f>'20. Muro com Blocos'!C117</f>
        <v>m3</v>
      </c>
      <c r="D575" s="87">
        <f>'20. Muro com Blocos'!D117</f>
        <v>0</v>
      </c>
    </row>
    <row r="576" spans="2:4" ht="15.75" x14ac:dyDescent="0.25">
      <c r="B576" s="134" t="str">
        <f>'20. Muro com Blocos'!B120:D120</f>
        <v>Concreto magro usado no lastro</v>
      </c>
      <c r="C576" s="134"/>
      <c r="D576" s="134"/>
    </row>
    <row r="577" spans="2:4" x14ac:dyDescent="0.25">
      <c r="B577" s="108" t="s">
        <v>5</v>
      </c>
      <c r="C577" s="109" t="s">
        <v>46</v>
      </c>
      <c r="D577" s="109" t="s">
        <v>6</v>
      </c>
    </row>
    <row r="578" spans="2:4" x14ac:dyDescent="0.25">
      <c r="B578" s="88" t="str">
        <f>'20. Muro com Blocos'!B137</f>
        <v>Cimento CP III</v>
      </c>
      <c r="C578" s="91" t="str">
        <f>'20. Muro com Blocos'!C137</f>
        <v>Saco 50kg</v>
      </c>
      <c r="D578" s="87">
        <f>'20. Muro com Blocos'!D137</f>
        <v>0</v>
      </c>
    </row>
    <row r="579" spans="2:4" x14ac:dyDescent="0.25">
      <c r="B579" s="88" t="str">
        <f>'20. Muro com Blocos'!B138</f>
        <v>Areia média</v>
      </c>
      <c r="C579" s="91" t="str">
        <f>'20. Muro com Blocos'!C138</f>
        <v>m3</v>
      </c>
      <c r="D579" s="87">
        <f>'20. Muro com Blocos'!D138</f>
        <v>0</v>
      </c>
    </row>
    <row r="580" spans="2:4" x14ac:dyDescent="0.25">
      <c r="B580" s="88" t="str">
        <f>'20. Muro com Blocos'!B139</f>
        <v>Pedra brita 1</v>
      </c>
      <c r="C580" s="91" t="str">
        <f>'20. Muro com Blocos'!C139</f>
        <v>m3</v>
      </c>
      <c r="D580" s="87">
        <f>'20. Muro com Blocos'!D139</f>
        <v>0</v>
      </c>
    </row>
    <row r="581" spans="2:4" ht="15.75" x14ac:dyDescent="0.25">
      <c r="B581" s="134" t="str">
        <f>'20. Muro com Blocos'!B142:D142</f>
        <v>Armações de aço da viga baldrame do muro</v>
      </c>
      <c r="C581" s="134"/>
      <c r="D581" s="134"/>
    </row>
    <row r="582" spans="2:4" x14ac:dyDescent="0.25">
      <c r="B582" s="108" t="s">
        <v>5</v>
      </c>
      <c r="C582" s="109" t="s">
        <v>46</v>
      </c>
      <c r="D582" s="109" t="s">
        <v>6</v>
      </c>
    </row>
    <row r="583" spans="2:4" x14ac:dyDescent="0.25">
      <c r="B583" s="88" t="str">
        <f>'20. Muro com Blocos'!B185</f>
        <v>Barra de aço CA-25, 10mm (⅜'')</v>
      </c>
      <c r="C583" s="91" t="str">
        <f>'20. Muro com Blocos'!C185</f>
        <v>Barra 12 m</v>
      </c>
      <c r="D583" s="87">
        <f>'20. Muro com Blocos'!D185</f>
        <v>0</v>
      </c>
    </row>
    <row r="584" spans="2:4" x14ac:dyDescent="0.25">
      <c r="B584" s="88" t="str">
        <f>'20. Muro com Blocos'!B186</f>
        <v>Barra de aço CA-60, 4,2mm</v>
      </c>
      <c r="C584" s="91" t="str">
        <f>'20. Muro com Blocos'!C186</f>
        <v>Barra 12 m</v>
      </c>
      <c r="D584" s="87">
        <f>'20. Muro com Blocos'!D186</f>
        <v>0</v>
      </c>
    </row>
    <row r="585" spans="2:4" x14ac:dyDescent="0.25">
      <c r="B585" s="88" t="str">
        <f>'20. Muro com Blocos'!B187</f>
        <v>Arame recozido BWG 18 (1,24mm)</v>
      </c>
      <c r="C585" s="91" t="str">
        <f>'20. Muro com Blocos'!C187</f>
        <v>Rolo 1 kg</v>
      </c>
      <c r="D585" s="87">
        <f>'20. Muro com Blocos'!D187</f>
        <v>0</v>
      </c>
    </row>
    <row r="586" spans="2:4" x14ac:dyDescent="0.25">
      <c r="B586" s="88" t="str">
        <f>'20. Muro com Blocos'!B188</f>
        <v>Espaçadores de ferragem</v>
      </c>
      <c r="C586" s="91" t="str">
        <f>'20. Muro com Blocos'!C188</f>
        <v>Peça</v>
      </c>
      <c r="D586" s="87">
        <f>'20. Muro com Blocos'!D188</f>
        <v>0</v>
      </c>
    </row>
    <row r="587" spans="2:4" ht="15.75" x14ac:dyDescent="0.25">
      <c r="B587" s="134" t="str">
        <f>'20. Muro com Blocos'!B191:D191</f>
        <v>Armações de aço das colunas de arranque</v>
      </c>
      <c r="C587" s="134"/>
      <c r="D587" s="134"/>
    </row>
    <row r="588" spans="2:4" x14ac:dyDescent="0.25">
      <c r="B588" s="108" t="s">
        <v>5</v>
      </c>
      <c r="C588" s="109" t="s">
        <v>46</v>
      </c>
      <c r="D588" s="109" t="s">
        <v>6</v>
      </c>
    </row>
    <row r="589" spans="2:4" x14ac:dyDescent="0.25">
      <c r="B589" s="88" t="str">
        <f>'20. Muro com Blocos'!B231</f>
        <v>Barra de aço CA-25, 10mm (⅜'')</v>
      </c>
      <c r="C589" s="91" t="str">
        <f>'20. Muro com Blocos'!C231</f>
        <v>Barra 12 m</v>
      </c>
      <c r="D589" s="87">
        <f>'20. Muro com Blocos'!D231</f>
        <v>0</v>
      </c>
    </row>
    <row r="590" spans="2:4" x14ac:dyDescent="0.25">
      <c r="B590" s="88" t="str">
        <f>'20. Muro com Blocos'!B232</f>
        <v>Barra de aço CA-60, 4,2mm</v>
      </c>
      <c r="C590" s="91" t="str">
        <f>'20. Muro com Blocos'!C232</f>
        <v>Barra 12 m</v>
      </c>
      <c r="D590" s="87">
        <f>'20. Muro com Blocos'!D232</f>
        <v>0</v>
      </c>
    </row>
    <row r="591" spans="2:4" ht="15.75" x14ac:dyDescent="0.25">
      <c r="B591" s="134" t="str">
        <f>'20. Muro com Blocos'!B235:D235</f>
        <v>Fôrmas de madeira da viga baldrame do muro</v>
      </c>
      <c r="C591" s="134"/>
      <c r="D591" s="134"/>
    </row>
    <row r="592" spans="2:4" x14ac:dyDescent="0.25">
      <c r="B592" s="108" t="s">
        <v>5</v>
      </c>
      <c r="C592" s="109" t="s">
        <v>46</v>
      </c>
      <c r="D592" s="109" t="s">
        <v>6</v>
      </c>
    </row>
    <row r="593" spans="2:4" x14ac:dyDescent="0.25">
      <c r="B593" s="88" t="str">
        <f>'20. Muro com Blocos'!B260</f>
        <v>Tábua madeira 2,3 x 30 cm bruto</v>
      </c>
      <c r="C593" s="91" t="str">
        <f>'20. Muro com Blocos'!C260</f>
        <v>Peça 3,0 m</v>
      </c>
      <c r="D593" s="87">
        <f>'20. Muro com Blocos'!D260</f>
        <v>0</v>
      </c>
    </row>
    <row r="594" spans="2:4" x14ac:dyDescent="0.25">
      <c r="B594" s="88" t="str">
        <f>'20. Muro com Blocos'!B261</f>
        <v>Sarrafo madeira 2,3 x 10 cm bruto</v>
      </c>
      <c r="C594" s="91" t="str">
        <f>'20. Muro com Blocos'!C261</f>
        <v>Peça 3,0 m</v>
      </c>
      <c r="D594" s="87">
        <f>'20. Muro com Blocos'!D261</f>
        <v>0</v>
      </c>
    </row>
    <row r="595" spans="2:4" x14ac:dyDescent="0.25">
      <c r="B595" s="88" t="str">
        <f>'20. Muro com Blocos'!B262</f>
        <v>Prego aço polido c/ cabeça 17 x 27</v>
      </c>
      <c r="C595" s="91" t="str">
        <f>'20. Muro com Blocos'!C262</f>
        <v>kg</v>
      </c>
      <c r="D595" s="87">
        <f>'20. Muro com Blocos'!D262</f>
        <v>0</v>
      </c>
    </row>
    <row r="596" spans="2:4" ht="15.75" x14ac:dyDescent="0.25">
      <c r="B596" s="134" t="str">
        <f>'20. Muro com Blocos'!B265:D265</f>
        <v>Impermeabilização da viga baldrame do muro</v>
      </c>
      <c r="C596" s="134"/>
      <c r="D596" s="134"/>
    </row>
    <row r="597" spans="2:4" x14ac:dyDescent="0.25">
      <c r="B597" s="108" t="s">
        <v>5</v>
      </c>
      <c r="C597" s="109" t="s">
        <v>46</v>
      </c>
      <c r="D597" s="109" t="s">
        <v>6</v>
      </c>
    </row>
    <row r="598" spans="2:4" x14ac:dyDescent="0.25">
      <c r="B598" s="88" t="str">
        <f>'20. Muro com Blocos'!B281</f>
        <v>Cimento CP III</v>
      </c>
      <c r="C598" s="91" t="str">
        <f>'20. Muro com Blocos'!C281</f>
        <v>Saco 50kg</v>
      </c>
      <c r="D598" s="87">
        <f>'20. Muro com Blocos'!D281</f>
        <v>0</v>
      </c>
    </row>
    <row r="599" spans="2:4" x14ac:dyDescent="0.25">
      <c r="B599" s="88" t="str">
        <f>'20. Muro com Blocos'!B282</f>
        <v>Areia média</v>
      </c>
      <c r="C599" s="91" t="str">
        <f>'20. Muro com Blocos'!C282</f>
        <v>m3</v>
      </c>
      <c r="D599" s="87">
        <f>'20. Muro com Blocos'!D282</f>
        <v>0</v>
      </c>
    </row>
    <row r="600" spans="2:4" x14ac:dyDescent="0.25">
      <c r="B600" s="88" t="str">
        <f>'20. Muro com Blocos'!B283</f>
        <v>Impermeabilizante Vedatop</v>
      </c>
      <c r="C600" s="91" t="str">
        <f>'20. Muro com Blocos'!C283</f>
        <v>Caixa 12 kg</v>
      </c>
      <c r="D600" s="87">
        <f>'20. Muro com Blocos'!D283</f>
        <v>0</v>
      </c>
    </row>
    <row r="601" spans="2:4" x14ac:dyDescent="0.25">
      <c r="B601" s="88" t="str">
        <f>'20. Muro com Blocos'!B284</f>
        <v>Broxa para pintura rústicas, 15 cm</v>
      </c>
      <c r="C601" s="91" t="str">
        <f>'20. Muro com Blocos'!C284</f>
        <v>Peça</v>
      </c>
      <c r="D601" s="87">
        <f>'20. Muro com Blocos'!D284</f>
        <v>0</v>
      </c>
    </row>
    <row r="602" spans="2:4" ht="15.75" x14ac:dyDescent="0.25">
      <c r="B602" s="134" t="str">
        <f>'20. Muro com Blocos'!B287:D287</f>
        <v>Blocos de concreto e argamassa do muro</v>
      </c>
      <c r="C602" s="134"/>
      <c r="D602" s="134"/>
    </row>
    <row r="603" spans="2:4" x14ac:dyDescent="0.25">
      <c r="B603" s="108" t="s">
        <v>5</v>
      </c>
      <c r="C603" s="109" t="s">
        <v>46</v>
      </c>
      <c r="D603" s="109" t="s">
        <v>6</v>
      </c>
    </row>
    <row r="604" spans="2:4" x14ac:dyDescent="0.25">
      <c r="B604" s="88" t="str">
        <f>'20. Muro com Blocos'!B364</f>
        <v xml:space="preserve">Bloco de concreto vedação, </v>
      </c>
      <c r="C604" s="91" t="str">
        <f>'20. Muro com Blocos'!C364</f>
        <v>Peça</v>
      </c>
      <c r="D604" s="87">
        <f>'20. Muro com Blocos'!D364</f>
        <v>0</v>
      </c>
    </row>
    <row r="605" spans="2:4" x14ac:dyDescent="0.25">
      <c r="B605" s="88" t="str">
        <f>'20. Muro com Blocos'!B365</f>
        <v>Cimento CP II</v>
      </c>
      <c r="C605" s="91" t="str">
        <f>'20. Muro com Blocos'!C365</f>
        <v>Saco 50kg</v>
      </c>
      <c r="D605" s="87">
        <f>'20. Muro com Blocos'!D365</f>
        <v>0</v>
      </c>
    </row>
    <row r="606" spans="2:4" x14ac:dyDescent="0.25">
      <c r="B606" s="88" t="str">
        <f>'20. Muro com Blocos'!B366</f>
        <v>Areia média</v>
      </c>
      <c r="C606" s="91" t="str">
        <f>'20. Muro com Blocos'!C366</f>
        <v>m3</v>
      </c>
      <c r="D606" s="87">
        <f>'20. Muro com Blocos'!D366</f>
        <v>0</v>
      </c>
    </row>
    <row r="607" spans="2:4" x14ac:dyDescent="0.25">
      <c r="B607" s="88" t="str">
        <f>'20. Muro com Blocos'!B367</f>
        <v>Cal hidratada para construção civil</v>
      </c>
      <c r="C607" s="91" t="str">
        <f>'20. Muro com Blocos'!C367</f>
        <v>Saco 20 kg</v>
      </c>
      <c r="D607" s="87">
        <f>'20. Muro com Blocos'!D367</f>
        <v>0</v>
      </c>
    </row>
    <row r="608" spans="2:4" x14ac:dyDescent="0.25">
      <c r="B608" s="88" t="str">
        <f>'20. Muro com Blocos'!B368</f>
        <v>Aditivo plastificante Alvenarit</v>
      </c>
      <c r="C608" s="91" t="str">
        <f>'20. Muro com Blocos'!C368</f>
        <v>Litros</v>
      </c>
      <c r="D608" s="87">
        <f>'20. Muro com Blocos'!D368</f>
        <v>0</v>
      </c>
    </row>
    <row r="609" spans="2:4" x14ac:dyDescent="0.25">
      <c r="B609" s="88" t="str">
        <f>'20. Muro com Blocos'!B369</f>
        <v xml:space="preserve">Portão para carros, </v>
      </c>
      <c r="C609" s="91" t="str">
        <f>'20. Muro com Blocos'!C369</f>
        <v>Peça</v>
      </c>
      <c r="D609" s="87">
        <f>'20. Muro com Blocos'!D369</f>
        <v>0</v>
      </c>
    </row>
    <row r="610" spans="2:4" x14ac:dyDescent="0.25">
      <c r="B610" s="88" t="str">
        <f>'20. Muro com Blocos'!B370</f>
        <v xml:space="preserve">Portão social, </v>
      </c>
      <c r="C610" s="91" t="str">
        <f>'20. Muro com Blocos'!C370</f>
        <v>Peça</v>
      </c>
      <c r="D610" s="87">
        <f>'20. Muro com Blocos'!D370</f>
        <v>0</v>
      </c>
    </row>
    <row r="611" spans="2:4" ht="15.75" x14ac:dyDescent="0.25">
      <c r="B611" s="134" t="str">
        <f>'20. Muro com Blocos'!B373:D373</f>
        <v>Colunas ou pilares do muro</v>
      </c>
      <c r="C611" s="134"/>
      <c r="D611" s="134"/>
    </row>
    <row r="612" spans="2:4" x14ac:dyDescent="0.25">
      <c r="B612" s="108" t="s">
        <v>5</v>
      </c>
      <c r="C612" s="109" t="s">
        <v>46</v>
      </c>
      <c r="D612" s="109" t="s">
        <v>6</v>
      </c>
    </row>
    <row r="613" spans="2:4" x14ac:dyDescent="0.25">
      <c r="B613" s="88" t="str">
        <f>'20. Muro com Blocos'!B496</f>
        <v>Concreto usinado para pilares</v>
      </c>
      <c r="C613" s="91" t="str">
        <f>'20. Muro com Blocos'!C496</f>
        <v>m3</v>
      </c>
      <c r="D613" s="87">
        <f>'20. Muro com Blocos'!D496</f>
        <v>0</v>
      </c>
    </row>
    <row r="614" spans="2:4" x14ac:dyDescent="0.25">
      <c r="B614" s="88" t="str">
        <f>'20. Muro com Blocos'!B497</f>
        <v>Cimento CP III</v>
      </c>
      <c r="C614" s="91" t="str">
        <f>'20. Muro com Blocos'!C497</f>
        <v>Saco 50kg</v>
      </c>
      <c r="D614" s="87">
        <f>'20. Muro com Blocos'!D497</f>
        <v>0</v>
      </c>
    </row>
    <row r="615" spans="2:4" x14ac:dyDescent="0.25">
      <c r="B615" s="88" t="str">
        <f>'20. Muro com Blocos'!B498</f>
        <v>Areia média</v>
      </c>
      <c r="C615" s="91" t="str">
        <f>'20. Muro com Blocos'!C498</f>
        <v>m3</v>
      </c>
      <c r="D615" s="87">
        <f>'20. Muro com Blocos'!D498</f>
        <v>0</v>
      </c>
    </row>
    <row r="616" spans="2:4" x14ac:dyDescent="0.25">
      <c r="B616" s="88" t="str">
        <f>'20. Muro com Blocos'!B499</f>
        <v>Pedra brita 1</v>
      </c>
      <c r="C616" s="91" t="str">
        <f>'20. Muro com Blocos'!C499</f>
        <v>m3</v>
      </c>
      <c r="D616" s="87">
        <f>'20. Muro com Blocos'!D499</f>
        <v>0</v>
      </c>
    </row>
    <row r="617" spans="2:4" x14ac:dyDescent="0.25">
      <c r="B617" s="88" t="str">
        <f>'20. Muro com Blocos'!B500</f>
        <v>Barra de aço CA-25, 10mm (⅜'')</v>
      </c>
      <c r="C617" s="91" t="str">
        <f>'20. Muro com Blocos'!C500</f>
        <v>Barra 12 m</v>
      </c>
      <c r="D617" s="87">
        <f>'20. Muro com Blocos'!D500</f>
        <v>0</v>
      </c>
    </row>
    <row r="618" spans="2:4" x14ac:dyDescent="0.25">
      <c r="B618" s="88" t="str">
        <f>'20. Muro com Blocos'!B501</f>
        <v>Barra de aço CA-60, 4,2mm</v>
      </c>
      <c r="C618" s="91" t="str">
        <f>'20. Muro com Blocos'!C501</f>
        <v>Barra 12 m</v>
      </c>
      <c r="D618" s="87">
        <f>'20. Muro com Blocos'!D501</f>
        <v>0</v>
      </c>
    </row>
    <row r="619" spans="2:4" x14ac:dyDescent="0.25">
      <c r="B619" s="88" t="str">
        <f>'20. Muro com Blocos'!B502</f>
        <v>Arame recozido BWG 18 (1,24mm)</v>
      </c>
      <c r="C619" s="91" t="str">
        <f>'20. Muro com Blocos'!C502</f>
        <v>Rolo 1 kg</v>
      </c>
      <c r="D619" s="87">
        <f>'20. Muro com Blocos'!D502</f>
        <v>0</v>
      </c>
    </row>
    <row r="620" spans="2:4" x14ac:dyDescent="0.25">
      <c r="B620" s="88" t="str">
        <f>'20. Muro com Blocos'!B503</f>
        <v>Espaçadores de ferragem</v>
      </c>
      <c r="C620" s="91" t="str">
        <f>'20. Muro com Blocos'!C503</f>
        <v>Peça</v>
      </c>
      <c r="D620" s="87">
        <f>'20. Muro com Blocos'!D503</f>
        <v>0</v>
      </c>
    </row>
    <row r="621" spans="2:4" x14ac:dyDescent="0.25">
      <c r="B621" s="88" t="str">
        <f>'20. Muro com Blocos'!B504</f>
        <v>Tábua madeira 2,3 x 30 cm bruto</v>
      </c>
      <c r="C621" s="91" t="str">
        <f>'20. Muro com Blocos'!C504</f>
        <v/>
      </c>
      <c r="D621" s="87">
        <f>'20. Muro com Blocos'!D504</f>
        <v>0</v>
      </c>
    </row>
    <row r="622" spans="2:4" x14ac:dyDescent="0.25">
      <c r="B622" s="88" t="str">
        <f>'20. Muro com Blocos'!B505</f>
        <v>Sarrafo madeira 2,3 x 10 cm bruto</v>
      </c>
      <c r="C622" s="91" t="str">
        <f>'20. Muro com Blocos'!C505</f>
        <v>Peça 3,0 m</v>
      </c>
      <c r="D622" s="87">
        <f>'20. Muro com Blocos'!D505</f>
        <v>0</v>
      </c>
    </row>
    <row r="623" spans="2:4" x14ac:dyDescent="0.25">
      <c r="B623" s="88" t="str">
        <f>'20. Muro com Blocos'!B506</f>
        <v>Prego aço polido c/ cabeça 17 x 27</v>
      </c>
      <c r="C623" s="91" t="str">
        <f>'20. Muro com Blocos'!C506</f>
        <v>kg</v>
      </c>
      <c r="D623" s="87">
        <f>'20. Muro com Blocos'!D506</f>
        <v>0</v>
      </c>
    </row>
    <row r="624" spans="2:4" ht="15.75" x14ac:dyDescent="0.25">
      <c r="B624" s="134" t="str">
        <f>'20. Muro com Blocos'!B509:D509</f>
        <v>Cintas de amarração do muro</v>
      </c>
      <c r="C624" s="134"/>
      <c r="D624" s="134"/>
    </row>
    <row r="625" spans="2:4" x14ac:dyDescent="0.25">
      <c r="B625" s="108" t="s">
        <v>5</v>
      </c>
      <c r="C625" s="109" t="s">
        <v>46</v>
      </c>
      <c r="D625" s="109" t="s">
        <v>6</v>
      </c>
    </row>
    <row r="626" spans="2:4" x14ac:dyDescent="0.25">
      <c r="B626" s="88" t="str">
        <f>'20. Muro com Blocos'!B537</f>
        <v/>
      </c>
      <c r="C626" s="91" t="str">
        <f>'20. Muro com Blocos'!C537</f>
        <v>Peça</v>
      </c>
      <c r="D626" s="87">
        <f>'20. Muro com Blocos'!D537</f>
        <v>0</v>
      </c>
    </row>
    <row r="627" spans="2:4" x14ac:dyDescent="0.25">
      <c r="B627" s="88" t="str">
        <f>'20. Muro com Blocos'!B538</f>
        <v>Barra de aço CA-25, 10mm (⅜'')</v>
      </c>
      <c r="C627" s="91" t="str">
        <f>'20. Muro com Blocos'!C538</f>
        <v>Barra 12 m</v>
      </c>
      <c r="D627" s="87">
        <f>'20. Muro com Blocos'!D538</f>
        <v>0</v>
      </c>
    </row>
    <row r="628" spans="2:4" x14ac:dyDescent="0.25">
      <c r="B628" s="88" t="str">
        <f>'20. Muro com Blocos'!B539</f>
        <v>Cimento CP III</v>
      </c>
      <c r="C628" s="91" t="str">
        <f>'20. Muro com Blocos'!C539</f>
        <v>Saco 50kg</v>
      </c>
      <c r="D628" s="87">
        <f>'20. Muro com Blocos'!D539</f>
        <v>0</v>
      </c>
    </row>
    <row r="629" spans="2:4" x14ac:dyDescent="0.25">
      <c r="B629" s="88" t="str">
        <f>'20. Muro com Blocos'!B540</f>
        <v>Areia média</v>
      </c>
      <c r="C629" s="91" t="str">
        <f>'20. Muro com Blocos'!C540</f>
        <v>m3</v>
      </c>
      <c r="D629" s="87">
        <f>'20. Muro com Blocos'!D540</f>
        <v>0</v>
      </c>
    </row>
    <row r="630" spans="2:4" x14ac:dyDescent="0.25">
      <c r="B630" s="88" t="str">
        <f>'20. Muro com Blocos'!B541</f>
        <v>Pedra brita 1</v>
      </c>
      <c r="C630" s="91" t="str">
        <f>'20. Muro com Blocos'!C541</f>
        <v>m3</v>
      </c>
      <c r="D630" s="87">
        <f>'20. Muro com Blocos'!D541</f>
        <v>0</v>
      </c>
    </row>
    <row r="631" spans="2:4" ht="15.75" x14ac:dyDescent="0.25">
      <c r="B631" s="134" t="str">
        <f>'20. Muro com Blocos'!B544:D544</f>
        <v>Argamassa do chapisco do muro</v>
      </c>
      <c r="C631" s="134"/>
      <c r="D631" s="134"/>
    </row>
    <row r="632" spans="2:4" x14ac:dyDescent="0.25">
      <c r="B632" s="108" t="s">
        <v>5</v>
      </c>
      <c r="C632" s="109" t="s">
        <v>46</v>
      </c>
      <c r="D632" s="109" t="s">
        <v>6</v>
      </c>
    </row>
    <row r="633" spans="2:4" x14ac:dyDescent="0.25">
      <c r="B633" s="88" t="str">
        <f>'20. Muro com Blocos'!B601</f>
        <v>Argamassa chapisco pronta</v>
      </c>
      <c r="C633" s="91" t="str">
        <f>'20. Muro com Blocos'!C601</f>
        <v>Saco 20 kg</v>
      </c>
      <c r="D633" s="87">
        <f>'20. Muro com Blocos'!D601</f>
        <v>0</v>
      </c>
    </row>
    <row r="634" spans="2:4" x14ac:dyDescent="0.25">
      <c r="B634" s="88" t="str">
        <f>'20. Muro com Blocos'!B602</f>
        <v>Cimento CP II</v>
      </c>
      <c r="C634" s="91" t="str">
        <f>'20. Muro com Blocos'!C602</f>
        <v>Saco 50kg</v>
      </c>
      <c r="D634" s="87">
        <f>'20. Muro com Blocos'!D602</f>
        <v>0</v>
      </c>
    </row>
    <row r="635" spans="2:4" x14ac:dyDescent="0.25">
      <c r="B635" s="88" t="str">
        <f>'20. Muro com Blocos'!B603</f>
        <v>Areia média</v>
      </c>
      <c r="C635" s="91" t="str">
        <f>'20. Muro com Blocos'!C603</f>
        <v>m3</v>
      </c>
      <c r="D635" s="87">
        <f>'20. Muro com Blocos'!D603</f>
        <v>0</v>
      </c>
    </row>
    <row r="636" spans="2:4" x14ac:dyDescent="0.25">
      <c r="B636" s="88" t="str">
        <f>'20. Muro com Blocos'!B604</f>
        <v>Aditivo plastificante Bianco</v>
      </c>
      <c r="C636" s="91" t="str">
        <f>'20. Muro com Blocos'!C604</f>
        <v>Litros</v>
      </c>
      <c r="D636" s="87">
        <f>'20. Muro com Blocos'!D604</f>
        <v>0</v>
      </c>
    </row>
    <row r="637" spans="2:4" ht="15.75" x14ac:dyDescent="0.25">
      <c r="B637" s="134" t="str">
        <f>'20. Muro com Blocos'!B607:D607</f>
        <v>Argamassa do emboço do muro</v>
      </c>
      <c r="C637" s="134"/>
      <c r="D637" s="134"/>
    </row>
    <row r="638" spans="2:4" x14ac:dyDescent="0.25">
      <c r="B638" s="108" t="s">
        <v>5</v>
      </c>
      <c r="C638" s="109" t="s">
        <v>46</v>
      </c>
      <c r="D638" s="109" t="s">
        <v>6</v>
      </c>
    </row>
    <row r="639" spans="2:4" x14ac:dyDescent="0.25">
      <c r="B639" s="88" t="str">
        <f>'20. Muro com Blocos'!B657</f>
        <v>Argamassa emboço pronta</v>
      </c>
      <c r="C639" s="91" t="str">
        <f>'20. Muro com Blocos'!C657</f>
        <v>Saco 20 kg</v>
      </c>
      <c r="D639" s="87">
        <f>'20. Muro com Blocos'!D657</f>
        <v>0</v>
      </c>
    </row>
    <row r="640" spans="2:4" x14ac:dyDescent="0.25">
      <c r="B640" s="88" t="str">
        <f>'20. Muro com Blocos'!B658</f>
        <v>Cimento CP II</v>
      </c>
      <c r="C640" s="91" t="str">
        <f>'20. Muro com Blocos'!C658</f>
        <v>Saco 50kg</v>
      </c>
      <c r="D640" s="87">
        <f>'20. Muro com Blocos'!D658</f>
        <v>0</v>
      </c>
    </row>
    <row r="641" spans="2:4" x14ac:dyDescent="0.25">
      <c r="B641" s="88" t="str">
        <f>'20. Muro com Blocos'!B659</f>
        <v>Areia média</v>
      </c>
      <c r="C641" s="91" t="str">
        <f>'20. Muro com Blocos'!C659</f>
        <v>m3</v>
      </c>
      <c r="D641" s="87">
        <f>'20. Muro com Blocos'!D659</f>
        <v>0</v>
      </c>
    </row>
    <row r="642" spans="2:4" x14ac:dyDescent="0.25">
      <c r="B642" s="88" t="str">
        <f>'20. Muro com Blocos'!B660</f>
        <v>Cal hidratada para construção civil</v>
      </c>
      <c r="C642" s="91" t="str">
        <f>'20. Muro com Blocos'!C660</f>
        <v>Saco 20 kg</v>
      </c>
      <c r="D642" s="87">
        <f>'20. Muro com Blocos'!D660</f>
        <v>0</v>
      </c>
    </row>
    <row r="643" spans="2:4" x14ac:dyDescent="0.25">
      <c r="B643" s="88" t="str">
        <f>'20. Muro com Blocos'!B661</f>
        <v>Aditivo plastificante Bianco</v>
      </c>
      <c r="C643" s="91" t="str">
        <f>'20. Muro com Blocos'!C661</f>
        <v>Litros</v>
      </c>
      <c r="D643" s="87">
        <f>'20. Muro com Blocos'!D661</f>
        <v>0</v>
      </c>
    </row>
    <row r="644" spans="2:4" ht="15.75" x14ac:dyDescent="0.25">
      <c r="B644" s="134" t="str">
        <f>'20. Muro com Blocos'!B664:D664</f>
        <v>Argamassa do reboco do muro</v>
      </c>
      <c r="C644" s="134"/>
      <c r="D644" s="134"/>
    </row>
    <row r="645" spans="2:4" x14ac:dyDescent="0.25">
      <c r="B645" s="108" t="s">
        <v>5</v>
      </c>
      <c r="C645" s="109" t="s">
        <v>46</v>
      </c>
      <c r="D645" s="109" t="s">
        <v>6</v>
      </c>
    </row>
    <row r="646" spans="2:4" x14ac:dyDescent="0.25">
      <c r="B646" s="88" t="str">
        <f>'20. Muro com Blocos'!B714</f>
        <v>Argamassa reboco pronta</v>
      </c>
      <c r="C646" s="91" t="str">
        <f>'20. Muro com Blocos'!C714</f>
        <v>Saco 20 kg</v>
      </c>
      <c r="D646" s="87">
        <f>'20. Muro com Blocos'!D714</f>
        <v>0</v>
      </c>
    </row>
    <row r="647" spans="2:4" x14ac:dyDescent="0.25">
      <c r="B647" s="88" t="str">
        <f>'20. Muro com Blocos'!B715</f>
        <v>Cimento CP II</v>
      </c>
      <c r="C647" s="91" t="str">
        <f>'20. Muro com Blocos'!C715</f>
        <v>Saco 50kg</v>
      </c>
      <c r="D647" s="87">
        <f>'20. Muro com Blocos'!D715</f>
        <v>0</v>
      </c>
    </row>
    <row r="648" spans="2:4" x14ac:dyDescent="0.25">
      <c r="B648" s="88" t="str">
        <f>'20. Muro com Blocos'!B716</f>
        <v>Areia média</v>
      </c>
      <c r="C648" s="91" t="str">
        <f>'20. Muro com Blocos'!C716</f>
        <v>m3</v>
      </c>
      <c r="D648" s="87">
        <f>'20. Muro com Blocos'!D716</f>
        <v>0</v>
      </c>
    </row>
    <row r="649" spans="2:4" x14ac:dyDescent="0.25">
      <c r="B649" s="88" t="str">
        <f>'20. Muro com Blocos'!B717</f>
        <v>Cal hidratada para construção civil</v>
      </c>
      <c r="C649" s="91" t="str">
        <f>'20. Muro com Blocos'!C717</f>
        <v>Saco 20 kg</v>
      </c>
      <c r="D649" s="87">
        <f>'20. Muro com Blocos'!D717</f>
        <v>0</v>
      </c>
    </row>
    <row r="650" spans="2:4" x14ac:dyDescent="0.25">
      <c r="B650" s="88" t="str">
        <f>'20. Muro com Blocos'!B718</f>
        <v>Aditivo plastificante Bianco</v>
      </c>
      <c r="C650" s="91" t="str">
        <f>'20. Muro com Blocos'!C718</f>
        <v>Litros</v>
      </c>
      <c r="D650" s="87">
        <f>'20. Muro com Blocos'!D718</f>
        <v>0</v>
      </c>
    </row>
    <row r="651" spans="2:4" ht="15.75" x14ac:dyDescent="0.25">
      <c r="B651" s="134" t="str">
        <f>'20. Muro com Blocos'!B721:D721</f>
        <v>Pintura do muro</v>
      </c>
      <c r="C651" s="134"/>
      <c r="D651" s="134"/>
    </row>
    <row r="652" spans="2:4" x14ac:dyDescent="0.25">
      <c r="B652" s="108" t="s">
        <v>5</v>
      </c>
      <c r="C652" s="109" t="s">
        <v>46</v>
      </c>
      <c r="D652" s="109" t="s">
        <v>6</v>
      </c>
    </row>
    <row r="653" spans="2:4" x14ac:dyDescent="0.25">
      <c r="B653" s="88" t="str">
        <f>'20. Muro com Blocos'!B758</f>
        <v xml:space="preserve">Tinta </v>
      </c>
      <c r="C653" s="91" t="str">
        <f>'20. Muro com Blocos'!C758</f>
        <v>Litros</v>
      </c>
      <c r="D653" s="87">
        <f>'20. Muro com Blocos'!D758</f>
        <v>0</v>
      </c>
    </row>
    <row r="654" spans="2:4" x14ac:dyDescent="0.25">
      <c r="B654" s="88" t="str">
        <f>'20. Muro com Blocos'!B759</f>
        <v>Fundo preparador</v>
      </c>
      <c r="C654" s="91" t="str">
        <f>'20. Muro com Blocos'!C759</f>
        <v>Litros</v>
      </c>
      <c r="D654" s="87">
        <f>'20. Muro com Blocos'!D759</f>
        <v>0</v>
      </c>
    </row>
    <row r="655" spans="2:4" x14ac:dyDescent="0.25">
      <c r="B655" s="88" t="str">
        <f>'20. Muro com Blocos'!B760</f>
        <v>Rolo para pintura</v>
      </c>
      <c r="C655" s="91" t="str">
        <f>'20. Muro com Blocos'!C760</f>
        <v>Peça</v>
      </c>
      <c r="D655" s="87">
        <f>'20. Muro com Blocos'!D760</f>
        <v>0</v>
      </c>
    </row>
    <row r="656" spans="2:4" x14ac:dyDescent="0.25">
      <c r="B656" s="88" t="str">
        <f>'20. Muro com Blocos'!B761</f>
        <v>Pincel para pintura</v>
      </c>
      <c r="C656" s="91" t="str">
        <f>'20. Muro com Blocos'!C761</f>
        <v>Peça</v>
      </c>
      <c r="D656" s="87">
        <f>'20. Muro com Blocos'!D761</f>
        <v>0</v>
      </c>
    </row>
    <row r="657" spans="2:4" x14ac:dyDescent="0.25">
      <c r="B657" s="88" t="str">
        <f>'20. Muro com Blocos'!B762</f>
        <v>Fita crepe larga</v>
      </c>
      <c r="C657" s="91" t="str">
        <f>'20. Muro com Blocos'!C762</f>
        <v>Peça</v>
      </c>
      <c r="D657" s="87">
        <f>'20. Muro com Blocos'!D762</f>
        <v>0</v>
      </c>
    </row>
    <row r="658" spans="2:4" x14ac:dyDescent="0.25">
      <c r="B658" s="88" t="str">
        <f>'20. Muro com Blocos'!B763</f>
        <v>Lixa para parede</v>
      </c>
      <c r="C658" s="91" t="str">
        <f>'20. Muro com Blocos'!C763</f>
        <v>Peça</v>
      </c>
      <c r="D658" s="87">
        <f>'20. Muro com Blocos'!D763</f>
        <v>0</v>
      </c>
    </row>
    <row r="659" spans="2:4" x14ac:dyDescent="0.25">
      <c r="B659" s="110"/>
      <c r="C659" s="110"/>
      <c r="D659" s="110"/>
    </row>
    <row r="660" spans="2:4" ht="18.75" x14ac:dyDescent="0.3">
      <c r="B660" s="137" t="str">
        <f>'21. Calçada'!B2</f>
        <v>Calçada</v>
      </c>
      <c r="C660" s="137"/>
      <c r="D660" s="137"/>
    </row>
    <row r="661" spans="2:4" ht="15.75" x14ac:dyDescent="0.25">
      <c r="B661" s="134" t="str">
        <f>'21. Calçada'!B5</f>
        <v>Calçada simples</v>
      </c>
      <c r="C661" s="134"/>
      <c r="D661" s="134"/>
    </row>
    <row r="662" spans="2:4" x14ac:dyDescent="0.25">
      <c r="B662" s="108" t="s">
        <v>5</v>
      </c>
      <c r="C662" s="109" t="s">
        <v>46</v>
      </c>
      <c r="D662" s="109" t="s">
        <v>6</v>
      </c>
    </row>
    <row r="663" spans="2:4" x14ac:dyDescent="0.25">
      <c r="B663" s="88" t="str">
        <f>'21. Calçada'!B42</f>
        <v>Concreto usinado para contrapiso</v>
      </c>
      <c r="C663" s="91" t="str">
        <f>'21. Calçada'!C42</f>
        <v>m3</v>
      </c>
      <c r="D663" s="87">
        <f>'21. Calçada'!D42</f>
        <v>3.9375</v>
      </c>
    </row>
    <row r="664" spans="2:4" x14ac:dyDescent="0.25">
      <c r="B664" s="88" t="str">
        <f>'21. Calçada'!B43</f>
        <v>Cimento CP III</v>
      </c>
      <c r="C664" s="91" t="str">
        <f>'21. Calçada'!C43</f>
        <v>Saco 50kg</v>
      </c>
      <c r="D664" s="87">
        <f>'21. Calçada'!D43</f>
        <v>0</v>
      </c>
    </row>
    <row r="665" spans="2:4" x14ac:dyDescent="0.25">
      <c r="B665" s="88" t="str">
        <f>'21. Calçada'!B44</f>
        <v>Areia média</v>
      </c>
      <c r="C665" s="91" t="str">
        <f>'21. Calçada'!C44</f>
        <v>m3</v>
      </c>
      <c r="D665" s="87">
        <f>'21. Calçada'!D44</f>
        <v>0</v>
      </c>
    </row>
    <row r="666" spans="2:4" x14ac:dyDescent="0.25">
      <c r="B666" s="88" t="str">
        <f>'21. Calçada'!B45</f>
        <v>Pedra brita 1</v>
      </c>
      <c r="C666" s="91" t="str">
        <f>'21. Calçada'!C45</f>
        <v>m3</v>
      </c>
      <c r="D666" s="87">
        <f>'21. Calçada'!D45</f>
        <v>0</v>
      </c>
    </row>
    <row r="667" spans="2:4" x14ac:dyDescent="0.25">
      <c r="B667" s="88" t="str">
        <f>'21. Calçada'!B46</f>
        <v>Sarrafo madeira 2,3 x 7 cm bruto</v>
      </c>
      <c r="C667" s="91" t="str">
        <f>'21. Calçada'!C46</f>
        <v>Peça 3,0 m</v>
      </c>
      <c r="D667" s="87">
        <f>'21. Calçada'!D46</f>
        <v>11.66666666666667</v>
      </c>
    </row>
    <row r="668" spans="2:4" ht="15.75" x14ac:dyDescent="0.25">
      <c r="B668" s="134" t="str">
        <f>'21. Calçada'!B49</f>
        <v>Calçada reforçada</v>
      </c>
      <c r="C668" s="134"/>
      <c r="D668" s="134"/>
    </row>
    <row r="669" spans="2:4" x14ac:dyDescent="0.25">
      <c r="B669" s="108" t="s">
        <v>5</v>
      </c>
      <c r="C669" s="109" t="s">
        <v>46</v>
      </c>
      <c r="D669" s="109" t="s">
        <v>6</v>
      </c>
    </row>
    <row r="670" spans="2:4" x14ac:dyDescent="0.25">
      <c r="B670" s="88" t="str">
        <f>'21. Calçada'!B100</f>
        <v>Concreto usinado para contrapiso</v>
      </c>
      <c r="C670" s="91" t="str">
        <f>'21. Calçada'!C100</f>
        <v>m3</v>
      </c>
      <c r="D670" s="87">
        <f>'21. Calçada'!D100</f>
        <v>0</v>
      </c>
    </row>
    <row r="671" spans="2:4" x14ac:dyDescent="0.25">
      <c r="B671" s="88" t="str">
        <f>'21. Calçada'!B101</f>
        <v>Cimento CP III</v>
      </c>
      <c r="C671" s="91" t="str">
        <f>'21. Calçada'!C101</f>
        <v>Saco 50kg</v>
      </c>
      <c r="D671" s="87">
        <f>'21. Calçada'!D101</f>
        <v>0</v>
      </c>
    </row>
    <row r="672" spans="2:4" x14ac:dyDescent="0.25">
      <c r="B672" s="88" t="str">
        <f>'21. Calçada'!B102</f>
        <v>Areia média</v>
      </c>
      <c r="C672" s="91" t="str">
        <f>'21. Calçada'!C102</f>
        <v>m3</v>
      </c>
      <c r="D672" s="87">
        <f>'21. Calçada'!D102</f>
        <v>0</v>
      </c>
    </row>
    <row r="673" spans="2:4" x14ac:dyDescent="0.25">
      <c r="B673" s="88" t="str">
        <f>'21. Calçada'!B103</f>
        <v>Pedra brita 1</v>
      </c>
      <c r="C673" s="91" t="str">
        <f>'21. Calçada'!C103</f>
        <v>m3</v>
      </c>
      <c r="D673" s="87">
        <f>'21. Calçada'!D103</f>
        <v>0</v>
      </c>
    </row>
    <row r="674" spans="2:4" x14ac:dyDescent="0.25">
      <c r="B674" s="88" t="str">
        <f>'21. Calçada'!B104</f>
        <v>Sarrafo madeira 2,3 x 7 cm bruto</v>
      </c>
      <c r="C674" s="91" t="str">
        <f>'21. Calçada'!C104</f>
        <v>Peça 3,0 m</v>
      </c>
      <c r="D674" s="87">
        <f>'21. Calçada'!D104</f>
        <v>0</v>
      </c>
    </row>
    <row r="675" spans="2:4" x14ac:dyDescent="0.25">
      <c r="B675" s="88" t="str">
        <f>'21. Calçada'!B105</f>
        <v>Pedra brita 2 para lastro</v>
      </c>
      <c r="C675" s="91" t="str">
        <f>'21. Calçada'!C105</f>
        <v>m3</v>
      </c>
      <c r="D675" s="87">
        <f>'21. Calçada'!D105</f>
        <v>0</v>
      </c>
    </row>
    <row r="676" spans="2:4" x14ac:dyDescent="0.25">
      <c r="B676" s="88" t="str">
        <f>'21. Calçada'!B106</f>
        <v/>
      </c>
      <c r="C676" s="91" t="str">
        <f>'21. Calçada'!C106</f>
        <v/>
      </c>
      <c r="D676" s="87" t="str">
        <f>'21. Calçada'!D106</f>
        <v/>
      </c>
    </row>
  </sheetData>
  <mergeCells count="117">
    <mergeCell ref="B637:D637"/>
    <mergeCell ref="B644:D644"/>
    <mergeCell ref="B651:D651"/>
    <mergeCell ref="B660:D660"/>
    <mergeCell ref="B661:D661"/>
    <mergeCell ref="B668:D668"/>
    <mergeCell ref="B591:D591"/>
    <mergeCell ref="B596:D596"/>
    <mergeCell ref="B602:D602"/>
    <mergeCell ref="B611:D611"/>
    <mergeCell ref="B624:D624"/>
    <mergeCell ref="B631:D631"/>
    <mergeCell ref="B559:D559"/>
    <mergeCell ref="B560:D560"/>
    <mergeCell ref="B570:D570"/>
    <mergeCell ref="B576:D576"/>
    <mergeCell ref="B581:D581"/>
    <mergeCell ref="B587:D587"/>
    <mergeCell ref="B510:D510"/>
    <mergeCell ref="B523:D523"/>
    <mergeCell ref="B530:D530"/>
    <mergeCell ref="B536:D536"/>
    <mergeCell ref="B543:D543"/>
    <mergeCell ref="B550:D550"/>
    <mergeCell ref="B475:D475"/>
    <mergeCell ref="B480:D480"/>
    <mergeCell ref="B486:D486"/>
    <mergeCell ref="B490:D490"/>
    <mergeCell ref="B495:D495"/>
    <mergeCell ref="B501:D501"/>
    <mergeCell ref="B431:D431"/>
    <mergeCell ref="B440:D440"/>
    <mergeCell ref="B448:D448"/>
    <mergeCell ref="B458:D458"/>
    <mergeCell ref="B459:D459"/>
    <mergeCell ref="B469:D469"/>
    <mergeCell ref="B395:D395"/>
    <mergeCell ref="B404:D404"/>
    <mergeCell ref="B412:D412"/>
    <mergeCell ref="B422:D422"/>
    <mergeCell ref="B423:D423"/>
    <mergeCell ref="B360:D360"/>
    <mergeCell ref="B361:D361"/>
    <mergeCell ref="B369:D369"/>
    <mergeCell ref="B377:D377"/>
    <mergeCell ref="B386:D386"/>
    <mergeCell ref="B387:D387"/>
    <mergeCell ref="B316:D316"/>
    <mergeCell ref="B332:D332"/>
    <mergeCell ref="B333:D333"/>
    <mergeCell ref="B349:D349"/>
    <mergeCell ref="B350:D350"/>
    <mergeCell ref="B290:D290"/>
    <mergeCell ref="B297:D297"/>
    <mergeCell ref="B305:D305"/>
    <mergeCell ref="B306:D306"/>
    <mergeCell ref="B310:D310"/>
    <mergeCell ref="B315:D315"/>
    <mergeCell ref="B250:D250"/>
    <mergeCell ref="B257:D257"/>
    <mergeCell ref="B264:D264"/>
    <mergeCell ref="B270:D270"/>
    <mergeCell ref="B277:D277"/>
    <mergeCell ref="B284:D284"/>
    <mergeCell ref="B225:D225"/>
    <mergeCell ref="B228:D228"/>
    <mergeCell ref="B233:D233"/>
    <mergeCell ref="B238:D238"/>
    <mergeCell ref="B243:D243"/>
    <mergeCell ref="B244:D244"/>
    <mergeCell ref="B184:D184"/>
    <mergeCell ref="B190:D190"/>
    <mergeCell ref="B196:D196"/>
    <mergeCell ref="B197:D197"/>
    <mergeCell ref="B218:D218"/>
    <mergeCell ref="B219:D219"/>
    <mergeCell ref="B158:D158"/>
    <mergeCell ref="B159:D159"/>
    <mergeCell ref="B165:D165"/>
    <mergeCell ref="B171:D171"/>
    <mergeCell ref="B177:D177"/>
    <mergeCell ref="B178:D178"/>
    <mergeCell ref="B206:D206"/>
    <mergeCell ref="B126:D126"/>
    <mergeCell ref="B132:D132"/>
    <mergeCell ref="B140:D140"/>
    <mergeCell ref="B141:D141"/>
    <mergeCell ref="B144:D144"/>
    <mergeCell ref="B150:D150"/>
    <mergeCell ref="B104:D104"/>
    <mergeCell ref="B107:D107"/>
    <mergeCell ref="B112:D112"/>
    <mergeCell ref="B116:D116"/>
    <mergeCell ref="B122:D122"/>
    <mergeCell ref="B123:D123"/>
    <mergeCell ref="B77:D77"/>
    <mergeCell ref="B83:D83"/>
    <mergeCell ref="B84:D84"/>
    <mergeCell ref="B91:D91"/>
    <mergeCell ref="B97:D97"/>
    <mergeCell ref="B98:D98"/>
    <mergeCell ref="B49:D49"/>
    <mergeCell ref="B56:D56"/>
    <mergeCell ref="B57:D57"/>
    <mergeCell ref="B63:D63"/>
    <mergeCell ref="B68:D68"/>
    <mergeCell ref="B73:D73"/>
    <mergeCell ref="B17:D17"/>
    <mergeCell ref="B23:D23"/>
    <mergeCell ref="B28:D28"/>
    <mergeCell ref="B34:D34"/>
    <mergeCell ref="B38:D38"/>
    <mergeCell ref="B43:D43"/>
    <mergeCell ref="B5:D5"/>
    <mergeCell ref="B7:D7"/>
    <mergeCell ref="B8:D8"/>
    <mergeCell ref="B16:D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J145"/>
  <sheetViews>
    <sheetView showGridLines="0" zoomScale="130" zoomScaleNormal="130" workbookViewId="0"/>
  </sheetViews>
  <sheetFormatPr defaultColWidth="8.85546875" defaultRowHeight="15" x14ac:dyDescent="0.25"/>
  <cols>
    <col min="1" max="1" width="2" style="7" customWidth="1"/>
    <col min="2" max="2" width="43" style="7" customWidth="1"/>
    <col min="3" max="3" width="18" style="7" customWidth="1"/>
    <col min="4" max="6" width="12.5703125" style="7" customWidth="1"/>
    <col min="7" max="16384" width="8.85546875" style="7"/>
  </cols>
  <sheetData>
    <row r="4" spans="1:10" ht="15.75" thickBot="1" x14ac:dyDescent="0.3"/>
    <row r="5" spans="1:10" ht="21.75" thickBot="1" x14ac:dyDescent="0.4">
      <c r="B5" s="129" t="s">
        <v>1100</v>
      </c>
      <c r="C5" s="130"/>
      <c r="D5" s="130"/>
      <c r="E5" s="130"/>
      <c r="F5" s="131"/>
    </row>
    <row r="7" spans="1:10" s="69" customFormat="1" ht="15.75" x14ac:dyDescent="0.25">
      <c r="A7" s="68"/>
      <c r="B7" s="141" t="s">
        <v>1103</v>
      </c>
      <c r="C7" s="141"/>
      <c r="D7" s="141"/>
      <c r="E7" s="141"/>
      <c r="F7" s="141"/>
      <c r="G7" s="68"/>
      <c r="H7" s="68"/>
      <c r="J7" s="70"/>
    </row>
    <row r="8" spans="1:10" x14ac:dyDescent="0.25">
      <c r="B8" s="27" t="s">
        <v>5</v>
      </c>
      <c r="C8" s="28" t="s">
        <v>46</v>
      </c>
      <c r="D8" s="28" t="s">
        <v>6</v>
      </c>
      <c r="E8" s="28" t="s">
        <v>1101</v>
      </c>
      <c r="F8" s="28" t="s">
        <v>1102</v>
      </c>
    </row>
    <row r="9" spans="1:10" x14ac:dyDescent="0.25">
      <c r="B9" s="88" t="s">
        <v>70</v>
      </c>
      <c r="C9" s="91" t="s">
        <v>642</v>
      </c>
      <c r="D9" s="106">
        <f>ROUNDUP(SUMIF('Lista por etapa'!B:B,'Lista por categoria'!B9,'Lista por etapa'!D:D),0)</f>
        <v>0</v>
      </c>
      <c r="E9" s="105"/>
      <c r="F9" s="107">
        <f>D9*E9</f>
        <v>0</v>
      </c>
    </row>
    <row r="10" spans="1:10" x14ac:dyDescent="0.25">
      <c r="B10" s="88" t="s">
        <v>1104</v>
      </c>
      <c r="C10" s="91" t="s">
        <v>642</v>
      </c>
      <c r="D10" s="106">
        <f>ROUNDUP(SUMIF('Lista por etapa'!B:B,'Lista por categoria'!B10,'Lista por etapa'!D:D),0)</f>
        <v>0</v>
      </c>
      <c r="E10" s="105"/>
      <c r="F10" s="107">
        <f t="shared" ref="F10:F14" si="0">D10*E10</f>
        <v>0</v>
      </c>
    </row>
    <row r="11" spans="1:10" x14ac:dyDescent="0.25">
      <c r="B11" s="88" t="s">
        <v>71</v>
      </c>
      <c r="C11" s="91" t="s">
        <v>642</v>
      </c>
      <c r="D11" s="106">
        <f>ROUNDUP(SUMIF('Lista por etapa'!B:B,'Lista por categoria'!B11,'Lista por etapa'!D:D),0)</f>
        <v>0</v>
      </c>
      <c r="E11" s="105"/>
      <c r="F11" s="107">
        <f t="shared" si="0"/>
        <v>0</v>
      </c>
    </row>
    <row r="12" spans="1:10" x14ac:dyDescent="0.25">
      <c r="B12" s="88" t="s">
        <v>148</v>
      </c>
      <c r="C12" s="91" t="s">
        <v>147</v>
      </c>
      <c r="D12" s="106">
        <f>ROUNDUP(SUMIF('Lista por etapa'!B:B,'Lista por categoria'!B12,'Lista por etapa'!D:D),0)</f>
        <v>0</v>
      </c>
      <c r="E12" s="105"/>
      <c r="F12" s="107">
        <f t="shared" si="0"/>
        <v>0</v>
      </c>
    </row>
    <row r="13" spans="1:10" x14ac:dyDescent="0.25">
      <c r="B13" s="88" t="s">
        <v>149</v>
      </c>
      <c r="C13" s="91" t="s">
        <v>147</v>
      </c>
      <c r="D13" s="106">
        <f>ROUNDUP(SUMIF('Lista por etapa'!B:B,'Lista por categoria'!B13,'Lista por etapa'!D:D),0)</f>
        <v>0</v>
      </c>
      <c r="E13" s="105"/>
      <c r="F13" s="107">
        <f t="shared" si="0"/>
        <v>0</v>
      </c>
    </row>
    <row r="14" spans="1:10" x14ac:dyDescent="0.25">
      <c r="B14" s="88" t="s">
        <v>150</v>
      </c>
      <c r="C14" s="91" t="s">
        <v>147</v>
      </c>
      <c r="D14" s="106">
        <f>ROUNDUP(SUMIF('Lista por etapa'!B:B,'Lista por categoria'!B14,'Lista por etapa'!D:D),0)</f>
        <v>0</v>
      </c>
      <c r="E14" s="105"/>
      <c r="F14" s="107">
        <f t="shared" si="0"/>
        <v>0</v>
      </c>
    </row>
    <row r="16" spans="1:10" s="69" customFormat="1" ht="15.75" x14ac:dyDescent="0.25">
      <c r="A16" s="68"/>
      <c r="B16" s="141" t="s">
        <v>1105</v>
      </c>
      <c r="C16" s="141"/>
      <c r="D16" s="141"/>
      <c r="E16" s="141"/>
      <c r="F16" s="141"/>
      <c r="G16" s="68"/>
      <c r="H16" s="68"/>
      <c r="J16" s="70"/>
    </row>
    <row r="17" spans="1:10" x14ac:dyDescent="0.25">
      <c r="B17" s="27" t="s">
        <v>5</v>
      </c>
      <c r="C17" s="28" t="s">
        <v>46</v>
      </c>
      <c r="D17" s="28" t="s">
        <v>6</v>
      </c>
      <c r="E17" s="28" t="s">
        <v>1101</v>
      </c>
      <c r="F17" s="28" t="s">
        <v>1102</v>
      </c>
    </row>
    <row r="18" spans="1:10" x14ac:dyDescent="0.25">
      <c r="B18" s="88" t="s">
        <v>34</v>
      </c>
      <c r="C18" s="91" t="s">
        <v>32</v>
      </c>
      <c r="D18" s="106">
        <f>ROUNDUP(SUMIF('Lista por etapa'!B:B,'Lista por categoria'!B18,'Lista por etapa'!D:D),0)</f>
        <v>1</v>
      </c>
      <c r="E18" s="105"/>
      <c r="F18" s="107">
        <f>D18*E18</f>
        <v>0</v>
      </c>
    </row>
    <row r="19" spans="1:10" x14ac:dyDescent="0.25">
      <c r="B19" s="88" t="s">
        <v>33</v>
      </c>
      <c r="C19" s="91" t="s">
        <v>32</v>
      </c>
      <c r="D19" s="106">
        <f>ROUNDUP(SUMIF('Lista por etapa'!B:B,'Lista por categoria'!B19,'Lista por etapa'!D:D),0)</f>
        <v>0</v>
      </c>
      <c r="E19" s="105"/>
      <c r="F19" s="107">
        <f t="shared" ref="F19:F20" si="1">D19*E19</f>
        <v>0</v>
      </c>
    </row>
    <row r="20" spans="1:10" x14ac:dyDescent="0.25">
      <c r="B20" s="88" t="s">
        <v>61</v>
      </c>
      <c r="C20" s="91" t="s">
        <v>32</v>
      </c>
      <c r="D20" s="106">
        <f>ROUNDUP(SUMIF('Lista por etapa'!B:B,'Lista por categoria'!B20,'Lista por etapa'!D:D),0)</f>
        <v>1</v>
      </c>
      <c r="E20" s="105"/>
      <c r="F20" s="107">
        <f t="shared" si="1"/>
        <v>0</v>
      </c>
    </row>
    <row r="22" spans="1:10" s="69" customFormat="1" ht="15.75" x14ac:dyDescent="0.25">
      <c r="A22" s="68"/>
      <c r="B22" s="141" t="s">
        <v>397</v>
      </c>
      <c r="C22" s="141"/>
      <c r="D22" s="141"/>
      <c r="E22" s="141"/>
      <c r="F22" s="141"/>
      <c r="G22" s="68"/>
      <c r="H22" s="68"/>
      <c r="J22" s="70"/>
    </row>
    <row r="23" spans="1:10" x14ac:dyDescent="0.25">
      <c r="B23" s="27" t="s">
        <v>5</v>
      </c>
      <c r="C23" s="28" t="s">
        <v>46</v>
      </c>
      <c r="D23" s="28" t="s">
        <v>6</v>
      </c>
      <c r="E23" s="28" t="s">
        <v>1101</v>
      </c>
      <c r="F23" s="28" t="s">
        <v>1102</v>
      </c>
    </row>
    <row r="24" spans="1:10" x14ac:dyDescent="0.25">
      <c r="B24" s="88" t="s">
        <v>1110</v>
      </c>
      <c r="C24" s="91" t="s">
        <v>803</v>
      </c>
      <c r="D24" s="106">
        <f>ROUNDUP(SUMIF('Lista por etapa'!B:B,'Lista por categoria'!B24,'Lista por etapa'!D:D),0)</f>
        <v>0</v>
      </c>
      <c r="E24" s="105"/>
      <c r="F24" s="107">
        <f>D24*E24</f>
        <v>0</v>
      </c>
    </row>
    <row r="25" spans="1:10" x14ac:dyDescent="0.25">
      <c r="B25" s="88" t="s">
        <v>1111</v>
      </c>
      <c r="C25" s="91" t="s">
        <v>803</v>
      </c>
      <c r="D25" s="106">
        <f>ROUNDUP(SUMIF('Lista por etapa'!B:B,'Lista por categoria'!B25,'Lista por etapa'!D:D),0)</f>
        <v>0</v>
      </c>
      <c r="E25" s="105"/>
      <c r="F25" s="107">
        <f t="shared" ref="F25:F26" si="2">D25*E25</f>
        <v>0</v>
      </c>
    </row>
    <row r="26" spans="1:10" x14ac:dyDescent="0.25">
      <c r="B26" s="88" t="s">
        <v>1106</v>
      </c>
      <c r="C26" s="91" t="s">
        <v>803</v>
      </c>
      <c r="D26" s="106">
        <f>ROUNDUP(SUMIF('Lista por etapa'!B:B,'Lista por categoria'!B26,'Lista por etapa'!D:D),0)</f>
        <v>0</v>
      </c>
      <c r="E26" s="105"/>
      <c r="F26" s="107">
        <f t="shared" si="2"/>
        <v>0</v>
      </c>
    </row>
    <row r="27" spans="1:10" x14ac:dyDescent="0.25">
      <c r="B27" s="88" t="s">
        <v>1108</v>
      </c>
      <c r="C27" s="91" t="s">
        <v>803</v>
      </c>
      <c r="D27" s="106">
        <f>ROUNDUP(SUMIF('Lista por etapa'!B:B,'Lista por categoria'!B27,'Lista por etapa'!D:D),0)</f>
        <v>0</v>
      </c>
      <c r="E27" s="105"/>
      <c r="F27" s="107">
        <f t="shared" ref="F27:F29" si="3">D27*E27</f>
        <v>0</v>
      </c>
    </row>
    <row r="28" spans="1:10" x14ac:dyDescent="0.25">
      <c r="B28" s="88" t="s">
        <v>1109</v>
      </c>
      <c r="C28" s="91" t="s">
        <v>803</v>
      </c>
      <c r="D28" s="106">
        <f>ROUNDUP(SUMIF('Lista por etapa'!B:B,'Lista por categoria'!B28,'Lista por etapa'!D:D),0)</f>
        <v>0</v>
      </c>
      <c r="E28" s="105"/>
      <c r="F28" s="107">
        <f t="shared" si="3"/>
        <v>0</v>
      </c>
    </row>
    <row r="29" spans="1:10" x14ac:dyDescent="0.25">
      <c r="B29" s="88" t="s">
        <v>1107</v>
      </c>
      <c r="C29" s="91" t="s">
        <v>803</v>
      </c>
      <c r="D29" s="106">
        <f>ROUNDUP(SUMIF('Lista por etapa'!B:B,'Lista por categoria'!B29,'Lista por etapa'!D:D),0)</f>
        <v>0</v>
      </c>
      <c r="E29" s="105"/>
      <c r="F29" s="107">
        <f t="shared" si="3"/>
        <v>0</v>
      </c>
    </row>
    <row r="31" spans="1:10" s="69" customFormat="1" ht="15.75" x14ac:dyDescent="0.25">
      <c r="A31" s="68"/>
      <c r="B31" s="141" t="s">
        <v>1112</v>
      </c>
      <c r="C31" s="141"/>
      <c r="D31" s="141"/>
      <c r="E31" s="141"/>
      <c r="F31" s="141"/>
      <c r="G31" s="68"/>
      <c r="H31" s="68"/>
      <c r="J31" s="70"/>
    </row>
    <row r="32" spans="1:10" x14ac:dyDescent="0.25">
      <c r="B32" s="27" t="s">
        <v>5</v>
      </c>
      <c r="C32" s="28" t="s">
        <v>46</v>
      </c>
      <c r="D32" s="28" t="s">
        <v>6</v>
      </c>
      <c r="E32" s="28" t="s">
        <v>1101</v>
      </c>
      <c r="F32" s="28" t="s">
        <v>1102</v>
      </c>
    </row>
    <row r="33" spans="1:10" x14ac:dyDescent="0.25">
      <c r="B33" s="88" t="s">
        <v>242</v>
      </c>
      <c r="C33" s="91" t="s">
        <v>32</v>
      </c>
      <c r="D33" s="106">
        <f>ROUNDUP(SUMIF('Lista por etapa'!B:B,'Lista por categoria'!B33,'Lista por etapa'!D:D),0)</f>
        <v>4</v>
      </c>
      <c r="E33" s="105"/>
      <c r="F33" s="107">
        <f>D33*E33</f>
        <v>0</v>
      </c>
    </row>
    <row r="34" spans="1:10" x14ac:dyDescent="0.25">
      <c r="B34" s="88" t="s">
        <v>591</v>
      </c>
      <c r="C34" s="91" t="s">
        <v>32</v>
      </c>
      <c r="D34" s="106">
        <f>ROUNDUP(SUMIF('Lista por etapa'!B:B,'Lista por categoria'!B34,'Lista por etapa'!D:D),0)</f>
        <v>16</v>
      </c>
      <c r="E34" s="105"/>
      <c r="F34" s="107">
        <f t="shared" ref="F34:F40" si="4">D34*E34</f>
        <v>0</v>
      </c>
    </row>
    <row r="35" spans="1:10" x14ac:dyDescent="0.25">
      <c r="B35" s="88" t="s">
        <v>256</v>
      </c>
      <c r="C35" s="91" t="s">
        <v>32</v>
      </c>
      <c r="D35" s="106">
        <f>ROUNDUP(SUMIF('Lista por etapa'!B:B,'Lista por categoria'!B35,'Lista por etapa'!D:D),0)</f>
        <v>0</v>
      </c>
      <c r="E35" s="105"/>
      <c r="F35" s="107">
        <f t="shared" si="4"/>
        <v>0</v>
      </c>
    </row>
    <row r="36" spans="1:10" x14ac:dyDescent="0.25">
      <c r="B36" s="88" t="s">
        <v>593</v>
      </c>
      <c r="C36" s="91" t="s">
        <v>32</v>
      </c>
      <c r="D36" s="106">
        <f>ROUNDUP(SUMIF('Lista por etapa'!B:B,'Lista por categoria'!B36,'Lista por etapa'!D:D),0)</f>
        <v>0</v>
      </c>
      <c r="E36" s="105"/>
      <c r="F36" s="107">
        <f t="shared" si="4"/>
        <v>0</v>
      </c>
    </row>
    <row r="37" spans="1:10" x14ac:dyDescent="0.25">
      <c r="B37" s="88" t="s">
        <v>142</v>
      </c>
      <c r="C37" s="91" t="s">
        <v>32</v>
      </c>
      <c r="D37" s="106">
        <f>ROUNDUP(SUMIF('Lista por etapa'!B:B,'Lista por categoria'!B37,'Lista por etapa'!D:D),0)</f>
        <v>0</v>
      </c>
      <c r="E37" s="105"/>
      <c r="F37" s="107">
        <f t="shared" si="4"/>
        <v>0</v>
      </c>
    </row>
    <row r="38" spans="1:10" x14ac:dyDescent="0.25">
      <c r="B38" s="88" t="s">
        <v>130</v>
      </c>
      <c r="C38" s="91" t="s">
        <v>32</v>
      </c>
      <c r="D38" s="106">
        <f>ROUNDUP(SUMIF('Lista por etapa'!B:B,'Lista por categoria'!B38,'Lista por etapa'!D:D),0)</f>
        <v>0</v>
      </c>
      <c r="E38" s="105"/>
      <c r="F38" s="107">
        <f t="shared" si="4"/>
        <v>0</v>
      </c>
    </row>
    <row r="39" spans="1:10" x14ac:dyDescent="0.25">
      <c r="B39" s="88" t="s">
        <v>238</v>
      </c>
      <c r="C39" s="91" t="s">
        <v>32</v>
      </c>
      <c r="D39" s="106">
        <f>ROUNDUP(SUMIF('Lista por etapa'!B:B,'Lista por categoria'!B39,'Lista por etapa'!D:D),0)</f>
        <v>0</v>
      </c>
      <c r="E39" s="105"/>
      <c r="F39" s="107">
        <f t="shared" si="4"/>
        <v>0</v>
      </c>
    </row>
    <row r="40" spans="1:10" x14ac:dyDescent="0.25">
      <c r="B40" s="88" t="s">
        <v>58</v>
      </c>
      <c r="C40" s="91" t="s">
        <v>32</v>
      </c>
      <c r="D40" s="106">
        <f>ROUNDUP(SUMIF('Lista por etapa'!B:B,'Lista por categoria'!B40,'Lista por etapa'!D:D),0)</f>
        <v>10</v>
      </c>
      <c r="E40" s="105"/>
      <c r="F40" s="107">
        <f t="shared" si="4"/>
        <v>0</v>
      </c>
    </row>
    <row r="42" spans="1:10" s="69" customFormat="1" ht="15.75" x14ac:dyDescent="0.25">
      <c r="A42" s="68"/>
      <c r="B42" s="141" t="s">
        <v>1113</v>
      </c>
      <c r="C42" s="141"/>
      <c r="D42" s="141"/>
      <c r="E42" s="141"/>
      <c r="F42" s="141"/>
      <c r="G42" s="68"/>
      <c r="H42" s="68"/>
      <c r="J42" s="70"/>
    </row>
    <row r="43" spans="1:10" x14ac:dyDescent="0.25">
      <c r="B43" s="27" t="s">
        <v>5</v>
      </c>
      <c r="C43" s="28" t="s">
        <v>46</v>
      </c>
      <c r="D43" s="28" t="s">
        <v>6</v>
      </c>
      <c r="E43" s="28" t="s">
        <v>1101</v>
      </c>
      <c r="F43" s="28" t="s">
        <v>1102</v>
      </c>
    </row>
    <row r="44" spans="1:10" x14ac:dyDescent="0.25">
      <c r="B44" s="88" t="s">
        <v>353</v>
      </c>
      <c r="C44" s="91" t="s">
        <v>50</v>
      </c>
      <c r="D44" s="106">
        <f>ROUNDUP(SUMIF('Lista por etapa'!B:B,'Lista por categoria'!B44,'Lista por etapa'!D:D),0)</f>
        <v>0</v>
      </c>
      <c r="E44" s="105"/>
      <c r="F44" s="107">
        <f t="shared" ref="F44:F49" si="5">D44*E44</f>
        <v>0</v>
      </c>
    </row>
    <row r="45" spans="1:10" x14ac:dyDescent="0.25">
      <c r="B45" s="88" t="s">
        <v>273</v>
      </c>
      <c r="C45" s="91" t="s">
        <v>50</v>
      </c>
      <c r="D45" s="106">
        <f>ROUNDUP(SUMIF('Lista por etapa'!B:B,'Lista por categoria'!B45,'Lista por etapa'!D:D),0)</f>
        <v>0</v>
      </c>
      <c r="E45" s="105"/>
      <c r="F45" s="107">
        <f t="shared" si="5"/>
        <v>0</v>
      </c>
    </row>
    <row r="46" spans="1:10" x14ac:dyDescent="0.25">
      <c r="B46" s="88" t="s">
        <v>1114</v>
      </c>
      <c r="C46" s="91" t="s">
        <v>50</v>
      </c>
      <c r="D46" s="106">
        <f>SUM('Lista por etapa'!D321:D330)</f>
        <v>0</v>
      </c>
      <c r="E46" s="105"/>
      <c r="F46" s="107">
        <f t="shared" si="5"/>
        <v>0</v>
      </c>
    </row>
    <row r="47" spans="1:10" x14ac:dyDescent="0.25">
      <c r="B47" s="88" t="s">
        <v>436</v>
      </c>
      <c r="C47" s="91" t="s">
        <v>50</v>
      </c>
      <c r="D47" s="106">
        <f>ROUNDUP(SUMIF('Lista por etapa'!B:B,'Lista por categoria'!B47,'Lista por etapa'!D:D),0)</f>
        <v>0</v>
      </c>
      <c r="E47" s="105"/>
      <c r="F47" s="107">
        <f t="shared" si="5"/>
        <v>0</v>
      </c>
    </row>
    <row r="48" spans="1:10" x14ac:dyDescent="0.25">
      <c r="B48" s="88" t="s">
        <v>277</v>
      </c>
      <c r="C48" s="91" t="s">
        <v>50</v>
      </c>
      <c r="D48" s="106">
        <f>ROUNDUP(SUMIF('Lista por etapa'!B:B,'Lista por categoria'!B48,'Lista por etapa'!D:D),0)</f>
        <v>0</v>
      </c>
      <c r="E48" s="105"/>
      <c r="F48" s="107">
        <f t="shared" si="5"/>
        <v>0</v>
      </c>
    </row>
    <row r="49" spans="1:10" x14ac:dyDescent="0.25">
      <c r="B49" s="88" t="s">
        <v>1115</v>
      </c>
      <c r="C49" s="91" t="s">
        <v>50</v>
      </c>
      <c r="D49" s="106">
        <f>SUM('Lista por etapa'!D338:D347)</f>
        <v>0</v>
      </c>
      <c r="E49" s="105"/>
      <c r="F49" s="107">
        <f t="shared" si="5"/>
        <v>0</v>
      </c>
    </row>
    <row r="50" spans="1:10" x14ac:dyDescent="0.25">
      <c r="B50" s="88" t="str">
        <f>'Lista por etapa'!B508</f>
        <v xml:space="preserve">Portão para carros, </v>
      </c>
      <c r="C50" s="91" t="s">
        <v>50</v>
      </c>
      <c r="D50" s="106">
        <f>ROUNDUP(SUMIF('Lista por etapa'!B:B,'Lista por categoria'!B50,'Lista por etapa'!D:D),0)</f>
        <v>0</v>
      </c>
      <c r="E50" s="105"/>
      <c r="F50" s="107">
        <f t="shared" ref="F50:F51" si="6">D50*E50</f>
        <v>0</v>
      </c>
    </row>
    <row r="51" spans="1:10" x14ac:dyDescent="0.25">
      <c r="B51" s="88" t="str">
        <f>'Lista por etapa'!B509</f>
        <v xml:space="preserve">Portão social, </v>
      </c>
      <c r="C51" s="91" t="s">
        <v>50</v>
      </c>
      <c r="D51" s="106">
        <f>ROUNDUP(SUMIF('Lista por etapa'!B:B,'Lista por categoria'!B51,'Lista por etapa'!D:D),0)</f>
        <v>0</v>
      </c>
      <c r="E51" s="105"/>
      <c r="F51" s="107">
        <f t="shared" si="6"/>
        <v>0</v>
      </c>
    </row>
    <row r="52" spans="1:10" x14ac:dyDescent="0.25">
      <c r="B52" s="88" t="str">
        <f>'Lista por etapa'!B609</f>
        <v xml:space="preserve">Portão para carros, </v>
      </c>
      <c r="C52" s="91" t="s">
        <v>50</v>
      </c>
      <c r="D52" s="106">
        <f>ROUNDUP(SUMIF('Lista por etapa'!B:B,'Lista por categoria'!B52,'Lista por etapa'!D:D),0)</f>
        <v>0</v>
      </c>
      <c r="E52" s="105"/>
      <c r="F52" s="107">
        <f t="shared" ref="F52:F53" si="7">D52*E52</f>
        <v>0</v>
      </c>
    </row>
    <row r="53" spans="1:10" x14ac:dyDescent="0.25">
      <c r="B53" s="88" t="str">
        <f>'Lista por etapa'!B610</f>
        <v xml:space="preserve">Portão social, </v>
      </c>
      <c r="C53" s="91" t="s">
        <v>50</v>
      </c>
      <c r="D53" s="106">
        <f>ROUNDUP(SUMIF('Lista por etapa'!B:B,'Lista por categoria'!B53,'Lista por etapa'!D:D),0)</f>
        <v>0</v>
      </c>
      <c r="E53" s="105"/>
      <c r="F53" s="107">
        <f t="shared" si="7"/>
        <v>0</v>
      </c>
    </row>
    <row r="55" spans="1:10" s="69" customFormat="1" ht="15.75" x14ac:dyDescent="0.25">
      <c r="A55" s="68"/>
      <c r="B55" s="141" t="s">
        <v>1116</v>
      </c>
      <c r="C55" s="141"/>
      <c r="D55" s="141"/>
      <c r="E55" s="141"/>
      <c r="F55" s="141"/>
      <c r="G55" s="68"/>
      <c r="H55" s="68"/>
      <c r="J55" s="70"/>
    </row>
    <row r="56" spans="1:10" x14ac:dyDescent="0.25">
      <c r="B56" s="27" t="s">
        <v>5</v>
      </c>
      <c r="C56" s="28" t="s">
        <v>46</v>
      </c>
      <c r="D56" s="28" t="s">
        <v>6</v>
      </c>
      <c r="E56" s="28" t="s">
        <v>1101</v>
      </c>
      <c r="F56" s="28" t="s">
        <v>1102</v>
      </c>
    </row>
    <row r="57" spans="1:10" x14ac:dyDescent="0.25">
      <c r="B57" s="88" t="s">
        <v>634</v>
      </c>
      <c r="C57" s="91" t="s">
        <v>612</v>
      </c>
      <c r="D57" s="106">
        <f>ROUNDUP(SUMIF('Lista por etapa'!B:B,'Lista por categoria'!B57,'Lista por etapa'!D:D),0)</f>
        <v>201</v>
      </c>
      <c r="E57" s="105"/>
      <c r="F57" s="107">
        <f>D57*E57</f>
        <v>0</v>
      </c>
    </row>
    <row r="58" spans="1:10" x14ac:dyDescent="0.25">
      <c r="B58" s="88" t="s">
        <v>51</v>
      </c>
      <c r="C58" s="91" t="s">
        <v>612</v>
      </c>
      <c r="D58" s="106">
        <f>ROUNDUP(SUMIF('Lista por etapa'!B:B,'Lista por categoria'!B58,'Lista por etapa'!D:D),0)</f>
        <v>22</v>
      </c>
      <c r="E58" s="105"/>
      <c r="F58" s="107">
        <f t="shared" ref="F58:F62" si="8">D58*E58</f>
        <v>0</v>
      </c>
    </row>
    <row r="59" spans="1:10" x14ac:dyDescent="0.25">
      <c r="B59" s="88" t="s">
        <v>270</v>
      </c>
      <c r="C59" s="91" t="s">
        <v>612</v>
      </c>
      <c r="D59" s="106">
        <f>ROUNDUP(SUMIF('Lista por etapa'!B:B,'Lista por categoria'!B59,'Lista por etapa'!D:D),0)</f>
        <v>0</v>
      </c>
      <c r="E59" s="105"/>
      <c r="F59" s="107">
        <f t="shared" si="8"/>
        <v>0</v>
      </c>
    </row>
    <row r="60" spans="1:10" x14ac:dyDescent="0.25">
      <c r="B60" s="88" t="s">
        <v>635</v>
      </c>
      <c r="C60" s="91" t="s">
        <v>492</v>
      </c>
      <c r="D60" s="106">
        <f>ROUNDUP(SUMIF('Lista por etapa'!B:B,'Lista por categoria'!B60,'Lista por etapa'!D:D),0)</f>
        <v>942</v>
      </c>
      <c r="E60" s="105"/>
      <c r="F60" s="107">
        <f t="shared" si="8"/>
        <v>0</v>
      </c>
    </row>
    <row r="61" spans="1:10" x14ac:dyDescent="0.25">
      <c r="B61" s="88" t="s">
        <v>76</v>
      </c>
      <c r="C61" s="91" t="s">
        <v>612</v>
      </c>
      <c r="D61" s="106">
        <f>ROUNDUP(SUMIF('Lista por etapa'!B:B,'Lista por categoria'!B61,'Lista por etapa'!D:D),0)</f>
        <v>29</v>
      </c>
      <c r="E61" s="105"/>
      <c r="F61" s="107">
        <f t="shared" si="8"/>
        <v>0</v>
      </c>
    </row>
    <row r="62" spans="1:10" x14ac:dyDescent="0.25">
      <c r="B62" s="88" t="s">
        <v>637</v>
      </c>
      <c r="C62" s="91" t="s">
        <v>612</v>
      </c>
      <c r="D62" s="106">
        <f>ROUNDUP(SUMIF('Lista por etapa'!B:B,'Lista por categoria'!B62,'Lista por etapa'!D:D),0)</f>
        <v>12</v>
      </c>
      <c r="E62" s="105"/>
      <c r="F62" s="107">
        <f t="shared" si="8"/>
        <v>0</v>
      </c>
    </row>
    <row r="63" spans="1:10" x14ac:dyDescent="0.25">
      <c r="B63" s="88" t="s">
        <v>77</v>
      </c>
      <c r="C63" s="91" t="s">
        <v>612</v>
      </c>
      <c r="D63" s="106">
        <f>ROUNDUP(SUMIF('Lista por etapa'!B:B,'Lista por categoria'!B63,'Lista por etapa'!D:D),0)</f>
        <v>0</v>
      </c>
      <c r="E63" s="105"/>
      <c r="F63" s="107">
        <f t="shared" ref="F63:F65" si="9">D63*E63</f>
        <v>0</v>
      </c>
    </row>
    <row r="64" spans="1:10" x14ac:dyDescent="0.25">
      <c r="B64" s="88" t="s">
        <v>633</v>
      </c>
      <c r="C64" s="91" t="s">
        <v>612</v>
      </c>
      <c r="D64" s="106">
        <f>ROUNDUP(SUMIF('Lista por etapa'!B:B,'Lista por categoria'!B64,'Lista por etapa'!D:D),0)</f>
        <v>81</v>
      </c>
      <c r="E64" s="105"/>
      <c r="F64" s="107">
        <f t="shared" si="9"/>
        <v>0</v>
      </c>
    </row>
    <row r="65" spans="1:10" x14ac:dyDescent="0.25">
      <c r="B65" s="88" t="s">
        <v>632</v>
      </c>
      <c r="C65" s="91" t="s">
        <v>612</v>
      </c>
      <c r="D65" s="106">
        <f>ROUNDUP(SUMIF('Lista por etapa'!B:B,'Lista por categoria'!B65,'Lista por etapa'!D:D),0)</f>
        <v>150</v>
      </c>
      <c r="E65" s="105"/>
      <c r="F65" s="107">
        <f t="shared" si="9"/>
        <v>0</v>
      </c>
    </row>
    <row r="67" spans="1:10" s="69" customFormat="1" ht="15.75" x14ac:dyDescent="0.25">
      <c r="A67" s="68"/>
      <c r="B67" s="141" t="s">
        <v>1117</v>
      </c>
      <c r="C67" s="141"/>
      <c r="D67" s="141"/>
      <c r="E67" s="141"/>
      <c r="F67" s="141"/>
      <c r="G67" s="68"/>
      <c r="H67" s="68"/>
      <c r="J67" s="70"/>
    </row>
    <row r="68" spans="1:10" x14ac:dyDescent="0.25">
      <c r="B68" s="27" t="s">
        <v>5</v>
      </c>
      <c r="C68" s="28" t="s">
        <v>46</v>
      </c>
      <c r="D68" s="28" t="s">
        <v>6</v>
      </c>
      <c r="E68" s="28" t="s">
        <v>1101</v>
      </c>
      <c r="F68" s="28" t="s">
        <v>1102</v>
      </c>
    </row>
    <row r="69" spans="1:10" x14ac:dyDescent="0.25">
      <c r="B69" s="88" t="s">
        <v>164</v>
      </c>
      <c r="C69" s="91" t="s">
        <v>79</v>
      </c>
      <c r="D69" s="106">
        <f>ROUNDUP(SUMIF('Lista por etapa'!B:B,'Lista por categoria'!B69,'Lista por etapa'!D:D),0)</f>
        <v>0</v>
      </c>
      <c r="E69" s="105"/>
      <c r="F69" s="107">
        <f>D69*E69</f>
        <v>0</v>
      </c>
    </row>
    <row r="70" spans="1:10" x14ac:dyDescent="0.25">
      <c r="B70" s="88" t="s">
        <v>281</v>
      </c>
      <c r="C70" s="91" t="s">
        <v>79</v>
      </c>
      <c r="D70" s="106">
        <f>ROUNDUP(SUMIF('Lista por etapa'!B:B,'Lista por categoria'!B70,'Lista por etapa'!D:D),0)</f>
        <v>0</v>
      </c>
      <c r="E70" s="105"/>
      <c r="F70" s="107">
        <f t="shared" ref="F70:F77" si="10">D70*E70</f>
        <v>0</v>
      </c>
    </row>
    <row r="71" spans="1:10" x14ac:dyDescent="0.25">
      <c r="B71" s="88" t="s">
        <v>74</v>
      </c>
      <c r="C71" s="91" t="s">
        <v>641</v>
      </c>
      <c r="D71" s="106">
        <f>ROUNDUP(SUMIF('Lista por etapa'!B:B,'Lista por categoria'!B71,'Lista por etapa'!D:D),0)</f>
        <v>0</v>
      </c>
      <c r="E71" s="105"/>
      <c r="F71" s="107">
        <f t="shared" si="10"/>
        <v>0</v>
      </c>
    </row>
    <row r="72" spans="1:10" x14ac:dyDescent="0.25">
      <c r="B72" s="88" t="s">
        <v>515</v>
      </c>
      <c r="C72" s="91" t="s">
        <v>290</v>
      </c>
      <c r="D72" s="106">
        <f>ROUNDUP(SUMIF('Lista por etapa'!B:B,'Lista por categoria'!B72,'Lista por etapa'!D:D),0)</f>
        <v>0</v>
      </c>
      <c r="E72" s="105"/>
      <c r="F72" s="107">
        <f t="shared" si="10"/>
        <v>0</v>
      </c>
    </row>
    <row r="73" spans="1:10" x14ac:dyDescent="0.25">
      <c r="B73" s="88" t="s">
        <v>406</v>
      </c>
      <c r="C73" s="91" t="s">
        <v>290</v>
      </c>
      <c r="D73" s="106">
        <f>ROUNDUP(SUMIF('Lista por etapa'!B:B,'Lista por categoria'!B73,'Lista por etapa'!D:D),0)</f>
        <v>0</v>
      </c>
      <c r="E73" s="105"/>
      <c r="F73" s="107">
        <f t="shared" si="10"/>
        <v>0</v>
      </c>
    </row>
    <row r="74" spans="1:10" x14ac:dyDescent="0.25">
      <c r="B74" s="88" t="s">
        <v>405</v>
      </c>
      <c r="C74" s="91" t="s">
        <v>290</v>
      </c>
      <c r="D74" s="106">
        <f>ROUNDUP(SUMIF('Lista por etapa'!B:B,'Lista por categoria'!B74,'Lista por etapa'!D:D),0)</f>
        <v>0</v>
      </c>
      <c r="E74" s="105"/>
      <c r="F74" s="107">
        <f t="shared" si="10"/>
        <v>0</v>
      </c>
    </row>
    <row r="75" spans="1:10" x14ac:dyDescent="0.25">
      <c r="B75" s="88" t="s">
        <v>285</v>
      </c>
      <c r="C75" s="91" t="s">
        <v>290</v>
      </c>
      <c r="D75" s="106">
        <f>ROUNDUP(SUMIF('Lista por etapa'!B:B,'Lista por categoria'!B75,'Lista por etapa'!D:D),0)</f>
        <v>0</v>
      </c>
      <c r="E75" s="105"/>
      <c r="F75" s="107">
        <f>D75*E75</f>
        <v>0</v>
      </c>
    </row>
    <row r="76" spans="1:10" x14ac:dyDescent="0.25">
      <c r="B76" s="88" t="s">
        <v>292</v>
      </c>
      <c r="C76" s="91" t="s">
        <v>290</v>
      </c>
      <c r="D76" s="106">
        <f>ROUNDUP(SUMIF('Lista por etapa'!B:B,'Lista por categoria'!B76,'Lista por etapa'!D:D),0)</f>
        <v>0</v>
      </c>
      <c r="E76" s="105"/>
      <c r="F76" s="107">
        <f t="shared" si="10"/>
        <v>0</v>
      </c>
    </row>
    <row r="77" spans="1:10" x14ac:dyDescent="0.25">
      <c r="B77" s="88" t="s">
        <v>282</v>
      </c>
      <c r="C77" s="91" t="s">
        <v>290</v>
      </c>
      <c r="D77" s="106">
        <f>ROUNDUP(SUMIF('Lista por etapa'!B:B,'Lista por categoria'!B77,'Lista por etapa'!D:D),0)</f>
        <v>0</v>
      </c>
      <c r="E77" s="105"/>
      <c r="F77" s="107">
        <f t="shared" si="10"/>
        <v>0</v>
      </c>
    </row>
    <row r="78" spans="1:10" x14ac:dyDescent="0.25">
      <c r="B78" s="88" t="s">
        <v>1163</v>
      </c>
      <c r="C78" s="91" t="s">
        <v>290</v>
      </c>
      <c r="D78" s="106">
        <f>ROUNDUP(SUMIF('Lista por etapa'!B:B,'Lista por categoria'!B78,'Lista por etapa'!D:D),0)</f>
        <v>0</v>
      </c>
      <c r="E78" s="105"/>
      <c r="F78" s="107">
        <f t="shared" ref="F78" si="11">D78*E78</f>
        <v>0</v>
      </c>
    </row>
    <row r="79" spans="1:10" x14ac:dyDescent="0.25">
      <c r="B79" s="88" t="s">
        <v>88</v>
      </c>
      <c r="C79" s="91" t="s">
        <v>50</v>
      </c>
      <c r="D79" s="106">
        <f>ROUNDUP(SUMIF('Lista por etapa'!B:B,'Lista por categoria'!B79,'Lista por etapa'!D:D),0)</f>
        <v>1</v>
      </c>
      <c r="E79" s="105"/>
      <c r="F79" s="107">
        <f t="shared" ref="F79:F98" si="12">D79*E79</f>
        <v>0</v>
      </c>
    </row>
    <row r="80" spans="1:10" x14ac:dyDescent="0.25">
      <c r="B80" s="88" t="s">
        <v>205</v>
      </c>
      <c r="C80" s="91" t="s">
        <v>290</v>
      </c>
      <c r="D80" s="106">
        <f>ROUNDUP(SUMIF('Lista por etapa'!B:B,'Lista por categoria'!B80,'Lista por etapa'!D:D),0)</f>
        <v>1</v>
      </c>
      <c r="E80" s="105"/>
      <c r="F80" s="107">
        <f t="shared" si="12"/>
        <v>0</v>
      </c>
    </row>
    <row r="81" spans="2:6" x14ac:dyDescent="0.25">
      <c r="B81" s="88" t="s">
        <v>165</v>
      </c>
      <c r="C81" s="91" t="s">
        <v>35</v>
      </c>
      <c r="D81" s="106">
        <f>ROUNDUP(SUMIF('Lista por etapa'!B:B,'Lista por categoria'!B81,'Lista por etapa'!D:D),0)</f>
        <v>0</v>
      </c>
      <c r="E81" s="105"/>
      <c r="F81" s="107">
        <f t="shared" si="12"/>
        <v>0</v>
      </c>
    </row>
    <row r="82" spans="2:6" x14ac:dyDescent="0.25">
      <c r="B82" s="88" t="s">
        <v>36</v>
      </c>
      <c r="C82" s="91" t="s">
        <v>35</v>
      </c>
      <c r="D82" s="106">
        <f>ROUNDUP(SUMIF('Lista por etapa'!B:B,'Lista por categoria'!B82,'Lista por etapa'!D:D),0)</f>
        <v>16</v>
      </c>
      <c r="E82" s="105"/>
      <c r="F82" s="107">
        <f t="shared" si="12"/>
        <v>0</v>
      </c>
    </row>
    <row r="83" spans="2:6" x14ac:dyDescent="0.25">
      <c r="B83" s="88" t="s">
        <v>638</v>
      </c>
      <c r="C83" s="91" t="s">
        <v>640</v>
      </c>
      <c r="D83" s="106">
        <f>ROUNDUP(SUMIF('Lista por etapa'!B:B,'Lista por categoria'!B83,'Lista por etapa'!D:D),0)</f>
        <v>0</v>
      </c>
      <c r="E83" s="105"/>
      <c r="F83" s="107">
        <f t="shared" si="12"/>
        <v>0</v>
      </c>
    </row>
    <row r="84" spans="2:6" x14ac:dyDescent="0.25">
      <c r="B84" s="88" t="s">
        <v>231</v>
      </c>
      <c r="C84" s="91" t="s">
        <v>50</v>
      </c>
      <c r="D84" s="106">
        <f>ROUNDUP(SUMIF('Lista por etapa'!B:B,'Lista por categoria'!B84,'Lista por etapa'!D:D),0)</f>
        <v>0</v>
      </c>
      <c r="E84" s="105"/>
      <c r="F84" s="107">
        <f t="shared" si="12"/>
        <v>0</v>
      </c>
    </row>
    <row r="85" spans="2:6" x14ac:dyDescent="0.25">
      <c r="B85" s="88" t="s">
        <v>272</v>
      </c>
      <c r="C85" s="91" t="s">
        <v>274</v>
      </c>
      <c r="D85" s="106">
        <f>ROUNDUP(SUMIF('Lista por etapa'!B:B,'Lista por categoria'!B85,'Lista por etapa'!D:D),0)</f>
        <v>0</v>
      </c>
      <c r="E85" s="105"/>
      <c r="F85" s="107">
        <f t="shared" si="12"/>
        <v>0</v>
      </c>
    </row>
    <row r="86" spans="2:6" x14ac:dyDescent="0.25">
      <c r="B86" s="88" t="s">
        <v>849</v>
      </c>
      <c r="C86" s="91" t="s">
        <v>50</v>
      </c>
      <c r="D86" s="106">
        <f>ROUNDUP(SUMIF('Lista por etapa'!B:B,'Lista por categoria'!B86,'Lista por etapa'!D:D),0)</f>
        <v>0</v>
      </c>
      <c r="E86" s="105"/>
      <c r="F86" s="107">
        <f t="shared" si="12"/>
        <v>0</v>
      </c>
    </row>
    <row r="87" spans="2:6" x14ac:dyDescent="0.25">
      <c r="B87" s="88" t="s">
        <v>300</v>
      </c>
      <c r="C87" s="91" t="s">
        <v>290</v>
      </c>
      <c r="D87" s="106">
        <f>ROUNDUP(SUMIF('Lista por etapa'!B:B,'Lista por categoria'!B87,'Lista por etapa'!D:D),0)</f>
        <v>132</v>
      </c>
      <c r="E87" s="105"/>
      <c r="F87" s="107">
        <f t="shared" si="12"/>
        <v>0</v>
      </c>
    </row>
    <row r="88" spans="2:6" x14ac:dyDescent="0.25">
      <c r="B88" s="88" t="s">
        <v>87</v>
      </c>
      <c r="C88" s="91" t="s">
        <v>86</v>
      </c>
      <c r="D88" s="106">
        <f>ROUNDUP(SUMIF('Lista por etapa'!B:B,'Lista por categoria'!B88,'Lista por etapa'!D:D),0)</f>
        <v>15</v>
      </c>
      <c r="E88" s="105"/>
      <c r="F88" s="107">
        <f t="shared" si="12"/>
        <v>0</v>
      </c>
    </row>
    <row r="89" spans="2:6" x14ac:dyDescent="0.25">
      <c r="B89" s="88" t="s">
        <v>47</v>
      </c>
      <c r="C89" s="91" t="s">
        <v>54</v>
      </c>
      <c r="D89" s="106">
        <f>ROUNDUP(SUMIF('Lista por etapa'!B:B,'Lista por categoria'!B89,'Lista por etapa'!D:D),0)</f>
        <v>7</v>
      </c>
      <c r="E89" s="105"/>
      <c r="F89" s="107">
        <f t="shared" si="12"/>
        <v>0</v>
      </c>
    </row>
    <row r="90" spans="2:6" x14ac:dyDescent="0.25">
      <c r="B90" s="88" t="s">
        <v>491</v>
      </c>
      <c r="C90" s="91" t="s">
        <v>50</v>
      </c>
      <c r="D90" s="106">
        <f>ROUNDUP(SUMIF('Lista por etapa'!B:B,'Lista por categoria'!B90,'Lista por etapa'!D:D),0)</f>
        <v>0</v>
      </c>
      <c r="E90" s="105"/>
      <c r="F90" s="107">
        <f t="shared" si="12"/>
        <v>0</v>
      </c>
    </row>
    <row r="91" spans="2:6" x14ac:dyDescent="0.25">
      <c r="B91" s="88" t="e">
        <f>'Lista por etapa'!B106</f>
        <v>#REF!</v>
      </c>
      <c r="C91" s="91" t="s">
        <v>143</v>
      </c>
      <c r="D91" s="106" t="e">
        <f>ROUNDUP(SUMIF('Lista por etapa'!B:B,'Lista por categoria'!B91,'Lista por etapa'!D:D),0)</f>
        <v>#REF!</v>
      </c>
      <c r="E91" s="105"/>
      <c r="F91" s="107" t="e">
        <f t="shared" si="12"/>
        <v>#REF!</v>
      </c>
    </row>
    <row r="92" spans="2:6" x14ac:dyDescent="0.25">
      <c r="B92" s="88" t="s">
        <v>490</v>
      </c>
      <c r="C92" s="91" t="s">
        <v>50</v>
      </c>
      <c r="D92" s="106">
        <f>ROUNDUP(SUMIF('Lista por etapa'!B:B,'Lista por categoria'!B92,'Lista por etapa'!D:D),0)</f>
        <v>0</v>
      </c>
      <c r="E92" s="105"/>
      <c r="F92" s="107">
        <f t="shared" si="12"/>
        <v>0</v>
      </c>
    </row>
    <row r="93" spans="2:6" x14ac:dyDescent="0.25">
      <c r="B93" s="88" t="s">
        <v>636</v>
      </c>
      <c r="C93" s="91" t="s">
        <v>49</v>
      </c>
      <c r="D93" s="106">
        <f>ROUNDUP(SUMIF('Lista por etapa'!B:B,'Lista por categoria'!B93,'Lista por etapa'!D:D),0)</f>
        <v>29</v>
      </c>
      <c r="E93" s="105"/>
      <c r="F93" s="107">
        <f t="shared" si="12"/>
        <v>0</v>
      </c>
    </row>
    <row r="94" spans="2:6" x14ac:dyDescent="0.25">
      <c r="B94" s="88" t="s">
        <v>401</v>
      </c>
      <c r="C94" s="91" t="s">
        <v>518</v>
      </c>
      <c r="D94" s="106">
        <f>ROUNDUP(SUMIF('Lista por etapa'!B:B,'Lista por categoria'!B94,'Lista por etapa'!D:D),0)</f>
        <v>0</v>
      </c>
      <c r="E94" s="105"/>
      <c r="F94" s="107">
        <f t="shared" si="12"/>
        <v>0</v>
      </c>
    </row>
    <row r="95" spans="2:6" x14ac:dyDescent="0.25">
      <c r="B95" s="88" t="s">
        <v>403</v>
      </c>
      <c r="C95" s="91" t="s">
        <v>518</v>
      </c>
      <c r="D95" s="106">
        <f>ROUNDUP(SUMIF('Lista por etapa'!B:B,'Lista por categoria'!B95,'Lista por etapa'!D:D),0)</f>
        <v>0</v>
      </c>
      <c r="E95" s="105"/>
      <c r="F95" s="107">
        <f t="shared" si="12"/>
        <v>0</v>
      </c>
    </row>
    <row r="96" spans="2:6" x14ac:dyDescent="0.25">
      <c r="B96" s="88" t="s">
        <v>398</v>
      </c>
      <c r="C96" s="91" t="s">
        <v>518</v>
      </c>
      <c r="D96" s="106">
        <f>ROUNDUP(SUMIF('Lista por etapa'!B:B,'Lista por categoria'!B96,'Lista por etapa'!D:D),0)</f>
        <v>0</v>
      </c>
      <c r="E96" s="105"/>
      <c r="F96" s="107">
        <f t="shared" si="12"/>
        <v>0</v>
      </c>
    </row>
    <row r="97" spans="1:10" x14ac:dyDescent="0.25">
      <c r="B97" s="88" t="s">
        <v>489</v>
      </c>
      <c r="C97" s="91" t="s">
        <v>50</v>
      </c>
      <c r="D97" s="106">
        <f>ROUNDUP(SUMIF('Lista por etapa'!B:B,'Lista por categoria'!B97,'Lista por etapa'!D:D),0)</f>
        <v>0</v>
      </c>
      <c r="E97" s="105"/>
      <c r="F97" s="107">
        <f t="shared" si="12"/>
        <v>0</v>
      </c>
    </row>
    <row r="98" spans="1:10" x14ac:dyDescent="0.25">
      <c r="B98" s="88" t="s">
        <v>81</v>
      </c>
      <c r="C98" s="91" t="s">
        <v>79</v>
      </c>
      <c r="D98" s="106">
        <f>ROUNDUP(SUMIF('Lista por etapa'!B:B,'Lista por categoria'!B98,'Lista por etapa'!D:D),0)</f>
        <v>0</v>
      </c>
      <c r="E98" s="105"/>
      <c r="F98" s="107">
        <f t="shared" si="12"/>
        <v>0</v>
      </c>
    </row>
    <row r="100" spans="1:10" s="69" customFormat="1" ht="15.75" x14ac:dyDescent="0.25">
      <c r="A100" s="68"/>
      <c r="B100" s="141" t="s">
        <v>1118</v>
      </c>
      <c r="C100" s="141"/>
      <c r="D100" s="141"/>
      <c r="E100" s="141"/>
      <c r="F100" s="141"/>
      <c r="G100" s="68"/>
      <c r="H100" s="68"/>
      <c r="J100" s="70"/>
    </row>
    <row r="101" spans="1:10" x14ac:dyDescent="0.25">
      <c r="B101" s="27" t="s">
        <v>5</v>
      </c>
      <c r="C101" s="28" t="s">
        <v>46</v>
      </c>
      <c r="D101" s="28" t="s">
        <v>6</v>
      </c>
      <c r="E101" s="28" t="s">
        <v>1101</v>
      </c>
      <c r="F101" s="28" t="s">
        <v>1102</v>
      </c>
    </row>
    <row r="102" spans="1:10" x14ac:dyDescent="0.25">
      <c r="B102" s="88" t="s">
        <v>1119</v>
      </c>
      <c r="C102" s="91" t="s">
        <v>298</v>
      </c>
      <c r="D102" s="106">
        <f>ROUNDUP('Lista por etapa'!D425+'Lista por etapa'!D433+'Lista por etapa'!D442+'Lista por etapa'!D450,0)</f>
        <v>0</v>
      </c>
      <c r="E102" s="105"/>
      <c r="F102" s="107">
        <f>D102*E102</f>
        <v>0</v>
      </c>
    </row>
    <row r="103" spans="1:10" x14ac:dyDescent="0.25">
      <c r="B103" s="88" t="s">
        <v>1120</v>
      </c>
      <c r="C103" s="91" t="s">
        <v>298</v>
      </c>
      <c r="D103" s="106">
        <f>ROUNDUP('Lista por etapa'!D427+'Lista por etapa'!D435+'Lista por etapa'!D444+'Lista por etapa'!D452,0)</f>
        <v>0</v>
      </c>
      <c r="E103" s="105"/>
      <c r="F103" s="107">
        <f t="shared" ref="F103:F106" si="13">D103*E103</f>
        <v>0</v>
      </c>
    </row>
    <row r="104" spans="1:10" x14ac:dyDescent="0.25">
      <c r="B104" s="88" t="s">
        <v>1121</v>
      </c>
      <c r="C104" s="91" t="s">
        <v>298</v>
      </c>
      <c r="D104" s="106">
        <f>ROUNDUP('Lista por etapa'!D389+'Lista por etapa'!D397+'Lista por etapa'!D406+'Lista por etapa'!D414,0)</f>
        <v>0</v>
      </c>
      <c r="E104" s="105"/>
      <c r="F104" s="107">
        <f t="shared" si="13"/>
        <v>0</v>
      </c>
    </row>
    <row r="105" spans="1:10" x14ac:dyDescent="0.25">
      <c r="B105" s="88" t="s">
        <v>1122</v>
      </c>
      <c r="C105" s="91" t="s">
        <v>298</v>
      </c>
      <c r="D105" s="106">
        <f>ROUNDUP('Lista por etapa'!D391+'Lista por etapa'!D399+'Lista por etapa'!D408+'Lista por etapa'!D416,0)</f>
        <v>0</v>
      </c>
      <c r="E105" s="105"/>
      <c r="F105" s="107">
        <f t="shared" si="13"/>
        <v>0</v>
      </c>
    </row>
    <row r="106" spans="1:10" x14ac:dyDescent="0.25">
      <c r="B106" s="88" t="s">
        <v>1123</v>
      </c>
      <c r="C106" s="91" t="s">
        <v>298</v>
      </c>
      <c r="D106" s="106">
        <f>ROUNDUP('Lista por etapa'!D390+'Lista por etapa'!D398+'Lista por etapa'!D407+'Lista por etapa'!D415+'Lista por etapa'!D426+'Lista por etapa'!D434+'Lista por etapa'!D443+'Lista por etapa'!D451,0)</f>
        <v>0</v>
      </c>
      <c r="E106" s="105"/>
      <c r="F106" s="107">
        <f t="shared" si="13"/>
        <v>0</v>
      </c>
    </row>
    <row r="108" spans="1:10" s="69" customFormat="1" ht="15.75" x14ac:dyDescent="0.25">
      <c r="A108" s="68"/>
      <c r="B108" s="141" t="s">
        <v>1125</v>
      </c>
      <c r="C108" s="141"/>
      <c r="D108" s="141"/>
      <c r="E108" s="141"/>
      <c r="F108" s="141"/>
      <c r="G108" s="68"/>
      <c r="H108" s="68"/>
      <c r="J108" s="70"/>
    </row>
    <row r="109" spans="1:10" x14ac:dyDescent="0.25">
      <c r="B109" s="27" t="s">
        <v>5</v>
      </c>
      <c r="C109" s="28" t="s">
        <v>46</v>
      </c>
      <c r="D109" s="28" t="s">
        <v>6</v>
      </c>
      <c r="E109" s="28" t="s">
        <v>1101</v>
      </c>
      <c r="F109" s="28" t="s">
        <v>1102</v>
      </c>
    </row>
    <row r="110" spans="1:10" x14ac:dyDescent="0.25">
      <c r="B110" s="88" t="str">
        <f>'Lista por etapa'!B352</f>
        <v>Telha concreto</v>
      </c>
      <c r="C110" s="91" t="s">
        <v>50</v>
      </c>
      <c r="D110" s="106">
        <f>ROUNDUP(SUMIF('Lista por etapa'!B:B,'Lista por categoria'!B110,'Lista por etapa'!D:D),0)</f>
        <v>2741</v>
      </c>
      <c r="E110" s="105"/>
      <c r="F110" s="107">
        <f>D110*E110</f>
        <v>0</v>
      </c>
    </row>
    <row r="111" spans="1:10" x14ac:dyDescent="0.25">
      <c r="B111" s="88" t="str">
        <f>'Lista por etapa'!B353</f>
        <v>Telha concreto cumeeira</v>
      </c>
      <c r="C111" s="91" t="s">
        <v>50</v>
      </c>
      <c r="D111" s="106">
        <f>ROUNDUP(SUMIF('Lista por etapa'!B:B,'Lista por categoria'!B111,'Lista por etapa'!D:D),0)</f>
        <v>79</v>
      </c>
      <c r="E111" s="105"/>
      <c r="F111" s="107">
        <f t="shared" ref="F111" si="14">D111*E111</f>
        <v>0</v>
      </c>
    </row>
    <row r="113" spans="1:10" s="69" customFormat="1" ht="15.75" x14ac:dyDescent="0.25">
      <c r="A113" s="68"/>
      <c r="B113" s="141" t="s">
        <v>1126</v>
      </c>
      <c r="C113" s="141"/>
      <c r="D113" s="141"/>
      <c r="E113" s="141"/>
      <c r="F113" s="141"/>
      <c r="G113" s="68"/>
      <c r="H113" s="68"/>
      <c r="J113" s="70"/>
    </row>
    <row r="114" spans="1:10" x14ac:dyDescent="0.25">
      <c r="B114" s="27" t="s">
        <v>5</v>
      </c>
      <c r="C114" s="28" t="s">
        <v>46</v>
      </c>
      <c r="D114" s="28" t="s">
        <v>6</v>
      </c>
      <c r="E114" s="28" t="s">
        <v>1101</v>
      </c>
      <c r="F114" s="28" t="s">
        <v>1102</v>
      </c>
    </row>
    <row r="115" spans="1:10" x14ac:dyDescent="0.25">
      <c r="B115" s="88" t="s">
        <v>459</v>
      </c>
      <c r="C115" s="91" t="s">
        <v>79</v>
      </c>
      <c r="D115" s="106">
        <f>ROUNDUP(SUMIF('Lista por etapa'!B:B,'Lista por categoria'!B115,'Lista por etapa'!D:D),0)</f>
        <v>0</v>
      </c>
      <c r="E115" s="105"/>
      <c r="F115" s="107">
        <f>D115*E115</f>
        <v>0</v>
      </c>
    </row>
    <row r="116" spans="1:10" x14ac:dyDescent="0.25">
      <c r="B116" s="88" t="s">
        <v>1127</v>
      </c>
      <c r="C116" s="91" t="s">
        <v>79</v>
      </c>
      <c r="D116" s="106">
        <f>ROUNDUP(SUMIF('Lista por etapa'!B:B,'Lista por categoria'!B116,'Lista por etapa'!D:D),0)</f>
        <v>0</v>
      </c>
      <c r="E116" s="105"/>
      <c r="F116" s="107">
        <f t="shared" ref="F116" si="15">D116*E116</f>
        <v>0</v>
      </c>
    </row>
    <row r="117" spans="1:10" x14ac:dyDescent="0.25">
      <c r="B117" s="88" t="s">
        <v>1128</v>
      </c>
      <c r="C117" s="91" t="s">
        <v>79</v>
      </c>
      <c r="D117" s="106">
        <f>ROUNDUP(SUMIF('Lista por etapa'!B:B,'Lista por categoria'!B117,'Lista por etapa'!D:D),0)</f>
        <v>0</v>
      </c>
      <c r="E117" s="105"/>
      <c r="F117" s="107">
        <f t="shared" ref="F117:F120" si="16">D117*E117</f>
        <v>0</v>
      </c>
    </row>
    <row r="118" spans="1:10" x14ac:dyDescent="0.25">
      <c r="B118" s="88" t="s">
        <v>1129</v>
      </c>
      <c r="C118" s="91" t="s">
        <v>79</v>
      </c>
      <c r="D118" s="106">
        <f>ROUNDUP(SUMIF('Lista por etapa'!B:B,'Lista por categoria'!B118,'Lista por etapa'!D:D),0)</f>
        <v>0</v>
      </c>
      <c r="E118" s="105"/>
      <c r="F118" s="107">
        <f t="shared" si="16"/>
        <v>0</v>
      </c>
    </row>
    <row r="119" spans="1:10" x14ac:dyDescent="0.25">
      <c r="B119" s="88" t="s">
        <v>1130</v>
      </c>
      <c r="C119" s="91" t="s">
        <v>79</v>
      </c>
      <c r="D119" s="106">
        <f>ROUNDUP(SUMIF('Lista por etapa'!B:B,'Lista por categoria'!B119,'Lista por etapa'!D:D),0)</f>
        <v>0</v>
      </c>
      <c r="E119" s="105"/>
      <c r="F119" s="107">
        <f t="shared" si="16"/>
        <v>0</v>
      </c>
    </row>
    <row r="120" spans="1:10" x14ac:dyDescent="0.25">
      <c r="B120" s="88" t="s">
        <v>1131</v>
      </c>
      <c r="C120" s="91" t="s">
        <v>79</v>
      </c>
      <c r="D120" s="106">
        <f>ROUNDUP(SUMIF('Lista por etapa'!B:B,'Lista por categoria'!B120,'Lista por etapa'!D:D),0)</f>
        <v>0</v>
      </c>
      <c r="E120" s="105"/>
      <c r="F120" s="107">
        <f t="shared" si="16"/>
        <v>0</v>
      </c>
    </row>
    <row r="122" spans="1:10" s="69" customFormat="1" ht="15.75" x14ac:dyDescent="0.25">
      <c r="A122" s="68"/>
      <c r="B122" s="141" t="s">
        <v>1142</v>
      </c>
      <c r="C122" s="141"/>
      <c r="D122" s="141"/>
      <c r="E122" s="141"/>
      <c r="F122" s="141"/>
      <c r="G122" s="68"/>
      <c r="H122" s="68"/>
      <c r="J122" s="70"/>
    </row>
    <row r="123" spans="1:10" x14ac:dyDescent="0.25">
      <c r="B123" s="27" t="s">
        <v>5</v>
      </c>
      <c r="C123" s="28" t="s">
        <v>46</v>
      </c>
      <c r="D123" s="28" t="s">
        <v>6</v>
      </c>
      <c r="E123" s="28" t="s">
        <v>1101</v>
      </c>
      <c r="F123" s="28" t="s">
        <v>1102</v>
      </c>
    </row>
    <row r="124" spans="1:10" x14ac:dyDescent="0.25">
      <c r="B124" s="88" t="s">
        <v>1191</v>
      </c>
      <c r="C124" s="91" t="s">
        <v>50</v>
      </c>
      <c r="D124" s="106">
        <f>ROUNDUP(SUMIF('Lista por etapa'!B:B,'Lista por categoria'!B124,'Lista por etapa'!D:D),0)</f>
        <v>0</v>
      </c>
      <c r="E124" s="105"/>
      <c r="F124" s="107">
        <f>D124*E124</f>
        <v>0</v>
      </c>
    </row>
    <row r="125" spans="1:10" x14ac:dyDescent="0.25">
      <c r="B125" s="88" t="s">
        <v>1208</v>
      </c>
      <c r="C125" s="91" t="s">
        <v>50</v>
      </c>
      <c r="D125" s="106">
        <f>ROUNDUP(SUMIF('Lista por etapa'!B:B,'Lista por categoria'!B125,'Lista por etapa'!D:D),0)</f>
        <v>0</v>
      </c>
      <c r="E125" s="105"/>
      <c r="F125" s="107">
        <f>D125*E125</f>
        <v>0</v>
      </c>
    </row>
    <row r="126" spans="1:10" x14ac:dyDescent="0.25">
      <c r="B126" s="88" t="s">
        <v>1198</v>
      </c>
      <c r="C126" s="91" t="s">
        <v>50</v>
      </c>
      <c r="D126" s="106">
        <f>ROUNDUP(SUMIF('Lista por etapa'!B:B,'Lista por categoria'!B126,'Lista por etapa'!D:D),0)</f>
        <v>0</v>
      </c>
      <c r="E126" s="105"/>
      <c r="F126" s="107">
        <f>D126*E126</f>
        <v>0</v>
      </c>
    </row>
    <row r="127" spans="1:10" x14ac:dyDescent="0.25">
      <c r="B127" s="88" t="s">
        <v>1135</v>
      </c>
      <c r="C127" s="91" t="s">
        <v>50</v>
      </c>
      <c r="D127" s="106">
        <f>ROUNDUP(SUMIF('Lista por etapa'!B:B,'Lista por categoria'!B127,'Lista por etapa'!D:D),0)</f>
        <v>0</v>
      </c>
      <c r="E127" s="105"/>
      <c r="F127" s="107">
        <f t="shared" ref="F127" si="17">D127*E127</f>
        <v>0</v>
      </c>
    </row>
    <row r="128" spans="1:10" x14ac:dyDescent="0.25">
      <c r="B128" s="88" t="s">
        <v>1192</v>
      </c>
      <c r="C128" s="91" t="s">
        <v>50</v>
      </c>
      <c r="D128" s="106">
        <f>ROUNDUP(SUMIF('Lista por etapa'!B:B,'Lista por categoria'!B128,'Lista por etapa'!D:D),0)</f>
        <v>0</v>
      </c>
      <c r="E128" s="105"/>
      <c r="F128" s="107">
        <f t="shared" ref="F128" si="18">D128*E128</f>
        <v>0</v>
      </c>
    </row>
    <row r="129" spans="1:10" x14ac:dyDescent="0.25">
      <c r="B129" s="88" t="s">
        <v>1136</v>
      </c>
      <c r="C129" s="91" t="s">
        <v>50</v>
      </c>
      <c r="D129" s="106">
        <f>ROUNDUP(SUMIF('Lista por etapa'!B:B,'Lista por categoria'!B129,'Lista por etapa'!D:D),0)</f>
        <v>0</v>
      </c>
      <c r="E129" s="105"/>
      <c r="F129" s="107">
        <f t="shared" ref="F129:F133" si="19">D129*E129</f>
        <v>0</v>
      </c>
    </row>
    <row r="130" spans="1:10" x14ac:dyDescent="0.25">
      <c r="B130" s="88" t="s">
        <v>1137</v>
      </c>
      <c r="C130" s="91" t="s">
        <v>50</v>
      </c>
      <c r="D130" s="106">
        <f>ROUNDUP(SUMIF('Lista por etapa'!B:B,'Lista por categoria'!B130,'Lista por etapa'!D:D),0)</f>
        <v>0</v>
      </c>
      <c r="E130" s="105"/>
      <c r="F130" s="107">
        <f t="shared" si="19"/>
        <v>0</v>
      </c>
    </row>
    <row r="131" spans="1:10" x14ac:dyDescent="0.25">
      <c r="B131" s="88" t="s">
        <v>1138</v>
      </c>
      <c r="C131" s="91" t="s">
        <v>50</v>
      </c>
      <c r="D131" s="106">
        <f>ROUNDUP(SUMIF('Lista por etapa'!B:B,'Lista por categoria'!B131,'Lista por etapa'!D:D),0)</f>
        <v>0</v>
      </c>
      <c r="E131" s="105"/>
      <c r="F131" s="107">
        <f t="shared" si="19"/>
        <v>0</v>
      </c>
    </row>
    <row r="132" spans="1:10" x14ac:dyDescent="0.25">
      <c r="B132" s="88" t="s">
        <v>1139</v>
      </c>
      <c r="C132" s="91" t="s">
        <v>50</v>
      </c>
      <c r="D132" s="106">
        <f>ROUNDUP(SUMIF('Lista por etapa'!B:B,'Lista por categoria'!B132,'Lista por etapa'!D:D),0)</f>
        <v>0</v>
      </c>
      <c r="E132" s="105"/>
      <c r="F132" s="107">
        <f t="shared" si="19"/>
        <v>0</v>
      </c>
    </row>
    <row r="133" spans="1:10" x14ac:dyDescent="0.25">
      <c r="B133" s="88" t="s">
        <v>1140</v>
      </c>
      <c r="C133" s="91" t="s">
        <v>50</v>
      </c>
      <c r="D133" s="106">
        <f>ROUNDUP(SUMIF('Lista por etapa'!B:B,'Lista por categoria'!B133,'Lista por etapa'!D:D),0)</f>
        <v>0</v>
      </c>
      <c r="E133" s="105"/>
      <c r="F133" s="107">
        <f t="shared" si="19"/>
        <v>0</v>
      </c>
    </row>
    <row r="134" spans="1:10" x14ac:dyDescent="0.25">
      <c r="B134" s="88" t="s">
        <v>1141</v>
      </c>
      <c r="C134" s="91" t="s">
        <v>50</v>
      </c>
      <c r="D134" s="106">
        <f>ROUNDUP(SUMIF('Lista por etapa'!B:B,'Lista por categoria'!B134,'Lista por etapa'!D:D),0)</f>
        <v>0</v>
      </c>
      <c r="E134" s="105"/>
      <c r="F134" s="107">
        <f t="shared" ref="F134:F137" si="20">D134*E134</f>
        <v>0</v>
      </c>
    </row>
    <row r="135" spans="1:10" x14ac:dyDescent="0.25">
      <c r="B135" s="88" t="s">
        <v>1132</v>
      </c>
      <c r="C135" s="91" t="s">
        <v>50</v>
      </c>
      <c r="D135" s="106">
        <f>ROUNDUP(SUMIF('Lista por etapa'!B:B,'Lista por categoria'!B135,'Lista por etapa'!D:D),0)</f>
        <v>0</v>
      </c>
      <c r="E135" s="105"/>
      <c r="F135" s="107">
        <f t="shared" si="20"/>
        <v>0</v>
      </c>
    </row>
    <row r="136" spans="1:10" x14ac:dyDescent="0.25">
      <c r="B136" s="88" t="s">
        <v>1133</v>
      </c>
      <c r="C136" s="91" t="s">
        <v>50</v>
      </c>
      <c r="D136" s="106">
        <f>ROUNDUP(SUMIF('Lista por etapa'!B:B,'Lista por categoria'!B136,'Lista por etapa'!D:D),0)</f>
        <v>0</v>
      </c>
      <c r="E136" s="105"/>
      <c r="F136" s="107">
        <f t="shared" si="20"/>
        <v>0</v>
      </c>
    </row>
    <row r="137" spans="1:10" x14ac:dyDescent="0.25">
      <c r="B137" s="88" t="s">
        <v>1134</v>
      </c>
      <c r="C137" s="91" t="s">
        <v>50</v>
      </c>
      <c r="D137" s="106">
        <f>ROUNDUP(SUMIF('Lista por etapa'!B:B,'Lista por categoria'!B137,'Lista por etapa'!D:D),0)</f>
        <v>0</v>
      </c>
      <c r="E137" s="105"/>
      <c r="F137" s="107">
        <f t="shared" si="20"/>
        <v>0</v>
      </c>
    </row>
    <row r="138" spans="1:10" x14ac:dyDescent="0.25">
      <c r="B138" s="88" t="str">
        <f>'Lista por etapa'!B48</f>
        <v xml:space="preserve">Tijolo comum maciço </v>
      </c>
      <c r="C138" s="91" t="s">
        <v>50</v>
      </c>
      <c r="D138" s="106">
        <f>ROUNDUP(SUMIF('Lista por etapa'!B:B,'Lista por categoria'!B138,'Lista por etapa'!D:D),0)</f>
        <v>0</v>
      </c>
      <c r="E138" s="105"/>
      <c r="F138" s="107">
        <f>D138*E138</f>
        <v>0</v>
      </c>
    </row>
    <row r="140" spans="1:10" s="69" customFormat="1" ht="15.75" x14ac:dyDescent="0.25">
      <c r="A140" s="68"/>
      <c r="B140" s="141" t="s">
        <v>1124</v>
      </c>
      <c r="C140" s="141"/>
      <c r="D140" s="141"/>
      <c r="E140" s="141"/>
      <c r="F140" s="141"/>
      <c r="G140" s="68"/>
      <c r="H140" s="68"/>
      <c r="J140" s="70"/>
    </row>
    <row r="141" spans="1:10" x14ac:dyDescent="0.25">
      <c r="B141" s="27" t="s">
        <v>5</v>
      </c>
      <c r="C141" s="28" t="s">
        <v>46</v>
      </c>
      <c r="D141" s="28" t="s">
        <v>6</v>
      </c>
      <c r="E141" s="28" t="s">
        <v>1101</v>
      </c>
      <c r="F141" s="28" t="s">
        <v>1102</v>
      </c>
    </row>
    <row r="142" spans="1:10" x14ac:dyDescent="0.25">
      <c r="B142" s="88" t="s">
        <v>299</v>
      </c>
      <c r="C142" s="91" t="s">
        <v>298</v>
      </c>
      <c r="D142" s="106">
        <f>ROUNDUP(SUMIF('Lista por etapa'!B:B,'Lista por categoria'!B142,'Lista por etapa'!D:D),0)</f>
        <v>0</v>
      </c>
      <c r="E142" s="105"/>
      <c r="F142" s="107">
        <f>D142*E142</f>
        <v>0</v>
      </c>
    </row>
    <row r="143" spans="1:10" x14ac:dyDescent="0.25">
      <c r="B143" s="88" t="str">
        <f>'Lista por etapa'!B227</f>
        <v/>
      </c>
      <c r="C143" s="91" t="s">
        <v>298</v>
      </c>
      <c r="D143" s="106">
        <f>ROUNDUP(SUMIF('Lista por etapa'!B:B,'Lista por categoria'!B143,'Lista por etapa'!D:D),0)</f>
        <v>0</v>
      </c>
      <c r="E143" s="105"/>
      <c r="F143" s="107">
        <f t="shared" ref="F143" si="21">D143*E143</f>
        <v>0</v>
      </c>
    </row>
    <row r="145" spans="2:6" x14ac:dyDescent="0.25">
      <c r="B145" s="138" t="s">
        <v>1159</v>
      </c>
      <c r="C145" s="139"/>
      <c r="D145" s="139"/>
      <c r="E145" s="140"/>
      <c r="F145" s="111" t="e">
        <f>SUM(F9:F143)</f>
        <v>#REF!</v>
      </c>
    </row>
  </sheetData>
  <mergeCells count="14">
    <mergeCell ref="B145:E145"/>
    <mergeCell ref="B5:F5"/>
    <mergeCell ref="B7:F7"/>
    <mergeCell ref="B140:F140"/>
    <mergeCell ref="B108:F108"/>
    <mergeCell ref="B113:F113"/>
    <mergeCell ref="B122:F122"/>
    <mergeCell ref="B42:F42"/>
    <mergeCell ref="B55:F55"/>
    <mergeCell ref="B16:F16"/>
    <mergeCell ref="B22:F22"/>
    <mergeCell ref="B31:F31"/>
    <mergeCell ref="B67:F67"/>
    <mergeCell ref="B100:F1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4:F203"/>
  <sheetViews>
    <sheetView showGridLines="0" zoomScale="130" zoomScaleNormal="130" workbookViewId="0"/>
  </sheetViews>
  <sheetFormatPr defaultColWidth="8.85546875" defaultRowHeight="15" x14ac:dyDescent="0.25"/>
  <cols>
    <col min="1" max="1" width="2" style="7" customWidth="1"/>
    <col min="2" max="2" width="51.85546875" style="7" bestFit="1" customWidth="1"/>
    <col min="3" max="3" width="13.42578125" style="7" customWidth="1"/>
    <col min="4" max="6" width="13" style="7" customWidth="1"/>
    <col min="7" max="16384" width="8.85546875" style="7"/>
  </cols>
  <sheetData>
    <row r="4" spans="2:6" ht="15.75" thickBot="1" x14ac:dyDescent="0.3"/>
    <row r="5" spans="2:6" ht="21.75" thickBot="1" x14ac:dyDescent="0.4">
      <c r="B5" s="129" t="s">
        <v>537</v>
      </c>
      <c r="C5" s="130"/>
      <c r="D5" s="130"/>
      <c r="E5" s="130"/>
      <c r="F5" s="131"/>
    </row>
    <row r="7" spans="2:6" s="71" customFormat="1" ht="18.75" x14ac:dyDescent="0.3">
      <c r="B7" s="135" t="str">
        <f>'1. Gabarito da obra'!B2:D2</f>
        <v>Gabarito da obra</v>
      </c>
      <c r="C7" s="135"/>
      <c r="D7" s="135"/>
      <c r="E7" s="135"/>
      <c r="F7" s="135"/>
    </row>
    <row r="8" spans="2:6" x14ac:dyDescent="0.25">
      <c r="B8" s="108" t="s">
        <v>1199</v>
      </c>
      <c r="C8" s="109" t="s">
        <v>46</v>
      </c>
      <c r="D8" s="109" t="s">
        <v>6</v>
      </c>
      <c r="E8" s="28" t="s">
        <v>1101</v>
      </c>
      <c r="F8" s="28" t="s">
        <v>1102</v>
      </c>
    </row>
    <row r="9" spans="2:6" x14ac:dyDescent="0.25">
      <c r="B9" s="88" t="s">
        <v>1205</v>
      </c>
      <c r="C9" s="91" t="s">
        <v>1204</v>
      </c>
      <c r="D9" s="114"/>
      <c r="E9" s="105"/>
      <c r="F9" s="107">
        <f>D9*E9</f>
        <v>0</v>
      </c>
    </row>
    <row r="10" spans="2:6" x14ac:dyDescent="0.25">
      <c r="B10" s="88" t="s">
        <v>1200</v>
      </c>
      <c r="C10" s="91" t="s">
        <v>1204</v>
      </c>
      <c r="D10" s="114"/>
      <c r="E10" s="105"/>
      <c r="F10" s="107">
        <f>D10*E10</f>
        <v>0</v>
      </c>
    </row>
    <row r="11" spans="2:6" x14ac:dyDescent="0.25">
      <c r="B11" s="88" t="s">
        <v>1206</v>
      </c>
      <c r="C11" s="91" t="s">
        <v>1204</v>
      </c>
      <c r="D11" s="114"/>
      <c r="E11" s="105"/>
      <c r="F11" s="107">
        <f>D11*E11</f>
        <v>0</v>
      </c>
    </row>
    <row r="12" spans="2:6" x14ac:dyDescent="0.25">
      <c r="B12" s="88" t="s">
        <v>1201</v>
      </c>
      <c r="C12" s="91" t="s">
        <v>1204</v>
      </c>
      <c r="D12" s="114"/>
      <c r="E12" s="105"/>
      <c r="F12" s="107">
        <f t="shared" ref="F12:F14" si="0">D12*E12</f>
        <v>0</v>
      </c>
    </row>
    <row r="13" spans="2:6" x14ac:dyDescent="0.25">
      <c r="B13" s="88" t="s">
        <v>1202</v>
      </c>
      <c r="C13" s="91" t="s">
        <v>1204</v>
      </c>
      <c r="D13" s="114"/>
      <c r="E13" s="105"/>
      <c r="F13" s="107">
        <f t="shared" si="0"/>
        <v>0</v>
      </c>
    </row>
    <row r="14" spans="2:6" x14ac:dyDescent="0.25">
      <c r="B14" s="88" t="s">
        <v>1203</v>
      </c>
      <c r="C14" s="91" t="s">
        <v>1204</v>
      </c>
      <c r="D14" s="114"/>
      <c r="E14" s="105"/>
      <c r="F14" s="107">
        <f t="shared" si="0"/>
        <v>0</v>
      </c>
    </row>
    <row r="15" spans="2:6" x14ac:dyDescent="0.25">
      <c r="B15" s="110"/>
      <c r="C15" s="110"/>
      <c r="D15" s="110"/>
      <c r="E15" s="110"/>
      <c r="F15" s="110"/>
    </row>
    <row r="16" spans="2:6" ht="18.75" x14ac:dyDescent="0.3">
      <c r="B16" s="137" t="str">
        <f>'2. Viga Baldrame'!B2:D2</f>
        <v>Viga Baldrame</v>
      </c>
      <c r="C16" s="137"/>
      <c r="D16" s="137"/>
      <c r="E16" s="137"/>
      <c r="F16" s="137"/>
    </row>
    <row r="17" spans="2:6" x14ac:dyDescent="0.25">
      <c r="B17" s="108" t="s">
        <v>1199</v>
      </c>
      <c r="C17" s="109" t="s">
        <v>46</v>
      </c>
      <c r="D17" s="109" t="s">
        <v>6</v>
      </c>
      <c r="E17" s="28" t="s">
        <v>1101</v>
      </c>
      <c r="F17" s="28" t="s">
        <v>1102</v>
      </c>
    </row>
    <row r="18" spans="2:6" x14ac:dyDescent="0.25">
      <c r="B18" s="88" t="s">
        <v>1205</v>
      </c>
      <c r="C18" s="91" t="s">
        <v>1204</v>
      </c>
      <c r="D18" s="114"/>
      <c r="E18" s="105"/>
      <c r="F18" s="107">
        <f>D18*E18</f>
        <v>0</v>
      </c>
    </row>
    <row r="19" spans="2:6" x14ac:dyDescent="0.25">
      <c r="B19" s="88" t="s">
        <v>1200</v>
      </c>
      <c r="C19" s="91" t="s">
        <v>1204</v>
      </c>
      <c r="D19" s="114"/>
      <c r="E19" s="105"/>
      <c r="F19" s="107">
        <f>D19*E19</f>
        <v>0</v>
      </c>
    </row>
    <row r="20" spans="2:6" x14ac:dyDescent="0.25">
      <c r="B20" s="88" t="s">
        <v>1206</v>
      </c>
      <c r="C20" s="91" t="s">
        <v>1204</v>
      </c>
      <c r="D20" s="114"/>
      <c r="E20" s="105"/>
      <c r="F20" s="107">
        <f>D20*E20</f>
        <v>0</v>
      </c>
    </row>
    <row r="21" spans="2:6" x14ac:dyDescent="0.25">
      <c r="B21" s="88" t="s">
        <v>1201</v>
      </c>
      <c r="C21" s="91" t="s">
        <v>1204</v>
      </c>
      <c r="D21" s="114"/>
      <c r="E21" s="105"/>
      <c r="F21" s="107">
        <f t="shared" ref="F21:F23" si="1">D21*E21</f>
        <v>0</v>
      </c>
    </row>
    <row r="22" spans="2:6" x14ac:dyDescent="0.25">
      <c r="B22" s="88" t="s">
        <v>1202</v>
      </c>
      <c r="C22" s="91" t="s">
        <v>1204</v>
      </c>
      <c r="D22" s="114"/>
      <c r="E22" s="105"/>
      <c r="F22" s="107">
        <f t="shared" si="1"/>
        <v>0</v>
      </c>
    </row>
    <row r="23" spans="2:6" x14ac:dyDescent="0.25">
      <c r="B23" s="88" t="s">
        <v>1203</v>
      </c>
      <c r="C23" s="91" t="s">
        <v>1204</v>
      </c>
      <c r="D23" s="114"/>
      <c r="E23" s="105"/>
      <c r="F23" s="107">
        <f t="shared" si="1"/>
        <v>0</v>
      </c>
    </row>
    <row r="24" spans="2:6" x14ac:dyDescent="0.25">
      <c r="B24" s="110"/>
      <c r="C24" s="110"/>
      <c r="D24" s="110"/>
      <c r="E24" s="110"/>
      <c r="F24" s="110"/>
    </row>
    <row r="25" spans="2:6" ht="18.75" x14ac:dyDescent="0.3">
      <c r="B25" s="137" t="str">
        <f>'3. Sapata isolada'!B2:D2</f>
        <v>Sapata Isolada</v>
      </c>
      <c r="C25" s="137"/>
      <c r="D25" s="137"/>
      <c r="E25" s="137"/>
      <c r="F25" s="137"/>
    </row>
    <row r="26" spans="2:6" x14ac:dyDescent="0.25">
      <c r="B26" s="108" t="s">
        <v>1199</v>
      </c>
      <c r="C26" s="109" t="s">
        <v>46</v>
      </c>
      <c r="D26" s="109" t="s">
        <v>6</v>
      </c>
      <c r="E26" s="28" t="s">
        <v>1101</v>
      </c>
      <c r="F26" s="28" t="s">
        <v>1102</v>
      </c>
    </row>
    <row r="27" spans="2:6" x14ac:dyDescent="0.25">
      <c r="B27" s="88" t="s">
        <v>1205</v>
      </c>
      <c r="C27" s="91" t="s">
        <v>1204</v>
      </c>
      <c r="D27" s="114"/>
      <c r="E27" s="105"/>
      <c r="F27" s="107">
        <f>D27*E27</f>
        <v>0</v>
      </c>
    </row>
    <row r="28" spans="2:6" x14ac:dyDescent="0.25">
      <c r="B28" s="88" t="s">
        <v>1200</v>
      </c>
      <c r="C28" s="91" t="s">
        <v>1204</v>
      </c>
      <c r="D28" s="114"/>
      <c r="E28" s="105"/>
      <c r="F28" s="107">
        <f>D28*E28</f>
        <v>0</v>
      </c>
    </row>
    <row r="29" spans="2:6" x14ac:dyDescent="0.25">
      <c r="B29" s="88" t="s">
        <v>1206</v>
      </c>
      <c r="C29" s="91" t="s">
        <v>1204</v>
      </c>
      <c r="D29" s="114"/>
      <c r="E29" s="105"/>
      <c r="F29" s="107">
        <f>D29*E29</f>
        <v>0</v>
      </c>
    </row>
    <row r="30" spans="2:6" x14ac:dyDescent="0.25">
      <c r="B30" s="88" t="s">
        <v>1201</v>
      </c>
      <c r="C30" s="91" t="s">
        <v>1204</v>
      </c>
      <c r="D30" s="114"/>
      <c r="E30" s="105"/>
      <c r="F30" s="107">
        <f t="shared" ref="F30:F32" si="2">D30*E30</f>
        <v>0</v>
      </c>
    </row>
    <row r="31" spans="2:6" x14ac:dyDescent="0.25">
      <c r="B31" s="88" t="s">
        <v>1202</v>
      </c>
      <c r="C31" s="91" t="s">
        <v>1204</v>
      </c>
      <c r="D31" s="114"/>
      <c r="E31" s="105"/>
      <c r="F31" s="107">
        <f t="shared" si="2"/>
        <v>0</v>
      </c>
    </row>
    <row r="32" spans="2:6" x14ac:dyDescent="0.25">
      <c r="B32" s="88" t="s">
        <v>1203</v>
      </c>
      <c r="C32" s="91" t="s">
        <v>1204</v>
      </c>
      <c r="D32" s="114"/>
      <c r="E32" s="105"/>
      <c r="F32" s="107">
        <f t="shared" si="2"/>
        <v>0</v>
      </c>
    </row>
    <row r="33" spans="2:6" x14ac:dyDescent="0.25">
      <c r="B33" s="110"/>
      <c r="C33" s="110"/>
      <c r="D33" s="110"/>
      <c r="E33" s="110"/>
      <c r="F33" s="110"/>
    </row>
    <row r="34" spans="2:6" ht="18.75" x14ac:dyDescent="0.3">
      <c r="B34" s="137" t="str">
        <f>'4. Estaca'!B2</f>
        <v>Estacas</v>
      </c>
      <c r="C34" s="137"/>
      <c r="D34" s="137"/>
      <c r="E34" s="137"/>
      <c r="F34" s="137"/>
    </row>
    <row r="35" spans="2:6" x14ac:dyDescent="0.25">
      <c r="B35" s="108" t="s">
        <v>1199</v>
      </c>
      <c r="C35" s="109" t="s">
        <v>46</v>
      </c>
      <c r="D35" s="109" t="s">
        <v>6</v>
      </c>
      <c r="E35" s="28" t="s">
        <v>1101</v>
      </c>
      <c r="F35" s="28" t="s">
        <v>1102</v>
      </c>
    </row>
    <row r="36" spans="2:6" x14ac:dyDescent="0.25">
      <c r="B36" s="88" t="s">
        <v>1205</v>
      </c>
      <c r="C36" s="91" t="s">
        <v>1204</v>
      </c>
      <c r="D36" s="114"/>
      <c r="E36" s="105"/>
      <c r="F36" s="107">
        <f>D36*E36</f>
        <v>0</v>
      </c>
    </row>
    <row r="37" spans="2:6" x14ac:dyDescent="0.25">
      <c r="B37" s="88" t="s">
        <v>1200</v>
      </c>
      <c r="C37" s="91" t="s">
        <v>1204</v>
      </c>
      <c r="D37" s="114"/>
      <c r="E37" s="105"/>
      <c r="F37" s="107">
        <f>D37*E37</f>
        <v>0</v>
      </c>
    </row>
    <row r="38" spans="2:6" x14ac:dyDescent="0.25">
      <c r="B38" s="88" t="s">
        <v>1206</v>
      </c>
      <c r="C38" s="91" t="s">
        <v>1204</v>
      </c>
      <c r="D38" s="114"/>
      <c r="E38" s="105"/>
      <c r="F38" s="107">
        <f>D38*E38</f>
        <v>0</v>
      </c>
    </row>
    <row r="39" spans="2:6" x14ac:dyDescent="0.25">
      <c r="B39" s="88" t="s">
        <v>1201</v>
      </c>
      <c r="C39" s="91" t="s">
        <v>1204</v>
      </c>
      <c r="D39" s="114"/>
      <c r="E39" s="105"/>
      <c r="F39" s="107">
        <f t="shared" ref="F39:F41" si="3">D39*E39</f>
        <v>0</v>
      </c>
    </row>
    <row r="40" spans="2:6" x14ac:dyDescent="0.25">
      <c r="B40" s="88" t="s">
        <v>1202</v>
      </c>
      <c r="C40" s="91" t="s">
        <v>1204</v>
      </c>
      <c r="D40" s="114"/>
      <c r="E40" s="105"/>
      <c r="F40" s="107">
        <f t="shared" si="3"/>
        <v>0</v>
      </c>
    </row>
    <row r="41" spans="2:6" x14ac:dyDescent="0.25">
      <c r="B41" s="88" t="s">
        <v>1203</v>
      </c>
      <c r="C41" s="91" t="s">
        <v>1204</v>
      </c>
      <c r="D41" s="114"/>
      <c r="E41" s="105"/>
      <c r="F41" s="107">
        <f t="shared" si="3"/>
        <v>0</v>
      </c>
    </row>
    <row r="42" spans="2:6" x14ac:dyDescent="0.25">
      <c r="B42" s="110"/>
      <c r="C42" s="110"/>
      <c r="D42" s="110"/>
      <c r="E42" s="110"/>
      <c r="F42" s="110"/>
    </row>
    <row r="43" spans="2:6" ht="18.75" x14ac:dyDescent="0.3">
      <c r="B43" s="137" t="e">
        <f>#REF!</f>
        <v>#REF!</v>
      </c>
      <c r="C43" s="137"/>
      <c r="D43" s="137"/>
      <c r="E43" s="137"/>
      <c r="F43" s="137"/>
    </row>
    <row r="44" spans="2:6" x14ac:dyDescent="0.25">
      <c r="B44" s="108" t="s">
        <v>1199</v>
      </c>
      <c r="C44" s="109" t="s">
        <v>46</v>
      </c>
      <c r="D44" s="109" t="s">
        <v>6</v>
      </c>
      <c r="E44" s="28" t="s">
        <v>1101</v>
      </c>
      <c r="F44" s="28" t="s">
        <v>1102</v>
      </c>
    </row>
    <row r="45" spans="2:6" x14ac:dyDescent="0.25">
      <c r="B45" s="88" t="s">
        <v>1205</v>
      </c>
      <c r="C45" s="91" t="s">
        <v>1204</v>
      </c>
      <c r="D45" s="114"/>
      <c r="E45" s="105"/>
      <c r="F45" s="107">
        <f>D45*E45</f>
        <v>0</v>
      </c>
    </row>
    <row r="46" spans="2:6" x14ac:dyDescent="0.25">
      <c r="B46" s="88" t="s">
        <v>1200</v>
      </c>
      <c r="C46" s="91" t="s">
        <v>1204</v>
      </c>
      <c r="D46" s="114"/>
      <c r="E46" s="105"/>
      <c r="F46" s="107">
        <f>D46*E46</f>
        <v>0</v>
      </c>
    </row>
    <row r="47" spans="2:6" x14ac:dyDescent="0.25">
      <c r="B47" s="88" t="s">
        <v>1206</v>
      </c>
      <c r="C47" s="91" t="s">
        <v>1204</v>
      </c>
      <c r="D47" s="114"/>
      <c r="E47" s="105"/>
      <c r="F47" s="107">
        <f>D47*E47</f>
        <v>0</v>
      </c>
    </row>
    <row r="48" spans="2:6" x14ac:dyDescent="0.25">
      <c r="B48" s="88" t="s">
        <v>1201</v>
      </c>
      <c r="C48" s="91" t="s">
        <v>1204</v>
      </c>
      <c r="D48" s="114"/>
      <c r="E48" s="105"/>
      <c r="F48" s="107">
        <f t="shared" ref="F48:F50" si="4">D48*E48</f>
        <v>0</v>
      </c>
    </row>
    <row r="49" spans="2:6" x14ac:dyDescent="0.25">
      <c r="B49" s="88" t="s">
        <v>1202</v>
      </c>
      <c r="C49" s="91" t="s">
        <v>1204</v>
      </c>
      <c r="D49" s="114"/>
      <c r="E49" s="105"/>
      <c r="F49" s="107">
        <f t="shared" si="4"/>
        <v>0</v>
      </c>
    </row>
    <row r="50" spans="2:6" x14ac:dyDescent="0.25">
      <c r="B50" s="88" t="s">
        <v>1203</v>
      </c>
      <c r="C50" s="91" t="s">
        <v>1204</v>
      </c>
      <c r="D50" s="114"/>
      <c r="E50" s="105"/>
      <c r="F50" s="107">
        <f t="shared" si="4"/>
        <v>0</v>
      </c>
    </row>
    <row r="51" spans="2:6" x14ac:dyDescent="0.25">
      <c r="B51" s="110"/>
      <c r="C51" s="110"/>
      <c r="D51" s="110"/>
      <c r="E51" s="110"/>
      <c r="F51" s="110"/>
    </row>
    <row r="52" spans="2:6" ht="18.75" x14ac:dyDescent="0.3">
      <c r="B52" s="137" t="str">
        <f>'5. Paredes com Tijolos'!B2:D2</f>
        <v>Paredes com Tijolo Cerâmicos</v>
      </c>
      <c r="C52" s="137"/>
      <c r="D52" s="137"/>
      <c r="E52" s="137"/>
      <c r="F52" s="137"/>
    </row>
    <row r="53" spans="2:6" x14ac:dyDescent="0.25">
      <c r="B53" s="108" t="s">
        <v>1199</v>
      </c>
      <c r="C53" s="109" t="s">
        <v>46</v>
      </c>
      <c r="D53" s="109" t="s">
        <v>6</v>
      </c>
      <c r="E53" s="28" t="s">
        <v>1101</v>
      </c>
      <c r="F53" s="28" t="s">
        <v>1102</v>
      </c>
    </row>
    <row r="54" spans="2:6" x14ac:dyDescent="0.25">
      <c r="B54" s="88" t="s">
        <v>1205</v>
      </c>
      <c r="C54" s="91" t="s">
        <v>1204</v>
      </c>
      <c r="D54" s="114"/>
      <c r="E54" s="105"/>
      <c r="F54" s="107">
        <f>D54*E54</f>
        <v>0</v>
      </c>
    </row>
    <row r="55" spans="2:6" x14ac:dyDescent="0.25">
      <c r="B55" s="88" t="s">
        <v>1200</v>
      </c>
      <c r="C55" s="91" t="s">
        <v>1204</v>
      </c>
      <c r="D55" s="114"/>
      <c r="E55" s="105"/>
      <c r="F55" s="107">
        <f>D55*E55</f>
        <v>0</v>
      </c>
    </row>
    <row r="56" spans="2:6" x14ac:dyDescent="0.25">
      <c r="B56" s="88" t="s">
        <v>1206</v>
      </c>
      <c r="C56" s="91" t="s">
        <v>1204</v>
      </c>
      <c r="D56" s="114"/>
      <c r="E56" s="105"/>
      <c r="F56" s="107">
        <f>D56*E56</f>
        <v>0</v>
      </c>
    </row>
    <row r="57" spans="2:6" x14ac:dyDescent="0.25">
      <c r="B57" s="88" t="s">
        <v>1201</v>
      </c>
      <c r="C57" s="91" t="s">
        <v>1204</v>
      </c>
      <c r="D57" s="114"/>
      <c r="E57" s="105"/>
      <c r="F57" s="107">
        <f t="shared" ref="F57:F59" si="5">D57*E57</f>
        <v>0</v>
      </c>
    </row>
    <row r="58" spans="2:6" x14ac:dyDescent="0.25">
      <c r="B58" s="88" t="s">
        <v>1202</v>
      </c>
      <c r="C58" s="91" t="s">
        <v>1204</v>
      </c>
      <c r="D58" s="114"/>
      <c r="E58" s="105"/>
      <c r="F58" s="107">
        <f t="shared" si="5"/>
        <v>0</v>
      </c>
    </row>
    <row r="59" spans="2:6" x14ac:dyDescent="0.25">
      <c r="B59" s="88" t="s">
        <v>1203</v>
      </c>
      <c r="C59" s="91" t="s">
        <v>1204</v>
      </c>
      <c r="D59" s="114"/>
      <c r="E59" s="105"/>
      <c r="F59" s="107">
        <f t="shared" si="5"/>
        <v>0</v>
      </c>
    </row>
    <row r="60" spans="2:6" x14ac:dyDescent="0.25">
      <c r="B60" s="110"/>
      <c r="C60" s="110"/>
      <c r="D60" s="110"/>
      <c r="E60" s="110"/>
      <c r="F60" s="110"/>
    </row>
    <row r="61" spans="2:6" ht="18.75" x14ac:dyDescent="0.3">
      <c r="B61" s="137" t="str">
        <f>'6. Paredes com Blocos'!B2:D2</f>
        <v>Paredes com Blocos de Concreto</v>
      </c>
      <c r="C61" s="137"/>
      <c r="D61" s="137"/>
      <c r="E61" s="137"/>
      <c r="F61" s="137"/>
    </row>
    <row r="62" spans="2:6" x14ac:dyDescent="0.25">
      <c r="B62" s="108" t="s">
        <v>1199</v>
      </c>
      <c r="C62" s="109" t="s">
        <v>46</v>
      </c>
      <c r="D62" s="109" t="s">
        <v>6</v>
      </c>
      <c r="E62" s="28" t="s">
        <v>1101</v>
      </c>
      <c r="F62" s="28" t="s">
        <v>1102</v>
      </c>
    </row>
    <row r="63" spans="2:6" x14ac:dyDescent="0.25">
      <c r="B63" s="88" t="s">
        <v>1205</v>
      </c>
      <c r="C63" s="91" t="s">
        <v>1204</v>
      </c>
      <c r="D63" s="114"/>
      <c r="E63" s="105"/>
      <c r="F63" s="107">
        <f>D63*E63</f>
        <v>0</v>
      </c>
    </row>
    <row r="64" spans="2:6" x14ac:dyDescent="0.25">
      <c r="B64" s="88" t="s">
        <v>1200</v>
      </c>
      <c r="C64" s="91" t="s">
        <v>1204</v>
      </c>
      <c r="D64" s="114"/>
      <c r="E64" s="105"/>
      <c r="F64" s="107">
        <f>D64*E64</f>
        <v>0</v>
      </c>
    </row>
    <row r="65" spans="2:6" x14ac:dyDescent="0.25">
      <c r="B65" s="88" t="s">
        <v>1206</v>
      </c>
      <c r="C65" s="91" t="s">
        <v>1204</v>
      </c>
      <c r="D65" s="114"/>
      <c r="E65" s="105"/>
      <c r="F65" s="107">
        <f>D65*E65</f>
        <v>0</v>
      </c>
    </row>
    <row r="66" spans="2:6" x14ac:dyDescent="0.25">
      <c r="B66" s="88" t="s">
        <v>1201</v>
      </c>
      <c r="C66" s="91" t="s">
        <v>1204</v>
      </c>
      <c r="D66" s="114"/>
      <c r="E66" s="105"/>
      <c r="F66" s="107">
        <f t="shared" ref="F66:F68" si="6">D66*E66</f>
        <v>0</v>
      </c>
    </row>
    <row r="67" spans="2:6" x14ac:dyDescent="0.25">
      <c r="B67" s="88" t="s">
        <v>1202</v>
      </c>
      <c r="C67" s="91" t="s">
        <v>1204</v>
      </c>
      <c r="D67" s="114"/>
      <c r="E67" s="105"/>
      <c r="F67" s="107">
        <f t="shared" si="6"/>
        <v>0</v>
      </c>
    </row>
    <row r="68" spans="2:6" x14ac:dyDescent="0.25">
      <c r="B68" s="88" t="s">
        <v>1203</v>
      </c>
      <c r="C68" s="91" t="s">
        <v>1204</v>
      </c>
      <c r="D68" s="114"/>
      <c r="E68" s="105"/>
      <c r="F68" s="107">
        <f t="shared" si="6"/>
        <v>0</v>
      </c>
    </row>
    <row r="69" spans="2:6" x14ac:dyDescent="0.25">
      <c r="B69" s="110"/>
      <c r="C69" s="110"/>
      <c r="D69" s="110"/>
      <c r="E69" s="110"/>
      <c r="F69" s="110"/>
    </row>
    <row r="70" spans="2:6" ht="18.75" x14ac:dyDescent="0.3">
      <c r="B70" s="137" t="str">
        <f>'7. Colunas ou Pilares'!B2:D2</f>
        <v>Colunas ou Pilares</v>
      </c>
      <c r="C70" s="137"/>
      <c r="D70" s="137"/>
      <c r="E70" s="137"/>
      <c r="F70" s="137"/>
    </row>
    <row r="71" spans="2:6" x14ac:dyDescent="0.25">
      <c r="B71" s="108" t="s">
        <v>1199</v>
      </c>
      <c r="C71" s="109" t="s">
        <v>46</v>
      </c>
      <c r="D71" s="109" t="s">
        <v>6</v>
      </c>
      <c r="E71" s="28" t="s">
        <v>1101</v>
      </c>
      <c r="F71" s="28" t="s">
        <v>1102</v>
      </c>
    </row>
    <row r="72" spans="2:6" x14ac:dyDescent="0.25">
      <c r="B72" s="88" t="s">
        <v>1205</v>
      </c>
      <c r="C72" s="91" t="s">
        <v>1204</v>
      </c>
      <c r="D72" s="114"/>
      <c r="E72" s="105"/>
      <c r="F72" s="107">
        <f>D72*E72</f>
        <v>0</v>
      </c>
    </row>
    <row r="73" spans="2:6" x14ac:dyDescent="0.25">
      <c r="B73" s="88" t="s">
        <v>1200</v>
      </c>
      <c r="C73" s="91" t="s">
        <v>1204</v>
      </c>
      <c r="D73" s="114"/>
      <c r="E73" s="105"/>
      <c r="F73" s="107">
        <f>D73*E73</f>
        <v>0</v>
      </c>
    </row>
    <row r="74" spans="2:6" x14ac:dyDescent="0.25">
      <c r="B74" s="88" t="s">
        <v>1206</v>
      </c>
      <c r="C74" s="91" t="s">
        <v>1204</v>
      </c>
      <c r="D74" s="114"/>
      <c r="E74" s="105"/>
      <c r="F74" s="107">
        <f>D74*E74</f>
        <v>0</v>
      </c>
    </row>
    <row r="75" spans="2:6" x14ac:dyDescent="0.25">
      <c r="B75" s="88" t="s">
        <v>1201</v>
      </c>
      <c r="C75" s="91" t="s">
        <v>1204</v>
      </c>
      <c r="D75" s="114"/>
      <c r="E75" s="105"/>
      <c r="F75" s="107">
        <f t="shared" ref="F75:F77" si="7">D75*E75</f>
        <v>0</v>
      </c>
    </row>
    <row r="76" spans="2:6" x14ac:dyDescent="0.25">
      <c r="B76" s="88" t="s">
        <v>1202</v>
      </c>
      <c r="C76" s="91" t="s">
        <v>1204</v>
      </c>
      <c r="D76" s="114"/>
      <c r="E76" s="105"/>
      <c r="F76" s="107">
        <f t="shared" si="7"/>
        <v>0</v>
      </c>
    </row>
    <row r="77" spans="2:6" x14ac:dyDescent="0.25">
      <c r="B77" s="88" t="s">
        <v>1203</v>
      </c>
      <c r="C77" s="91" t="s">
        <v>1204</v>
      </c>
      <c r="D77" s="114"/>
      <c r="E77" s="105"/>
      <c r="F77" s="107">
        <f t="shared" si="7"/>
        <v>0</v>
      </c>
    </row>
    <row r="78" spans="2:6" x14ac:dyDescent="0.25">
      <c r="B78" s="110"/>
      <c r="C78" s="110"/>
      <c r="D78" s="110"/>
      <c r="E78" s="110"/>
      <c r="F78" s="110"/>
    </row>
    <row r="79" spans="2:6" ht="18.75" x14ac:dyDescent="0.3">
      <c r="B79" s="137" t="str">
        <f>'8. Viga'!B2</f>
        <v>Vigas</v>
      </c>
      <c r="C79" s="137"/>
      <c r="D79" s="137"/>
      <c r="E79" s="137"/>
      <c r="F79" s="137"/>
    </row>
    <row r="80" spans="2:6" x14ac:dyDescent="0.25">
      <c r="B80" s="108" t="s">
        <v>1199</v>
      </c>
      <c r="C80" s="109" t="s">
        <v>46</v>
      </c>
      <c r="D80" s="109" t="s">
        <v>6</v>
      </c>
      <c r="E80" s="28" t="s">
        <v>1101</v>
      </c>
      <c r="F80" s="28" t="s">
        <v>1102</v>
      </c>
    </row>
    <row r="81" spans="2:6" x14ac:dyDescent="0.25">
      <c r="B81" s="88" t="s">
        <v>1205</v>
      </c>
      <c r="C81" s="91" t="s">
        <v>1204</v>
      </c>
      <c r="D81" s="114"/>
      <c r="E81" s="105"/>
      <c r="F81" s="107">
        <f>D81*E81</f>
        <v>0</v>
      </c>
    </row>
    <row r="82" spans="2:6" x14ac:dyDescent="0.25">
      <c r="B82" s="88" t="s">
        <v>1200</v>
      </c>
      <c r="C82" s="91" t="s">
        <v>1204</v>
      </c>
      <c r="D82" s="114"/>
      <c r="E82" s="105"/>
      <c r="F82" s="107">
        <f>D82*E82</f>
        <v>0</v>
      </c>
    </row>
    <row r="83" spans="2:6" x14ac:dyDescent="0.25">
      <c r="B83" s="88" t="s">
        <v>1206</v>
      </c>
      <c r="C83" s="91" t="s">
        <v>1204</v>
      </c>
      <c r="D83" s="114"/>
      <c r="E83" s="105"/>
      <c r="F83" s="107">
        <f>D83*E83</f>
        <v>0</v>
      </c>
    </row>
    <row r="84" spans="2:6" x14ac:dyDescent="0.25">
      <c r="B84" s="88" t="s">
        <v>1201</v>
      </c>
      <c r="C84" s="91" t="s">
        <v>1204</v>
      </c>
      <c r="D84" s="114"/>
      <c r="E84" s="105"/>
      <c r="F84" s="107">
        <f t="shared" ref="F84:F86" si="8">D84*E84</f>
        <v>0</v>
      </c>
    </row>
    <row r="85" spans="2:6" x14ac:dyDescent="0.25">
      <c r="B85" s="88" t="s">
        <v>1202</v>
      </c>
      <c r="C85" s="91" t="s">
        <v>1204</v>
      </c>
      <c r="D85" s="114"/>
      <c r="E85" s="105"/>
      <c r="F85" s="107">
        <f t="shared" si="8"/>
        <v>0</v>
      </c>
    </row>
    <row r="86" spans="2:6" x14ac:dyDescent="0.25">
      <c r="B86" s="88" t="s">
        <v>1203</v>
      </c>
      <c r="C86" s="91" t="s">
        <v>1204</v>
      </c>
      <c r="D86" s="114"/>
      <c r="E86" s="105"/>
      <c r="F86" s="107">
        <f t="shared" si="8"/>
        <v>0</v>
      </c>
    </row>
    <row r="87" spans="2:6" x14ac:dyDescent="0.25">
      <c r="B87" s="110"/>
      <c r="C87" s="110"/>
      <c r="D87" s="110"/>
      <c r="E87" s="110"/>
      <c r="F87" s="110"/>
    </row>
    <row r="88" spans="2:6" ht="18.75" x14ac:dyDescent="0.3">
      <c r="B88" s="137" t="str">
        <f>'9. Contrapiso'!B2</f>
        <v>Contrapiso</v>
      </c>
      <c r="C88" s="137"/>
      <c r="D88" s="137"/>
      <c r="E88" s="137"/>
      <c r="F88" s="137"/>
    </row>
    <row r="89" spans="2:6" x14ac:dyDescent="0.25">
      <c r="B89" s="108" t="s">
        <v>1199</v>
      </c>
      <c r="C89" s="109" t="s">
        <v>46</v>
      </c>
      <c r="D89" s="109" t="s">
        <v>6</v>
      </c>
      <c r="E89" s="28" t="s">
        <v>1101</v>
      </c>
      <c r="F89" s="28" t="s">
        <v>1102</v>
      </c>
    </row>
    <row r="90" spans="2:6" x14ac:dyDescent="0.25">
      <c r="B90" s="88" t="s">
        <v>1205</v>
      </c>
      <c r="C90" s="91" t="s">
        <v>1204</v>
      </c>
      <c r="D90" s="114"/>
      <c r="E90" s="105"/>
      <c r="F90" s="107">
        <f>D90*E90</f>
        <v>0</v>
      </c>
    </row>
    <row r="91" spans="2:6" x14ac:dyDescent="0.25">
      <c r="B91" s="88" t="s">
        <v>1200</v>
      </c>
      <c r="C91" s="91" t="s">
        <v>1204</v>
      </c>
      <c r="D91" s="114"/>
      <c r="E91" s="105"/>
      <c r="F91" s="107">
        <f>D91*E91</f>
        <v>0</v>
      </c>
    </row>
    <row r="92" spans="2:6" x14ac:dyDescent="0.25">
      <c r="B92" s="88" t="s">
        <v>1206</v>
      </c>
      <c r="C92" s="91" t="s">
        <v>1204</v>
      </c>
      <c r="D92" s="114"/>
      <c r="E92" s="105"/>
      <c r="F92" s="107">
        <f>D92*E92</f>
        <v>0</v>
      </c>
    </row>
    <row r="93" spans="2:6" x14ac:dyDescent="0.25">
      <c r="B93" s="88" t="s">
        <v>1201</v>
      </c>
      <c r="C93" s="91" t="s">
        <v>1204</v>
      </c>
      <c r="D93" s="114"/>
      <c r="E93" s="105"/>
      <c r="F93" s="107">
        <f t="shared" ref="F93:F95" si="9">D93*E93</f>
        <v>0</v>
      </c>
    </row>
    <row r="94" spans="2:6" x14ac:dyDescent="0.25">
      <c r="B94" s="88" t="s">
        <v>1202</v>
      </c>
      <c r="C94" s="91" t="s">
        <v>1204</v>
      </c>
      <c r="D94" s="114"/>
      <c r="E94" s="105"/>
      <c r="F94" s="107">
        <f t="shared" si="9"/>
        <v>0</v>
      </c>
    </row>
    <row r="95" spans="2:6" x14ac:dyDescent="0.25">
      <c r="B95" s="88" t="s">
        <v>1203</v>
      </c>
      <c r="C95" s="91" t="s">
        <v>1204</v>
      </c>
      <c r="D95" s="114"/>
      <c r="E95" s="105"/>
      <c r="F95" s="107">
        <f t="shared" si="9"/>
        <v>0</v>
      </c>
    </row>
    <row r="96" spans="2:6" x14ac:dyDescent="0.25">
      <c r="B96" s="110"/>
      <c r="C96" s="110"/>
      <c r="D96" s="110"/>
      <c r="E96" s="110"/>
      <c r="F96" s="110"/>
    </row>
    <row r="97" spans="2:6" ht="18.75" x14ac:dyDescent="0.3">
      <c r="B97" s="137" t="str">
        <f>'10. Laje'!B2</f>
        <v>Laje</v>
      </c>
      <c r="C97" s="137"/>
      <c r="D97" s="137"/>
      <c r="E97" s="137"/>
      <c r="F97" s="137"/>
    </row>
    <row r="98" spans="2:6" x14ac:dyDescent="0.25">
      <c r="B98" s="108" t="s">
        <v>1199</v>
      </c>
      <c r="C98" s="109" t="s">
        <v>46</v>
      </c>
      <c r="D98" s="109" t="s">
        <v>6</v>
      </c>
      <c r="E98" s="28" t="s">
        <v>1101</v>
      </c>
      <c r="F98" s="28" t="s">
        <v>1102</v>
      </c>
    </row>
    <row r="99" spans="2:6" x14ac:dyDescent="0.25">
      <c r="B99" s="88" t="s">
        <v>1205</v>
      </c>
      <c r="C99" s="91" t="s">
        <v>1204</v>
      </c>
      <c r="D99" s="114"/>
      <c r="E99" s="105"/>
      <c r="F99" s="107">
        <f>D99*E99</f>
        <v>0</v>
      </c>
    </row>
    <row r="100" spans="2:6" x14ac:dyDescent="0.25">
      <c r="B100" s="88" t="s">
        <v>1200</v>
      </c>
      <c r="C100" s="91" t="s">
        <v>1204</v>
      </c>
      <c r="D100" s="114"/>
      <c r="E100" s="105"/>
      <c r="F100" s="107">
        <f>D100*E100</f>
        <v>0</v>
      </c>
    </row>
    <row r="101" spans="2:6" x14ac:dyDescent="0.25">
      <c r="B101" s="88" t="s">
        <v>1206</v>
      </c>
      <c r="C101" s="91" t="s">
        <v>1204</v>
      </c>
      <c r="D101" s="114"/>
      <c r="E101" s="105"/>
      <c r="F101" s="107">
        <f>D101*E101</f>
        <v>0</v>
      </c>
    </row>
    <row r="102" spans="2:6" x14ac:dyDescent="0.25">
      <c r="B102" s="88" t="s">
        <v>1201</v>
      </c>
      <c r="C102" s="91" t="s">
        <v>1204</v>
      </c>
      <c r="D102" s="114"/>
      <c r="E102" s="105"/>
      <c r="F102" s="107">
        <f t="shared" ref="F102:F104" si="10">D102*E102</f>
        <v>0</v>
      </c>
    </row>
    <row r="103" spans="2:6" x14ac:dyDescent="0.25">
      <c r="B103" s="88" t="s">
        <v>1202</v>
      </c>
      <c r="C103" s="91" t="s">
        <v>1204</v>
      </c>
      <c r="D103" s="114"/>
      <c r="E103" s="105"/>
      <c r="F103" s="107">
        <f t="shared" si="10"/>
        <v>0</v>
      </c>
    </row>
    <row r="104" spans="2:6" x14ac:dyDescent="0.25">
      <c r="B104" s="88" t="s">
        <v>1203</v>
      </c>
      <c r="C104" s="91" t="s">
        <v>1204</v>
      </c>
      <c r="D104" s="114"/>
      <c r="E104" s="105"/>
      <c r="F104" s="107">
        <f t="shared" si="10"/>
        <v>0</v>
      </c>
    </row>
    <row r="105" spans="2:6" x14ac:dyDescent="0.25">
      <c r="B105" s="110"/>
      <c r="C105" s="110"/>
      <c r="D105" s="110"/>
      <c r="E105" s="110"/>
      <c r="F105" s="110"/>
    </row>
    <row r="106" spans="2:6" ht="18.75" x14ac:dyDescent="0.3">
      <c r="B106" s="137" t="str">
        <f>'11. Chapisco-Emboço-Reboco'!B2:D2</f>
        <v>Reboco</v>
      </c>
      <c r="C106" s="137"/>
      <c r="D106" s="137"/>
      <c r="E106" s="137"/>
      <c r="F106" s="137"/>
    </row>
    <row r="107" spans="2:6" x14ac:dyDescent="0.25">
      <c r="B107" s="108" t="s">
        <v>1199</v>
      </c>
      <c r="C107" s="109" t="s">
        <v>46</v>
      </c>
      <c r="D107" s="109" t="s">
        <v>6</v>
      </c>
      <c r="E107" s="28" t="s">
        <v>1101</v>
      </c>
      <c r="F107" s="28" t="s">
        <v>1102</v>
      </c>
    </row>
    <row r="108" spans="2:6" x14ac:dyDescent="0.25">
      <c r="B108" s="88" t="s">
        <v>1205</v>
      </c>
      <c r="C108" s="91" t="s">
        <v>1204</v>
      </c>
      <c r="D108" s="114"/>
      <c r="E108" s="105"/>
      <c r="F108" s="107">
        <f>D108*E108</f>
        <v>0</v>
      </c>
    </row>
    <row r="109" spans="2:6" x14ac:dyDescent="0.25">
      <c r="B109" s="88" t="s">
        <v>1200</v>
      </c>
      <c r="C109" s="91" t="s">
        <v>1204</v>
      </c>
      <c r="D109" s="114"/>
      <c r="E109" s="105"/>
      <c r="F109" s="107">
        <f>D109*E109</f>
        <v>0</v>
      </c>
    </row>
    <row r="110" spans="2:6" x14ac:dyDescent="0.25">
      <c r="B110" s="88" t="s">
        <v>1206</v>
      </c>
      <c r="C110" s="91" t="s">
        <v>1204</v>
      </c>
      <c r="D110" s="114"/>
      <c r="E110" s="105"/>
      <c r="F110" s="107">
        <f>D110*E110</f>
        <v>0</v>
      </c>
    </row>
    <row r="111" spans="2:6" x14ac:dyDescent="0.25">
      <c r="B111" s="88" t="s">
        <v>1201</v>
      </c>
      <c r="C111" s="91" t="s">
        <v>1204</v>
      </c>
      <c r="D111" s="114"/>
      <c r="E111" s="105"/>
      <c r="F111" s="107">
        <f t="shared" ref="F111:F113" si="11">D111*E111</f>
        <v>0</v>
      </c>
    </row>
    <row r="112" spans="2:6" x14ac:dyDescent="0.25">
      <c r="B112" s="88" t="s">
        <v>1202</v>
      </c>
      <c r="C112" s="91" t="s">
        <v>1204</v>
      </c>
      <c r="D112" s="114"/>
      <c r="E112" s="105"/>
      <c r="F112" s="107">
        <f t="shared" si="11"/>
        <v>0</v>
      </c>
    </row>
    <row r="113" spans="2:6" x14ac:dyDescent="0.25">
      <c r="B113" s="88" t="s">
        <v>1203</v>
      </c>
      <c r="C113" s="91" t="s">
        <v>1204</v>
      </c>
      <c r="D113" s="114"/>
      <c r="E113" s="105"/>
      <c r="F113" s="107">
        <f t="shared" si="11"/>
        <v>0</v>
      </c>
    </row>
    <row r="114" spans="2:6" x14ac:dyDescent="0.25">
      <c r="B114" s="110"/>
      <c r="C114" s="110"/>
      <c r="D114" s="110"/>
      <c r="E114" s="110"/>
      <c r="F114" s="110"/>
    </row>
    <row r="115" spans="2:6" ht="18.75" x14ac:dyDescent="0.3">
      <c r="B115" s="137" t="str">
        <f>'12. Gesso'!B2</f>
        <v>Gesso</v>
      </c>
      <c r="C115" s="137"/>
      <c r="D115" s="137"/>
      <c r="E115" s="137"/>
      <c r="F115" s="137"/>
    </row>
    <row r="116" spans="2:6" x14ac:dyDescent="0.25">
      <c r="B116" s="108" t="s">
        <v>1199</v>
      </c>
      <c r="C116" s="109" t="s">
        <v>46</v>
      </c>
      <c r="D116" s="109" t="s">
        <v>6</v>
      </c>
      <c r="E116" s="28" t="s">
        <v>1101</v>
      </c>
      <c r="F116" s="28" t="s">
        <v>1102</v>
      </c>
    </row>
    <row r="117" spans="2:6" x14ac:dyDescent="0.25">
      <c r="B117" s="88" t="s">
        <v>1205</v>
      </c>
      <c r="C117" s="91" t="s">
        <v>1204</v>
      </c>
      <c r="D117" s="114"/>
      <c r="E117" s="105"/>
      <c r="F117" s="107">
        <f>D117*E117</f>
        <v>0</v>
      </c>
    </row>
    <row r="118" spans="2:6" x14ac:dyDescent="0.25">
      <c r="B118" s="88" t="s">
        <v>1200</v>
      </c>
      <c r="C118" s="91" t="s">
        <v>1204</v>
      </c>
      <c r="D118" s="114"/>
      <c r="E118" s="105"/>
      <c r="F118" s="107">
        <f>D118*E118</f>
        <v>0</v>
      </c>
    </row>
    <row r="119" spans="2:6" x14ac:dyDescent="0.25">
      <c r="B119" s="88" t="s">
        <v>1206</v>
      </c>
      <c r="C119" s="91" t="s">
        <v>1204</v>
      </c>
      <c r="D119" s="114"/>
      <c r="E119" s="105"/>
      <c r="F119" s="107">
        <f>D119*E119</f>
        <v>0</v>
      </c>
    </row>
    <row r="120" spans="2:6" x14ac:dyDescent="0.25">
      <c r="B120" s="88" t="s">
        <v>1201</v>
      </c>
      <c r="C120" s="91" t="s">
        <v>1204</v>
      </c>
      <c r="D120" s="114"/>
      <c r="E120" s="105"/>
      <c r="F120" s="107">
        <f t="shared" ref="F120:F122" si="12">D120*E120</f>
        <v>0</v>
      </c>
    </row>
    <row r="121" spans="2:6" x14ac:dyDescent="0.25">
      <c r="B121" s="88" t="s">
        <v>1202</v>
      </c>
      <c r="C121" s="91" t="s">
        <v>1204</v>
      </c>
      <c r="D121" s="114"/>
      <c r="E121" s="105"/>
      <c r="F121" s="107">
        <f t="shared" si="12"/>
        <v>0</v>
      </c>
    </row>
    <row r="122" spans="2:6" x14ac:dyDescent="0.25">
      <c r="B122" s="88" t="s">
        <v>1203</v>
      </c>
      <c r="C122" s="91" t="s">
        <v>1204</v>
      </c>
      <c r="D122" s="114"/>
      <c r="E122" s="105"/>
      <c r="F122" s="107">
        <f t="shared" si="12"/>
        <v>0</v>
      </c>
    </row>
    <row r="123" spans="2:6" x14ac:dyDescent="0.25">
      <c r="B123" s="110"/>
      <c r="C123" s="110"/>
      <c r="D123" s="110"/>
      <c r="E123" s="110"/>
      <c r="F123" s="110"/>
    </row>
    <row r="124" spans="2:6" ht="18.75" x14ac:dyDescent="0.3">
      <c r="B124" s="137" t="str">
        <f>'13. Portas'!B2</f>
        <v>Portas</v>
      </c>
      <c r="C124" s="137"/>
      <c r="D124" s="137"/>
      <c r="E124" s="137"/>
      <c r="F124" s="137"/>
    </row>
    <row r="125" spans="2:6" x14ac:dyDescent="0.25">
      <c r="B125" s="108" t="s">
        <v>1199</v>
      </c>
      <c r="C125" s="109" t="s">
        <v>46</v>
      </c>
      <c r="D125" s="109" t="s">
        <v>6</v>
      </c>
      <c r="E125" s="28" t="s">
        <v>1101</v>
      </c>
      <c r="F125" s="28" t="s">
        <v>1102</v>
      </c>
    </row>
    <row r="126" spans="2:6" x14ac:dyDescent="0.25">
      <c r="B126" s="88" t="s">
        <v>1205</v>
      </c>
      <c r="C126" s="91" t="s">
        <v>1204</v>
      </c>
      <c r="D126" s="114"/>
      <c r="E126" s="105"/>
      <c r="F126" s="107">
        <f>D126*E126</f>
        <v>0</v>
      </c>
    </row>
    <row r="127" spans="2:6" x14ac:dyDescent="0.25">
      <c r="B127" s="88" t="s">
        <v>1200</v>
      </c>
      <c r="C127" s="91" t="s">
        <v>1204</v>
      </c>
      <c r="D127" s="114"/>
      <c r="E127" s="105"/>
      <c r="F127" s="107">
        <f>D127*E127</f>
        <v>0</v>
      </c>
    </row>
    <row r="128" spans="2:6" x14ac:dyDescent="0.25">
      <c r="B128" s="88" t="s">
        <v>1206</v>
      </c>
      <c r="C128" s="91" t="s">
        <v>1204</v>
      </c>
      <c r="D128" s="114"/>
      <c r="E128" s="105"/>
      <c r="F128" s="107">
        <f>D128*E128</f>
        <v>0</v>
      </c>
    </row>
    <row r="129" spans="2:6" x14ac:dyDescent="0.25">
      <c r="B129" s="88" t="s">
        <v>1201</v>
      </c>
      <c r="C129" s="91" t="s">
        <v>1204</v>
      </c>
      <c r="D129" s="114"/>
      <c r="E129" s="105"/>
      <c r="F129" s="107">
        <f t="shared" ref="F129:F131" si="13">D129*E129</f>
        <v>0</v>
      </c>
    </row>
    <row r="130" spans="2:6" x14ac:dyDescent="0.25">
      <c r="B130" s="88" t="s">
        <v>1202</v>
      </c>
      <c r="C130" s="91" t="s">
        <v>1204</v>
      </c>
      <c r="D130" s="114"/>
      <c r="E130" s="105"/>
      <c r="F130" s="107">
        <f t="shared" si="13"/>
        <v>0</v>
      </c>
    </row>
    <row r="131" spans="2:6" x14ac:dyDescent="0.25">
      <c r="B131" s="88" t="s">
        <v>1203</v>
      </c>
      <c r="C131" s="91" t="s">
        <v>1204</v>
      </c>
      <c r="D131" s="114"/>
      <c r="E131" s="105"/>
      <c r="F131" s="107">
        <f t="shared" si="13"/>
        <v>0</v>
      </c>
    </row>
    <row r="132" spans="2:6" x14ac:dyDescent="0.25">
      <c r="B132" s="110"/>
      <c r="C132" s="110"/>
      <c r="D132" s="110"/>
      <c r="E132" s="110"/>
      <c r="F132" s="110"/>
    </row>
    <row r="133" spans="2:6" ht="18.75" x14ac:dyDescent="0.3">
      <c r="B133" s="137" t="str">
        <f>'14. Janelas'!B2</f>
        <v>Janelas</v>
      </c>
      <c r="C133" s="137"/>
      <c r="D133" s="137"/>
      <c r="E133" s="137"/>
      <c r="F133" s="137"/>
    </row>
    <row r="134" spans="2:6" x14ac:dyDescent="0.25">
      <c r="B134" s="108" t="s">
        <v>1199</v>
      </c>
      <c r="C134" s="109" t="s">
        <v>46</v>
      </c>
      <c r="D134" s="109" t="s">
        <v>6</v>
      </c>
      <c r="E134" s="28" t="s">
        <v>1101</v>
      </c>
      <c r="F134" s="28" t="s">
        <v>1102</v>
      </c>
    </row>
    <row r="135" spans="2:6" x14ac:dyDescent="0.25">
      <c r="B135" s="88" t="s">
        <v>1205</v>
      </c>
      <c r="C135" s="91" t="s">
        <v>1204</v>
      </c>
      <c r="D135" s="114"/>
      <c r="E135" s="105"/>
      <c r="F135" s="107">
        <f>D135*E135</f>
        <v>0</v>
      </c>
    </row>
    <row r="136" spans="2:6" x14ac:dyDescent="0.25">
      <c r="B136" s="88" t="s">
        <v>1200</v>
      </c>
      <c r="C136" s="91" t="s">
        <v>1204</v>
      </c>
      <c r="D136" s="114"/>
      <c r="E136" s="105"/>
      <c r="F136" s="107">
        <f>D136*E136</f>
        <v>0</v>
      </c>
    </row>
    <row r="137" spans="2:6" x14ac:dyDescent="0.25">
      <c r="B137" s="88" t="s">
        <v>1206</v>
      </c>
      <c r="C137" s="91" t="s">
        <v>1204</v>
      </c>
      <c r="D137" s="114"/>
      <c r="E137" s="105"/>
      <c r="F137" s="107">
        <f>D137*E137</f>
        <v>0</v>
      </c>
    </row>
    <row r="138" spans="2:6" x14ac:dyDescent="0.25">
      <c r="B138" s="88" t="s">
        <v>1201</v>
      </c>
      <c r="C138" s="91" t="s">
        <v>1204</v>
      </c>
      <c r="D138" s="114"/>
      <c r="E138" s="105"/>
      <c r="F138" s="107">
        <f t="shared" ref="F138:F140" si="14">D138*E138</f>
        <v>0</v>
      </c>
    </row>
    <row r="139" spans="2:6" x14ac:dyDescent="0.25">
      <c r="B139" s="88" t="s">
        <v>1202</v>
      </c>
      <c r="C139" s="91" t="s">
        <v>1204</v>
      </c>
      <c r="D139" s="114"/>
      <c r="E139" s="105"/>
      <c r="F139" s="107">
        <f t="shared" si="14"/>
        <v>0</v>
      </c>
    </row>
    <row r="140" spans="2:6" x14ac:dyDescent="0.25">
      <c r="B140" s="88" t="s">
        <v>1203</v>
      </c>
      <c r="C140" s="91" t="s">
        <v>1204</v>
      </c>
      <c r="D140" s="114"/>
      <c r="E140" s="105"/>
      <c r="F140" s="107">
        <f t="shared" si="14"/>
        <v>0</v>
      </c>
    </row>
    <row r="141" spans="2:6" x14ac:dyDescent="0.25">
      <c r="B141" s="110"/>
      <c r="C141" s="110"/>
      <c r="D141" s="110"/>
      <c r="E141" s="110"/>
      <c r="F141" s="110"/>
    </row>
    <row r="142" spans="2:6" ht="18.75" x14ac:dyDescent="0.3">
      <c r="B142" s="137" t="str">
        <f>'15. Telhado exposto'!B2:D2</f>
        <v>Telhado exposto</v>
      </c>
      <c r="C142" s="137"/>
      <c r="D142" s="137"/>
      <c r="E142" s="137"/>
      <c r="F142" s="137"/>
    </row>
    <row r="143" spans="2:6" x14ac:dyDescent="0.25">
      <c r="B143" s="108" t="s">
        <v>1199</v>
      </c>
      <c r="C143" s="109" t="s">
        <v>46</v>
      </c>
      <c r="D143" s="109" t="s">
        <v>6</v>
      </c>
      <c r="E143" s="28" t="s">
        <v>1101</v>
      </c>
      <c r="F143" s="28" t="s">
        <v>1102</v>
      </c>
    </row>
    <row r="144" spans="2:6" x14ac:dyDescent="0.25">
      <c r="B144" s="88" t="s">
        <v>1205</v>
      </c>
      <c r="C144" s="91" t="s">
        <v>1204</v>
      </c>
      <c r="D144" s="114"/>
      <c r="E144" s="105"/>
      <c r="F144" s="107">
        <f>D144*E144</f>
        <v>0</v>
      </c>
    </row>
    <row r="145" spans="2:6" x14ac:dyDescent="0.25">
      <c r="B145" s="88" t="s">
        <v>1200</v>
      </c>
      <c r="C145" s="91" t="s">
        <v>1204</v>
      </c>
      <c r="D145" s="114"/>
      <c r="E145" s="105"/>
      <c r="F145" s="107">
        <f>D145*E145</f>
        <v>0</v>
      </c>
    </row>
    <row r="146" spans="2:6" x14ac:dyDescent="0.25">
      <c r="B146" s="88" t="s">
        <v>1206</v>
      </c>
      <c r="C146" s="91" t="s">
        <v>1204</v>
      </c>
      <c r="D146" s="114"/>
      <c r="E146" s="105"/>
      <c r="F146" s="107">
        <f>D146*E146</f>
        <v>0</v>
      </c>
    </row>
    <row r="147" spans="2:6" x14ac:dyDescent="0.25">
      <c r="B147" s="88" t="s">
        <v>1201</v>
      </c>
      <c r="C147" s="91" t="s">
        <v>1204</v>
      </c>
      <c r="D147" s="114"/>
      <c r="E147" s="105"/>
      <c r="F147" s="107">
        <f t="shared" ref="F147:F149" si="15">D147*E147</f>
        <v>0</v>
      </c>
    </row>
    <row r="148" spans="2:6" x14ac:dyDescent="0.25">
      <c r="B148" s="88" t="s">
        <v>1202</v>
      </c>
      <c r="C148" s="91" t="s">
        <v>1204</v>
      </c>
      <c r="D148" s="114"/>
      <c r="E148" s="105"/>
      <c r="F148" s="107">
        <f t="shared" si="15"/>
        <v>0</v>
      </c>
    </row>
    <row r="149" spans="2:6" x14ac:dyDescent="0.25">
      <c r="B149" s="88" t="s">
        <v>1203</v>
      </c>
      <c r="C149" s="91" t="s">
        <v>1204</v>
      </c>
      <c r="D149" s="114"/>
      <c r="E149" s="105"/>
      <c r="F149" s="107">
        <f t="shared" si="15"/>
        <v>0</v>
      </c>
    </row>
    <row r="150" spans="2:6" x14ac:dyDescent="0.25">
      <c r="B150" s="110"/>
      <c r="C150" s="110"/>
      <c r="D150" s="110"/>
      <c r="E150" s="110"/>
      <c r="F150" s="110"/>
    </row>
    <row r="151" spans="2:6" ht="18.75" x14ac:dyDescent="0.3">
      <c r="B151" s="137" t="str">
        <f>'16. Pintura'!B2</f>
        <v>Pintura</v>
      </c>
      <c r="C151" s="137"/>
      <c r="D151" s="137"/>
      <c r="E151" s="137"/>
      <c r="F151" s="137"/>
    </row>
    <row r="152" spans="2:6" x14ac:dyDescent="0.25">
      <c r="B152" s="108" t="s">
        <v>1199</v>
      </c>
      <c r="C152" s="109" t="s">
        <v>46</v>
      </c>
      <c r="D152" s="109" t="s">
        <v>6</v>
      </c>
      <c r="E152" s="28" t="s">
        <v>1101</v>
      </c>
      <c r="F152" s="28" t="s">
        <v>1102</v>
      </c>
    </row>
    <row r="153" spans="2:6" x14ac:dyDescent="0.25">
      <c r="B153" s="88" t="s">
        <v>1205</v>
      </c>
      <c r="C153" s="91" t="s">
        <v>1204</v>
      </c>
      <c r="D153" s="114"/>
      <c r="E153" s="105"/>
      <c r="F153" s="107">
        <f>D153*E153</f>
        <v>0</v>
      </c>
    </row>
    <row r="154" spans="2:6" x14ac:dyDescent="0.25">
      <c r="B154" s="88" t="s">
        <v>1200</v>
      </c>
      <c r="C154" s="91" t="s">
        <v>1204</v>
      </c>
      <c r="D154" s="114"/>
      <c r="E154" s="105"/>
      <c r="F154" s="107">
        <f>D154*E154</f>
        <v>0</v>
      </c>
    </row>
    <row r="155" spans="2:6" x14ac:dyDescent="0.25">
      <c r="B155" s="88" t="s">
        <v>1206</v>
      </c>
      <c r="C155" s="91" t="s">
        <v>1204</v>
      </c>
      <c r="D155" s="114"/>
      <c r="E155" s="105"/>
      <c r="F155" s="107">
        <f>D155*E155</f>
        <v>0</v>
      </c>
    </row>
    <row r="156" spans="2:6" x14ac:dyDescent="0.25">
      <c r="B156" s="88" t="s">
        <v>1201</v>
      </c>
      <c r="C156" s="91" t="s">
        <v>1204</v>
      </c>
      <c r="D156" s="114"/>
      <c r="E156" s="105"/>
      <c r="F156" s="107">
        <f t="shared" ref="F156:F158" si="16">D156*E156</f>
        <v>0</v>
      </c>
    </row>
    <row r="157" spans="2:6" x14ac:dyDescent="0.25">
      <c r="B157" s="88" t="s">
        <v>1202</v>
      </c>
      <c r="C157" s="91" t="s">
        <v>1204</v>
      </c>
      <c r="D157" s="114"/>
      <c r="E157" s="105"/>
      <c r="F157" s="107">
        <f t="shared" si="16"/>
        <v>0</v>
      </c>
    </row>
    <row r="158" spans="2:6" x14ac:dyDescent="0.25">
      <c r="B158" s="88" t="s">
        <v>1203</v>
      </c>
      <c r="C158" s="91" t="s">
        <v>1204</v>
      </c>
      <c r="D158" s="114"/>
      <c r="E158" s="105"/>
      <c r="F158" s="107">
        <f t="shared" si="16"/>
        <v>0</v>
      </c>
    </row>
    <row r="159" spans="2:6" x14ac:dyDescent="0.25">
      <c r="B159" s="110"/>
      <c r="C159" s="110"/>
      <c r="D159" s="110"/>
      <c r="E159" s="110"/>
      <c r="F159" s="110"/>
    </row>
    <row r="160" spans="2:6" ht="18.75" x14ac:dyDescent="0.3">
      <c r="B160" s="137" t="str">
        <f>'17. Pisos'!B2</f>
        <v>Pisos</v>
      </c>
      <c r="C160" s="137"/>
      <c r="D160" s="137"/>
      <c r="E160" s="137"/>
      <c r="F160" s="137"/>
    </row>
    <row r="161" spans="2:6" x14ac:dyDescent="0.25">
      <c r="B161" s="108" t="s">
        <v>1199</v>
      </c>
      <c r="C161" s="109" t="s">
        <v>46</v>
      </c>
      <c r="D161" s="109" t="s">
        <v>6</v>
      </c>
      <c r="E161" s="28" t="s">
        <v>1101</v>
      </c>
      <c r="F161" s="28" t="s">
        <v>1102</v>
      </c>
    </row>
    <row r="162" spans="2:6" x14ac:dyDescent="0.25">
      <c r="B162" s="88" t="s">
        <v>1205</v>
      </c>
      <c r="C162" s="91" t="s">
        <v>1204</v>
      </c>
      <c r="D162" s="114"/>
      <c r="E162" s="105"/>
      <c r="F162" s="107">
        <f>D162*E162</f>
        <v>0</v>
      </c>
    </row>
    <row r="163" spans="2:6" x14ac:dyDescent="0.25">
      <c r="B163" s="88" t="s">
        <v>1200</v>
      </c>
      <c r="C163" s="91" t="s">
        <v>1204</v>
      </c>
      <c r="D163" s="114"/>
      <c r="E163" s="105"/>
      <c r="F163" s="107">
        <f>D163*E163</f>
        <v>0</v>
      </c>
    </row>
    <row r="164" spans="2:6" x14ac:dyDescent="0.25">
      <c r="B164" s="88" t="s">
        <v>1206</v>
      </c>
      <c r="C164" s="91" t="s">
        <v>1204</v>
      </c>
      <c r="D164" s="114"/>
      <c r="E164" s="105"/>
      <c r="F164" s="107">
        <f>D164*E164</f>
        <v>0</v>
      </c>
    </row>
    <row r="165" spans="2:6" x14ac:dyDescent="0.25">
      <c r="B165" s="88" t="s">
        <v>1201</v>
      </c>
      <c r="C165" s="91" t="s">
        <v>1204</v>
      </c>
      <c r="D165" s="114"/>
      <c r="E165" s="105"/>
      <c r="F165" s="107">
        <f t="shared" ref="F165:F167" si="17">D165*E165</f>
        <v>0</v>
      </c>
    </row>
    <row r="166" spans="2:6" x14ac:dyDescent="0.25">
      <c r="B166" s="88" t="s">
        <v>1202</v>
      </c>
      <c r="C166" s="91" t="s">
        <v>1204</v>
      </c>
      <c r="D166" s="114"/>
      <c r="E166" s="105"/>
      <c r="F166" s="107">
        <f t="shared" si="17"/>
        <v>0</v>
      </c>
    </row>
    <row r="167" spans="2:6" x14ac:dyDescent="0.25">
      <c r="B167" s="88" t="s">
        <v>1203</v>
      </c>
      <c r="C167" s="91" t="s">
        <v>1204</v>
      </c>
      <c r="D167" s="114"/>
      <c r="E167" s="105"/>
      <c r="F167" s="107">
        <f t="shared" si="17"/>
        <v>0</v>
      </c>
    </row>
    <row r="168" spans="2:6" x14ac:dyDescent="0.25">
      <c r="B168" s="110"/>
      <c r="C168" s="110"/>
      <c r="D168" s="110"/>
      <c r="E168" s="110"/>
      <c r="F168" s="110"/>
    </row>
    <row r="169" spans="2:6" ht="18.75" x14ac:dyDescent="0.3">
      <c r="B169" s="137" t="str">
        <f>'18. Revestimentos'!B2</f>
        <v>Revestimentos</v>
      </c>
      <c r="C169" s="137"/>
      <c r="D169" s="137"/>
      <c r="E169" s="137"/>
      <c r="F169" s="137"/>
    </row>
    <row r="170" spans="2:6" x14ac:dyDescent="0.25">
      <c r="B170" s="108" t="s">
        <v>1199</v>
      </c>
      <c r="C170" s="109" t="s">
        <v>46</v>
      </c>
      <c r="D170" s="109" t="s">
        <v>6</v>
      </c>
      <c r="E170" s="28" t="s">
        <v>1101</v>
      </c>
      <c r="F170" s="28" t="s">
        <v>1102</v>
      </c>
    </row>
    <row r="171" spans="2:6" x14ac:dyDescent="0.25">
      <c r="B171" s="88" t="s">
        <v>1205</v>
      </c>
      <c r="C171" s="91" t="s">
        <v>1204</v>
      </c>
      <c r="D171" s="114"/>
      <c r="E171" s="105"/>
      <c r="F171" s="107">
        <f>D171*E171</f>
        <v>0</v>
      </c>
    </row>
    <row r="172" spans="2:6" x14ac:dyDescent="0.25">
      <c r="B172" s="88" t="s">
        <v>1200</v>
      </c>
      <c r="C172" s="91" t="s">
        <v>1204</v>
      </c>
      <c r="D172" s="114"/>
      <c r="E172" s="105"/>
      <c r="F172" s="107">
        <f>D172*E172</f>
        <v>0</v>
      </c>
    </row>
    <row r="173" spans="2:6" x14ac:dyDescent="0.25">
      <c r="B173" s="88" t="s">
        <v>1206</v>
      </c>
      <c r="C173" s="91" t="s">
        <v>1204</v>
      </c>
      <c r="D173" s="114"/>
      <c r="E173" s="105"/>
      <c r="F173" s="107">
        <f>D173*E173</f>
        <v>0</v>
      </c>
    </row>
    <row r="174" spans="2:6" x14ac:dyDescent="0.25">
      <c r="B174" s="88" t="s">
        <v>1201</v>
      </c>
      <c r="C174" s="91" t="s">
        <v>1204</v>
      </c>
      <c r="D174" s="114"/>
      <c r="E174" s="105"/>
      <c r="F174" s="107">
        <f t="shared" ref="F174:F176" si="18">D174*E174</f>
        <v>0</v>
      </c>
    </row>
    <row r="175" spans="2:6" x14ac:dyDescent="0.25">
      <c r="B175" s="88" t="s">
        <v>1202</v>
      </c>
      <c r="C175" s="91" t="s">
        <v>1204</v>
      </c>
      <c r="D175" s="114"/>
      <c r="E175" s="105"/>
      <c r="F175" s="107">
        <f t="shared" si="18"/>
        <v>0</v>
      </c>
    </row>
    <row r="176" spans="2:6" x14ac:dyDescent="0.25">
      <c r="B176" s="88" t="s">
        <v>1203</v>
      </c>
      <c r="C176" s="91" t="s">
        <v>1204</v>
      </c>
      <c r="D176" s="114"/>
      <c r="E176" s="105"/>
      <c r="F176" s="107">
        <f t="shared" si="18"/>
        <v>0</v>
      </c>
    </row>
    <row r="177" spans="2:6" x14ac:dyDescent="0.25">
      <c r="B177" s="110"/>
      <c r="C177" s="110"/>
      <c r="D177" s="110"/>
      <c r="E177" s="110"/>
      <c r="F177" s="110"/>
    </row>
    <row r="178" spans="2:6" ht="18.75" x14ac:dyDescent="0.3">
      <c r="B178" s="137" t="str">
        <f>'19. Muro com Tijolos'!B2:D2</f>
        <v>Muro com Tijolos Cerâmicos</v>
      </c>
      <c r="C178" s="137"/>
      <c r="D178" s="137"/>
      <c r="E178" s="137"/>
      <c r="F178" s="137"/>
    </row>
    <row r="179" spans="2:6" x14ac:dyDescent="0.25">
      <c r="B179" s="108" t="s">
        <v>1199</v>
      </c>
      <c r="C179" s="109" t="s">
        <v>46</v>
      </c>
      <c r="D179" s="109" t="s">
        <v>6</v>
      </c>
      <c r="E179" s="28" t="s">
        <v>1101</v>
      </c>
      <c r="F179" s="28" t="s">
        <v>1102</v>
      </c>
    </row>
    <row r="180" spans="2:6" x14ac:dyDescent="0.25">
      <c r="B180" s="88" t="s">
        <v>1205</v>
      </c>
      <c r="C180" s="91" t="s">
        <v>1204</v>
      </c>
      <c r="D180" s="114"/>
      <c r="E180" s="105"/>
      <c r="F180" s="107">
        <f>D180*E180</f>
        <v>0</v>
      </c>
    </row>
    <row r="181" spans="2:6" x14ac:dyDescent="0.25">
      <c r="B181" s="88" t="s">
        <v>1200</v>
      </c>
      <c r="C181" s="91" t="s">
        <v>1204</v>
      </c>
      <c r="D181" s="114"/>
      <c r="E181" s="105"/>
      <c r="F181" s="107">
        <f>D181*E181</f>
        <v>0</v>
      </c>
    </row>
    <row r="182" spans="2:6" x14ac:dyDescent="0.25">
      <c r="B182" s="88" t="s">
        <v>1206</v>
      </c>
      <c r="C182" s="91" t="s">
        <v>1204</v>
      </c>
      <c r="D182" s="114"/>
      <c r="E182" s="105"/>
      <c r="F182" s="107">
        <f>D182*E182</f>
        <v>0</v>
      </c>
    </row>
    <row r="183" spans="2:6" x14ac:dyDescent="0.25">
      <c r="B183" s="88" t="s">
        <v>1201</v>
      </c>
      <c r="C183" s="91" t="s">
        <v>1204</v>
      </c>
      <c r="D183" s="114"/>
      <c r="E183" s="105"/>
      <c r="F183" s="107">
        <f t="shared" ref="F183:F185" si="19">D183*E183</f>
        <v>0</v>
      </c>
    </row>
    <row r="184" spans="2:6" x14ac:dyDescent="0.25">
      <c r="B184" s="88" t="s">
        <v>1202</v>
      </c>
      <c r="C184" s="91" t="s">
        <v>1204</v>
      </c>
      <c r="D184" s="114"/>
      <c r="E184" s="105"/>
      <c r="F184" s="107">
        <f t="shared" si="19"/>
        <v>0</v>
      </c>
    </row>
    <row r="185" spans="2:6" x14ac:dyDescent="0.25">
      <c r="B185" s="88" t="s">
        <v>1203</v>
      </c>
      <c r="C185" s="91" t="s">
        <v>1204</v>
      </c>
      <c r="D185" s="114"/>
      <c r="E185" s="105"/>
      <c r="F185" s="107">
        <f t="shared" si="19"/>
        <v>0</v>
      </c>
    </row>
    <row r="186" spans="2:6" x14ac:dyDescent="0.25">
      <c r="B186" s="110"/>
      <c r="C186" s="110"/>
      <c r="D186" s="110"/>
      <c r="E186" s="110"/>
      <c r="F186" s="110"/>
    </row>
    <row r="187" spans="2:6" ht="18.75" x14ac:dyDescent="0.3">
      <c r="B187" s="137" t="str">
        <f>'20. Muro com Blocos'!B2:D2</f>
        <v>Muro com Blocos de Concreto</v>
      </c>
      <c r="C187" s="137"/>
      <c r="D187" s="137"/>
      <c r="E187" s="137"/>
      <c r="F187" s="137"/>
    </row>
    <row r="188" spans="2:6" x14ac:dyDescent="0.25">
      <c r="B188" s="108" t="s">
        <v>1199</v>
      </c>
      <c r="C188" s="109" t="s">
        <v>46</v>
      </c>
      <c r="D188" s="109" t="s">
        <v>6</v>
      </c>
      <c r="E188" s="28" t="s">
        <v>1101</v>
      </c>
      <c r="F188" s="28" t="s">
        <v>1102</v>
      </c>
    </row>
    <row r="189" spans="2:6" x14ac:dyDescent="0.25">
      <c r="B189" s="88" t="s">
        <v>1205</v>
      </c>
      <c r="C189" s="91" t="s">
        <v>1204</v>
      </c>
      <c r="D189" s="114"/>
      <c r="E189" s="105"/>
      <c r="F189" s="107">
        <f>D189*E189</f>
        <v>0</v>
      </c>
    </row>
    <row r="190" spans="2:6" x14ac:dyDescent="0.25">
      <c r="B190" s="88" t="s">
        <v>1200</v>
      </c>
      <c r="C190" s="91" t="s">
        <v>1204</v>
      </c>
      <c r="D190" s="114"/>
      <c r="E190" s="105"/>
      <c r="F190" s="107">
        <f>D190*E190</f>
        <v>0</v>
      </c>
    </row>
    <row r="191" spans="2:6" x14ac:dyDescent="0.25">
      <c r="B191" s="88" t="s">
        <v>1206</v>
      </c>
      <c r="C191" s="91" t="s">
        <v>1204</v>
      </c>
      <c r="D191" s="114"/>
      <c r="E191" s="105"/>
      <c r="F191" s="107">
        <f>D191*E191</f>
        <v>0</v>
      </c>
    </row>
    <row r="192" spans="2:6" x14ac:dyDescent="0.25">
      <c r="B192" s="88" t="s">
        <v>1201</v>
      </c>
      <c r="C192" s="91" t="s">
        <v>1204</v>
      </c>
      <c r="D192" s="114"/>
      <c r="E192" s="105"/>
      <c r="F192" s="107">
        <f t="shared" ref="F192:F194" si="20">D192*E192</f>
        <v>0</v>
      </c>
    </row>
    <row r="193" spans="2:6" x14ac:dyDescent="0.25">
      <c r="B193" s="88" t="s">
        <v>1202</v>
      </c>
      <c r="C193" s="91" t="s">
        <v>1204</v>
      </c>
      <c r="D193" s="114"/>
      <c r="E193" s="105"/>
      <c r="F193" s="107">
        <f t="shared" si="20"/>
        <v>0</v>
      </c>
    </row>
    <row r="194" spans="2:6" x14ac:dyDescent="0.25">
      <c r="B194" s="88" t="s">
        <v>1203</v>
      </c>
      <c r="C194" s="91" t="s">
        <v>1204</v>
      </c>
      <c r="D194" s="114"/>
      <c r="E194" s="105"/>
      <c r="F194" s="107">
        <f t="shared" si="20"/>
        <v>0</v>
      </c>
    </row>
    <row r="195" spans="2:6" x14ac:dyDescent="0.25">
      <c r="B195" s="110"/>
      <c r="C195" s="110"/>
      <c r="D195" s="110"/>
      <c r="E195" s="110"/>
      <c r="F195" s="110"/>
    </row>
    <row r="196" spans="2:6" ht="18.75" x14ac:dyDescent="0.3">
      <c r="B196" s="137" t="str">
        <f>'21. Calçada'!B2</f>
        <v>Calçada</v>
      </c>
      <c r="C196" s="137"/>
      <c r="D196" s="137"/>
      <c r="E196" s="137"/>
      <c r="F196" s="137"/>
    </row>
    <row r="197" spans="2:6" x14ac:dyDescent="0.25">
      <c r="B197" s="108" t="s">
        <v>1199</v>
      </c>
      <c r="C197" s="109" t="s">
        <v>46</v>
      </c>
      <c r="D197" s="109" t="s">
        <v>6</v>
      </c>
      <c r="E197" s="28" t="s">
        <v>1101</v>
      </c>
      <c r="F197" s="28" t="s">
        <v>1102</v>
      </c>
    </row>
    <row r="198" spans="2:6" x14ac:dyDescent="0.25">
      <c r="B198" s="88" t="s">
        <v>1205</v>
      </c>
      <c r="C198" s="91" t="s">
        <v>1204</v>
      </c>
      <c r="D198" s="114"/>
      <c r="E198" s="105"/>
      <c r="F198" s="107">
        <f>D198*E198</f>
        <v>0</v>
      </c>
    </row>
    <row r="199" spans="2:6" x14ac:dyDescent="0.25">
      <c r="B199" s="88" t="s">
        <v>1200</v>
      </c>
      <c r="C199" s="91" t="s">
        <v>1204</v>
      </c>
      <c r="D199" s="114"/>
      <c r="E199" s="105"/>
      <c r="F199" s="107">
        <f>D199*E199</f>
        <v>0</v>
      </c>
    </row>
    <row r="200" spans="2:6" x14ac:dyDescent="0.25">
      <c r="B200" s="88" t="s">
        <v>1206</v>
      </c>
      <c r="C200" s="91" t="s">
        <v>1204</v>
      </c>
      <c r="D200" s="114"/>
      <c r="E200" s="105"/>
      <c r="F200" s="107">
        <f>D200*E200</f>
        <v>0</v>
      </c>
    </row>
    <row r="201" spans="2:6" x14ac:dyDescent="0.25">
      <c r="B201" s="88" t="s">
        <v>1201</v>
      </c>
      <c r="C201" s="91" t="s">
        <v>1204</v>
      </c>
      <c r="D201" s="114"/>
      <c r="E201" s="105"/>
      <c r="F201" s="107">
        <f t="shared" ref="F201:F203" si="21">D201*E201</f>
        <v>0</v>
      </c>
    </row>
    <row r="202" spans="2:6" x14ac:dyDescent="0.25">
      <c r="B202" s="88" t="s">
        <v>1202</v>
      </c>
      <c r="C202" s="91" t="s">
        <v>1204</v>
      </c>
      <c r="D202" s="114"/>
      <c r="E202" s="105"/>
      <c r="F202" s="107">
        <f t="shared" si="21"/>
        <v>0</v>
      </c>
    </row>
    <row r="203" spans="2:6" x14ac:dyDescent="0.25">
      <c r="B203" s="88" t="s">
        <v>1203</v>
      </c>
      <c r="C203" s="91" t="s">
        <v>1204</v>
      </c>
      <c r="D203" s="114"/>
      <c r="E203" s="105"/>
      <c r="F203" s="107">
        <f t="shared" si="21"/>
        <v>0</v>
      </c>
    </row>
  </sheetData>
  <mergeCells count="23">
    <mergeCell ref="B52:F52"/>
    <mergeCell ref="B43:F43"/>
    <mergeCell ref="B34:F34"/>
    <mergeCell ref="B25:F25"/>
    <mergeCell ref="B5:F5"/>
    <mergeCell ref="B7:F7"/>
    <mergeCell ref="B16:F16"/>
    <mergeCell ref="B106:F106"/>
    <mergeCell ref="B88:F88"/>
    <mergeCell ref="B97:F97"/>
    <mergeCell ref="B79:F79"/>
    <mergeCell ref="B61:F61"/>
    <mergeCell ref="B70:F70"/>
    <mergeCell ref="B133:F133"/>
    <mergeCell ref="B142:F142"/>
    <mergeCell ref="B151:F151"/>
    <mergeCell ref="B115:F115"/>
    <mergeCell ref="B124:F124"/>
    <mergeCell ref="B196:F196"/>
    <mergeCell ref="B187:F187"/>
    <mergeCell ref="B178:F178"/>
    <mergeCell ref="B169:F169"/>
    <mergeCell ref="B160:F16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J852"/>
  <sheetViews>
    <sheetView showGridLines="0" zoomScale="130" zoomScaleNormal="130" workbookViewId="0"/>
  </sheetViews>
  <sheetFormatPr defaultColWidth="8.85546875" defaultRowHeight="15" x14ac:dyDescent="0.25"/>
  <cols>
    <col min="1" max="1" width="2" style="7" customWidth="1"/>
    <col min="2" max="2" width="51.85546875" style="7" bestFit="1" customWidth="1"/>
    <col min="3" max="3" width="18" style="7" customWidth="1"/>
    <col min="4" max="4" width="12.5703125" style="32" customWidth="1"/>
    <col min="5" max="6" width="12.5703125" style="7" customWidth="1"/>
    <col min="7" max="16384" width="8.85546875" style="7"/>
  </cols>
  <sheetData>
    <row r="4" spans="1:10" ht="15.75" thickBot="1" x14ac:dyDescent="0.3"/>
    <row r="5" spans="1:10" ht="21.75" thickBot="1" x14ac:dyDescent="0.4">
      <c r="B5" s="129" t="s">
        <v>537</v>
      </c>
      <c r="C5" s="130"/>
      <c r="D5" s="130"/>
      <c r="E5" s="130"/>
      <c r="F5" s="131"/>
    </row>
    <row r="7" spans="1:10" s="71" customFormat="1" ht="18.75" x14ac:dyDescent="0.3">
      <c r="B7" s="135" t="str">
        <f>'1. Gabarito da obra'!B2:D2</f>
        <v>Gabarito da obra</v>
      </c>
      <c r="C7" s="135"/>
      <c r="D7" s="135"/>
      <c r="E7" s="135"/>
      <c r="F7" s="135"/>
    </row>
    <row r="8" spans="1:10" s="69" customFormat="1" ht="15.75" x14ac:dyDescent="0.25">
      <c r="A8" s="68"/>
      <c r="B8" s="136" t="str">
        <f>'1. Gabarito da obra'!B6:D6</f>
        <v>Madeiramento do gabarito da obra</v>
      </c>
      <c r="C8" s="136"/>
      <c r="D8" s="136"/>
      <c r="E8" s="136"/>
      <c r="F8" s="136"/>
      <c r="G8" s="68"/>
      <c r="H8" s="68"/>
      <c r="J8" s="70"/>
    </row>
    <row r="9" spans="1:10" x14ac:dyDescent="0.25">
      <c r="B9" s="108" t="s">
        <v>5</v>
      </c>
      <c r="C9" s="109" t="s">
        <v>46</v>
      </c>
      <c r="D9" s="119" t="s">
        <v>6</v>
      </c>
      <c r="E9" s="28" t="s">
        <v>1101</v>
      </c>
      <c r="F9" s="28" t="s">
        <v>1102</v>
      </c>
    </row>
    <row r="10" spans="1:10" x14ac:dyDescent="0.25">
      <c r="B10" s="88" t="str">
        <f>'Lista por etapa'!B10</f>
        <v>Caibro madeira 6,5 x 6,5 cm bruto</v>
      </c>
      <c r="C10" s="91" t="str">
        <f>'Lista por etapa'!C10</f>
        <v>Peça 3,0 m</v>
      </c>
      <c r="D10" s="87">
        <f>'Lista por etapa'!D10</f>
        <v>21.525000000000002</v>
      </c>
      <c r="E10" s="107">
        <f>IFERROR(VLOOKUP(B10,'Lista por categoria'!B:F,4,0),0)</f>
        <v>0</v>
      </c>
      <c r="F10" s="107">
        <f>D10*E10</f>
        <v>0</v>
      </c>
    </row>
    <row r="11" spans="1:10" x14ac:dyDescent="0.25">
      <c r="B11" s="88" t="str">
        <f>'Lista por etapa'!B11</f>
        <v>Sarrafo madeira 2,3 x 10 cm bruto</v>
      </c>
      <c r="C11" s="91" t="str">
        <f>'Lista por etapa'!C11</f>
        <v>Peça 3,0 m</v>
      </c>
      <c r="D11" s="87">
        <f>'Lista por etapa'!D11</f>
        <v>28.700000000000003</v>
      </c>
      <c r="E11" s="107">
        <f>IFERROR(VLOOKUP(B11,'Lista por categoria'!B:F,4,0),0)</f>
        <v>0</v>
      </c>
      <c r="F11" s="107">
        <f t="shared" ref="F11:F14" si="0">D11*E11</f>
        <v>0</v>
      </c>
    </row>
    <row r="12" spans="1:10" x14ac:dyDescent="0.25">
      <c r="B12" s="88" t="str">
        <f>'Lista por etapa'!B12</f>
        <v>Prego aço polido c/ cabeça 17 x 27</v>
      </c>
      <c r="C12" s="91" t="str">
        <f>'Lista por etapa'!C12</f>
        <v>kg</v>
      </c>
      <c r="D12" s="87">
        <f>'Lista por etapa'!D12</f>
        <v>1.6400000000000001</v>
      </c>
      <c r="E12" s="107">
        <f>IFERROR(VLOOKUP(B12,'Lista por categoria'!B:F,4,0),0)</f>
        <v>0</v>
      </c>
      <c r="F12" s="107">
        <f t="shared" si="0"/>
        <v>0</v>
      </c>
    </row>
    <row r="13" spans="1:10" x14ac:dyDescent="0.25">
      <c r="B13" s="88" t="str">
        <f>'Lista por etapa'!B13</f>
        <v>Linha de pedreiro lisa, 100 m</v>
      </c>
      <c r="C13" s="91" t="str">
        <f>'Lista por etapa'!C13</f>
        <v>Carretel</v>
      </c>
      <c r="D13" s="87">
        <f>'Lista por etapa'!D13</f>
        <v>6.15</v>
      </c>
      <c r="E13" s="107">
        <f>IFERROR(VLOOKUP(B13,'Lista por categoria'!B:F,4,0),0)</f>
        <v>0</v>
      </c>
      <c r="F13" s="107">
        <f t="shared" si="0"/>
        <v>0</v>
      </c>
    </row>
    <row r="14" spans="1:10" x14ac:dyDescent="0.25">
      <c r="B14" s="88" t="str">
        <f>'Lista por etapa'!B14</f>
        <v>Cal hidratada para construção civil</v>
      </c>
      <c r="C14" s="91" t="str">
        <f>'Lista por etapa'!C14</f>
        <v>Saco 20 kg</v>
      </c>
      <c r="D14" s="87">
        <f>'Lista por etapa'!D14</f>
        <v>0.82000000000000006</v>
      </c>
      <c r="E14" s="107">
        <f>IFERROR(VLOOKUP(B14,'Lista por categoria'!B:F,4,0),0)</f>
        <v>0</v>
      </c>
      <c r="F14" s="107">
        <f t="shared" si="0"/>
        <v>0</v>
      </c>
    </row>
    <row r="15" spans="1:10" x14ac:dyDescent="0.25">
      <c r="B15" s="116" t="s">
        <v>1199</v>
      </c>
      <c r="C15" s="117" t="s">
        <v>46</v>
      </c>
      <c r="D15" s="120" t="s">
        <v>6</v>
      </c>
      <c r="E15" s="118" t="s">
        <v>1101</v>
      </c>
      <c r="F15" s="118" t="s">
        <v>1102</v>
      </c>
    </row>
    <row r="16" spans="1:10" x14ac:dyDescent="0.25">
      <c r="B16" s="88" t="s">
        <v>1205</v>
      </c>
      <c r="C16" s="91" t="s">
        <v>1204</v>
      </c>
      <c r="D16" s="87">
        <f>'Mão de Obra por etapa'!D9</f>
        <v>0</v>
      </c>
      <c r="E16" s="107">
        <f>'Mão de Obra por etapa'!E9</f>
        <v>0</v>
      </c>
      <c r="F16" s="107">
        <f>'Mão de Obra por etapa'!F9</f>
        <v>0</v>
      </c>
    </row>
    <row r="17" spans="2:6" x14ac:dyDescent="0.25">
      <c r="B17" s="88" t="s">
        <v>1200</v>
      </c>
      <c r="C17" s="91" t="s">
        <v>1204</v>
      </c>
      <c r="D17" s="87">
        <f>'Mão de Obra por etapa'!D10</f>
        <v>0</v>
      </c>
      <c r="E17" s="107">
        <f>'Mão de Obra por etapa'!E10</f>
        <v>0</v>
      </c>
      <c r="F17" s="107">
        <f>'Mão de Obra por etapa'!F10</f>
        <v>0</v>
      </c>
    </row>
    <row r="18" spans="2:6" x14ac:dyDescent="0.25">
      <c r="B18" s="88" t="s">
        <v>1206</v>
      </c>
      <c r="C18" s="91" t="s">
        <v>1204</v>
      </c>
      <c r="D18" s="87">
        <f>'Mão de Obra por etapa'!D11</f>
        <v>0</v>
      </c>
      <c r="E18" s="107">
        <f>'Mão de Obra por etapa'!E11</f>
        <v>0</v>
      </c>
      <c r="F18" s="107">
        <f>'Mão de Obra por etapa'!F11</f>
        <v>0</v>
      </c>
    </row>
    <row r="19" spans="2:6" x14ac:dyDescent="0.25">
      <c r="B19" s="88" t="s">
        <v>1201</v>
      </c>
      <c r="C19" s="91" t="s">
        <v>1204</v>
      </c>
      <c r="D19" s="87">
        <f>'Mão de Obra por etapa'!D12</f>
        <v>0</v>
      </c>
      <c r="E19" s="107">
        <f>'Mão de Obra por etapa'!E12</f>
        <v>0</v>
      </c>
      <c r="F19" s="107">
        <f>'Mão de Obra por etapa'!F12</f>
        <v>0</v>
      </c>
    </row>
    <row r="20" spans="2:6" x14ac:dyDescent="0.25">
      <c r="B20" s="88" t="s">
        <v>1202</v>
      </c>
      <c r="C20" s="91" t="s">
        <v>1204</v>
      </c>
      <c r="D20" s="87">
        <f>'Mão de Obra por etapa'!D13</f>
        <v>0</v>
      </c>
      <c r="E20" s="107">
        <f>'Mão de Obra por etapa'!E13</f>
        <v>0</v>
      </c>
      <c r="F20" s="107">
        <f>'Mão de Obra por etapa'!F13</f>
        <v>0</v>
      </c>
    </row>
    <row r="21" spans="2:6" x14ac:dyDescent="0.25">
      <c r="B21" s="88" t="s">
        <v>1203</v>
      </c>
      <c r="C21" s="91" t="s">
        <v>1204</v>
      </c>
      <c r="D21" s="87">
        <f>'Mão de Obra por etapa'!D14</f>
        <v>0</v>
      </c>
      <c r="E21" s="107">
        <f>'Mão de Obra por etapa'!E14</f>
        <v>0</v>
      </c>
      <c r="F21" s="107">
        <f>'Mão de Obra por etapa'!F14</f>
        <v>0</v>
      </c>
    </row>
    <row r="22" spans="2:6" x14ac:dyDescent="0.25">
      <c r="B22" s="142" t="s">
        <v>1207</v>
      </c>
      <c r="C22" s="143"/>
      <c r="D22" s="143"/>
      <c r="E22" s="144"/>
      <c r="F22" s="115">
        <f>SUM(F10:F14,F16:F21)</f>
        <v>0</v>
      </c>
    </row>
    <row r="23" spans="2:6" x14ac:dyDescent="0.25">
      <c r="B23" s="110"/>
      <c r="C23" s="110"/>
      <c r="D23" s="121"/>
      <c r="E23" s="110"/>
      <c r="F23" s="110"/>
    </row>
    <row r="24" spans="2:6" ht="18.75" x14ac:dyDescent="0.3">
      <c r="B24" s="137" t="str">
        <f>'2. Viga Baldrame'!B2:D2</f>
        <v>Viga Baldrame</v>
      </c>
      <c r="C24" s="137"/>
      <c r="D24" s="137"/>
      <c r="E24" s="137"/>
      <c r="F24" s="137"/>
    </row>
    <row r="25" spans="2:6" ht="15.75" x14ac:dyDescent="0.25">
      <c r="B25" s="134" t="str">
        <f>'2. Viga Baldrame'!B6:D6</f>
        <v>Concreto da viga baldrame</v>
      </c>
      <c r="C25" s="134"/>
      <c r="D25" s="134"/>
      <c r="E25" s="134"/>
      <c r="F25" s="134"/>
    </row>
    <row r="26" spans="2:6" x14ac:dyDescent="0.25">
      <c r="B26" s="108" t="s">
        <v>5</v>
      </c>
      <c r="C26" s="109" t="s">
        <v>46</v>
      </c>
      <c r="D26" s="122" t="s">
        <v>6</v>
      </c>
      <c r="E26" s="28" t="s">
        <v>1101</v>
      </c>
      <c r="F26" s="28" t="s">
        <v>1102</v>
      </c>
    </row>
    <row r="27" spans="2:6" x14ac:dyDescent="0.25">
      <c r="B27" s="88" t="str">
        <f>'Lista por etapa'!B19</f>
        <v>Concreto usinado para vigas baldrames</v>
      </c>
      <c r="C27" s="91" t="str">
        <f>'Lista por etapa'!C19</f>
        <v>m3</v>
      </c>
      <c r="D27" s="87">
        <f>'Lista por etapa'!D19</f>
        <v>9.4500000000000011</v>
      </c>
      <c r="E27" s="107">
        <f>IFERROR(VLOOKUP(B27,'Lista por categoria'!B:F,4,0),0)</f>
        <v>0</v>
      </c>
      <c r="F27" s="107">
        <f>D27*E27</f>
        <v>0</v>
      </c>
    </row>
    <row r="28" spans="2:6" x14ac:dyDescent="0.25">
      <c r="B28" s="88" t="str">
        <f>'Lista por etapa'!B20</f>
        <v>Cimento CP III</v>
      </c>
      <c r="C28" s="91" t="str">
        <f>'Lista por etapa'!C20</f>
        <v>Saco 50kg</v>
      </c>
      <c r="D28" s="87">
        <f>'Lista por etapa'!D20</f>
        <v>0</v>
      </c>
      <c r="E28" s="107">
        <f>IFERROR(VLOOKUP(B28,'Lista por categoria'!B:F,4,0),0)</f>
        <v>0</v>
      </c>
      <c r="F28" s="107">
        <f t="shared" ref="F28:F30" si="1">D28*E28</f>
        <v>0</v>
      </c>
    </row>
    <row r="29" spans="2:6" x14ac:dyDescent="0.25">
      <c r="B29" s="88" t="str">
        <f>'Lista por etapa'!B21</f>
        <v>Areia média</v>
      </c>
      <c r="C29" s="91" t="str">
        <f>'Lista por etapa'!C21</f>
        <v>m3</v>
      </c>
      <c r="D29" s="87">
        <f>'Lista por etapa'!D21</f>
        <v>0</v>
      </c>
      <c r="E29" s="107">
        <f>IFERROR(VLOOKUP(B29,'Lista por categoria'!B:F,4,0),0)</f>
        <v>0</v>
      </c>
      <c r="F29" s="107">
        <f t="shared" si="1"/>
        <v>0</v>
      </c>
    </row>
    <row r="30" spans="2:6" x14ac:dyDescent="0.25">
      <c r="B30" s="88" t="str">
        <f>'Lista por etapa'!B22</f>
        <v>Pedra brita 1</v>
      </c>
      <c r="C30" s="91" t="str">
        <f>'Lista por etapa'!C22</f>
        <v>m3</v>
      </c>
      <c r="D30" s="87">
        <f>'Lista por etapa'!D22</f>
        <v>0</v>
      </c>
      <c r="E30" s="107">
        <f>IFERROR(VLOOKUP(B30,'Lista por categoria'!B:F,4,0),0)</f>
        <v>0</v>
      </c>
      <c r="F30" s="107">
        <f t="shared" si="1"/>
        <v>0</v>
      </c>
    </row>
    <row r="31" spans="2:6" ht="15.75" x14ac:dyDescent="0.25">
      <c r="B31" s="134" t="str">
        <f>'2. Viga Baldrame'!B49:D49</f>
        <v>Concreto magro usado como lastro</v>
      </c>
      <c r="C31" s="134"/>
      <c r="D31" s="134"/>
      <c r="E31" s="134"/>
      <c r="F31" s="134"/>
    </row>
    <row r="32" spans="2:6" x14ac:dyDescent="0.25">
      <c r="B32" s="108" t="s">
        <v>5</v>
      </c>
      <c r="C32" s="109" t="s">
        <v>46</v>
      </c>
      <c r="D32" s="122" t="s">
        <v>6</v>
      </c>
      <c r="E32" s="28" t="s">
        <v>1101</v>
      </c>
      <c r="F32" s="28" t="s">
        <v>1102</v>
      </c>
    </row>
    <row r="33" spans="2:6" x14ac:dyDescent="0.25">
      <c r="B33" s="88" t="str">
        <f>'Lista por etapa'!B25</f>
        <v>Cimento CP III</v>
      </c>
      <c r="C33" s="91" t="str">
        <f>'Lista por etapa'!C25</f>
        <v>Saco 50kg</v>
      </c>
      <c r="D33" s="87">
        <f>'Lista por etapa'!D25</f>
        <v>0</v>
      </c>
      <c r="E33" s="107">
        <f>IFERROR(VLOOKUP(B33,'Lista por categoria'!B:F,4,0),0)</f>
        <v>0</v>
      </c>
      <c r="F33" s="107">
        <f t="shared" ref="F33:F35" si="2">D33*E33</f>
        <v>0</v>
      </c>
    </row>
    <row r="34" spans="2:6" x14ac:dyDescent="0.25">
      <c r="B34" s="88" t="str">
        <f>'Lista por etapa'!B26</f>
        <v>Areia média</v>
      </c>
      <c r="C34" s="91" t="str">
        <f>'Lista por etapa'!C26</f>
        <v>m3</v>
      </c>
      <c r="D34" s="87">
        <f>'Lista por etapa'!D26</f>
        <v>0</v>
      </c>
      <c r="E34" s="107">
        <f>IFERROR(VLOOKUP(B34,'Lista por categoria'!B:F,4,0),0)</f>
        <v>0</v>
      </c>
      <c r="F34" s="107">
        <f t="shared" si="2"/>
        <v>0</v>
      </c>
    </row>
    <row r="35" spans="2:6" x14ac:dyDescent="0.25">
      <c r="B35" s="88" t="str">
        <f>'Lista por etapa'!B27</f>
        <v>Pedra brita 1</v>
      </c>
      <c r="C35" s="91" t="str">
        <f>'Lista por etapa'!C27</f>
        <v>m3</v>
      </c>
      <c r="D35" s="87">
        <f>'Lista por etapa'!D27</f>
        <v>0</v>
      </c>
      <c r="E35" s="107">
        <f>IFERROR(VLOOKUP(B35,'Lista por categoria'!B:F,4,0),0)</f>
        <v>0</v>
      </c>
      <c r="F35" s="107">
        <f t="shared" si="2"/>
        <v>0</v>
      </c>
    </row>
    <row r="36" spans="2:6" ht="15.75" x14ac:dyDescent="0.25">
      <c r="B36" s="134" t="str">
        <f>'2. Viga Baldrame'!B75:D75</f>
        <v>Armações de aço da viga baldrame</v>
      </c>
      <c r="C36" s="134"/>
      <c r="D36" s="134"/>
      <c r="E36" s="134"/>
      <c r="F36" s="134"/>
    </row>
    <row r="37" spans="2:6" x14ac:dyDescent="0.25">
      <c r="B37" s="108" t="s">
        <v>5</v>
      </c>
      <c r="C37" s="109" t="s">
        <v>46</v>
      </c>
      <c r="D37" s="122" t="s">
        <v>6</v>
      </c>
      <c r="E37" s="28" t="s">
        <v>1101</v>
      </c>
      <c r="F37" s="28" t="s">
        <v>1102</v>
      </c>
    </row>
    <row r="38" spans="2:6" x14ac:dyDescent="0.25">
      <c r="B38" s="88" t="str">
        <f>'Lista por etapa'!B30</f>
        <v>Barra de aço CA-25, 10mm (⅜'')</v>
      </c>
      <c r="C38" s="91" t="str">
        <f>'Lista por etapa'!C30</f>
        <v>Barra 12 m</v>
      </c>
      <c r="D38" s="87">
        <f>'Lista por etapa'!D30</f>
        <v>0</v>
      </c>
      <c r="E38" s="107">
        <f>IFERROR(VLOOKUP(B38,'Lista por categoria'!B:F,4,0),0)</f>
        <v>0</v>
      </c>
      <c r="F38" s="107">
        <f t="shared" ref="F38:F41" si="3">D38*E38</f>
        <v>0</v>
      </c>
    </row>
    <row r="39" spans="2:6" x14ac:dyDescent="0.25">
      <c r="B39" s="88" t="str">
        <f>'Lista por etapa'!B31</f>
        <v>Barra de aço CA-60, 4,2mm</v>
      </c>
      <c r="C39" s="91" t="str">
        <f>'Lista por etapa'!C31</f>
        <v>Barra 12 m</v>
      </c>
      <c r="D39" s="87">
        <f>'Lista por etapa'!D31</f>
        <v>0</v>
      </c>
      <c r="E39" s="107">
        <f>IFERROR(VLOOKUP(B39,'Lista por categoria'!B:F,4,0),0)</f>
        <v>0</v>
      </c>
      <c r="F39" s="107">
        <f t="shared" si="3"/>
        <v>0</v>
      </c>
    </row>
    <row r="40" spans="2:6" x14ac:dyDescent="0.25">
      <c r="B40" s="88" t="str">
        <f>'Lista por etapa'!B32</f>
        <v>Arame recozido BWG 18 (1,24mm)</v>
      </c>
      <c r="C40" s="91" t="str">
        <f>'Lista por etapa'!C32</f>
        <v>Rolo 1 kg</v>
      </c>
      <c r="D40" s="87">
        <f>'Lista por etapa'!D32</f>
        <v>0</v>
      </c>
      <c r="E40" s="107">
        <f>IFERROR(VLOOKUP(B40,'Lista por categoria'!B:F,4,0),0)</f>
        <v>0</v>
      </c>
      <c r="F40" s="107">
        <f t="shared" si="3"/>
        <v>0</v>
      </c>
    </row>
    <row r="41" spans="2:6" x14ac:dyDescent="0.25">
      <c r="B41" s="88" t="str">
        <f>'Lista por etapa'!B33</f>
        <v>Espaçadores de ferragem</v>
      </c>
      <c r="C41" s="91" t="str">
        <f>'Lista por etapa'!C33</f>
        <v>Peça</v>
      </c>
      <c r="D41" s="87">
        <f>'Lista por etapa'!D33</f>
        <v>0</v>
      </c>
      <c r="E41" s="107">
        <f>IFERROR(VLOOKUP(B41,'Lista por categoria'!B:F,4,0),0)</f>
        <v>0</v>
      </c>
      <c r="F41" s="107">
        <f t="shared" si="3"/>
        <v>0</v>
      </c>
    </row>
    <row r="42" spans="2:6" ht="15.75" x14ac:dyDescent="0.25">
      <c r="B42" s="134" t="str">
        <f>'2. Viga Baldrame'!B124:D124</f>
        <v>Armações de aço das colunas de arranque</v>
      </c>
      <c r="C42" s="134"/>
      <c r="D42" s="134"/>
      <c r="E42" s="134"/>
      <c r="F42" s="134"/>
    </row>
    <row r="43" spans="2:6" x14ac:dyDescent="0.25">
      <c r="B43" s="108" t="s">
        <v>5</v>
      </c>
      <c r="C43" s="109" t="s">
        <v>46</v>
      </c>
      <c r="D43" s="122" t="s">
        <v>6</v>
      </c>
      <c r="E43" s="28" t="s">
        <v>1101</v>
      </c>
      <c r="F43" s="28" t="s">
        <v>1102</v>
      </c>
    </row>
    <row r="44" spans="2:6" x14ac:dyDescent="0.25">
      <c r="B44" s="88" t="str">
        <f>'Lista por etapa'!B36</f>
        <v>Barra de aço CA-25, 10mm (⅜'')</v>
      </c>
      <c r="C44" s="91" t="str">
        <f>'Lista por etapa'!C36</f>
        <v>Barra 12 m</v>
      </c>
      <c r="D44" s="87">
        <f>'Lista por etapa'!D36</f>
        <v>0</v>
      </c>
      <c r="E44" s="107">
        <f>IFERROR(VLOOKUP(B44,'Lista por categoria'!B:F,4,0),0)</f>
        <v>0</v>
      </c>
      <c r="F44" s="107">
        <f t="shared" ref="F44:F45" si="4">D44*E44</f>
        <v>0</v>
      </c>
    </row>
    <row r="45" spans="2:6" x14ac:dyDescent="0.25">
      <c r="B45" s="88" t="str">
        <f>'Lista por etapa'!B37</f>
        <v>Barra de aço CA-60, 4,2mm</v>
      </c>
      <c r="C45" s="91" t="str">
        <f>'Lista por etapa'!C37</f>
        <v>Barra 12 m</v>
      </c>
      <c r="D45" s="87">
        <f>'Lista por etapa'!D37</f>
        <v>0</v>
      </c>
      <c r="E45" s="107">
        <f>IFERROR(VLOOKUP(B45,'Lista por categoria'!B:F,4,0),0)</f>
        <v>0</v>
      </c>
      <c r="F45" s="107">
        <f t="shared" si="4"/>
        <v>0</v>
      </c>
    </row>
    <row r="46" spans="2:6" ht="15.75" x14ac:dyDescent="0.25">
      <c r="B46" s="134" t="str">
        <f>'2. Viga Baldrame'!B168:D168</f>
        <v>Fôrmas de madeira da viga baldrame</v>
      </c>
      <c r="C46" s="134"/>
      <c r="D46" s="134"/>
      <c r="E46" s="134"/>
      <c r="F46" s="134"/>
    </row>
    <row r="47" spans="2:6" x14ac:dyDescent="0.25">
      <c r="B47" s="108" t="s">
        <v>5</v>
      </c>
      <c r="C47" s="109" t="s">
        <v>46</v>
      </c>
      <c r="D47" s="122" t="s">
        <v>6</v>
      </c>
      <c r="E47" s="28" t="s">
        <v>1101</v>
      </c>
      <c r="F47" s="28" t="s">
        <v>1102</v>
      </c>
    </row>
    <row r="48" spans="2:6" x14ac:dyDescent="0.25">
      <c r="B48" s="88" t="str">
        <f>'Lista por etapa'!B40</f>
        <v>Tábua madeira 2,3 x 30 cm bruto</v>
      </c>
      <c r="C48" s="91" t="str">
        <f>'Lista por etapa'!C40</f>
        <v>Peça 3,0 m</v>
      </c>
      <c r="D48" s="87">
        <f>'Lista por etapa'!D40</f>
        <v>0</v>
      </c>
      <c r="E48" s="107">
        <f>IFERROR(VLOOKUP(B48,'Lista por categoria'!B:F,4,0),0)</f>
        <v>0</v>
      </c>
      <c r="F48" s="107">
        <f t="shared" ref="F48:F50" si="5">D48*E48</f>
        <v>0</v>
      </c>
    </row>
    <row r="49" spans="2:6" x14ac:dyDescent="0.25">
      <c r="B49" s="88" t="str">
        <f>'Lista por etapa'!B41</f>
        <v>Sarrafo madeira 2,3 x 10 cm bruto</v>
      </c>
      <c r="C49" s="91" t="str">
        <f>'Lista por etapa'!C41</f>
        <v>Peça 3,0 m</v>
      </c>
      <c r="D49" s="87">
        <f>'Lista por etapa'!D41</f>
        <v>0</v>
      </c>
      <c r="E49" s="107">
        <f>IFERROR(VLOOKUP(B49,'Lista por categoria'!B:F,4,0),0)</f>
        <v>0</v>
      </c>
      <c r="F49" s="107">
        <f t="shared" si="5"/>
        <v>0</v>
      </c>
    </row>
    <row r="50" spans="2:6" x14ac:dyDescent="0.25">
      <c r="B50" s="88" t="str">
        <f>'Lista por etapa'!B42</f>
        <v>Prego aço polido c/ cabeça 17 x 27</v>
      </c>
      <c r="C50" s="91" t="str">
        <f>'Lista por etapa'!C42</f>
        <v>kg</v>
      </c>
      <c r="D50" s="87">
        <f>'Lista por etapa'!D42</f>
        <v>0</v>
      </c>
      <c r="E50" s="107">
        <f>IFERROR(VLOOKUP(B50,'Lista por categoria'!B:F,4,0),0)</f>
        <v>0</v>
      </c>
      <c r="F50" s="107">
        <f t="shared" si="5"/>
        <v>0</v>
      </c>
    </row>
    <row r="51" spans="2:6" ht="15.75" x14ac:dyDescent="0.25">
      <c r="B51" s="134" t="str">
        <f>'2. Viga Baldrame'!B202:D202</f>
        <v>Cálculo da alvenaria de embasamento</v>
      </c>
      <c r="C51" s="134"/>
      <c r="D51" s="134"/>
      <c r="E51" s="134"/>
      <c r="F51" s="134"/>
    </row>
    <row r="52" spans="2:6" x14ac:dyDescent="0.25">
      <c r="B52" s="108" t="s">
        <v>5</v>
      </c>
      <c r="C52" s="109" t="s">
        <v>46</v>
      </c>
      <c r="D52" s="122" t="s">
        <v>6</v>
      </c>
      <c r="E52" s="28" t="s">
        <v>1101</v>
      </c>
      <c r="F52" s="28" t="s">
        <v>1102</v>
      </c>
    </row>
    <row r="53" spans="2:6" x14ac:dyDescent="0.25">
      <c r="B53" s="88" t="str">
        <f>'Lista por etapa'!B45</f>
        <v>Cimento CP III</v>
      </c>
      <c r="C53" s="91" t="str">
        <f>'Lista por etapa'!C45</f>
        <v>Saco 50kg</v>
      </c>
      <c r="D53" s="87">
        <f>'Lista por etapa'!D45</f>
        <v>0</v>
      </c>
      <c r="E53" s="107">
        <f>IFERROR(VLOOKUP(B53,'Lista por categoria'!B:F,4,0),0)</f>
        <v>0</v>
      </c>
      <c r="F53" s="107">
        <f t="shared" ref="F53:F56" si="6">D53*E53</f>
        <v>0</v>
      </c>
    </row>
    <row r="54" spans="2:6" x14ac:dyDescent="0.25">
      <c r="B54" s="88" t="str">
        <f>'Lista por etapa'!B46</f>
        <v>Areia média</v>
      </c>
      <c r="C54" s="91" t="str">
        <f>'Lista por etapa'!C46</f>
        <v>m3</v>
      </c>
      <c r="D54" s="87">
        <f>'Lista por etapa'!D46</f>
        <v>0</v>
      </c>
      <c r="E54" s="107">
        <f>IFERROR(VLOOKUP(B54,'Lista por categoria'!B:F,4,0),0)</f>
        <v>0</v>
      </c>
      <c r="F54" s="107">
        <f t="shared" si="6"/>
        <v>0</v>
      </c>
    </row>
    <row r="55" spans="2:6" x14ac:dyDescent="0.25">
      <c r="B55" s="88" t="str">
        <f>'Lista por etapa'!B47</f>
        <v>Vedacit Alvenarit para argamassa</v>
      </c>
      <c r="C55" s="91" t="str">
        <f>'Lista por etapa'!C47</f>
        <v>Litros</v>
      </c>
      <c r="D55" s="87">
        <f>'Lista por etapa'!D47</f>
        <v>0</v>
      </c>
      <c r="E55" s="107">
        <f>IFERROR(VLOOKUP(B55,'Lista por categoria'!B:F,4,0),0)</f>
        <v>0</v>
      </c>
      <c r="F55" s="107">
        <f t="shared" si="6"/>
        <v>0</v>
      </c>
    </row>
    <row r="56" spans="2:6" x14ac:dyDescent="0.25">
      <c r="B56" s="88" t="str">
        <f>'Lista por etapa'!B48</f>
        <v xml:space="preserve">Tijolo comum maciço </v>
      </c>
      <c r="C56" s="91" t="str">
        <f>'Lista por etapa'!C48</f>
        <v>Peça</v>
      </c>
      <c r="D56" s="87">
        <f>'Lista por etapa'!D48</f>
        <v>0</v>
      </c>
      <c r="E56" s="107">
        <f>IFERROR(VLOOKUP(B56,'Lista por categoria'!B:F,4,0),0)</f>
        <v>0</v>
      </c>
      <c r="F56" s="107">
        <f t="shared" si="6"/>
        <v>0</v>
      </c>
    </row>
    <row r="57" spans="2:6" ht="15.75" x14ac:dyDescent="0.25">
      <c r="B57" s="134" t="str">
        <f>'2. Viga Baldrame'!B230:D230</f>
        <v>Cálculo da impermeabilização</v>
      </c>
      <c r="C57" s="134"/>
      <c r="D57" s="134"/>
      <c r="E57" s="134"/>
      <c r="F57" s="134"/>
    </row>
    <row r="58" spans="2:6" x14ac:dyDescent="0.25">
      <c r="B58" s="108" t="s">
        <v>5</v>
      </c>
      <c r="C58" s="109" t="s">
        <v>46</v>
      </c>
      <c r="D58" s="122" t="s">
        <v>6</v>
      </c>
      <c r="E58" s="28" t="s">
        <v>1101</v>
      </c>
      <c r="F58" s="28" t="s">
        <v>1102</v>
      </c>
    </row>
    <row r="59" spans="2:6" x14ac:dyDescent="0.25">
      <c r="B59" s="88" t="str">
        <f>'Lista por etapa'!B51</f>
        <v>Cimento CP III</v>
      </c>
      <c r="C59" s="91" t="str">
        <f>'Lista por etapa'!C51</f>
        <v>Saco 50kg</v>
      </c>
      <c r="D59" s="87">
        <f>'Lista por etapa'!D51</f>
        <v>15.75</v>
      </c>
      <c r="E59" s="107">
        <f>IFERROR(VLOOKUP(B59,'Lista por categoria'!B:F,4,0),0)</f>
        <v>0</v>
      </c>
      <c r="F59" s="107">
        <f t="shared" ref="F59:F62" si="7">D59*E59</f>
        <v>0</v>
      </c>
    </row>
    <row r="60" spans="2:6" x14ac:dyDescent="0.25">
      <c r="B60" s="88" t="str">
        <f>'Lista por etapa'!B52</f>
        <v>Areia média</v>
      </c>
      <c r="C60" s="91" t="str">
        <f>'Lista por etapa'!C52</f>
        <v>m3</v>
      </c>
      <c r="D60" s="87">
        <f>'Lista por etapa'!D52</f>
        <v>0.38272499999999998</v>
      </c>
      <c r="E60" s="107">
        <f>IFERROR(VLOOKUP(B60,'Lista por categoria'!B:F,4,0),0)</f>
        <v>0</v>
      </c>
      <c r="F60" s="107">
        <f t="shared" si="7"/>
        <v>0</v>
      </c>
    </row>
    <row r="61" spans="2:6" x14ac:dyDescent="0.25">
      <c r="B61" s="88" t="str">
        <f>'Lista por etapa'!B53</f>
        <v>Impermeabilizante Vedatop</v>
      </c>
      <c r="C61" s="91" t="str">
        <f>'Lista por etapa'!C53</f>
        <v>Caixa 12 kg</v>
      </c>
      <c r="D61" s="87">
        <f>'Lista por etapa'!D53</f>
        <v>14.318181818181818</v>
      </c>
      <c r="E61" s="107">
        <f>IFERROR(VLOOKUP(B61,'Lista por categoria'!B:F,4,0),0)</f>
        <v>0</v>
      </c>
      <c r="F61" s="107">
        <f t="shared" si="7"/>
        <v>0</v>
      </c>
    </row>
    <row r="62" spans="2:6" x14ac:dyDescent="0.25">
      <c r="B62" s="88" t="str">
        <f>'Lista por etapa'!B54</f>
        <v>Broxa para pintura rústicas, 15 cm</v>
      </c>
      <c r="C62" s="91" t="str">
        <f>'Lista por etapa'!C54</f>
        <v>Peça</v>
      </c>
      <c r="D62" s="87">
        <f>'Lista por etapa'!D54</f>
        <v>1</v>
      </c>
      <c r="E62" s="107">
        <f>IFERROR(VLOOKUP(B62,'Lista por categoria'!B:F,4,0),0)</f>
        <v>0</v>
      </c>
      <c r="F62" s="107">
        <f t="shared" si="7"/>
        <v>0</v>
      </c>
    </row>
    <row r="63" spans="2:6" x14ac:dyDescent="0.25">
      <c r="B63" s="116" t="s">
        <v>1199</v>
      </c>
      <c r="C63" s="117" t="s">
        <v>46</v>
      </c>
      <c r="D63" s="120" t="s">
        <v>6</v>
      </c>
      <c r="E63" s="118" t="s">
        <v>1101</v>
      </c>
      <c r="F63" s="118" t="s">
        <v>1102</v>
      </c>
    </row>
    <row r="64" spans="2:6" x14ac:dyDescent="0.25">
      <c r="B64" s="88" t="s">
        <v>1205</v>
      </c>
      <c r="C64" s="91" t="s">
        <v>1204</v>
      </c>
      <c r="D64" s="87">
        <f>'Mão de Obra por etapa'!D18</f>
        <v>0</v>
      </c>
      <c r="E64" s="107">
        <f>'Mão de Obra por etapa'!E18</f>
        <v>0</v>
      </c>
      <c r="F64" s="107">
        <f>'Mão de Obra por etapa'!F18</f>
        <v>0</v>
      </c>
    </row>
    <row r="65" spans="2:6" x14ac:dyDescent="0.25">
      <c r="B65" s="88" t="s">
        <v>1200</v>
      </c>
      <c r="C65" s="91" t="s">
        <v>1204</v>
      </c>
      <c r="D65" s="87">
        <f>'Mão de Obra por etapa'!D19</f>
        <v>0</v>
      </c>
      <c r="E65" s="107">
        <f>'Mão de Obra por etapa'!E19</f>
        <v>0</v>
      </c>
      <c r="F65" s="107">
        <f>'Mão de Obra por etapa'!F19</f>
        <v>0</v>
      </c>
    </row>
    <row r="66" spans="2:6" x14ac:dyDescent="0.25">
      <c r="B66" s="88" t="s">
        <v>1206</v>
      </c>
      <c r="C66" s="91" t="s">
        <v>1204</v>
      </c>
      <c r="D66" s="87">
        <f>'Mão de Obra por etapa'!D20</f>
        <v>0</v>
      </c>
      <c r="E66" s="107">
        <f>'Mão de Obra por etapa'!E20</f>
        <v>0</v>
      </c>
      <c r="F66" s="107">
        <f>'Mão de Obra por etapa'!F20</f>
        <v>0</v>
      </c>
    </row>
    <row r="67" spans="2:6" x14ac:dyDescent="0.25">
      <c r="B67" s="88" t="s">
        <v>1201</v>
      </c>
      <c r="C67" s="91" t="s">
        <v>1204</v>
      </c>
      <c r="D67" s="87">
        <f>'Mão de Obra por etapa'!D21</f>
        <v>0</v>
      </c>
      <c r="E67" s="107">
        <f>'Mão de Obra por etapa'!E21</f>
        <v>0</v>
      </c>
      <c r="F67" s="107">
        <f>'Mão de Obra por etapa'!F21</f>
        <v>0</v>
      </c>
    </row>
    <row r="68" spans="2:6" x14ac:dyDescent="0.25">
      <c r="B68" s="88" t="s">
        <v>1202</v>
      </c>
      <c r="C68" s="91" t="s">
        <v>1204</v>
      </c>
      <c r="D68" s="87">
        <f>'Mão de Obra por etapa'!D22</f>
        <v>0</v>
      </c>
      <c r="E68" s="107">
        <f>'Mão de Obra por etapa'!E22</f>
        <v>0</v>
      </c>
      <c r="F68" s="107">
        <f>'Mão de Obra por etapa'!F22</f>
        <v>0</v>
      </c>
    </row>
    <row r="69" spans="2:6" x14ac:dyDescent="0.25">
      <c r="B69" s="88" t="s">
        <v>1203</v>
      </c>
      <c r="C69" s="91" t="s">
        <v>1204</v>
      </c>
      <c r="D69" s="87">
        <f>'Mão de Obra por etapa'!D23</f>
        <v>0</v>
      </c>
      <c r="E69" s="107">
        <f>'Mão de Obra por etapa'!E23</f>
        <v>0</v>
      </c>
      <c r="F69" s="107">
        <f>'Mão de Obra por etapa'!F23</f>
        <v>0</v>
      </c>
    </row>
    <row r="70" spans="2:6" x14ac:dyDescent="0.25">
      <c r="B70" s="142" t="s">
        <v>1207</v>
      </c>
      <c r="C70" s="143"/>
      <c r="D70" s="143"/>
      <c r="E70" s="144"/>
      <c r="F70" s="115">
        <f>SUM(F27:F30,F33:F35,F38:F41,F44:F45,F48:F50,F53:F56,F59:F62,F64:F69)</f>
        <v>0</v>
      </c>
    </row>
    <row r="71" spans="2:6" x14ac:dyDescent="0.25">
      <c r="B71" s="110"/>
      <c r="C71" s="110"/>
      <c r="D71" s="121"/>
      <c r="E71" s="110"/>
      <c r="F71" s="110"/>
    </row>
    <row r="72" spans="2:6" ht="18.75" x14ac:dyDescent="0.3">
      <c r="B72" s="137" t="str">
        <f>'3. Sapata isolada'!B2:D2</f>
        <v>Sapata Isolada</v>
      </c>
      <c r="C72" s="137"/>
      <c r="D72" s="137"/>
      <c r="E72" s="137"/>
      <c r="F72" s="137"/>
    </row>
    <row r="73" spans="2:6" ht="15.75" x14ac:dyDescent="0.25">
      <c r="B73" s="134" t="str">
        <f>'3. Sapata isolada'!B6:D6</f>
        <v>Concreto das sapatas isoladas</v>
      </c>
      <c r="C73" s="134"/>
      <c r="D73" s="134"/>
      <c r="E73" s="134"/>
      <c r="F73" s="134"/>
    </row>
    <row r="74" spans="2:6" x14ac:dyDescent="0.25">
      <c r="B74" s="108" t="s">
        <v>5</v>
      </c>
      <c r="C74" s="109" t="s">
        <v>46</v>
      </c>
      <c r="D74" s="122" t="s">
        <v>6</v>
      </c>
      <c r="E74" s="28" t="s">
        <v>1101</v>
      </c>
      <c r="F74" s="28" t="s">
        <v>1102</v>
      </c>
    </row>
    <row r="75" spans="2:6" x14ac:dyDescent="0.25">
      <c r="B75" s="88" t="str">
        <f>'Lista por etapa'!B59</f>
        <v>Concreto usinado para sapatas</v>
      </c>
      <c r="C75" s="91" t="str">
        <f>'Lista por etapa'!C59</f>
        <v>m3</v>
      </c>
      <c r="D75" s="87">
        <f>'Lista por etapa'!D59</f>
        <v>0</v>
      </c>
      <c r="E75" s="107">
        <f>IFERROR(VLOOKUP(B75,'Lista por categoria'!B:F,4,0),0)</f>
        <v>0</v>
      </c>
      <c r="F75" s="107">
        <f t="shared" ref="F75:F78" si="8">D75*E75</f>
        <v>0</v>
      </c>
    </row>
    <row r="76" spans="2:6" x14ac:dyDescent="0.25">
      <c r="B76" s="88" t="str">
        <f>'Lista por etapa'!B60</f>
        <v>Cimento CP III</v>
      </c>
      <c r="C76" s="91" t="str">
        <f>'Lista por etapa'!C60</f>
        <v>Saco 50kg</v>
      </c>
      <c r="D76" s="87">
        <f>'Lista por etapa'!D60</f>
        <v>0</v>
      </c>
      <c r="E76" s="107">
        <f>IFERROR(VLOOKUP(B76,'Lista por categoria'!B:F,4,0),0)</f>
        <v>0</v>
      </c>
      <c r="F76" s="107">
        <f t="shared" si="8"/>
        <v>0</v>
      </c>
    </row>
    <row r="77" spans="2:6" x14ac:dyDescent="0.25">
      <c r="B77" s="88" t="str">
        <f>'Lista por etapa'!B61</f>
        <v>Areia média</v>
      </c>
      <c r="C77" s="91" t="str">
        <f>'Lista por etapa'!C61</f>
        <v>m3</v>
      </c>
      <c r="D77" s="87">
        <f>'Lista por etapa'!D61</f>
        <v>0</v>
      </c>
      <c r="E77" s="107">
        <f>IFERROR(VLOOKUP(B77,'Lista por categoria'!B:F,4,0),0)</f>
        <v>0</v>
      </c>
      <c r="F77" s="107">
        <f t="shared" si="8"/>
        <v>0</v>
      </c>
    </row>
    <row r="78" spans="2:6" x14ac:dyDescent="0.25">
      <c r="B78" s="88" t="str">
        <f>'Lista por etapa'!B62</f>
        <v>Pedra brita 1</v>
      </c>
      <c r="C78" s="91" t="str">
        <f>'Lista por etapa'!C62</f>
        <v>m3</v>
      </c>
      <c r="D78" s="87">
        <f>'Lista por etapa'!D62</f>
        <v>0</v>
      </c>
      <c r="E78" s="107">
        <f>IFERROR(VLOOKUP(B78,'Lista por categoria'!B:F,4,0),0)</f>
        <v>0</v>
      </c>
      <c r="F78" s="107">
        <f t="shared" si="8"/>
        <v>0</v>
      </c>
    </row>
    <row r="79" spans="2:6" ht="15.75" x14ac:dyDescent="0.25">
      <c r="B79" s="134" t="str">
        <f>'3. Sapata isolada'!B54:D54</f>
        <v>Concreto magro usado como lastro</v>
      </c>
      <c r="C79" s="134"/>
      <c r="D79" s="134"/>
      <c r="E79" s="134"/>
      <c r="F79" s="134"/>
    </row>
    <row r="80" spans="2:6" x14ac:dyDescent="0.25">
      <c r="B80" s="108" t="s">
        <v>5</v>
      </c>
      <c r="C80" s="109" t="s">
        <v>46</v>
      </c>
      <c r="D80" s="122" t="s">
        <v>6</v>
      </c>
      <c r="E80" s="28" t="s">
        <v>1101</v>
      </c>
      <c r="F80" s="28" t="s">
        <v>1102</v>
      </c>
    </row>
    <row r="81" spans="2:6" x14ac:dyDescent="0.25">
      <c r="B81" s="88" t="str">
        <f>'Lista por etapa'!B65</f>
        <v>Cimento CP III</v>
      </c>
      <c r="C81" s="91" t="str">
        <f>'Lista por etapa'!C65</f>
        <v>Saco 50kg</v>
      </c>
      <c r="D81" s="87">
        <f>'Lista por etapa'!D65</f>
        <v>0</v>
      </c>
      <c r="E81" s="107">
        <f>IFERROR(VLOOKUP(B81,'Lista por categoria'!B:F,4,0),0)</f>
        <v>0</v>
      </c>
      <c r="F81" s="107">
        <f t="shared" ref="F81:F83" si="9">D81*E81</f>
        <v>0</v>
      </c>
    </row>
    <row r="82" spans="2:6" x14ac:dyDescent="0.25">
      <c r="B82" s="88" t="str">
        <f>'Lista por etapa'!B66</f>
        <v>Areia média</v>
      </c>
      <c r="C82" s="91" t="str">
        <f>'Lista por etapa'!C66</f>
        <v>m3</v>
      </c>
      <c r="D82" s="87">
        <f>'Lista por etapa'!D66</f>
        <v>0</v>
      </c>
      <c r="E82" s="107">
        <f>IFERROR(VLOOKUP(B82,'Lista por categoria'!B:F,4,0),0)</f>
        <v>0</v>
      </c>
      <c r="F82" s="107">
        <f t="shared" si="9"/>
        <v>0</v>
      </c>
    </row>
    <row r="83" spans="2:6" x14ac:dyDescent="0.25">
      <c r="B83" s="88" t="str">
        <f>'Lista por etapa'!B67</f>
        <v>Pedra brita 1</v>
      </c>
      <c r="C83" s="91" t="str">
        <f>'Lista por etapa'!C67</f>
        <v>m3</v>
      </c>
      <c r="D83" s="87">
        <f>'Lista por etapa'!D67</f>
        <v>0</v>
      </c>
      <c r="E83" s="107">
        <f>IFERROR(VLOOKUP(B83,'Lista por categoria'!B:F,4,0),0)</f>
        <v>0</v>
      </c>
      <c r="F83" s="107">
        <f t="shared" si="9"/>
        <v>0</v>
      </c>
    </row>
    <row r="84" spans="2:6" ht="15.75" x14ac:dyDescent="0.25">
      <c r="B84" s="134" t="str">
        <f>'3. Sapata isolada'!B81:D81</f>
        <v>Armações de aço das sapatas isoladas</v>
      </c>
      <c r="C84" s="134"/>
      <c r="D84" s="134"/>
      <c r="E84" s="134"/>
      <c r="F84" s="134"/>
    </row>
    <row r="85" spans="2:6" x14ac:dyDescent="0.25">
      <c r="B85" s="108" t="s">
        <v>5</v>
      </c>
      <c r="C85" s="109" t="s">
        <v>46</v>
      </c>
      <c r="D85" s="122" t="s">
        <v>6</v>
      </c>
      <c r="E85" s="28" t="s">
        <v>1101</v>
      </c>
      <c r="F85" s="28" t="s">
        <v>1102</v>
      </c>
    </row>
    <row r="86" spans="2:6" x14ac:dyDescent="0.25">
      <c r="B86" s="88" t="str">
        <f>'Lista por etapa'!B70</f>
        <v xml:space="preserve">Barra de aço CA-25, </v>
      </c>
      <c r="C86" s="91" t="str">
        <f>'Lista por etapa'!C70</f>
        <v>Barra 12 m</v>
      </c>
      <c r="D86" s="87">
        <f>'Lista por etapa'!D70</f>
        <v>0</v>
      </c>
      <c r="E86" s="107">
        <f>IFERROR(VLOOKUP(B86,'Lista por categoria'!B:F,4,0),0)</f>
        <v>0</v>
      </c>
      <c r="F86" s="107">
        <f t="shared" ref="F86:F88" si="10">D86*E86</f>
        <v>0</v>
      </c>
    </row>
    <row r="87" spans="2:6" x14ac:dyDescent="0.25">
      <c r="B87" s="88" t="str">
        <f>'Lista por etapa'!B71</f>
        <v>Arame recozido BWG 18 (1,24mm)</v>
      </c>
      <c r="C87" s="91" t="str">
        <f>'Lista por etapa'!C71</f>
        <v>Rolo 1 kg</v>
      </c>
      <c r="D87" s="87">
        <f>'Lista por etapa'!D71</f>
        <v>0</v>
      </c>
      <c r="E87" s="107">
        <f>IFERROR(VLOOKUP(B87,'Lista por categoria'!B:F,4,0),0)</f>
        <v>0</v>
      </c>
      <c r="F87" s="107">
        <f t="shared" si="10"/>
        <v>0</v>
      </c>
    </row>
    <row r="88" spans="2:6" x14ac:dyDescent="0.25">
      <c r="B88" s="88" t="str">
        <f>'Lista por etapa'!B72</f>
        <v>Espaçadores de ferragem</v>
      </c>
      <c r="C88" s="91" t="str">
        <f>'Lista por etapa'!C72</f>
        <v>Peça</v>
      </c>
      <c r="D88" s="87">
        <f>'Lista por etapa'!D72</f>
        <v>0</v>
      </c>
      <c r="E88" s="107">
        <f>IFERROR(VLOOKUP(B88,'Lista por categoria'!B:F,4,0),0)</f>
        <v>0</v>
      </c>
      <c r="F88" s="107">
        <f t="shared" si="10"/>
        <v>0</v>
      </c>
    </row>
    <row r="89" spans="2:6" ht="15.75" x14ac:dyDescent="0.25">
      <c r="B89" s="134" t="str">
        <f>'3. Sapata isolada'!B140:D140</f>
        <v>Armações de aço das colunas de arranque</v>
      </c>
      <c r="C89" s="134"/>
      <c r="D89" s="134"/>
      <c r="E89" s="134"/>
      <c r="F89" s="134"/>
    </row>
    <row r="90" spans="2:6" x14ac:dyDescent="0.25">
      <c r="B90" s="108" t="s">
        <v>5</v>
      </c>
      <c r="C90" s="109" t="s">
        <v>46</v>
      </c>
      <c r="D90" s="122" t="s">
        <v>6</v>
      </c>
      <c r="E90" s="28" t="s">
        <v>1101</v>
      </c>
      <c r="F90" s="28" t="s">
        <v>1102</v>
      </c>
    </row>
    <row r="91" spans="2:6" x14ac:dyDescent="0.25">
      <c r="B91" s="88" t="str">
        <f>'Lista por etapa'!B75</f>
        <v>Barra de aço CA-25, 10mm (⅜'')</v>
      </c>
      <c r="C91" s="91" t="str">
        <f>'Lista por etapa'!C75</f>
        <v>Barra 12 m</v>
      </c>
      <c r="D91" s="87">
        <f>'Lista por etapa'!D75</f>
        <v>0</v>
      </c>
      <c r="E91" s="107">
        <f>IFERROR(VLOOKUP(B91,'Lista por categoria'!B:F,4,0),0)</f>
        <v>0</v>
      </c>
      <c r="F91" s="107">
        <f t="shared" ref="F91:F92" si="11">D91*E91</f>
        <v>0</v>
      </c>
    </row>
    <row r="92" spans="2:6" x14ac:dyDescent="0.25">
      <c r="B92" s="88" t="str">
        <f>'Lista por etapa'!B76</f>
        <v>Barra de aço CA-60, 4,2mm</v>
      </c>
      <c r="C92" s="91" t="str">
        <f>'Lista por etapa'!C76</f>
        <v>Barra 12 m</v>
      </c>
      <c r="D92" s="87">
        <f>'Lista por etapa'!D76</f>
        <v>0</v>
      </c>
      <c r="E92" s="107">
        <f>IFERROR(VLOOKUP(B92,'Lista por categoria'!B:F,4,0),0)</f>
        <v>0</v>
      </c>
      <c r="F92" s="107">
        <f t="shared" si="11"/>
        <v>0</v>
      </c>
    </row>
    <row r="93" spans="2:6" ht="15.75" x14ac:dyDescent="0.25">
      <c r="B93" s="134" t="str">
        <f>'3. Sapata isolada'!B183:D183</f>
        <v>Fôrmas de madeira das sapatas isoladas</v>
      </c>
      <c r="C93" s="134"/>
      <c r="D93" s="134"/>
      <c r="E93" s="134"/>
      <c r="F93" s="134"/>
    </row>
    <row r="94" spans="2:6" x14ac:dyDescent="0.25">
      <c r="B94" s="108" t="s">
        <v>5</v>
      </c>
      <c r="C94" s="109" t="s">
        <v>46</v>
      </c>
      <c r="D94" s="122" t="s">
        <v>6</v>
      </c>
      <c r="E94" s="28" t="s">
        <v>1101</v>
      </c>
      <c r="F94" s="28" t="s">
        <v>1102</v>
      </c>
    </row>
    <row r="95" spans="2:6" x14ac:dyDescent="0.25">
      <c r="B95" s="88" t="str">
        <f>'Lista por etapa'!B79</f>
        <v>Tábua madeira 2,3 x 30 cm bruto</v>
      </c>
      <c r="C95" s="91" t="str">
        <f>'Lista por etapa'!C79</f>
        <v>Peça 3,0 m</v>
      </c>
      <c r="D95" s="87">
        <f>'Lista por etapa'!D79</f>
        <v>0</v>
      </c>
      <c r="E95" s="107">
        <f>IFERROR(VLOOKUP(B95,'Lista por categoria'!B:F,4,0),0)</f>
        <v>0</v>
      </c>
      <c r="F95" s="107">
        <f t="shared" ref="F95:F97" si="12">D95*E95</f>
        <v>0</v>
      </c>
    </row>
    <row r="96" spans="2:6" x14ac:dyDescent="0.25">
      <c r="B96" s="88" t="str">
        <f>'Lista por etapa'!B80</f>
        <v>Sarrafo madeira 2,3 x 10 cm bruto</v>
      </c>
      <c r="C96" s="91" t="str">
        <f>'Lista por etapa'!C80</f>
        <v>Peça 3,0 m</v>
      </c>
      <c r="D96" s="87">
        <f>'Lista por etapa'!D80</f>
        <v>0</v>
      </c>
      <c r="E96" s="107">
        <f>IFERROR(VLOOKUP(B96,'Lista por categoria'!B:F,4,0),0)</f>
        <v>0</v>
      </c>
      <c r="F96" s="107">
        <f t="shared" si="12"/>
        <v>0</v>
      </c>
    </row>
    <row r="97" spans="2:6" x14ac:dyDescent="0.25">
      <c r="B97" s="88" t="str">
        <f>'Lista por etapa'!B81</f>
        <v>Prego aço polido c/ cabeça 17 x 27</v>
      </c>
      <c r="C97" s="91" t="str">
        <f>'Lista por etapa'!C81</f>
        <v>kg</v>
      </c>
      <c r="D97" s="87">
        <f>'Lista por etapa'!D81</f>
        <v>0</v>
      </c>
      <c r="E97" s="107">
        <f>IFERROR(VLOOKUP(B97,'Lista por categoria'!B:F,4,0),0)</f>
        <v>0</v>
      </c>
      <c r="F97" s="107">
        <f t="shared" si="12"/>
        <v>0</v>
      </c>
    </row>
    <row r="98" spans="2:6" x14ac:dyDescent="0.25">
      <c r="B98" s="116" t="s">
        <v>1199</v>
      </c>
      <c r="C98" s="117" t="s">
        <v>46</v>
      </c>
      <c r="D98" s="120" t="s">
        <v>6</v>
      </c>
      <c r="E98" s="118" t="s">
        <v>1101</v>
      </c>
      <c r="F98" s="118" t="s">
        <v>1102</v>
      </c>
    </row>
    <row r="99" spans="2:6" x14ac:dyDescent="0.25">
      <c r="B99" s="88" t="s">
        <v>1205</v>
      </c>
      <c r="C99" s="91" t="s">
        <v>1204</v>
      </c>
      <c r="D99" s="87">
        <f>'Mão de Obra por etapa'!D27</f>
        <v>0</v>
      </c>
      <c r="E99" s="107">
        <f>'Mão de Obra por etapa'!E27</f>
        <v>0</v>
      </c>
      <c r="F99" s="107">
        <f>'Mão de Obra por etapa'!F27</f>
        <v>0</v>
      </c>
    </row>
    <row r="100" spans="2:6" x14ac:dyDescent="0.25">
      <c r="B100" s="88" t="s">
        <v>1200</v>
      </c>
      <c r="C100" s="91" t="s">
        <v>1204</v>
      </c>
      <c r="D100" s="87">
        <f>'Mão de Obra por etapa'!D28</f>
        <v>0</v>
      </c>
      <c r="E100" s="107">
        <f>'Mão de Obra por etapa'!E28</f>
        <v>0</v>
      </c>
      <c r="F100" s="107">
        <f>'Mão de Obra por etapa'!F28</f>
        <v>0</v>
      </c>
    </row>
    <row r="101" spans="2:6" x14ac:dyDescent="0.25">
      <c r="B101" s="88" t="s">
        <v>1206</v>
      </c>
      <c r="C101" s="91" t="s">
        <v>1204</v>
      </c>
      <c r="D101" s="87">
        <f>'Mão de Obra por etapa'!D29</f>
        <v>0</v>
      </c>
      <c r="E101" s="107">
        <f>'Mão de Obra por etapa'!E29</f>
        <v>0</v>
      </c>
      <c r="F101" s="107">
        <f>'Mão de Obra por etapa'!F29</f>
        <v>0</v>
      </c>
    </row>
    <row r="102" spans="2:6" x14ac:dyDescent="0.25">
      <c r="B102" s="88" t="s">
        <v>1201</v>
      </c>
      <c r="C102" s="91" t="s">
        <v>1204</v>
      </c>
      <c r="D102" s="87">
        <f>'Mão de Obra por etapa'!D30</f>
        <v>0</v>
      </c>
      <c r="E102" s="107">
        <f>'Mão de Obra por etapa'!E30</f>
        <v>0</v>
      </c>
      <c r="F102" s="107">
        <f>'Mão de Obra por etapa'!F30</f>
        <v>0</v>
      </c>
    </row>
    <row r="103" spans="2:6" x14ac:dyDescent="0.25">
      <c r="B103" s="88" t="s">
        <v>1202</v>
      </c>
      <c r="C103" s="91" t="s">
        <v>1204</v>
      </c>
      <c r="D103" s="87">
        <f>'Mão de Obra por etapa'!D31</f>
        <v>0</v>
      </c>
      <c r="E103" s="107">
        <f>'Mão de Obra por etapa'!E31</f>
        <v>0</v>
      </c>
      <c r="F103" s="107">
        <f>'Mão de Obra por etapa'!F31</f>
        <v>0</v>
      </c>
    </row>
    <row r="104" spans="2:6" x14ac:dyDescent="0.25">
      <c r="B104" s="88" t="s">
        <v>1203</v>
      </c>
      <c r="C104" s="91" t="s">
        <v>1204</v>
      </c>
      <c r="D104" s="87">
        <f>'Mão de Obra por etapa'!D32</f>
        <v>0</v>
      </c>
      <c r="E104" s="107">
        <f>'Mão de Obra por etapa'!E32</f>
        <v>0</v>
      </c>
      <c r="F104" s="107">
        <f>'Mão de Obra por etapa'!F32</f>
        <v>0</v>
      </c>
    </row>
    <row r="105" spans="2:6" x14ac:dyDescent="0.25">
      <c r="B105" s="142" t="s">
        <v>1207</v>
      </c>
      <c r="C105" s="143"/>
      <c r="D105" s="143"/>
      <c r="E105" s="144"/>
      <c r="F105" s="115">
        <f>SUM(F75:F78,F81:F83,F86:F88,F91:F92,F95:F97,F99:F104)</f>
        <v>0</v>
      </c>
    </row>
    <row r="106" spans="2:6" x14ac:dyDescent="0.25">
      <c r="B106" s="110"/>
      <c r="C106" s="110"/>
      <c r="D106" s="121"/>
      <c r="E106" s="110"/>
      <c r="F106" s="110"/>
    </row>
    <row r="107" spans="2:6" ht="18.75" x14ac:dyDescent="0.3">
      <c r="B107" s="137" t="str">
        <f>'4. Estaca'!B2</f>
        <v>Estacas</v>
      </c>
      <c r="C107" s="137"/>
      <c r="D107" s="137"/>
      <c r="E107" s="137"/>
      <c r="F107" s="137"/>
    </row>
    <row r="108" spans="2:6" ht="15.75" x14ac:dyDescent="0.25">
      <c r="B108" s="134" t="str">
        <f>'4. Estaca'!B5</f>
        <v>Concreto e lastro das estacas</v>
      </c>
      <c r="C108" s="134"/>
      <c r="D108" s="134"/>
      <c r="E108" s="134"/>
      <c r="F108" s="134"/>
    </row>
    <row r="109" spans="2:6" x14ac:dyDescent="0.25">
      <c r="B109" s="108" t="s">
        <v>5</v>
      </c>
      <c r="C109" s="109" t="s">
        <v>46</v>
      </c>
      <c r="D109" s="122" t="s">
        <v>6</v>
      </c>
      <c r="E109" s="28" t="s">
        <v>1101</v>
      </c>
      <c r="F109" s="28" t="s">
        <v>1102</v>
      </c>
    </row>
    <row r="110" spans="2:6" x14ac:dyDescent="0.25">
      <c r="B110" s="88" t="str">
        <f>'Lista por etapa'!B86</f>
        <v>Concreto usinado para estaca</v>
      </c>
      <c r="C110" s="91" t="str">
        <f>'Lista por etapa'!C86</f>
        <v>m3</v>
      </c>
      <c r="D110" s="87">
        <f>'Lista por etapa'!D86</f>
        <v>15.462513281249999</v>
      </c>
      <c r="E110" s="107">
        <f>IFERROR(VLOOKUP(B110,'Lista por categoria'!B:F,4,0),0)</f>
        <v>0</v>
      </c>
      <c r="F110" s="107">
        <f t="shared" ref="F110:F114" si="13">D110*E110</f>
        <v>0</v>
      </c>
    </row>
    <row r="111" spans="2:6" x14ac:dyDescent="0.25">
      <c r="B111" s="88" t="str">
        <f>'Lista por etapa'!B87</f>
        <v>Cimento CP III</v>
      </c>
      <c r="C111" s="91" t="str">
        <f>'Lista por etapa'!C87</f>
        <v>Saco 50kg</v>
      </c>
      <c r="D111" s="87">
        <f>'Lista por etapa'!D87</f>
        <v>0</v>
      </c>
      <c r="E111" s="107">
        <f>IFERROR(VLOOKUP(B111,'Lista por categoria'!B:F,4,0),0)</f>
        <v>0</v>
      </c>
      <c r="F111" s="107">
        <f t="shared" si="13"/>
        <v>0</v>
      </c>
    </row>
    <row r="112" spans="2:6" x14ac:dyDescent="0.25">
      <c r="B112" s="88" t="str">
        <f>'Lista por etapa'!B88</f>
        <v>Areia média</v>
      </c>
      <c r="C112" s="91" t="str">
        <f>'Lista por etapa'!C88</f>
        <v>m3</v>
      </c>
      <c r="D112" s="87">
        <f>'Lista por etapa'!D88</f>
        <v>0</v>
      </c>
      <c r="E112" s="107">
        <f>IFERROR(VLOOKUP(B112,'Lista por categoria'!B:F,4,0),0)</f>
        <v>0</v>
      </c>
      <c r="F112" s="107">
        <f t="shared" si="13"/>
        <v>0</v>
      </c>
    </row>
    <row r="113" spans="2:6" x14ac:dyDescent="0.25">
      <c r="B113" s="88" t="str">
        <f>'Lista por etapa'!B89</f>
        <v>Pedra brita 1</v>
      </c>
      <c r="C113" s="91" t="str">
        <f>'Lista por etapa'!C89</f>
        <v>m3</v>
      </c>
      <c r="D113" s="87">
        <f>'Lista por etapa'!D89</f>
        <v>0</v>
      </c>
      <c r="E113" s="107">
        <f>IFERROR(VLOOKUP(B113,'Lista por categoria'!B:F,4,0),0)</f>
        <v>0</v>
      </c>
      <c r="F113" s="107">
        <f t="shared" si="13"/>
        <v>0</v>
      </c>
    </row>
    <row r="114" spans="2:6" x14ac:dyDescent="0.25">
      <c r="B114" s="88" t="str">
        <f>'Lista por etapa'!B90</f>
        <v>Pedra brita 2 para lastro</v>
      </c>
      <c r="C114" s="91" t="str">
        <f>'Lista por etapa'!C90</f>
        <v>m3</v>
      </c>
      <c r="D114" s="87">
        <f>'Lista por etapa'!D90</f>
        <v>0.12885427734375002</v>
      </c>
      <c r="E114" s="107">
        <f>IFERROR(VLOOKUP(B114,'Lista por categoria'!B:F,4,0),0)</f>
        <v>0</v>
      </c>
      <c r="F114" s="107">
        <f t="shared" si="13"/>
        <v>0</v>
      </c>
    </row>
    <row r="115" spans="2:6" ht="15.75" x14ac:dyDescent="0.25">
      <c r="B115" s="134" t="str">
        <f>'4. Estaca'!B56</f>
        <v>Armações de aço das estacas</v>
      </c>
      <c r="C115" s="134"/>
      <c r="D115" s="134"/>
      <c r="E115" s="134"/>
      <c r="F115" s="134"/>
    </row>
    <row r="116" spans="2:6" x14ac:dyDescent="0.25">
      <c r="B116" s="108" t="s">
        <v>5</v>
      </c>
      <c r="C116" s="109" t="s">
        <v>46</v>
      </c>
      <c r="D116" s="122" t="s">
        <v>6</v>
      </c>
      <c r="E116" s="28" t="s">
        <v>1101</v>
      </c>
      <c r="F116" s="28" t="s">
        <v>1102</v>
      </c>
    </row>
    <row r="117" spans="2:6" x14ac:dyDescent="0.25">
      <c r="B117" s="88" t="str">
        <f>'Lista por etapa'!B93</f>
        <v xml:space="preserve">Barra de aço CA-25, </v>
      </c>
      <c r="C117" s="91" t="str">
        <f>'Lista por etapa'!C93</f>
        <v>Barra 12 m</v>
      </c>
      <c r="D117" s="87">
        <f>'Lista por etapa'!D93</f>
        <v>0</v>
      </c>
      <c r="E117" s="107">
        <f>IFERROR(VLOOKUP(B117,'Lista por categoria'!B:F,4,0),0)</f>
        <v>0</v>
      </c>
      <c r="F117" s="107">
        <f t="shared" ref="F117:F119" si="14">D117*E117</f>
        <v>0</v>
      </c>
    </row>
    <row r="118" spans="2:6" x14ac:dyDescent="0.25">
      <c r="B118" s="88" t="str">
        <f>'Lista por etapa'!B94</f>
        <v>Arame recozido BWG 18 (1,24mm)</v>
      </c>
      <c r="C118" s="91" t="str">
        <f>'Lista por etapa'!C94</f>
        <v>Rolo 1 kg</v>
      </c>
      <c r="D118" s="87">
        <f>'Lista por etapa'!D94</f>
        <v>0</v>
      </c>
      <c r="E118" s="107">
        <f>IFERROR(VLOOKUP(B118,'Lista por categoria'!B:F,4,0),0)</f>
        <v>0</v>
      </c>
      <c r="F118" s="107">
        <f t="shared" si="14"/>
        <v>0</v>
      </c>
    </row>
    <row r="119" spans="2:6" x14ac:dyDescent="0.25">
      <c r="B119" s="88" t="str">
        <f>'Lista por etapa'!B95</f>
        <v>Espaçadores de ferragem</v>
      </c>
      <c r="C119" s="91" t="str">
        <f>'Lista por etapa'!C95</f>
        <v>Peça</v>
      </c>
      <c r="D119" s="87">
        <f>'Lista por etapa'!D95</f>
        <v>0</v>
      </c>
      <c r="E119" s="107">
        <f>IFERROR(VLOOKUP(B119,'Lista por categoria'!B:F,4,0),0)</f>
        <v>0</v>
      </c>
      <c r="F119" s="107">
        <f t="shared" si="14"/>
        <v>0</v>
      </c>
    </row>
    <row r="120" spans="2:6" x14ac:dyDescent="0.25">
      <c r="B120" s="116" t="s">
        <v>1199</v>
      </c>
      <c r="C120" s="117" t="s">
        <v>46</v>
      </c>
      <c r="D120" s="120" t="s">
        <v>6</v>
      </c>
      <c r="E120" s="118" t="s">
        <v>1101</v>
      </c>
      <c r="F120" s="118" t="s">
        <v>1102</v>
      </c>
    </row>
    <row r="121" spans="2:6" x14ac:dyDescent="0.25">
      <c r="B121" s="88" t="s">
        <v>1205</v>
      </c>
      <c r="C121" s="91" t="s">
        <v>1204</v>
      </c>
      <c r="D121" s="87">
        <f>'Mão de Obra por etapa'!D36</f>
        <v>0</v>
      </c>
      <c r="E121" s="107">
        <f>'Mão de Obra por etapa'!E36</f>
        <v>0</v>
      </c>
      <c r="F121" s="107">
        <f>'Mão de Obra por etapa'!F36</f>
        <v>0</v>
      </c>
    </row>
    <row r="122" spans="2:6" x14ac:dyDescent="0.25">
      <c r="B122" s="88" t="s">
        <v>1200</v>
      </c>
      <c r="C122" s="91" t="s">
        <v>1204</v>
      </c>
      <c r="D122" s="87">
        <f>'Mão de Obra por etapa'!D37</f>
        <v>0</v>
      </c>
      <c r="E122" s="107">
        <f>'Mão de Obra por etapa'!E37</f>
        <v>0</v>
      </c>
      <c r="F122" s="107">
        <f>'Mão de Obra por etapa'!F37</f>
        <v>0</v>
      </c>
    </row>
    <row r="123" spans="2:6" x14ac:dyDescent="0.25">
      <c r="B123" s="88" t="s">
        <v>1206</v>
      </c>
      <c r="C123" s="91" t="s">
        <v>1204</v>
      </c>
      <c r="D123" s="87">
        <f>'Mão de Obra por etapa'!D38</f>
        <v>0</v>
      </c>
      <c r="E123" s="107">
        <f>'Mão de Obra por etapa'!E38</f>
        <v>0</v>
      </c>
      <c r="F123" s="107">
        <f>'Mão de Obra por etapa'!F38</f>
        <v>0</v>
      </c>
    </row>
    <row r="124" spans="2:6" x14ac:dyDescent="0.25">
      <c r="B124" s="88" t="s">
        <v>1201</v>
      </c>
      <c r="C124" s="91" t="s">
        <v>1204</v>
      </c>
      <c r="D124" s="87">
        <f>'Mão de Obra por etapa'!D39</f>
        <v>0</v>
      </c>
      <c r="E124" s="107">
        <f>'Mão de Obra por etapa'!E39</f>
        <v>0</v>
      </c>
      <c r="F124" s="107">
        <f>'Mão de Obra por etapa'!F39</f>
        <v>0</v>
      </c>
    </row>
    <row r="125" spans="2:6" x14ac:dyDescent="0.25">
      <c r="B125" s="88" t="s">
        <v>1202</v>
      </c>
      <c r="C125" s="91" t="s">
        <v>1204</v>
      </c>
      <c r="D125" s="87">
        <f>'Mão de Obra por etapa'!D40</f>
        <v>0</v>
      </c>
      <c r="E125" s="107">
        <f>'Mão de Obra por etapa'!E40</f>
        <v>0</v>
      </c>
      <c r="F125" s="107">
        <f>'Mão de Obra por etapa'!F40</f>
        <v>0</v>
      </c>
    </row>
    <row r="126" spans="2:6" x14ac:dyDescent="0.25">
      <c r="B126" s="88" t="s">
        <v>1203</v>
      </c>
      <c r="C126" s="91" t="s">
        <v>1204</v>
      </c>
      <c r="D126" s="87">
        <f>'Mão de Obra por etapa'!D41</f>
        <v>0</v>
      </c>
      <c r="E126" s="107">
        <f>'Mão de Obra por etapa'!E41</f>
        <v>0</v>
      </c>
      <c r="F126" s="107">
        <f>'Mão de Obra por etapa'!F41</f>
        <v>0</v>
      </c>
    </row>
    <row r="127" spans="2:6" x14ac:dyDescent="0.25">
      <c r="B127" s="142" t="s">
        <v>1207</v>
      </c>
      <c r="C127" s="143"/>
      <c r="D127" s="143"/>
      <c r="E127" s="144"/>
      <c r="F127" s="115">
        <f>SUM(F110:F114,F117:F119,F121:F126)</f>
        <v>0</v>
      </c>
    </row>
    <row r="128" spans="2:6" x14ac:dyDescent="0.25">
      <c r="B128" s="110"/>
      <c r="C128" s="110"/>
      <c r="D128" s="121"/>
      <c r="E128" s="110"/>
      <c r="F128" s="110"/>
    </row>
    <row r="129" spans="2:6" ht="18.75" x14ac:dyDescent="0.3">
      <c r="B129" s="137" t="e">
        <f>#REF!</f>
        <v>#REF!</v>
      </c>
      <c r="C129" s="137"/>
      <c r="D129" s="137"/>
      <c r="E129" s="137"/>
      <c r="F129" s="137"/>
    </row>
    <row r="130" spans="2:6" ht="15.75" x14ac:dyDescent="0.25">
      <c r="B130" s="134" t="e">
        <f>#REF!</f>
        <v>#REF!</v>
      </c>
      <c r="C130" s="134"/>
      <c r="D130" s="134"/>
      <c r="E130" s="134"/>
      <c r="F130" s="134"/>
    </row>
    <row r="131" spans="2:6" x14ac:dyDescent="0.25">
      <c r="B131" s="108" t="s">
        <v>5</v>
      </c>
      <c r="C131" s="109" t="s">
        <v>46</v>
      </c>
      <c r="D131" s="122" t="s">
        <v>6</v>
      </c>
      <c r="E131" s="28" t="s">
        <v>1101</v>
      </c>
      <c r="F131" s="28" t="s">
        <v>1102</v>
      </c>
    </row>
    <row r="132" spans="2:6" x14ac:dyDescent="0.25">
      <c r="B132" s="88" t="e">
        <f>'Lista por etapa'!B100</f>
        <v>#REF!</v>
      </c>
      <c r="C132" s="91" t="e">
        <f>'Lista por etapa'!C100</f>
        <v>#REF!</v>
      </c>
      <c r="D132" s="87" t="e">
        <f>'Lista por etapa'!D100</f>
        <v>#REF!</v>
      </c>
      <c r="E132" s="107">
        <f>IFERROR(VLOOKUP(B132,'Lista por categoria'!B:F,4,0),0)</f>
        <v>0</v>
      </c>
      <c r="F132" s="107" t="e">
        <f t="shared" ref="F132:F135" si="15">D132*E132</f>
        <v>#REF!</v>
      </c>
    </row>
    <row r="133" spans="2:6" x14ac:dyDescent="0.25">
      <c r="B133" s="88" t="e">
        <f>'Lista por etapa'!B101</f>
        <v>#REF!</v>
      </c>
      <c r="C133" s="91" t="e">
        <f>'Lista por etapa'!C101</f>
        <v>#REF!</v>
      </c>
      <c r="D133" s="87" t="e">
        <f>'Lista por etapa'!D101</f>
        <v>#REF!</v>
      </c>
      <c r="E133" s="107">
        <f>IFERROR(VLOOKUP(B133,'Lista por categoria'!B:F,4,0),0)</f>
        <v>0</v>
      </c>
      <c r="F133" s="107" t="e">
        <f t="shared" si="15"/>
        <v>#REF!</v>
      </c>
    </row>
    <row r="134" spans="2:6" x14ac:dyDescent="0.25">
      <c r="B134" s="88" t="e">
        <f>'Lista por etapa'!B102</f>
        <v>#REF!</v>
      </c>
      <c r="C134" s="91" t="e">
        <f>'Lista por etapa'!C102</f>
        <v>#REF!</v>
      </c>
      <c r="D134" s="87" t="e">
        <f>'Lista por etapa'!D102</f>
        <v>#REF!</v>
      </c>
      <c r="E134" s="107">
        <f>IFERROR(VLOOKUP(B134,'Lista por categoria'!B:F,4,0),0)</f>
        <v>0</v>
      </c>
      <c r="F134" s="107" t="e">
        <f t="shared" si="15"/>
        <v>#REF!</v>
      </c>
    </row>
    <row r="135" spans="2:6" x14ac:dyDescent="0.25">
      <c r="B135" s="88" t="e">
        <f>'Lista por etapa'!B103</f>
        <v>#REF!</v>
      </c>
      <c r="C135" s="91" t="e">
        <f>'Lista por etapa'!C103</f>
        <v>#REF!</v>
      </c>
      <c r="D135" s="87" t="e">
        <f>'Lista por etapa'!D103</f>
        <v>#REF!</v>
      </c>
      <c r="E135" s="107">
        <f>IFERROR(VLOOKUP(B135,'Lista por categoria'!B:F,4,0),0)</f>
        <v>0</v>
      </c>
      <c r="F135" s="107" t="e">
        <f t="shared" si="15"/>
        <v>#REF!</v>
      </c>
    </row>
    <row r="136" spans="2:6" ht="15.75" x14ac:dyDescent="0.25">
      <c r="B136" s="134" t="e">
        <f>#REF!</f>
        <v>#REF!</v>
      </c>
      <c r="C136" s="134"/>
      <c r="D136" s="134"/>
      <c r="E136" s="134"/>
      <c r="F136" s="134"/>
    </row>
    <row r="137" spans="2:6" x14ac:dyDescent="0.25">
      <c r="B137" s="108" t="s">
        <v>5</v>
      </c>
      <c r="C137" s="109" t="s">
        <v>46</v>
      </c>
      <c r="D137" s="122" t="s">
        <v>6</v>
      </c>
      <c r="E137" s="28" t="s">
        <v>1101</v>
      </c>
      <c r="F137" s="28" t="s">
        <v>1102</v>
      </c>
    </row>
    <row r="138" spans="2:6" x14ac:dyDescent="0.25">
      <c r="B138" s="88" t="e">
        <f>'Lista por etapa'!B106</f>
        <v>#REF!</v>
      </c>
      <c r="C138" s="91" t="e">
        <f>'Lista por etapa'!C106</f>
        <v>#REF!</v>
      </c>
      <c r="D138" s="87" t="e">
        <f>'Lista por etapa'!D106</f>
        <v>#REF!</v>
      </c>
      <c r="E138" s="107">
        <f>IFERROR(VLOOKUP(B138,'Lista por categoria'!B:F,4,0),0)</f>
        <v>0</v>
      </c>
      <c r="F138" s="107" t="e">
        <f>D138*E138</f>
        <v>#REF!</v>
      </c>
    </row>
    <row r="139" spans="2:6" ht="15.75" x14ac:dyDescent="0.25">
      <c r="B139" s="134" t="e">
        <f>#REF!</f>
        <v>#REF!</v>
      </c>
      <c r="C139" s="134"/>
      <c r="D139" s="134"/>
      <c r="E139" s="134"/>
      <c r="F139" s="134"/>
    </row>
    <row r="140" spans="2:6" x14ac:dyDescent="0.25">
      <c r="B140" s="108" t="s">
        <v>5</v>
      </c>
      <c r="C140" s="109" t="s">
        <v>46</v>
      </c>
      <c r="D140" s="122" t="s">
        <v>6</v>
      </c>
      <c r="E140" s="28" t="s">
        <v>1101</v>
      </c>
      <c r="F140" s="28" t="s">
        <v>1102</v>
      </c>
    </row>
    <row r="141" spans="2:6" x14ac:dyDescent="0.25">
      <c r="B141" s="88" t="e">
        <f>'Lista por etapa'!B109</f>
        <v>#REF!</v>
      </c>
      <c r="C141" s="91" t="e">
        <f>'Lista por etapa'!C109</f>
        <v>#REF!</v>
      </c>
      <c r="D141" s="87" t="e">
        <f>'Lista por etapa'!D109</f>
        <v>#REF!</v>
      </c>
      <c r="E141" s="107">
        <f>IFERROR(VLOOKUP(B141,'Lista por categoria'!B:F,4,0),0)</f>
        <v>0</v>
      </c>
      <c r="F141" s="107" t="e">
        <f t="shared" ref="F141:F143" si="16">D141*E141</f>
        <v>#REF!</v>
      </c>
    </row>
    <row r="142" spans="2:6" x14ac:dyDescent="0.25">
      <c r="B142" s="88" t="e">
        <f>'Lista por etapa'!B110</f>
        <v>#REF!</v>
      </c>
      <c r="C142" s="91" t="e">
        <f>'Lista por etapa'!C110</f>
        <v>#REF!</v>
      </c>
      <c r="D142" s="87" t="e">
        <f>'Lista por etapa'!D110</f>
        <v>#REF!</v>
      </c>
      <c r="E142" s="107">
        <f>IFERROR(VLOOKUP(B142,'Lista por categoria'!B:F,4,0),0)</f>
        <v>0</v>
      </c>
      <c r="F142" s="107" t="e">
        <f t="shared" si="16"/>
        <v>#REF!</v>
      </c>
    </row>
    <row r="143" spans="2:6" x14ac:dyDescent="0.25">
      <c r="B143" s="88" t="e">
        <f>'Lista por etapa'!B111</f>
        <v>#REF!</v>
      </c>
      <c r="C143" s="91" t="e">
        <f>'Lista por etapa'!C111</f>
        <v>#REF!</v>
      </c>
      <c r="D143" s="87" t="e">
        <f>'Lista por etapa'!D111</f>
        <v>#REF!</v>
      </c>
      <c r="E143" s="107">
        <f>IFERROR(VLOOKUP(B143,'Lista por categoria'!B:F,4,0),0)</f>
        <v>0</v>
      </c>
      <c r="F143" s="107" t="e">
        <f t="shared" si="16"/>
        <v>#REF!</v>
      </c>
    </row>
    <row r="144" spans="2:6" ht="15.75" x14ac:dyDescent="0.25">
      <c r="B144" s="134" t="e">
        <f>#REF!</f>
        <v>#REF!</v>
      </c>
      <c r="C144" s="134"/>
      <c r="D144" s="134"/>
      <c r="E144" s="134"/>
      <c r="F144" s="134"/>
    </row>
    <row r="145" spans="2:6" x14ac:dyDescent="0.25">
      <c r="B145" s="108" t="s">
        <v>5</v>
      </c>
      <c r="C145" s="109" t="s">
        <v>46</v>
      </c>
      <c r="D145" s="122" t="s">
        <v>6</v>
      </c>
      <c r="E145" s="28" t="s">
        <v>1101</v>
      </c>
      <c r="F145" s="28" t="s">
        <v>1102</v>
      </c>
    </row>
    <row r="146" spans="2:6" x14ac:dyDescent="0.25">
      <c r="B146" s="88" t="e">
        <f>'Lista por etapa'!B114</f>
        <v>#REF!</v>
      </c>
      <c r="C146" s="91" t="e">
        <f>'Lista por etapa'!C114</f>
        <v>#REF!</v>
      </c>
      <c r="D146" s="87" t="e">
        <f>'Lista por etapa'!D114</f>
        <v>#REF!</v>
      </c>
      <c r="E146" s="107">
        <f>IFERROR(VLOOKUP(B146,'Lista por categoria'!B:F,4,0),0)</f>
        <v>0</v>
      </c>
      <c r="F146" s="107" t="e">
        <f t="shared" ref="F146:F147" si="17">D146*E146</f>
        <v>#REF!</v>
      </c>
    </row>
    <row r="147" spans="2:6" x14ac:dyDescent="0.25">
      <c r="B147" s="88" t="e">
        <f>'Lista por etapa'!B115</f>
        <v>#REF!</v>
      </c>
      <c r="C147" s="91" t="e">
        <f>'Lista por etapa'!C115</f>
        <v>#REF!</v>
      </c>
      <c r="D147" s="87" t="e">
        <f>'Lista por etapa'!D115</f>
        <v>#REF!</v>
      </c>
      <c r="E147" s="107">
        <f>IFERROR(VLOOKUP(B147,'Lista por categoria'!B:F,4,0),0)</f>
        <v>0</v>
      </c>
      <c r="F147" s="107" t="e">
        <f t="shared" si="17"/>
        <v>#REF!</v>
      </c>
    </row>
    <row r="148" spans="2:6" ht="15.75" x14ac:dyDescent="0.25">
      <c r="B148" s="134" t="e">
        <f>#REF!</f>
        <v>#REF!</v>
      </c>
      <c r="C148" s="134"/>
      <c r="D148" s="134"/>
      <c r="E148" s="134"/>
      <c r="F148" s="134"/>
    </row>
    <row r="149" spans="2:6" x14ac:dyDescent="0.25">
      <c r="B149" s="108" t="s">
        <v>5</v>
      </c>
      <c r="C149" s="109" t="s">
        <v>46</v>
      </c>
      <c r="D149" s="122" t="s">
        <v>6</v>
      </c>
      <c r="E149" s="28" t="s">
        <v>1101</v>
      </c>
      <c r="F149" s="28" t="s">
        <v>1102</v>
      </c>
    </row>
    <row r="150" spans="2:6" x14ac:dyDescent="0.25">
      <c r="B150" s="88" t="e">
        <f>'Lista por etapa'!B118</f>
        <v>#REF!</v>
      </c>
      <c r="C150" s="91" t="e">
        <f>'Lista por etapa'!C118</f>
        <v>#REF!</v>
      </c>
      <c r="D150" s="87" t="e">
        <f>'Lista por etapa'!D118</f>
        <v>#REF!</v>
      </c>
      <c r="E150" s="107">
        <f>IFERROR(VLOOKUP(B150,'Lista por categoria'!B:F,4,0),0)</f>
        <v>0</v>
      </c>
      <c r="F150" s="107" t="e">
        <f t="shared" ref="F150:F152" si="18">D150*E150</f>
        <v>#REF!</v>
      </c>
    </row>
    <row r="151" spans="2:6" x14ac:dyDescent="0.25">
      <c r="B151" s="88" t="e">
        <f>'Lista por etapa'!B119</f>
        <v>#REF!</v>
      </c>
      <c r="C151" s="91" t="e">
        <f>'Lista por etapa'!C119</f>
        <v>#REF!</v>
      </c>
      <c r="D151" s="87" t="e">
        <f>'Lista por etapa'!D119</f>
        <v>#REF!</v>
      </c>
      <c r="E151" s="107">
        <f>IFERROR(VLOOKUP(B151,'Lista por categoria'!B:F,4,0),0)</f>
        <v>0</v>
      </c>
      <c r="F151" s="107" t="e">
        <f t="shared" si="18"/>
        <v>#REF!</v>
      </c>
    </row>
    <row r="152" spans="2:6" x14ac:dyDescent="0.25">
      <c r="B152" s="88" t="e">
        <f>'Lista por etapa'!B120</f>
        <v>#REF!</v>
      </c>
      <c r="C152" s="91" t="e">
        <f>'Lista por etapa'!C120</f>
        <v>#REF!</v>
      </c>
      <c r="D152" s="87" t="e">
        <f>'Lista por etapa'!D120</f>
        <v>#REF!</v>
      </c>
      <c r="E152" s="107">
        <f>IFERROR(VLOOKUP(B152,'Lista por categoria'!B:F,4,0),0)</f>
        <v>0</v>
      </c>
      <c r="F152" s="107" t="e">
        <f t="shared" si="18"/>
        <v>#REF!</v>
      </c>
    </row>
    <row r="153" spans="2:6" x14ac:dyDescent="0.25">
      <c r="B153" s="116" t="s">
        <v>1199</v>
      </c>
      <c r="C153" s="117" t="s">
        <v>46</v>
      </c>
      <c r="D153" s="120" t="s">
        <v>6</v>
      </c>
      <c r="E153" s="118" t="s">
        <v>1101</v>
      </c>
      <c r="F153" s="118" t="s">
        <v>1102</v>
      </c>
    </row>
    <row r="154" spans="2:6" x14ac:dyDescent="0.25">
      <c r="B154" s="88" t="s">
        <v>1205</v>
      </c>
      <c r="C154" s="91" t="s">
        <v>1204</v>
      </c>
      <c r="D154" s="87">
        <f>'Mão de Obra por etapa'!D45</f>
        <v>0</v>
      </c>
      <c r="E154" s="107">
        <f>'Mão de Obra por etapa'!E45</f>
        <v>0</v>
      </c>
      <c r="F154" s="107">
        <f>'Mão de Obra por etapa'!F45</f>
        <v>0</v>
      </c>
    </row>
    <row r="155" spans="2:6" x14ac:dyDescent="0.25">
      <c r="B155" s="88" t="s">
        <v>1200</v>
      </c>
      <c r="C155" s="91" t="s">
        <v>1204</v>
      </c>
      <c r="D155" s="87">
        <f>'Mão de Obra por etapa'!D46</f>
        <v>0</v>
      </c>
      <c r="E155" s="107">
        <f>'Mão de Obra por etapa'!E46</f>
        <v>0</v>
      </c>
      <c r="F155" s="107">
        <f>'Mão de Obra por etapa'!F46</f>
        <v>0</v>
      </c>
    </row>
    <row r="156" spans="2:6" x14ac:dyDescent="0.25">
      <c r="B156" s="88" t="s">
        <v>1206</v>
      </c>
      <c r="C156" s="91" t="s">
        <v>1204</v>
      </c>
      <c r="D156" s="87">
        <f>'Mão de Obra por etapa'!D47</f>
        <v>0</v>
      </c>
      <c r="E156" s="107">
        <f>'Mão de Obra por etapa'!E47</f>
        <v>0</v>
      </c>
      <c r="F156" s="107">
        <f>'Mão de Obra por etapa'!F47</f>
        <v>0</v>
      </c>
    </row>
    <row r="157" spans="2:6" x14ac:dyDescent="0.25">
      <c r="B157" s="88" t="s">
        <v>1201</v>
      </c>
      <c r="C157" s="91" t="s">
        <v>1204</v>
      </c>
      <c r="D157" s="87">
        <f>'Mão de Obra por etapa'!D48</f>
        <v>0</v>
      </c>
      <c r="E157" s="107">
        <f>'Mão de Obra por etapa'!E48</f>
        <v>0</v>
      </c>
      <c r="F157" s="107">
        <f>'Mão de Obra por etapa'!F48</f>
        <v>0</v>
      </c>
    </row>
    <row r="158" spans="2:6" x14ac:dyDescent="0.25">
      <c r="B158" s="88" t="s">
        <v>1202</v>
      </c>
      <c r="C158" s="91" t="s">
        <v>1204</v>
      </c>
      <c r="D158" s="87">
        <f>'Mão de Obra por etapa'!D49</f>
        <v>0</v>
      </c>
      <c r="E158" s="107">
        <f>'Mão de Obra por etapa'!E49</f>
        <v>0</v>
      </c>
      <c r="F158" s="107">
        <f>'Mão de Obra por etapa'!F49</f>
        <v>0</v>
      </c>
    </row>
    <row r="159" spans="2:6" x14ac:dyDescent="0.25">
      <c r="B159" s="88" t="s">
        <v>1203</v>
      </c>
      <c r="C159" s="91" t="s">
        <v>1204</v>
      </c>
      <c r="D159" s="87">
        <f>'Mão de Obra por etapa'!D50</f>
        <v>0</v>
      </c>
      <c r="E159" s="107">
        <f>'Mão de Obra por etapa'!E50</f>
        <v>0</v>
      </c>
      <c r="F159" s="107">
        <f>'Mão de Obra por etapa'!F50</f>
        <v>0</v>
      </c>
    </row>
    <row r="160" spans="2:6" x14ac:dyDescent="0.25">
      <c r="B160" s="142" t="s">
        <v>1207</v>
      </c>
      <c r="C160" s="143"/>
      <c r="D160" s="143"/>
      <c r="E160" s="144"/>
      <c r="F160" s="115" t="e">
        <f>SUM(F132:F135,F138,F141:F143,F146:F147,F150:F152,F154:F159)</f>
        <v>#REF!</v>
      </c>
    </row>
    <row r="161" spans="2:6" x14ac:dyDescent="0.25">
      <c r="B161" s="110"/>
      <c r="C161" s="110"/>
      <c r="D161" s="121"/>
      <c r="E161" s="110"/>
      <c r="F161" s="110"/>
    </row>
    <row r="162" spans="2:6" ht="18.75" x14ac:dyDescent="0.3">
      <c r="B162" s="137" t="str">
        <f>'5. Paredes com Tijolos'!B2:D2</f>
        <v>Paredes com Tijolo Cerâmicos</v>
      </c>
      <c r="C162" s="137"/>
      <c r="D162" s="137"/>
      <c r="E162" s="137"/>
      <c r="F162" s="137"/>
    </row>
    <row r="163" spans="2:6" ht="15.75" x14ac:dyDescent="0.25">
      <c r="B163" s="134" t="str">
        <f>'5. Paredes com Tijolos'!B5:D5</f>
        <v>Tijolos cerâmicos</v>
      </c>
      <c r="C163" s="134"/>
      <c r="D163" s="134"/>
      <c r="E163" s="134"/>
      <c r="F163" s="134"/>
    </row>
    <row r="164" spans="2:6" x14ac:dyDescent="0.25">
      <c r="B164" s="108" t="s">
        <v>5</v>
      </c>
      <c r="C164" s="109" t="s">
        <v>46</v>
      </c>
      <c r="D164" s="122" t="s">
        <v>6</v>
      </c>
      <c r="E164" s="28" t="s">
        <v>1101</v>
      </c>
      <c r="F164" s="28" t="s">
        <v>1102</v>
      </c>
    </row>
    <row r="165" spans="2:6" x14ac:dyDescent="0.25">
      <c r="B165" s="88" t="str">
        <f>'Lista por etapa'!B125</f>
        <v xml:space="preserve">Bloco cerâmico de vedação, </v>
      </c>
      <c r="C165" s="91" t="str">
        <f>'Lista por etapa'!C125</f>
        <v>Peça</v>
      </c>
      <c r="D165" s="87">
        <f>'Lista por etapa'!D125</f>
        <v>0</v>
      </c>
      <c r="E165" s="107">
        <f>IFERROR(VLOOKUP(B165,'Lista por categoria'!B:F,4,0),0)</f>
        <v>0</v>
      </c>
      <c r="F165" s="107">
        <f>D165*E165</f>
        <v>0</v>
      </c>
    </row>
    <row r="166" spans="2:6" ht="15.75" x14ac:dyDescent="0.25">
      <c r="B166" s="134" t="str">
        <f>'5. Paredes com Tijolos'!B41:D41</f>
        <v>Argamassa</v>
      </c>
      <c r="C166" s="134"/>
      <c r="D166" s="134"/>
      <c r="E166" s="134"/>
      <c r="F166" s="134"/>
    </row>
    <row r="167" spans="2:6" x14ac:dyDescent="0.25">
      <c r="B167" s="108" t="s">
        <v>5</v>
      </c>
      <c r="C167" s="109" t="s">
        <v>46</v>
      </c>
      <c r="D167" s="122" t="s">
        <v>6</v>
      </c>
      <c r="E167" s="28" t="s">
        <v>1101</v>
      </c>
      <c r="F167" s="28" t="s">
        <v>1102</v>
      </c>
    </row>
    <row r="168" spans="2:6" x14ac:dyDescent="0.25">
      <c r="B168" s="88" t="str">
        <f>'Lista por etapa'!B128</f>
        <v>Cimento CP II</v>
      </c>
      <c r="C168" s="91" t="str">
        <f>'Lista por etapa'!C128</f>
        <v>Saco 50kg</v>
      </c>
      <c r="D168" s="87">
        <f>'Lista por etapa'!D128</f>
        <v>0</v>
      </c>
      <c r="E168" s="107">
        <f>IFERROR(VLOOKUP(B168,'Lista por categoria'!B:F,4,0),0)</f>
        <v>0</v>
      </c>
      <c r="F168" s="107">
        <f t="shared" ref="F168:F171" si="19">D168*E168</f>
        <v>0</v>
      </c>
    </row>
    <row r="169" spans="2:6" x14ac:dyDescent="0.25">
      <c r="B169" s="88" t="str">
        <f>'Lista por etapa'!B129</f>
        <v>Areia média</v>
      </c>
      <c r="C169" s="91" t="str">
        <f>'Lista por etapa'!C129</f>
        <v>m3</v>
      </c>
      <c r="D169" s="87">
        <f>'Lista por etapa'!D129</f>
        <v>0</v>
      </c>
      <c r="E169" s="107">
        <f>IFERROR(VLOOKUP(B169,'Lista por categoria'!B:F,4,0),0)</f>
        <v>0</v>
      </c>
      <c r="F169" s="107">
        <f t="shared" si="19"/>
        <v>0</v>
      </c>
    </row>
    <row r="170" spans="2:6" x14ac:dyDescent="0.25">
      <c r="B170" s="88" t="str">
        <f>'Lista por etapa'!B130</f>
        <v>Cal hidratada para construção civil</v>
      </c>
      <c r="C170" s="91" t="str">
        <f>'Lista por etapa'!C130</f>
        <v>Saco 20 kg</v>
      </c>
      <c r="D170" s="87">
        <f>'Lista por etapa'!D130</f>
        <v>0</v>
      </c>
      <c r="E170" s="107">
        <f>IFERROR(VLOOKUP(B170,'Lista por categoria'!B:F,4,0),0)</f>
        <v>0</v>
      </c>
      <c r="F170" s="107">
        <f t="shared" si="19"/>
        <v>0</v>
      </c>
    </row>
    <row r="171" spans="2:6" x14ac:dyDescent="0.25">
      <c r="B171" s="88" t="str">
        <f>'Lista por etapa'!B131</f>
        <v>Aditivo plastificante Alvenarit</v>
      </c>
      <c r="C171" s="91" t="str">
        <f>'Lista por etapa'!C131</f>
        <v>Litros</v>
      </c>
      <c r="D171" s="87">
        <f>'Lista por etapa'!D131</f>
        <v>0</v>
      </c>
      <c r="E171" s="107">
        <f>IFERROR(VLOOKUP(B171,'Lista por categoria'!B:F,4,0),0)</f>
        <v>0</v>
      </c>
      <c r="F171" s="107">
        <f t="shared" si="19"/>
        <v>0</v>
      </c>
    </row>
    <row r="172" spans="2:6" ht="15.75" x14ac:dyDescent="0.25">
      <c r="B172" s="134" t="str">
        <f>'5. Paredes com Tijolos'!B93:D93</f>
        <v>Vergas e contravergas</v>
      </c>
      <c r="C172" s="134"/>
      <c r="D172" s="134"/>
      <c r="E172" s="134"/>
      <c r="F172" s="134"/>
    </row>
    <row r="173" spans="2:6" x14ac:dyDescent="0.25">
      <c r="B173" s="108" t="s">
        <v>5</v>
      </c>
      <c r="C173" s="109" t="s">
        <v>46</v>
      </c>
      <c r="D173" s="122" t="s">
        <v>6</v>
      </c>
      <c r="E173" s="28" t="s">
        <v>1101</v>
      </c>
      <c r="F173" s="28" t="s">
        <v>1102</v>
      </c>
    </row>
    <row r="174" spans="2:6" x14ac:dyDescent="0.25">
      <c r="B174" s="88" t="str">
        <f>'Lista por etapa'!B134</f>
        <v/>
      </c>
      <c r="C174" s="91" t="str">
        <f>'Lista por etapa'!C134</f>
        <v>Peça</v>
      </c>
      <c r="D174" s="87">
        <f>'Lista por etapa'!D134</f>
        <v>0</v>
      </c>
      <c r="E174" s="107">
        <f>IFERROR(VLOOKUP(B174,'Lista por categoria'!B:F,4,0),0)</f>
        <v>0</v>
      </c>
      <c r="F174" s="107">
        <f t="shared" ref="F174:F178" si="20">D174*E174</f>
        <v>0</v>
      </c>
    </row>
    <row r="175" spans="2:6" x14ac:dyDescent="0.25">
      <c r="B175" s="88" t="str">
        <f>'Lista por etapa'!B135</f>
        <v>Barra de aço CA-25, 10mm (⅜'')</v>
      </c>
      <c r="C175" s="91" t="str">
        <f>'Lista por etapa'!C135</f>
        <v>Barra 12 m</v>
      </c>
      <c r="D175" s="87">
        <f>'Lista por etapa'!D135</f>
        <v>0</v>
      </c>
      <c r="E175" s="107">
        <f>IFERROR(VLOOKUP(B175,'Lista por categoria'!B:F,4,0),0)</f>
        <v>0</v>
      </c>
      <c r="F175" s="107">
        <f t="shared" si="20"/>
        <v>0</v>
      </c>
    </row>
    <row r="176" spans="2:6" x14ac:dyDescent="0.25">
      <c r="B176" s="88" t="str">
        <f>'Lista por etapa'!B136</f>
        <v>Cimento CP III</v>
      </c>
      <c r="C176" s="91" t="str">
        <f>'Lista por etapa'!C136</f>
        <v>Saco 50kg</v>
      </c>
      <c r="D176" s="87">
        <f>'Lista por etapa'!D136</f>
        <v>0</v>
      </c>
      <c r="E176" s="107">
        <f>IFERROR(VLOOKUP(B176,'Lista por categoria'!B:F,4,0),0)</f>
        <v>0</v>
      </c>
      <c r="F176" s="107">
        <f t="shared" si="20"/>
        <v>0</v>
      </c>
    </row>
    <row r="177" spans="2:6" x14ac:dyDescent="0.25">
      <c r="B177" s="88" t="str">
        <f>'Lista por etapa'!B137</f>
        <v>Areia média</v>
      </c>
      <c r="C177" s="91" t="str">
        <f>'Lista por etapa'!C137</f>
        <v>m3</v>
      </c>
      <c r="D177" s="87">
        <f>'Lista por etapa'!D137</f>
        <v>0</v>
      </c>
      <c r="E177" s="107">
        <f>IFERROR(VLOOKUP(B177,'Lista por categoria'!B:F,4,0),0)</f>
        <v>0</v>
      </c>
      <c r="F177" s="107">
        <f t="shared" si="20"/>
        <v>0</v>
      </c>
    </row>
    <row r="178" spans="2:6" x14ac:dyDescent="0.25">
      <c r="B178" s="88" t="str">
        <f>'Lista por etapa'!B138</f>
        <v>Pedra brita 1</v>
      </c>
      <c r="C178" s="91" t="str">
        <f>'Lista por etapa'!C138</f>
        <v>m3</v>
      </c>
      <c r="D178" s="87">
        <f>'Lista por etapa'!D138</f>
        <v>0</v>
      </c>
      <c r="E178" s="107">
        <f>IFERROR(VLOOKUP(B178,'Lista por categoria'!B:F,4,0),0)</f>
        <v>0</v>
      </c>
      <c r="F178" s="107">
        <f t="shared" si="20"/>
        <v>0</v>
      </c>
    </row>
    <row r="179" spans="2:6" x14ac:dyDescent="0.25">
      <c r="B179" s="116" t="s">
        <v>1199</v>
      </c>
      <c r="C179" s="117" t="s">
        <v>46</v>
      </c>
      <c r="D179" s="120" t="s">
        <v>6</v>
      </c>
      <c r="E179" s="118" t="s">
        <v>1101</v>
      </c>
      <c r="F179" s="118" t="s">
        <v>1102</v>
      </c>
    </row>
    <row r="180" spans="2:6" x14ac:dyDescent="0.25">
      <c r="B180" s="88" t="s">
        <v>1205</v>
      </c>
      <c r="C180" s="91" t="s">
        <v>1204</v>
      </c>
      <c r="D180" s="87">
        <f>'Mão de Obra por etapa'!D54</f>
        <v>0</v>
      </c>
      <c r="E180" s="107">
        <f>'Mão de Obra por etapa'!E54</f>
        <v>0</v>
      </c>
      <c r="F180" s="107">
        <f>'Mão de Obra por etapa'!F54</f>
        <v>0</v>
      </c>
    </row>
    <row r="181" spans="2:6" x14ac:dyDescent="0.25">
      <c r="B181" s="88" t="s">
        <v>1200</v>
      </c>
      <c r="C181" s="91" t="s">
        <v>1204</v>
      </c>
      <c r="D181" s="87">
        <f>'Mão de Obra por etapa'!D55</f>
        <v>0</v>
      </c>
      <c r="E181" s="107">
        <f>'Mão de Obra por etapa'!E55</f>
        <v>0</v>
      </c>
      <c r="F181" s="107">
        <f>'Mão de Obra por etapa'!F55</f>
        <v>0</v>
      </c>
    </row>
    <row r="182" spans="2:6" x14ac:dyDescent="0.25">
      <c r="B182" s="88" t="s">
        <v>1206</v>
      </c>
      <c r="C182" s="91" t="s">
        <v>1204</v>
      </c>
      <c r="D182" s="87">
        <f>'Mão de Obra por etapa'!D56</f>
        <v>0</v>
      </c>
      <c r="E182" s="107">
        <f>'Mão de Obra por etapa'!E56</f>
        <v>0</v>
      </c>
      <c r="F182" s="107">
        <f>'Mão de Obra por etapa'!F56</f>
        <v>0</v>
      </c>
    </row>
    <row r="183" spans="2:6" x14ac:dyDescent="0.25">
      <c r="B183" s="88" t="s">
        <v>1201</v>
      </c>
      <c r="C183" s="91" t="s">
        <v>1204</v>
      </c>
      <c r="D183" s="87">
        <f>'Mão de Obra por etapa'!D57</f>
        <v>0</v>
      </c>
      <c r="E183" s="107">
        <f>'Mão de Obra por etapa'!E57</f>
        <v>0</v>
      </c>
      <c r="F183" s="107">
        <f>'Mão de Obra por etapa'!F57</f>
        <v>0</v>
      </c>
    </row>
    <row r="184" spans="2:6" x14ac:dyDescent="0.25">
      <c r="B184" s="88" t="s">
        <v>1202</v>
      </c>
      <c r="C184" s="91" t="s">
        <v>1204</v>
      </c>
      <c r="D184" s="87">
        <f>'Mão de Obra por etapa'!D58</f>
        <v>0</v>
      </c>
      <c r="E184" s="107">
        <f>'Mão de Obra por etapa'!E58</f>
        <v>0</v>
      </c>
      <c r="F184" s="107">
        <f>'Mão de Obra por etapa'!F58</f>
        <v>0</v>
      </c>
    </row>
    <row r="185" spans="2:6" x14ac:dyDescent="0.25">
      <c r="B185" s="88" t="s">
        <v>1203</v>
      </c>
      <c r="C185" s="91" t="s">
        <v>1204</v>
      </c>
      <c r="D185" s="87">
        <f>'Mão de Obra por etapa'!D59</f>
        <v>0</v>
      </c>
      <c r="E185" s="107">
        <f>'Mão de Obra por etapa'!E59</f>
        <v>0</v>
      </c>
      <c r="F185" s="107">
        <f>'Mão de Obra por etapa'!F59</f>
        <v>0</v>
      </c>
    </row>
    <row r="186" spans="2:6" x14ac:dyDescent="0.25">
      <c r="B186" s="142" t="s">
        <v>1207</v>
      </c>
      <c r="C186" s="143"/>
      <c r="D186" s="143"/>
      <c r="E186" s="144"/>
      <c r="F186" s="115">
        <f>SUM(F165,F168:F171,F174:F178,F180:F185)</f>
        <v>0</v>
      </c>
    </row>
    <row r="187" spans="2:6" x14ac:dyDescent="0.25">
      <c r="B187" s="110"/>
      <c r="C187" s="110"/>
      <c r="D187" s="121"/>
      <c r="E187" s="110"/>
      <c r="F187" s="110"/>
    </row>
    <row r="188" spans="2:6" ht="18.75" x14ac:dyDescent="0.3">
      <c r="B188" s="137" t="str">
        <f>'6. Paredes com Blocos'!B2:D2</f>
        <v>Paredes com Blocos de Concreto</v>
      </c>
      <c r="C188" s="137"/>
      <c r="D188" s="137"/>
      <c r="E188" s="137"/>
      <c r="F188" s="137"/>
    </row>
    <row r="189" spans="2:6" ht="15.75" x14ac:dyDescent="0.25">
      <c r="B189" s="134" t="str">
        <f>'6. Paredes com Blocos'!B6:D6</f>
        <v>Blocos de concreto</v>
      </c>
      <c r="C189" s="134"/>
      <c r="D189" s="134"/>
      <c r="E189" s="134"/>
      <c r="F189" s="134"/>
    </row>
    <row r="190" spans="2:6" x14ac:dyDescent="0.25">
      <c r="B190" s="108" t="s">
        <v>5</v>
      </c>
      <c r="C190" s="109" t="s">
        <v>46</v>
      </c>
      <c r="D190" s="122" t="s">
        <v>6</v>
      </c>
      <c r="E190" s="28" t="s">
        <v>1101</v>
      </c>
      <c r="F190" s="28" t="s">
        <v>1102</v>
      </c>
    </row>
    <row r="191" spans="2:6" x14ac:dyDescent="0.25">
      <c r="B191" s="88" t="str">
        <f>'Lista por etapa'!B143</f>
        <v xml:space="preserve">Bloco de concreto vedação, </v>
      </c>
      <c r="C191" s="91" t="str">
        <f>'Lista por etapa'!C143</f>
        <v>Peça</v>
      </c>
      <c r="D191" s="87">
        <f>'Lista por etapa'!D143</f>
        <v>0</v>
      </c>
      <c r="E191" s="107">
        <f>IFERROR(VLOOKUP(B191,'Lista por categoria'!B:F,4,0),0)</f>
        <v>0</v>
      </c>
      <c r="F191" s="107">
        <f>D191*E191</f>
        <v>0</v>
      </c>
    </row>
    <row r="192" spans="2:6" ht="15.75" x14ac:dyDescent="0.25">
      <c r="B192" s="134" t="str">
        <f>'6. Paredes com Blocos'!B34:D34</f>
        <v>Argamassa</v>
      </c>
      <c r="C192" s="134"/>
      <c r="D192" s="134"/>
      <c r="E192" s="134"/>
      <c r="F192" s="134"/>
    </row>
    <row r="193" spans="2:6" x14ac:dyDescent="0.25">
      <c r="B193" s="108" t="s">
        <v>5</v>
      </c>
      <c r="C193" s="109" t="s">
        <v>46</v>
      </c>
      <c r="D193" s="122" t="s">
        <v>6</v>
      </c>
      <c r="E193" s="28" t="s">
        <v>1101</v>
      </c>
      <c r="F193" s="28" t="s">
        <v>1102</v>
      </c>
    </row>
    <row r="194" spans="2:6" x14ac:dyDescent="0.25">
      <c r="B194" s="88" t="str">
        <f>'Lista por etapa'!B146</f>
        <v>Cimento CP II</v>
      </c>
      <c r="C194" s="91" t="str">
        <f>'Lista por etapa'!C146</f>
        <v>Saco 50kg</v>
      </c>
      <c r="D194" s="87">
        <f>'Lista por etapa'!D146</f>
        <v>0</v>
      </c>
      <c r="E194" s="107">
        <f>IFERROR(VLOOKUP(B194,'Lista por categoria'!B:F,4,0),0)</f>
        <v>0</v>
      </c>
      <c r="F194" s="107">
        <f t="shared" ref="F194:F197" si="21">D194*E194</f>
        <v>0</v>
      </c>
    </row>
    <row r="195" spans="2:6" x14ac:dyDescent="0.25">
      <c r="B195" s="88" t="str">
        <f>'Lista por etapa'!B147</f>
        <v>Areia média</v>
      </c>
      <c r="C195" s="91" t="str">
        <f>'Lista por etapa'!C147</f>
        <v>m3</v>
      </c>
      <c r="D195" s="87">
        <f>'Lista por etapa'!D147</f>
        <v>0</v>
      </c>
      <c r="E195" s="107">
        <f>IFERROR(VLOOKUP(B195,'Lista por categoria'!B:F,4,0),0)</f>
        <v>0</v>
      </c>
      <c r="F195" s="107">
        <f t="shared" si="21"/>
        <v>0</v>
      </c>
    </row>
    <row r="196" spans="2:6" x14ac:dyDescent="0.25">
      <c r="B196" s="88" t="str">
        <f>'Lista por etapa'!B148</f>
        <v>Cal hidratada para construção civil</v>
      </c>
      <c r="C196" s="91" t="str">
        <f>'Lista por etapa'!C148</f>
        <v>Saco 20 kg</v>
      </c>
      <c r="D196" s="87">
        <f>'Lista por etapa'!D148</f>
        <v>0</v>
      </c>
      <c r="E196" s="107">
        <f>IFERROR(VLOOKUP(B196,'Lista por categoria'!B:F,4,0),0)</f>
        <v>0</v>
      </c>
      <c r="F196" s="107">
        <f t="shared" si="21"/>
        <v>0</v>
      </c>
    </row>
    <row r="197" spans="2:6" x14ac:dyDescent="0.25">
      <c r="B197" s="88" t="str">
        <f>'Lista por etapa'!B149</f>
        <v>Aditivo plastificante Alvenarit</v>
      </c>
      <c r="C197" s="91" t="str">
        <f>'Lista por etapa'!C149</f>
        <v>Litros</v>
      </c>
      <c r="D197" s="87">
        <f>'Lista por etapa'!D149</f>
        <v>0</v>
      </c>
      <c r="E197" s="107">
        <f>IFERROR(VLOOKUP(B197,'Lista por categoria'!B:F,4,0),0)</f>
        <v>0</v>
      </c>
      <c r="F197" s="107">
        <f t="shared" si="21"/>
        <v>0</v>
      </c>
    </row>
    <row r="198" spans="2:6" ht="15.75" x14ac:dyDescent="0.25">
      <c r="B198" s="134" t="str">
        <f>'6. Paredes com Blocos'!B78:D78</f>
        <v>Vergas e contravergas</v>
      </c>
      <c r="C198" s="134"/>
      <c r="D198" s="134"/>
      <c r="E198" s="134"/>
      <c r="F198" s="134"/>
    </row>
    <row r="199" spans="2:6" x14ac:dyDescent="0.25">
      <c r="B199" s="108" t="s">
        <v>5</v>
      </c>
      <c r="C199" s="109" t="s">
        <v>46</v>
      </c>
      <c r="D199" s="122" t="s">
        <v>6</v>
      </c>
      <c r="E199" s="28" t="s">
        <v>1101</v>
      </c>
      <c r="F199" s="28" t="s">
        <v>1102</v>
      </c>
    </row>
    <row r="200" spans="2:6" x14ac:dyDescent="0.25">
      <c r="B200" s="88" t="str">
        <f>'Lista por etapa'!B152</f>
        <v/>
      </c>
      <c r="C200" s="91" t="str">
        <f>'Lista por etapa'!C152</f>
        <v>Peça</v>
      </c>
      <c r="D200" s="87">
        <f>'Lista por etapa'!D152</f>
        <v>0</v>
      </c>
      <c r="E200" s="107">
        <f>IFERROR(VLOOKUP(B200,'Lista por categoria'!B:F,4,0),0)</f>
        <v>0</v>
      </c>
      <c r="F200" s="107">
        <f t="shared" ref="F200:F204" si="22">D200*E200</f>
        <v>0</v>
      </c>
    </row>
    <row r="201" spans="2:6" x14ac:dyDescent="0.25">
      <c r="B201" s="88" t="str">
        <f>'Lista por etapa'!B153</f>
        <v>Barra de aço CA-25, 10mm (⅜'')</v>
      </c>
      <c r="C201" s="91" t="str">
        <f>'Lista por etapa'!C153</f>
        <v>Barra 12 m</v>
      </c>
      <c r="D201" s="87">
        <f>'Lista por etapa'!D153</f>
        <v>0</v>
      </c>
      <c r="E201" s="107">
        <f>IFERROR(VLOOKUP(B201,'Lista por categoria'!B:F,4,0),0)</f>
        <v>0</v>
      </c>
      <c r="F201" s="107">
        <f t="shared" si="22"/>
        <v>0</v>
      </c>
    </row>
    <row r="202" spans="2:6" x14ac:dyDescent="0.25">
      <c r="B202" s="88" t="str">
        <f>'Lista por etapa'!B154</f>
        <v>Cimento CP III</v>
      </c>
      <c r="C202" s="91" t="str">
        <f>'Lista por etapa'!C154</f>
        <v>Saco 50kg</v>
      </c>
      <c r="D202" s="87">
        <f>'Lista por etapa'!D154</f>
        <v>0</v>
      </c>
      <c r="E202" s="107">
        <f>IFERROR(VLOOKUP(B202,'Lista por categoria'!B:F,4,0),0)</f>
        <v>0</v>
      </c>
      <c r="F202" s="107">
        <f t="shared" si="22"/>
        <v>0</v>
      </c>
    </row>
    <row r="203" spans="2:6" x14ac:dyDescent="0.25">
      <c r="B203" s="88" t="str">
        <f>'Lista por etapa'!B155</f>
        <v>Areia média</v>
      </c>
      <c r="C203" s="91" t="str">
        <f>'Lista por etapa'!C155</f>
        <v>m3</v>
      </c>
      <c r="D203" s="87">
        <f>'Lista por etapa'!D155</f>
        <v>0</v>
      </c>
      <c r="E203" s="107">
        <f>IFERROR(VLOOKUP(B203,'Lista por categoria'!B:F,4,0),0)</f>
        <v>0</v>
      </c>
      <c r="F203" s="107">
        <f t="shared" si="22"/>
        <v>0</v>
      </c>
    </row>
    <row r="204" spans="2:6" x14ac:dyDescent="0.25">
      <c r="B204" s="88" t="str">
        <f>'Lista por etapa'!B156</f>
        <v>Pedra brita 1</v>
      </c>
      <c r="C204" s="91" t="str">
        <f>'Lista por etapa'!C156</f>
        <v>m3</v>
      </c>
      <c r="D204" s="87">
        <f>'Lista por etapa'!D156</f>
        <v>0</v>
      </c>
      <c r="E204" s="107">
        <f>IFERROR(VLOOKUP(B204,'Lista por categoria'!B:F,4,0),0)</f>
        <v>0</v>
      </c>
      <c r="F204" s="107">
        <f t="shared" si="22"/>
        <v>0</v>
      </c>
    </row>
    <row r="205" spans="2:6" x14ac:dyDescent="0.25">
      <c r="B205" s="116" t="s">
        <v>1199</v>
      </c>
      <c r="C205" s="117" t="s">
        <v>46</v>
      </c>
      <c r="D205" s="120" t="s">
        <v>6</v>
      </c>
      <c r="E205" s="118" t="s">
        <v>1101</v>
      </c>
      <c r="F205" s="118" t="s">
        <v>1102</v>
      </c>
    </row>
    <row r="206" spans="2:6" x14ac:dyDescent="0.25">
      <c r="B206" s="88" t="s">
        <v>1205</v>
      </c>
      <c r="C206" s="91" t="s">
        <v>1204</v>
      </c>
      <c r="D206" s="87">
        <f>'Mão de Obra por etapa'!D63</f>
        <v>0</v>
      </c>
      <c r="E206" s="107">
        <f>'Mão de Obra por etapa'!E63</f>
        <v>0</v>
      </c>
      <c r="F206" s="107">
        <f>'Mão de Obra por etapa'!F63</f>
        <v>0</v>
      </c>
    </row>
    <row r="207" spans="2:6" x14ac:dyDescent="0.25">
      <c r="B207" s="88" t="s">
        <v>1200</v>
      </c>
      <c r="C207" s="91" t="s">
        <v>1204</v>
      </c>
      <c r="D207" s="87">
        <f>'Mão de Obra por etapa'!D64</f>
        <v>0</v>
      </c>
      <c r="E207" s="107">
        <f>'Mão de Obra por etapa'!E64</f>
        <v>0</v>
      </c>
      <c r="F207" s="107">
        <f>'Mão de Obra por etapa'!F64</f>
        <v>0</v>
      </c>
    </row>
    <row r="208" spans="2:6" x14ac:dyDescent="0.25">
      <c r="B208" s="88" t="s">
        <v>1206</v>
      </c>
      <c r="C208" s="91" t="s">
        <v>1204</v>
      </c>
      <c r="D208" s="87">
        <f>'Mão de Obra por etapa'!D65</f>
        <v>0</v>
      </c>
      <c r="E208" s="107">
        <f>'Mão de Obra por etapa'!E65</f>
        <v>0</v>
      </c>
      <c r="F208" s="107">
        <f>'Mão de Obra por etapa'!F65</f>
        <v>0</v>
      </c>
    </row>
    <row r="209" spans="2:6" x14ac:dyDescent="0.25">
      <c r="B209" s="88" t="s">
        <v>1201</v>
      </c>
      <c r="C209" s="91" t="s">
        <v>1204</v>
      </c>
      <c r="D209" s="87">
        <f>'Mão de Obra por etapa'!D66</f>
        <v>0</v>
      </c>
      <c r="E209" s="107">
        <f>'Mão de Obra por etapa'!E66</f>
        <v>0</v>
      </c>
      <c r="F209" s="107">
        <f>'Mão de Obra por etapa'!F66</f>
        <v>0</v>
      </c>
    </row>
    <row r="210" spans="2:6" x14ac:dyDescent="0.25">
      <c r="B210" s="88" t="s">
        <v>1202</v>
      </c>
      <c r="C210" s="91" t="s">
        <v>1204</v>
      </c>
      <c r="D210" s="87">
        <f>'Mão de Obra por etapa'!D67</f>
        <v>0</v>
      </c>
      <c r="E210" s="107">
        <f>'Mão de Obra por etapa'!E67</f>
        <v>0</v>
      </c>
      <c r="F210" s="107">
        <f>'Mão de Obra por etapa'!F67</f>
        <v>0</v>
      </c>
    </row>
    <row r="211" spans="2:6" x14ac:dyDescent="0.25">
      <c r="B211" s="88" t="s">
        <v>1203</v>
      </c>
      <c r="C211" s="91" t="s">
        <v>1204</v>
      </c>
      <c r="D211" s="87">
        <f>'Mão de Obra por etapa'!D68</f>
        <v>0</v>
      </c>
      <c r="E211" s="107">
        <f>'Mão de Obra por etapa'!E68</f>
        <v>0</v>
      </c>
      <c r="F211" s="107">
        <f>'Mão de Obra por etapa'!F68</f>
        <v>0</v>
      </c>
    </row>
    <row r="212" spans="2:6" x14ac:dyDescent="0.25">
      <c r="B212" s="142" t="s">
        <v>1207</v>
      </c>
      <c r="C212" s="143"/>
      <c r="D212" s="143"/>
      <c r="E212" s="144"/>
      <c r="F212" s="115">
        <f>SUM(F191,F194:F197,F200:F204,F206:F211)</f>
        <v>0</v>
      </c>
    </row>
    <row r="213" spans="2:6" x14ac:dyDescent="0.25">
      <c r="B213" s="110"/>
      <c r="C213" s="110"/>
      <c r="D213" s="121"/>
      <c r="E213" s="110"/>
      <c r="F213" s="110"/>
    </row>
    <row r="214" spans="2:6" ht="18.75" x14ac:dyDescent="0.3">
      <c r="B214" s="137" t="str">
        <f>'7. Colunas ou Pilares'!B2:D2</f>
        <v>Colunas ou Pilares</v>
      </c>
      <c r="C214" s="137"/>
      <c r="D214" s="137"/>
      <c r="E214" s="137"/>
      <c r="F214" s="137"/>
    </row>
    <row r="215" spans="2:6" ht="15.75" x14ac:dyDescent="0.25">
      <c r="B215" s="134" t="str">
        <f>'7. Colunas ou Pilares'!B5:D5</f>
        <v>Concreto das colunas ou pilares</v>
      </c>
      <c r="C215" s="134"/>
      <c r="D215" s="134"/>
      <c r="E215" s="134"/>
      <c r="F215" s="134"/>
    </row>
    <row r="216" spans="2:6" x14ac:dyDescent="0.25">
      <c r="B216" s="108" t="s">
        <v>5</v>
      </c>
      <c r="C216" s="109" t="s">
        <v>46</v>
      </c>
      <c r="D216" s="122" t="s">
        <v>6</v>
      </c>
      <c r="E216" s="28" t="s">
        <v>1101</v>
      </c>
      <c r="F216" s="28" t="s">
        <v>1102</v>
      </c>
    </row>
    <row r="217" spans="2:6" x14ac:dyDescent="0.25">
      <c r="B217" s="88" t="str">
        <f>'Lista por etapa'!B161</f>
        <v>Concreto usinado para pilares</v>
      </c>
      <c r="C217" s="91" t="str">
        <f>'Lista por etapa'!C161</f>
        <v>m3</v>
      </c>
      <c r="D217" s="87">
        <f>'Lista por etapa'!D161</f>
        <v>0</v>
      </c>
      <c r="E217" s="107">
        <f>IFERROR(VLOOKUP(B217,'Lista por categoria'!B:F,4,0),0)</f>
        <v>0</v>
      </c>
      <c r="F217" s="107">
        <f t="shared" ref="F217:F220" si="23">D217*E217</f>
        <v>0</v>
      </c>
    </row>
    <row r="218" spans="2:6" x14ac:dyDescent="0.25">
      <c r="B218" s="88" t="str">
        <f>'Lista por etapa'!B162</f>
        <v>Cimento CP III</v>
      </c>
      <c r="C218" s="91" t="str">
        <f>'Lista por etapa'!C162</f>
        <v>Saco 50kg</v>
      </c>
      <c r="D218" s="87">
        <f>'Lista por etapa'!D162</f>
        <v>0</v>
      </c>
      <c r="E218" s="107">
        <f>IFERROR(VLOOKUP(B218,'Lista por categoria'!B:F,4,0),0)</f>
        <v>0</v>
      </c>
      <c r="F218" s="107">
        <f t="shared" si="23"/>
        <v>0</v>
      </c>
    </row>
    <row r="219" spans="2:6" x14ac:dyDescent="0.25">
      <c r="B219" s="88" t="str">
        <f>'Lista por etapa'!B163</f>
        <v>Areia média</v>
      </c>
      <c r="C219" s="91" t="str">
        <f>'Lista por etapa'!C163</f>
        <v>m3</v>
      </c>
      <c r="D219" s="87">
        <f>'Lista por etapa'!D163</f>
        <v>0</v>
      </c>
      <c r="E219" s="107">
        <f>IFERROR(VLOOKUP(B219,'Lista por categoria'!B:F,4,0),0)</f>
        <v>0</v>
      </c>
      <c r="F219" s="107">
        <f t="shared" si="23"/>
        <v>0</v>
      </c>
    </row>
    <row r="220" spans="2:6" x14ac:dyDescent="0.25">
      <c r="B220" s="88" t="str">
        <f>'Lista por etapa'!B164</f>
        <v>Pedra brita 1</v>
      </c>
      <c r="C220" s="91" t="str">
        <f>'Lista por etapa'!C164</f>
        <v>m3</v>
      </c>
      <c r="D220" s="87">
        <f>'Lista por etapa'!D164</f>
        <v>0</v>
      </c>
      <c r="E220" s="107">
        <f>IFERROR(VLOOKUP(B220,'Lista por categoria'!B:F,4,0),0)</f>
        <v>0</v>
      </c>
      <c r="F220" s="107">
        <f t="shared" si="23"/>
        <v>0</v>
      </c>
    </row>
    <row r="221" spans="2:6" ht="15.75" x14ac:dyDescent="0.25">
      <c r="B221" s="134" t="str">
        <f>'7. Colunas ou Pilares'!B50:D50</f>
        <v>Armações de aço das colunas ou pilares</v>
      </c>
      <c r="C221" s="134"/>
      <c r="D221" s="134"/>
      <c r="E221" s="134"/>
      <c r="F221" s="134"/>
    </row>
    <row r="222" spans="2:6" x14ac:dyDescent="0.25">
      <c r="B222" s="108" t="s">
        <v>5</v>
      </c>
      <c r="C222" s="109" t="s">
        <v>46</v>
      </c>
      <c r="D222" s="122" t="s">
        <v>6</v>
      </c>
      <c r="E222" s="28" t="s">
        <v>1101</v>
      </c>
      <c r="F222" s="28" t="s">
        <v>1102</v>
      </c>
    </row>
    <row r="223" spans="2:6" x14ac:dyDescent="0.25">
      <c r="B223" s="88" t="str">
        <f>'Lista por etapa'!B167</f>
        <v>Barra de aço CA-25, 10mm (⅜'')</v>
      </c>
      <c r="C223" s="91" t="str">
        <f>'Lista por etapa'!C167</f>
        <v>Barra 12 m</v>
      </c>
      <c r="D223" s="87">
        <f>'Lista por etapa'!D167</f>
        <v>0</v>
      </c>
      <c r="E223" s="107">
        <f>IFERROR(VLOOKUP(B223,'Lista por categoria'!B:F,4,0),0)</f>
        <v>0</v>
      </c>
      <c r="F223" s="107">
        <f t="shared" ref="F223:F226" si="24">D223*E223</f>
        <v>0</v>
      </c>
    </row>
    <row r="224" spans="2:6" x14ac:dyDescent="0.25">
      <c r="B224" s="88" t="str">
        <f>'Lista por etapa'!B168</f>
        <v>Barra de aço CA-60, 4,2mm</v>
      </c>
      <c r="C224" s="91" t="str">
        <f>'Lista por etapa'!C168</f>
        <v>Barra 12 m</v>
      </c>
      <c r="D224" s="87">
        <f>'Lista por etapa'!D168</f>
        <v>0</v>
      </c>
      <c r="E224" s="107">
        <f>IFERROR(VLOOKUP(B224,'Lista por categoria'!B:F,4,0),0)</f>
        <v>0</v>
      </c>
      <c r="F224" s="107">
        <f t="shared" si="24"/>
        <v>0</v>
      </c>
    </row>
    <row r="225" spans="2:6" x14ac:dyDescent="0.25">
      <c r="B225" s="88" t="str">
        <f>'Lista por etapa'!B169</f>
        <v>Arame recozido BWG 18 (1,24mm)</v>
      </c>
      <c r="C225" s="91" t="str">
        <f>'Lista por etapa'!C169</f>
        <v>Rolo 1 kg</v>
      </c>
      <c r="D225" s="87">
        <f>'Lista por etapa'!D169</f>
        <v>0</v>
      </c>
      <c r="E225" s="107">
        <f>IFERROR(VLOOKUP(B225,'Lista por categoria'!B:F,4,0),0)</f>
        <v>0</v>
      </c>
      <c r="F225" s="107">
        <f t="shared" si="24"/>
        <v>0</v>
      </c>
    </row>
    <row r="226" spans="2:6" x14ac:dyDescent="0.25">
      <c r="B226" s="88" t="str">
        <f>'Lista por etapa'!B170</f>
        <v>Espaçadores de ferragem</v>
      </c>
      <c r="C226" s="91" t="str">
        <f>'Lista por etapa'!C170</f>
        <v>Peça</v>
      </c>
      <c r="D226" s="87">
        <f>'Lista por etapa'!D170</f>
        <v>0</v>
      </c>
      <c r="E226" s="107">
        <f>IFERROR(VLOOKUP(B226,'Lista por categoria'!B:F,4,0),0)</f>
        <v>0</v>
      </c>
      <c r="F226" s="107">
        <f t="shared" si="24"/>
        <v>0</v>
      </c>
    </row>
    <row r="227" spans="2:6" ht="15.75" x14ac:dyDescent="0.25">
      <c r="B227" s="134" t="str">
        <f>'7. Colunas ou Pilares'!B101:D101</f>
        <v>Fôrmas de madeira das colunas ou pilares</v>
      </c>
      <c r="C227" s="134"/>
      <c r="D227" s="134"/>
      <c r="E227" s="134"/>
      <c r="F227" s="134"/>
    </row>
    <row r="228" spans="2:6" x14ac:dyDescent="0.25">
      <c r="B228" s="108" t="s">
        <v>5</v>
      </c>
      <c r="C228" s="109" t="s">
        <v>46</v>
      </c>
      <c r="D228" s="122" t="s">
        <v>6</v>
      </c>
      <c r="E228" s="28" t="s">
        <v>1101</v>
      </c>
      <c r="F228" s="28" t="s">
        <v>1102</v>
      </c>
    </row>
    <row r="229" spans="2:6" x14ac:dyDescent="0.25">
      <c r="B229" s="88" t="str">
        <f>'Lista por etapa'!B173</f>
        <v>Tábua madeira 2,3 x 30 cm bruto</v>
      </c>
      <c r="C229" s="91" t="str">
        <f>'Lista por etapa'!C173</f>
        <v/>
      </c>
      <c r="D229" s="87">
        <f>'Lista por etapa'!D173</f>
        <v>0</v>
      </c>
      <c r="E229" s="107">
        <f>IFERROR(VLOOKUP(B229,'Lista por categoria'!B:F,4,0),0)</f>
        <v>0</v>
      </c>
      <c r="F229" s="107">
        <f t="shared" ref="F229:F231" si="25">D229*E229</f>
        <v>0</v>
      </c>
    </row>
    <row r="230" spans="2:6" x14ac:dyDescent="0.25">
      <c r="B230" s="88" t="str">
        <f>'Lista por etapa'!B174</f>
        <v>Sarrafo madeira 2,3 x 10 cm bruto</v>
      </c>
      <c r="C230" s="91" t="str">
        <f>'Lista por etapa'!C174</f>
        <v>Peça 3,0 m</v>
      </c>
      <c r="D230" s="87">
        <f>'Lista por etapa'!D174</f>
        <v>0</v>
      </c>
      <c r="E230" s="107">
        <f>IFERROR(VLOOKUP(B230,'Lista por categoria'!B:F,4,0),0)</f>
        <v>0</v>
      </c>
      <c r="F230" s="107">
        <f t="shared" si="25"/>
        <v>0</v>
      </c>
    </row>
    <row r="231" spans="2:6" x14ac:dyDescent="0.25">
      <c r="B231" s="88" t="str">
        <f>'Lista por etapa'!B175</f>
        <v>Prego aço polido c/ cabeça 17 x 27</v>
      </c>
      <c r="C231" s="91" t="str">
        <f>'Lista por etapa'!C175</f>
        <v>kg</v>
      </c>
      <c r="D231" s="87">
        <f>'Lista por etapa'!D175</f>
        <v>0</v>
      </c>
      <c r="E231" s="107">
        <f>IFERROR(VLOOKUP(B231,'Lista por categoria'!B:F,4,0),0)</f>
        <v>0</v>
      </c>
      <c r="F231" s="107">
        <f t="shared" si="25"/>
        <v>0</v>
      </c>
    </row>
    <row r="232" spans="2:6" x14ac:dyDescent="0.25">
      <c r="B232" s="116" t="s">
        <v>1199</v>
      </c>
      <c r="C232" s="117" t="s">
        <v>46</v>
      </c>
      <c r="D232" s="120" t="s">
        <v>6</v>
      </c>
      <c r="E232" s="118" t="s">
        <v>1101</v>
      </c>
      <c r="F232" s="118" t="s">
        <v>1102</v>
      </c>
    </row>
    <row r="233" spans="2:6" x14ac:dyDescent="0.25">
      <c r="B233" s="88" t="s">
        <v>1205</v>
      </c>
      <c r="C233" s="91" t="s">
        <v>1204</v>
      </c>
      <c r="D233" s="87">
        <f>'Mão de Obra por etapa'!D72</f>
        <v>0</v>
      </c>
      <c r="E233" s="107">
        <f>'Mão de Obra por etapa'!E72</f>
        <v>0</v>
      </c>
      <c r="F233" s="107">
        <f>'Mão de Obra por etapa'!F72</f>
        <v>0</v>
      </c>
    </row>
    <row r="234" spans="2:6" x14ac:dyDescent="0.25">
      <c r="B234" s="88" t="s">
        <v>1200</v>
      </c>
      <c r="C234" s="91" t="s">
        <v>1204</v>
      </c>
      <c r="D234" s="87">
        <f>'Mão de Obra por etapa'!D73</f>
        <v>0</v>
      </c>
      <c r="E234" s="107">
        <f>'Mão de Obra por etapa'!E73</f>
        <v>0</v>
      </c>
      <c r="F234" s="107">
        <f>'Mão de Obra por etapa'!F73</f>
        <v>0</v>
      </c>
    </row>
    <row r="235" spans="2:6" x14ac:dyDescent="0.25">
      <c r="B235" s="88" t="s">
        <v>1206</v>
      </c>
      <c r="C235" s="91" t="s">
        <v>1204</v>
      </c>
      <c r="D235" s="87">
        <f>'Mão de Obra por etapa'!D74</f>
        <v>0</v>
      </c>
      <c r="E235" s="107">
        <f>'Mão de Obra por etapa'!E74</f>
        <v>0</v>
      </c>
      <c r="F235" s="107">
        <f>'Mão de Obra por etapa'!F74</f>
        <v>0</v>
      </c>
    </row>
    <row r="236" spans="2:6" x14ac:dyDescent="0.25">
      <c r="B236" s="88" t="s">
        <v>1201</v>
      </c>
      <c r="C236" s="91" t="s">
        <v>1204</v>
      </c>
      <c r="D236" s="87">
        <f>'Mão de Obra por etapa'!D75</f>
        <v>0</v>
      </c>
      <c r="E236" s="107">
        <f>'Mão de Obra por etapa'!E75</f>
        <v>0</v>
      </c>
      <c r="F236" s="107">
        <f>'Mão de Obra por etapa'!F75</f>
        <v>0</v>
      </c>
    </row>
    <row r="237" spans="2:6" x14ac:dyDescent="0.25">
      <c r="B237" s="88" t="s">
        <v>1202</v>
      </c>
      <c r="C237" s="91" t="s">
        <v>1204</v>
      </c>
      <c r="D237" s="87">
        <f>'Mão de Obra por etapa'!D76</f>
        <v>0</v>
      </c>
      <c r="E237" s="107">
        <f>'Mão de Obra por etapa'!E76</f>
        <v>0</v>
      </c>
      <c r="F237" s="107">
        <f>'Mão de Obra por etapa'!F76</f>
        <v>0</v>
      </c>
    </row>
    <row r="238" spans="2:6" x14ac:dyDescent="0.25">
      <c r="B238" s="88" t="s">
        <v>1203</v>
      </c>
      <c r="C238" s="91" t="s">
        <v>1204</v>
      </c>
      <c r="D238" s="87">
        <f>'Mão de Obra por etapa'!D77</f>
        <v>0</v>
      </c>
      <c r="E238" s="107">
        <f>'Mão de Obra por etapa'!E77</f>
        <v>0</v>
      </c>
      <c r="F238" s="107">
        <f>'Mão de Obra por etapa'!F77</f>
        <v>0</v>
      </c>
    </row>
    <row r="239" spans="2:6" x14ac:dyDescent="0.25">
      <c r="B239" s="142" t="s">
        <v>1207</v>
      </c>
      <c r="C239" s="143"/>
      <c r="D239" s="143"/>
      <c r="E239" s="144"/>
      <c r="F239" s="115">
        <f>SUM(F217:F220,F223:F226,F229:F231,F233:F238)</f>
        <v>0</v>
      </c>
    </row>
    <row r="240" spans="2:6" x14ac:dyDescent="0.25">
      <c r="B240" s="110"/>
      <c r="C240" s="110"/>
      <c r="D240" s="121"/>
      <c r="E240" s="110"/>
      <c r="F240" s="110"/>
    </row>
    <row r="241" spans="2:6" ht="18.75" x14ac:dyDescent="0.3">
      <c r="B241" s="137" t="str">
        <f>'8. Viga'!B2</f>
        <v>Vigas</v>
      </c>
      <c r="C241" s="137"/>
      <c r="D241" s="137"/>
      <c r="E241" s="137"/>
      <c r="F241" s="137"/>
    </row>
    <row r="242" spans="2:6" ht="15.75" x14ac:dyDescent="0.25">
      <c r="B242" s="134" t="str">
        <f>'8. Viga'!B6</f>
        <v>Concreto das vigas</v>
      </c>
      <c r="C242" s="134"/>
      <c r="D242" s="134"/>
      <c r="E242" s="134"/>
      <c r="F242" s="134"/>
    </row>
    <row r="243" spans="2:6" x14ac:dyDescent="0.25">
      <c r="B243" s="108" t="s">
        <v>5</v>
      </c>
      <c r="C243" s="109" t="s">
        <v>46</v>
      </c>
      <c r="D243" s="122" t="s">
        <v>6</v>
      </c>
      <c r="E243" s="28" t="s">
        <v>1101</v>
      </c>
      <c r="F243" s="28" t="s">
        <v>1102</v>
      </c>
    </row>
    <row r="244" spans="2:6" x14ac:dyDescent="0.25">
      <c r="B244" s="88" t="str">
        <f>'Lista por etapa'!B180</f>
        <v>Concreto usinado para vigas</v>
      </c>
      <c r="C244" s="91" t="str">
        <f>'Lista por etapa'!C180</f>
        <v>m3</v>
      </c>
      <c r="D244" s="87">
        <f>'Lista por etapa'!D180</f>
        <v>0</v>
      </c>
      <c r="E244" s="107">
        <f>IFERROR(VLOOKUP(B244,'Lista por categoria'!B:F,4,0),0)</f>
        <v>0</v>
      </c>
      <c r="F244" s="107">
        <f t="shared" ref="F244:F247" si="26">D244*E244</f>
        <v>0</v>
      </c>
    </row>
    <row r="245" spans="2:6" x14ac:dyDescent="0.25">
      <c r="B245" s="88" t="str">
        <f>'Lista por etapa'!B181</f>
        <v>Cimento CP III</v>
      </c>
      <c r="C245" s="91" t="str">
        <f>'Lista por etapa'!C181</f>
        <v>Saco 50kg</v>
      </c>
      <c r="D245" s="87">
        <f>'Lista por etapa'!D181</f>
        <v>0</v>
      </c>
      <c r="E245" s="107">
        <f>IFERROR(VLOOKUP(B245,'Lista por categoria'!B:F,4,0),0)</f>
        <v>0</v>
      </c>
      <c r="F245" s="107">
        <f t="shared" si="26"/>
        <v>0</v>
      </c>
    </row>
    <row r="246" spans="2:6" x14ac:dyDescent="0.25">
      <c r="B246" s="88" t="str">
        <f>'Lista por etapa'!B182</f>
        <v>Areia média</v>
      </c>
      <c r="C246" s="91" t="str">
        <f>'Lista por etapa'!C182</f>
        <v>m3</v>
      </c>
      <c r="D246" s="87">
        <f>'Lista por etapa'!D182</f>
        <v>0</v>
      </c>
      <c r="E246" s="107">
        <f>IFERROR(VLOOKUP(B246,'Lista por categoria'!B:F,4,0),0)</f>
        <v>0</v>
      </c>
      <c r="F246" s="107">
        <f t="shared" si="26"/>
        <v>0</v>
      </c>
    </row>
    <row r="247" spans="2:6" x14ac:dyDescent="0.25">
      <c r="B247" s="88" t="str">
        <f>'Lista por etapa'!B183</f>
        <v>Pedra brita 1</v>
      </c>
      <c r="C247" s="91" t="str">
        <f>'Lista por etapa'!C183</f>
        <v>m3</v>
      </c>
      <c r="D247" s="87">
        <f>'Lista por etapa'!D183</f>
        <v>0</v>
      </c>
      <c r="E247" s="107">
        <f>IFERROR(VLOOKUP(B247,'Lista por categoria'!B:F,4,0),0)</f>
        <v>0</v>
      </c>
      <c r="F247" s="107">
        <f t="shared" si="26"/>
        <v>0</v>
      </c>
    </row>
    <row r="248" spans="2:6" ht="15.75" x14ac:dyDescent="0.25">
      <c r="B248" s="134" t="str">
        <f>'8. Viga'!B49</f>
        <v>Armações de aço das vigas</v>
      </c>
      <c r="C248" s="134"/>
      <c r="D248" s="134"/>
      <c r="E248" s="134"/>
      <c r="F248" s="134"/>
    </row>
    <row r="249" spans="2:6" x14ac:dyDescent="0.25">
      <c r="B249" s="108" t="s">
        <v>5</v>
      </c>
      <c r="C249" s="109" t="s">
        <v>46</v>
      </c>
      <c r="D249" s="122" t="s">
        <v>6</v>
      </c>
      <c r="E249" s="28" t="s">
        <v>1101</v>
      </c>
      <c r="F249" s="28" t="s">
        <v>1102</v>
      </c>
    </row>
    <row r="250" spans="2:6" x14ac:dyDescent="0.25">
      <c r="B250" s="88" t="str">
        <f>'Lista por etapa'!B186</f>
        <v>Barra de aço CA-25, 10mm (⅜'')</v>
      </c>
      <c r="C250" s="91" t="str">
        <f>'Lista por etapa'!C186</f>
        <v>Barra 12 m</v>
      </c>
      <c r="D250" s="87">
        <f>'Lista por etapa'!D186</f>
        <v>0</v>
      </c>
      <c r="E250" s="107">
        <f>IFERROR(VLOOKUP(B250,'Lista por categoria'!B:F,4,0),0)</f>
        <v>0</v>
      </c>
      <c r="F250" s="107">
        <f t="shared" ref="F250:F253" si="27">D250*E250</f>
        <v>0</v>
      </c>
    </row>
    <row r="251" spans="2:6" x14ac:dyDescent="0.25">
      <c r="B251" s="88" t="str">
        <f>'Lista por etapa'!B187</f>
        <v>Barra de aço CA-60, 4,2mm</v>
      </c>
      <c r="C251" s="91" t="str">
        <f>'Lista por etapa'!C187</f>
        <v>Barra 12 m</v>
      </c>
      <c r="D251" s="87">
        <f>'Lista por etapa'!D187</f>
        <v>0</v>
      </c>
      <c r="E251" s="107">
        <f>IFERROR(VLOOKUP(B251,'Lista por categoria'!B:F,4,0),0)</f>
        <v>0</v>
      </c>
      <c r="F251" s="107">
        <f t="shared" si="27"/>
        <v>0</v>
      </c>
    </row>
    <row r="252" spans="2:6" x14ac:dyDescent="0.25">
      <c r="B252" s="88" t="str">
        <f>'Lista por etapa'!B188</f>
        <v>Arame recozido BWG 18 (1,24mm)</v>
      </c>
      <c r="C252" s="91" t="str">
        <f>'Lista por etapa'!C188</f>
        <v>Rolo 1 kg</v>
      </c>
      <c r="D252" s="87">
        <f>'Lista por etapa'!D188</f>
        <v>0</v>
      </c>
      <c r="E252" s="107">
        <f>IFERROR(VLOOKUP(B252,'Lista por categoria'!B:F,4,0),0)</f>
        <v>0</v>
      </c>
      <c r="F252" s="107">
        <f t="shared" si="27"/>
        <v>0</v>
      </c>
    </row>
    <row r="253" spans="2:6" x14ac:dyDescent="0.25">
      <c r="B253" s="88" t="str">
        <f>'Lista por etapa'!B189</f>
        <v>Espaçadores de ferragem</v>
      </c>
      <c r="C253" s="91" t="str">
        <f>'Lista por etapa'!C189</f>
        <v>Peça</v>
      </c>
      <c r="D253" s="87">
        <f>'Lista por etapa'!D189</f>
        <v>0</v>
      </c>
      <c r="E253" s="107">
        <f>IFERROR(VLOOKUP(B253,'Lista por categoria'!B:F,4,0),0)</f>
        <v>0</v>
      </c>
      <c r="F253" s="107">
        <f t="shared" si="27"/>
        <v>0</v>
      </c>
    </row>
    <row r="254" spans="2:6" ht="15.75" x14ac:dyDescent="0.25">
      <c r="B254" s="134" t="str">
        <f>'8. Viga'!B98</f>
        <v>Fôrmas de madeira das vigas</v>
      </c>
      <c r="C254" s="134"/>
      <c r="D254" s="134"/>
      <c r="E254" s="134"/>
      <c r="F254" s="134"/>
    </row>
    <row r="255" spans="2:6" x14ac:dyDescent="0.25">
      <c r="B255" s="108" t="s">
        <v>5</v>
      </c>
      <c r="C255" s="109" t="s">
        <v>46</v>
      </c>
      <c r="D255" s="122" t="s">
        <v>6</v>
      </c>
      <c r="E255" s="28" t="s">
        <v>1101</v>
      </c>
      <c r="F255" s="28" t="s">
        <v>1102</v>
      </c>
    </row>
    <row r="256" spans="2:6" x14ac:dyDescent="0.25">
      <c r="B256" s="88" t="str">
        <f>'Lista por etapa'!B192</f>
        <v>Tábua madeira 2,3 x 30 cm bruto</v>
      </c>
      <c r="C256" s="91" t="str">
        <f>'Lista por etapa'!C192</f>
        <v>Peça 3,0 m</v>
      </c>
      <c r="D256" s="87">
        <f>'Lista por etapa'!D192</f>
        <v>0</v>
      </c>
      <c r="E256" s="107">
        <f>IFERROR(VLOOKUP(B256,'Lista por categoria'!B:F,4,0),0)</f>
        <v>0</v>
      </c>
      <c r="F256" s="107">
        <f t="shared" ref="F256:F258" si="28">D256*E256</f>
        <v>0</v>
      </c>
    </row>
    <row r="257" spans="2:6" x14ac:dyDescent="0.25">
      <c r="B257" s="88" t="str">
        <f>'Lista por etapa'!B193</f>
        <v>Sarrafo madeira 2,3 x 10 cm bruto</v>
      </c>
      <c r="C257" s="91" t="str">
        <f>'Lista por etapa'!C193</f>
        <v>Peça 3,0 m</v>
      </c>
      <c r="D257" s="87">
        <f>'Lista por etapa'!D193</f>
        <v>0</v>
      </c>
      <c r="E257" s="107">
        <f>IFERROR(VLOOKUP(B257,'Lista por categoria'!B:F,4,0),0)</f>
        <v>0</v>
      </c>
      <c r="F257" s="107">
        <f t="shared" si="28"/>
        <v>0</v>
      </c>
    </row>
    <row r="258" spans="2:6" x14ac:dyDescent="0.25">
      <c r="B258" s="88" t="str">
        <f>'Lista por etapa'!B194</f>
        <v>Prego aço polido c/ cabeça 17 x 27</v>
      </c>
      <c r="C258" s="91" t="str">
        <f>'Lista por etapa'!C194</f>
        <v>kg</v>
      </c>
      <c r="D258" s="87">
        <f>'Lista por etapa'!D194</f>
        <v>0</v>
      </c>
      <c r="E258" s="107">
        <f>IFERROR(VLOOKUP(B258,'Lista por categoria'!B:F,4,0),0)</f>
        <v>0</v>
      </c>
      <c r="F258" s="107">
        <f t="shared" si="28"/>
        <v>0</v>
      </c>
    </row>
    <row r="259" spans="2:6" x14ac:dyDescent="0.25">
      <c r="B259" s="116" t="s">
        <v>1199</v>
      </c>
      <c r="C259" s="117" t="s">
        <v>46</v>
      </c>
      <c r="D259" s="120" t="s">
        <v>6</v>
      </c>
      <c r="E259" s="118" t="s">
        <v>1101</v>
      </c>
      <c r="F259" s="118" t="s">
        <v>1102</v>
      </c>
    </row>
    <row r="260" spans="2:6" x14ac:dyDescent="0.25">
      <c r="B260" s="88" t="s">
        <v>1205</v>
      </c>
      <c r="C260" s="91" t="s">
        <v>1204</v>
      </c>
      <c r="D260" s="87">
        <f>'Mão de Obra por etapa'!D81</f>
        <v>0</v>
      </c>
      <c r="E260" s="107">
        <f>'Mão de Obra por etapa'!E81</f>
        <v>0</v>
      </c>
      <c r="F260" s="107">
        <f>'Mão de Obra por etapa'!F81</f>
        <v>0</v>
      </c>
    </row>
    <row r="261" spans="2:6" x14ac:dyDescent="0.25">
      <c r="B261" s="88" t="s">
        <v>1200</v>
      </c>
      <c r="C261" s="91" t="s">
        <v>1204</v>
      </c>
      <c r="D261" s="87">
        <f>'Mão de Obra por etapa'!D82</f>
        <v>0</v>
      </c>
      <c r="E261" s="107">
        <f>'Mão de Obra por etapa'!E82</f>
        <v>0</v>
      </c>
      <c r="F261" s="107">
        <f>'Mão de Obra por etapa'!F82</f>
        <v>0</v>
      </c>
    </row>
    <row r="262" spans="2:6" x14ac:dyDescent="0.25">
      <c r="B262" s="88" t="s">
        <v>1206</v>
      </c>
      <c r="C262" s="91" t="s">
        <v>1204</v>
      </c>
      <c r="D262" s="87">
        <f>'Mão de Obra por etapa'!D83</f>
        <v>0</v>
      </c>
      <c r="E262" s="107">
        <f>'Mão de Obra por etapa'!E83</f>
        <v>0</v>
      </c>
      <c r="F262" s="107">
        <f>'Mão de Obra por etapa'!F83</f>
        <v>0</v>
      </c>
    </row>
    <row r="263" spans="2:6" x14ac:dyDescent="0.25">
      <c r="B263" s="88" t="s">
        <v>1201</v>
      </c>
      <c r="C263" s="91" t="s">
        <v>1204</v>
      </c>
      <c r="D263" s="87">
        <f>'Mão de Obra por etapa'!D84</f>
        <v>0</v>
      </c>
      <c r="E263" s="107">
        <f>'Mão de Obra por etapa'!E84</f>
        <v>0</v>
      </c>
      <c r="F263" s="107">
        <f>'Mão de Obra por etapa'!F84</f>
        <v>0</v>
      </c>
    </row>
    <row r="264" spans="2:6" x14ac:dyDescent="0.25">
      <c r="B264" s="88" t="s">
        <v>1202</v>
      </c>
      <c r="C264" s="91" t="s">
        <v>1204</v>
      </c>
      <c r="D264" s="87">
        <f>'Mão de Obra por etapa'!D85</f>
        <v>0</v>
      </c>
      <c r="E264" s="107">
        <f>'Mão de Obra por etapa'!E85</f>
        <v>0</v>
      </c>
      <c r="F264" s="107">
        <f>'Mão de Obra por etapa'!F85</f>
        <v>0</v>
      </c>
    </row>
    <row r="265" spans="2:6" x14ac:dyDescent="0.25">
      <c r="B265" s="88" t="s">
        <v>1203</v>
      </c>
      <c r="C265" s="91" t="s">
        <v>1204</v>
      </c>
      <c r="D265" s="87">
        <f>'Mão de Obra por etapa'!D86</f>
        <v>0</v>
      </c>
      <c r="E265" s="107">
        <f>'Mão de Obra por etapa'!E86</f>
        <v>0</v>
      </c>
      <c r="F265" s="107">
        <f>'Mão de Obra por etapa'!F86</f>
        <v>0</v>
      </c>
    </row>
    <row r="266" spans="2:6" x14ac:dyDescent="0.25">
      <c r="B266" s="142" t="s">
        <v>1207</v>
      </c>
      <c r="C266" s="143"/>
      <c r="D266" s="143"/>
      <c r="E266" s="144"/>
      <c r="F266" s="115">
        <f>SUM(F244:F247,F250:F253,F256:F258,F260:F265)</f>
        <v>0</v>
      </c>
    </row>
    <row r="267" spans="2:6" x14ac:dyDescent="0.25">
      <c r="B267" s="110"/>
      <c r="C267" s="110"/>
      <c r="D267" s="121"/>
      <c r="E267" s="110"/>
      <c r="F267" s="110"/>
    </row>
    <row r="268" spans="2:6" ht="18.75" x14ac:dyDescent="0.3">
      <c r="B268" s="137" t="str">
        <f>'9. Contrapiso'!B2</f>
        <v>Contrapiso</v>
      </c>
      <c r="C268" s="137"/>
      <c r="D268" s="137"/>
      <c r="E268" s="137"/>
      <c r="F268" s="137"/>
    </row>
    <row r="269" spans="2:6" ht="15.75" x14ac:dyDescent="0.25">
      <c r="B269" s="134" t="str">
        <f>'9. Contrapiso'!B5</f>
        <v>Área interna</v>
      </c>
      <c r="C269" s="134"/>
      <c r="D269" s="134"/>
      <c r="E269" s="134"/>
      <c r="F269" s="134"/>
    </row>
    <row r="270" spans="2:6" x14ac:dyDescent="0.25">
      <c r="B270" s="108" t="s">
        <v>5</v>
      </c>
      <c r="C270" s="109" t="s">
        <v>46</v>
      </c>
      <c r="D270" s="122" t="s">
        <v>6</v>
      </c>
      <c r="E270" s="28" t="s">
        <v>1101</v>
      </c>
      <c r="F270" s="28" t="s">
        <v>1102</v>
      </c>
    </row>
    <row r="271" spans="2:6" x14ac:dyDescent="0.25">
      <c r="B271" s="88" t="str">
        <f>'Lista por etapa'!B199</f>
        <v>Concreto usinado para contrapiso</v>
      </c>
      <c r="C271" s="91" t="str">
        <f>'Lista por etapa'!C199</f>
        <v>m3</v>
      </c>
      <c r="D271" s="87">
        <f>'Lista por etapa'!D199</f>
        <v>0</v>
      </c>
      <c r="E271" s="107">
        <f>IFERROR(VLOOKUP(B271,'Lista por categoria'!B:F,4,0),0)</f>
        <v>0</v>
      </c>
      <c r="F271" s="107">
        <f t="shared" ref="F271:F277" si="29">D271*E271</f>
        <v>0</v>
      </c>
    </row>
    <row r="272" spans="2:6" x14ac:dyDescent="0.25">
      <c r="B272" s="88" t="str">
        <f>'Lista por etapa'!B200</f>
        <v>Cimento CP III</v>
      </c>
      <c r="C272" s="91" t="str">
        <f>'Lista por etapa'!C200</f>
        <v>Saco 50kg</v>
      </c>
      <c r="D272" s="87">
        <f>'Lista por etapa'!D200</f>
        <v>0</v>
      </c>
      <c r="E272" s="107">
        <f>IFERROR(VLOOKUP(B272,'Lista por categoria'!B:F,4,0),0)</f>
        <v>0</v>
      </c>
      <c r="F272" s="107">
        <f t="shared" si="29"/>
        <v>0</v>
      </c>
    </row>
    <row r="273" spans="2:6" x14ac:dyDescent="0.25">
      <c r="B273" s="88" t="str">
        <f>'Lista por etapa'!B201</f>
        <v>Areia média</v>
      </c>
      <c r="C273" s="91" t="str">
        <f>'Lista por etapa'!C201</f>
        <v>m3</v>
      </c>
      <c r="D273" s="87">
        <f>'Lista por etapa'!D201</f>
        <v>0</v>
      </c>
      <c r="E273" s="107">
        <f>IFERROR(VLOOKUP(B273,'Lista por categoria'!B:F,4,0),0)</f>
        <v>0</v>
      </c>
      <c r="F273" s="107">
        <f t="shared" si="29"/>
        <v>0</v>
      </c>
    </row>
    <row r="274" spans="2:6" x14ac:dyDescent="0.25">
      <c r="B274" s="88" t="str">
        <f>'Lista por etapa'!B202</f>
        <v>Pedra brita 1</v>
      </c>
      <c r="C274" s="91" t="str">
        <f>'Lista por etapa'!C202</f>
        <v>m3</v>
      </c>
      <c r="D274" s="87">
        <f>'Lista por etapa'!D202</f>
        <v>0</v>
      </c>
      <c r="E274" s="107">
        <f>IFERROR(VLOOKUP(B274,'Lista por categoria'!B:F,4,0),0)</f>
        <v>0</v>
      </c>
      <c r="F274" s="107">
        <f t="shared" si="29"/>
        <v>0</v>
      </c>
    </row>
    <row r="275" spans="2:6" x14ac:dyDescent="0.25">
      <c r="B275" s="88" t="str">
        <f>'Lista por etapa'!B203</f>
        <v>Argamassa contrapiso</v>
      </c>
      <c r="C275" s="91" t="str">
        <f>'Lista por etapa'!C203</f>
        <v>Saco 20 kg</v>
      </c>
      <c r="D275" s="87">
        <f>'Lista por etapa'!D203</f>
        <v>0</v>
      </c>
      <c r="E275" s="107">
        <f>IFERROR(VLOOKUP(B275,'Lista por categoria'!B:F,4,0),0)</f>
        <v>0</v>
      </c>
      <c r="F275" s="107">
        <f t="shared" si="29"/>
        <v>0</v>
      </c>
    </row>
    <row r="276" spans="2:6" x14ac:dyDescent="0.25">
      <c r="B276" s="88" t="str">
        <f>'Lista por etapa'!B204</f>
        <v>Cimento CP II</v>
      </c>
      <c r="C276" s="91" t="str">
        <f>'Lista por etapa'!C204</f>
        <v>Saco 50kg</v>
      </c>
      <c r="D276" s="87">
        <f>'Lista por etapa'!D204</f>
        <v>0</v>
      </c>
      <c r="E276" s="107">
        <f>IFERROR(VLOOKUP(B276,'Lista por categoria'!B:F,4,0),0)</f>
        <v>0</v>
      </c>
      <c r="F276" s="107">
        <f t="shared" si="29"/>
        <v>0</v>
      </c>
    </row>
    <row r="277" spans="2:6" x14ac:dyDescent="0.25">
      <c r="B277" s="88" t="str">
        <f>'Lista por etapa'!B205</f>
        <v>Areia média</v>
      </c>
      <c r="C277" s="91" t="str">
        <f>'Lista por etapa'!C205</f>
        <v>m3</v>
      </c>
      <c r="D277" s="87">
        <f>'Lista por etapa'!D205</f>
        <v>0</v>
      </c>
      <c r="E277" s="107">
        <f>IFERROR(VLOOKUP(B277,'Lista por categoria'!B:F,4,0),0)</f>
        <v>0</v>
      </c>
      <c r="F277" s="107">
        <f t="shared" si="29"/>
        <v>0</v>
      </c>
    </row>
    <row r="278" spans="2:6" ht="15.75" x14ac:dyDescent="0.25">
      <c r="B278" s="134" t="str">
        <f>'9. Contrapiso'!B71:D71</f>
        <v>Área externa</v>
      </c>
      <c r="C278" s="134"/>
      <c r="D278" s="134"/>
      <c r="E278" s="134"/>
      <c r="F278" s="134"/>
    </row>
    <row r="279" spans="2:6" x14ac:dyDescent="0.25">
      <c r="B279" s="108" t="s">
        <v>5</v>
      </c>
      <c r="C279" s="109" t="s">
        <v>46</v>
      </c>
      <c r="D279" s="122" t="s">
        <v>6</v>
      </c>
      <c r="E279" s="28" t="s">
        <v>1101</v>
      </c>
      <c r="F279" s="28" t="s">
        <v>1102</v>
      </c>
    </row>
    <row r="280" spans="2:6" x14ac:dyDescent="0.25">
      <c r="B280" s="88" t="str">
        <f>'Lista por etapa'!B208</f>
        <v>Concreto usinado para contrapiso</v>
      </c>
      <c r="C280" s="91" t="str">
        <f>'Lista por etapa'!C208</f>
        <v>m3</v>
      </c>
      <c r="D280" s="87">
        <f>'Lista por etapa'!D208</f>
        <v>0</v>
      </c>
      <c r="E280" s="107">
        <f>IFERROR(VLOOKUP(B280,'Lista por categoria'!B:F,4,0),0)</f>
        <v>0</v>
      </c>
      <c r="F280" s="107">
        <f t="shared" ref="F280:F288" si="30">D280*E280</f>
        <v>0</v>
      </c>
    </row>
    <row r="281" spans="2:6" x14ac:dyDescent="0.25">
      <c r="B281" s="88" t="str">
        <f>'Lista por etapa'!B209</f>
        <v>Cimento CP III</v>
      </c>
      <c r="C281" s="91" t="str">
        <f>'Lista por etapa'!C209</f>
        <v>Saco 50kg</v>
      </c>
      <c r="D281" s="87">
        <f>'Lista por etapa'!D209</f>
        <v>0</v>
      </c>
      <c r="E281" s="107">
        <f>IFERROR(VLOOKUP(B281,'Lista por categoria'!B:F,4,0),0)</f>
        <v>0</v>
      </c>
      <c r="F281" s="107">
        <f t="shared" si="30"/>
        <v>0</v>
      </c>
    </row>
    <row r="282" spans="2:6" x14ac:dyDescent="0.25">
      <c r="B282" s="88" t="str">
        <f>'Lista por etapa'!B210</f>
        <v>Areia média</v>
      </c>
      <c r="C282" s="91" t="str">
        <f>'Lista por etapa'!C210</f>
        <v>m3</v>
      </c>
      <c r="D282" s="87">
        <f>'Lista por etapa'!D210</f>
        <v>0</v>
      </c>
      <c r="E282" s="107">
        <f>IFERROR(VLOOKUP(B282,'Lista por categoria'!B:F,4,0),0)</f>
        <v>0</v>
      </c>
      <c r="F282" s="107">
        <f t="shared" si="30"/>
        <v>0</v>
      </c>
    </row>
    <row r="283" spans="2:6" x14ac:dyDescent="0.25">
      <c r="B283" s="88" t="str">
        <f>'Lista por etapa'!B211</f>
        <v>Pedra brita 1</v>
      </c>
      <c r="C283" s="91" t="str">
        <f>'Lista por etapa'!C211</f>
        <v>m3</v>
      </c>
      <c r="D283" s="87">
        <f>'Lista por etapa'!D211</f>
        <v>0</v>
      </c>
      <c r="E283" s="107">
        <f>IFERROR(VLOOKUP(B283,'Lista por categoria'!B:F,4,0),0)</f>
        <v>0</v>
      </c>
      <c r="F283" s="107">
        <f t="shared" si="30"/>
        <v>0</v>
      </c>
    </row>
    <row r="284" spans="2:6" x14ac:dyDescent="0.25">
      <c r="B284" s="88" t="str">
        <f>'Lista por etapa'!B212</f>
        <v>Argamassa contrapiso</v>
      </c>
      <c r="C284" s="91" t="str">
        <f>'Lista por etapa'!C212</f>
        <v>Saco 20 kg</v>
      </c>
      <c r="D284" s="87">
        <f>'Lista por etapa'!D212</f>
        <v>0</v>
      </c>
      <c r="E284" s="107">
        <f>IFERROR(VLOOKUP(B284,'Lista por categoria'!B:F,4,0),0)</f>
        <v>0</v>
      </c>
      <c r="F284" s="107">
        <f t="shared" si="30"/>
        <v>0</v>
      </c>
    </row>
    <row r="285" spans="2:6" x14ac:dyDescent="0.25">
      <c r="B285" s="88" t="str">
        <f>'Lista por etapa'!B213</f>
        <v>Cimento CP II</v>
      </c>
      <c r="C285" s="91" t="str">
        <f>'Lista por etapa'!C213</f>
        <v>Saco 50kg</v>
      </c>
      <c r="D285" s="87">
        <f>'Lista por etapa'!D213</f>
        <v>0</v>
      </c>
      <c r="E285" s="107">
        <f>IFERROR(VLOOKUP(B285,'Lista por categoria'!B:F,4,0),0)</f>
        <v>0</v>
      </c>
      <c r="F285" s="107">
        <f t="shared" si="30"/>
        <v>0</v>
      </c>
    </row>
    <row r="286" spans="2:6" x14ac:dyDescent="0.25">
      <c r="B286" s="88" t="str">
        <f>'Lista por etapa'!B214</f>
        <v>Areia média</v>
      </c>
      <c r="C286" s="91" t="str">
        <f>'Lista por etapa'!C214</f>
        <v>m3</v>
      </c>
      <c r="D286" s="87">
        <f>'Lista por etapa'!D214</f>
        <v>0</v>
      </c>
      <c r="E286" s="107">
        <f>IFERROR(VLOOKUP(B286,'Lista por categoria'!B:F,4,0),0)</f>
        <v>0</v>
      </c>
      <c r="F286" s="107">
        <f t="shared" si="30"/>
        <v>0</v>
      </c>
    </row>
    <row r="287" spans="2:6" x14ac:dyDescent="0.25">
      <c r="B287" s="88" t="str">
        <f>'Lista por etapa'!B215</f>
        <v/>
      </c>
      <c r="C287" s="91" t="str">
        <f>'Lista por etapa'!C215</f>
        <v/>
      </c>
      <c r="D287" s="87">
        <f>'Lista por etapa'!D215</f>
        <v>0</v>
      </c>
      <c r="E287" s="107">
        <f>IFERROR(VLOOKUP(B287,'Lista por categoria'!B:F,4,0),0)</f>
        <v>0</v>
      </c>
      <c r="F287" s="107">
        <f t="shared" si="30"/>
        <v>0</v>
      </c>
    </row>
    <row r="288" spans="2:6" x14ac:dyDescent="0.25">
      <c r="B288" s="88" t="str">
        <f>'Lista por etapa'!B216</f>
        <v>Pedra brita 2 para lastro</v>
      </c>
      <c r="C288" s="91" t="str">
        <f>'Lista por etapa'!C216</f>
        <v>m3</v>
      </c>
      <c r="D288" s="87">
        <f>'Lista por etapa'!D216</f>
        <v>0</v>
      </c>
      <c r="E288" s="107">
        <f>IFERROR(VLOOKUP(B288,'Lista por categoria'!B:F,4,0),0)</f>
        <v>0</v>
      </c>
      <c r="F288" s="107">
        <f t="shared" si="30"/>
        <v>0</v>
      </c>
    </row>
    <row r="289" spans="2:6" x14ac:dyDescent="0.25">
      <c r="B289" s="116" t="s">
        <v>1199</v>
      </c>
      <c r="C289" s="117" t="s">
        <v>46</v>
      </c>
      <c r="D289" s="120" t="s">
        <v>6</v>
      </c>
      <c r="E289" s="118" t="s">
        <v>1101</v>
      </c>
      <c r="F289" s="118" t="s">
        <v>1102</v>
      </c>
    </row>
    <row r="290" spans="2:6" x14ac:dyDescent="0.25">
      <c r="B290" s="88" t="s">
        <v>1205</v>
      </c>
      <c r="C290" s="91" t="s">
        <v>1204</v>
      </c>
      <c r="D290" s="87">
        <f>'Mão de Obra por etapa'!D90</f>
        <v>0</v>
      </c>
      <c r="E290" s="107">
        <f>'Mão de Obra por etapa'!E90</f>
        <v>0</v>
      </c>
      <c r="F290" s="107">
        <f>'Mão de Obra por etapa'!F90</f>
        <v>0</v>
      </c>
    </row>
    <row r="291" spans="2:6" x14ac:dyDescent="0.25">
      <c r="B291" s="88" t="s">
        <v>1200</v>
      </c>
      <c r="C291" s="91" t="s">
        <v>1204</v>
      </c>
      <c r="D291" s="87">
        <f>'Mão de Obra por etapa'!D91</f>
        <v>0</v>
      </c>
      <c r="E291" s="107">
        <f>'Mão de Obra por etapa'!E91</f>
        <v>0</v>
      </c>
      <c r="F291" s="107">
        <f>'Mão de Obra por etapa'!F91</f>
        <v>0</v>
      </c>
    </row>
    <row r="292" spans="2:6" x14ac:dyDescent="0.25">
      <c r="B292" s="88" t="s">
        <v>1206</v>
      </c>
      <c r="C292" s="91" t="s">
        <v>1204</v>
      </c>
      <c r="D292" s="87">
        <f>'Mão de Obra por etapa'!D92</f>
        <v>0</v>
      </c>
      <c r="E292" s="107">
        <f>'Mão de Obra por etapa'!E92</f>
        <v>0</v>
      </c>
      <c r="F292" s="107">
        <f>'Mão de Obra por etapa'!F92</f>
        <v>0</v>
      </c>
    </row>
    <row r="293" spans="2:6" x14ac:dyDescent="0.25">
      <c r="B293" s="88" t="s">
        <v>1201</v>
      </c>
      <c r="C293" s="91" t="s">
        <v>1204</v>
      </c>
      <c r="D293" s="87">
        <f>'Mão de Obra por etapa'!D93</f>
        <v>0</v>
      </c>
      <c r="E293" s="107">
        <f>'Mão de Obra por etapa'!E93</f>
        <v>0</v>
      </c>
      <c r="F293" s="107">
        <f>'Mão de Obra por etapa'!F93</f>
        <v>0</v>
      </c>
    </row>
    <row r="294" spans="2:6" x14ac:dyDescent="0.25">
      <c r="B294" s="88" t="s">
        <v>1202</v>
      </c>
      <c r="C294" s="91" t="s">
        <v>1204</v>
      </c>
      <c r="D294" s="87">
        <f>'Mão de Obra por etapa'!D94</f>
        <v>0</v>
      </c>
      <c r="E294" s="107">
        <f>'Mão de Obra por etapa'!E94</f>
        <v>0</v>
      </c>
      <c r="F294" s="107">
        <f>'Mão de Obra por etapa'!F94</f>
        <v>0</v>
      </c>
    </row>
    <row r="295" spans="2:6" x14ac:dyDescent="0.25">
      <c r="B295" s="88" t="s">
        <v>1203</v>
      </c>
      <c r="C295" s="91" t="s">
        <v>1204</v>
      </c>
      <c r="D295" s="87">
        <f>'Mão de Obra por etapa'!D95</f>
        <v>0</v>
      </c>
      <c r="E295" s="107">
        <f>'Mão de Obra por etapa'!E95</f>
        <v>0</v>
      </c>
      <c r="F295" s="107">
        <f>'Mão de Obra por etapa'!F95</f>
        <v>0</v>
      </c>
    </row>
    <row r="296" spans="2:6" x14ac:dyDescent="0.25">
      <c r="B296" s="142" t="s">
        <v>1207</v>
      </c>
      <c r="C296" s="143"/>
      <c r="D296" s="143"/>
      <c r="E296" s="144"/>
      <c r="F296" s="115">
        <f>SUM(F271:F277,F280:F288,F290:F295)</f>
        <v>0</v>
      </c>
    </row>
    <row r="297" spans="2:6" x14ac:dyDescent="0.25">
      <c r="B297" s="110"/>
      <c r="C297" s="110"/>
      <c r="D297" s="121"/>
      <c r="E297" s="110"/>
      <c r="F297" s="110"/>
    </row>
    <row r="298" spans="2:6" ht="18.75" x14ac:dyDescent="0.3">
      <c r="B298" s="137" t="str">
        <f>'10. Laje'!B2</f>
        <v>Laje</v>
      </c>
      <c r="C298" s="137"/>
      <c r="D298" s="137"/>
      <c r="E298" s="137"/>
      <c r="F298" s="137"/>
    </row>
    <row r="299" spans="2:6" ht="15.75" x14ac:dyDescent="0.25">
      <c r="B299" s="134" t="str">
        <f>'10. Laje'!B5</f>
        <v>Concreto da laje</v>
      </c>
      <c r="C299" s="134"/>
      <c r="D299" s="134"/>
      <c r="E299" s="134"/>
      <c r="F299" s="134"/>
    </row>
    <row r="300" spans="2:6" x14ac:dyDescent="0.25">
      <c r="B300" s="108" t="s">
        <v>5</v>
      </c>
      <c r="C300" s="109" t="s">
        <v>46</v>
      </c>
      <c r="D300" s="122" t="s">
        <v>6</v>
      </c>
      <c r="E300" s="28" t="s">
        <v>1101</v>
      </c>
      <c r="F300" s="28" t="s">
        <v>1102</v>
      </c>
    </row>
    <row r="301" spans="2:6" x14ac:dyDescent="0.25">
      <c r="B301" s="88" t="str">
        <f>'Lista por etapa'!B221</f>
        <v>Concreto usinado para laje</v>
      </c>
      <c r="C301" s="91" t="str">
        <f>'Lista por etapa'!C221</f>
        <v>m3</v>
      </c>
      <c r="D301" s="87">
        <f>'Lista por etapa'!D221</f>
        <v>0</v>
      </c>
      <c r="E301" s="107">
        <f>IFERROR(VLOOKUP(B301,'Lista por categoria'!B:F,4,0),0)</f>
        <v>0</v>
      </c>
      <c r="F301" s="107">
        <f t="shared" ref="F301:F304" si="31">D301*E301</f>
        <v>0</v>
      </c>
    </row>
    <row r="302" spans="2:6" x14ac:dyDescent="0.25">
      <c r="B302" s="88" t="str">
        <f>'Lista por etapa'!B222</f>
        <v>Cimento CP III</v>
      </c>
      <c r="C302" s="91" t="str">
        <f>'Lista por etapa'!C222</f>
        <v>Saco 50kg</v>
      </c>
      <c r="D302" s="87">
        <f>'Lista por etapa'!D222</f>
        <v>0</v>
      </c>
      <c r="E302" s="107">
        <f>IFERROR(VLOOKUP(B302,'Lista por categoria'!B:F,4,0),0)</f>
        <v>0</v>
      </c>
      <c r="F302" s="107">
        <f t="shared" si="31"/>
        <v>0</v>
      </c>
    </row>
    <row r="303" spans="2:6" x14ac:dyDescent="0.25">
      <c r="B303" s="88" t="str">
        <f>'Lista por etapa'!B223</f>
        <v>Areia média</v>
      </c>
      <c r="C303" s="91" t="str">
        <f>'Lista por etapa'!C223</f>
        <v>m3</v>
      </c>
      <c r="D303" s="87">
        <f>'Lista por etapa'!D223</f>
        <v>0</v>
      </c>
      <c r="E303" s="107">
        <f>IFERROR(VLOOKUP(B303,'Lista por categoria'!B:F,4,0),0)</f>
        <v>0</v>
      </c>
      <c r="F303" s="107">
        <f t="shared" si="31"/>
        <v>0</v>
      </c>
    </row>
    <row r="304" spans="2:6" x14ac:dyDescent="0.25">
      <c r="B304" s="88" t="str">
        <f>'Lista por etapa'!B224</f>
        <v>Pedra brita 1</v>
      </c>
      <c r="C304" s="91" t="str">
        <f>'Lista por etapa'!C224</f>
        <v>m3</v>
      </c>
      <c r="D304" s="87">
        <f>'Lista por etapa'!D224</f>
        <v>0</v>
      </c>
      <c r="E304" s="107">
        <f>IFERROR(VLOOKUP(B304,'Lista por categoria'!B:F,4,0),0)</f>
        <v>0</v>
      </c>
      <c r="F304" s="107">
        <f t="shared" si="31"/>
        <v>0</v>
      </c>
    </row>
    <row r="305" spans="2:6" ht="15.75" x14ac:dyDescent="0.25">
      <c r="B305" s="134" t="str">
        <f>'10. Laje'!B45</f>
        <v>Preenchimento da laje</v>
      </c>
      <c r="C305" s="134"/>
      <c r="D305" s="134"/>
      <c r="E305" s="134"/>
      <c r="F305" s="134"/>
    </row>
    <row r="306" spans="2:6" x14ac:dyDescent="0.25">
      <c r="B306" s="108" t="s">
        <v>5</v>
      </c>
      <c r="C306" s="109" t="s">
        <v>46</v>
      </c>
      <c r="D306" s="122" t="s">
        <v>6</v>
      </c>
      <c r="E306" s="28" t="s">
        <v>1101</v>
      </c>
      <c r="F306" s="28" t="s">
        <v>1102</v>
      </c>
    </row>
    <row r="307" spans="2:6" x14ac:dyDescent="0.25">
      <c r="B307" s="88" t="str">
        <f>'Lista por etapa'!B227</f>
        <v/>
      </c>
      <c r="C307" s="91" t="str">
        <f>'Lista por etapa'!C227</f>
        <v>m²</v>
      </c>
      <c r="D307" s="87">
        <f>'Lista por etapa'!D227</f>
        <v>0</v>
      </c>
      <c r="E307" s="107">
        <f>IFERROR(VLOOKUP(B307,'Lista por categoria'!B:F,4,0),0)</f>
        <v>0</v>
      </c>
      <c r="F307" s="107">
        <f>D307*E307</f>
        <v>0</v>
      </c>
    </row>
    <row r="308" spans="2:6" ht="15.75" x14ac:dyDescent="0.25">
      <c r="B308" s="134" t="str">
        <f>'10. Laje'!B66</f>
        <v>Malha de aço da laje</v>
      </c>
      <c r="C308" s="134"/>
      <c r="D308" s="134"/>
      <c r="E308" s="134"/>
      <c r="F308" s="134"/>
    </row>
    <row r="309" spans="2:6" x14ac:dyDescent="0.25">
      <c r="B309" s="108" t="s">
        <v>5</v>
      </c>
      <c r="C309" s="109" t="s">
        <v>46</v>
      </c>
      <c r="D309" s="122" t="s">
        <v>6</v>
      </c>
      <c r="E309" s="28" t="s">
        <v>1101</v>
      </c>
      <c r="F309" s="28" t="s">
        <v>1102</v>
      </c>
    </row>
    <row r="310" spans="2:6" x14ac:dyDescent="0.25">
      <c r="B310" s="88" t="str">
        <f>'Lista por etapa'!B230</f>
        <v/>
      </c>
      <c r="C310" s="91" t="str">
        <f>'Lista por etapa'!C230</f>
        <v>Peça 2 x 3 m</v>
      </c>
      <c r="D310" s="87">
        <f>'Lista por etapa'!D230</f>
        <v>0</v>
      </c>
      <c r="E310" s="107">
        <f>IFERROR(VLOOKUP(B310,'Lista por categoria'!B:F,4,0),0)</f>
        <v>0</v>
      </c>
      <c r="F310" s="107">
        <f t="shared" ref="F310:F312" si="32">D310*E310</f>
        <v>0</v>
      </c>
    </row>
    <row r="311" spans="2:6" x14ac:dyDescent="0.25">
      <c r="B311" s="88" t="str">
        <f>'Lista por etapa'!B231</f>
        <v>Arame recozido BWG 18 (1,24mm)</v>
      </c>
      <c r="C311" s="91" t="str">
        <f>'Lista por etapa'!C231</f>
        <v>Rolo 1 kg</v>
      </c>
      <c r="D311" s="87">
        <f>'Lista por etapa'!D231</f>
        <v>0</v>
      </c>
      <c r="E311" s="107">
        <f>IFERROR(VLOOKUP(B311,'Lista por categoria'!B:F,4,0),0)</f>
        <v>0</v>
      </c>
      <c r="F311" s="107">
        <f t="shared" si="32"/>
        <v>0</v>
      </c>
    </row>
    <row r="312" spans="2:6" x14ac:dyDescent="0.25">
      <c r="B312" s="88" t="str">
        <f>'Lista por etapa'!B232</f>
        <v>Espaçadores de ferragem</v>
      </c>
      <c r="C312" s="91" t="str">
        <f>'Lista por etapa'!C232</f>
        <v>Peça</v>
      </c>
      <c r="D312" s="87">
        <f>'Lista por etapa'!D232</f>
        <v>0</v>
      </c>
      <c r="E312" s="107">
        <f>IFERROR(VLOOKUP(B312,'Lista por categoria'!B:F,4,0),0)</f>
        <v>0</v>
      </c>
      <c r="F312" s="107">
        <f t="shared" si="32"/>
        <v>0</v>
      </c>
    </row>
    <row r="313" spans="2:6" ht="15.75" x14ac:dyDescent="0.25">
      <c r="B313" s="134" t="str">
        <f>'10. Laje'!B93</f>
        <v>Fôrmas de madeira da laje</v>
      </c>
      <c r="C313" s="134"/>
      <c r="D313" s="134"/>
      <c r="E313" s="134"/>
      <c r="F313" s="134"/>
    </row>
    <row r="314" spans="2:6" x14ac:dyDescent="0.25">
      <c r="B314" s="108" t="s">
        <v>5</v>
      </c>
      <c r="C314" s="109" t="s">
        <v>46</v>
      </c>
      <c r="D314" s="122" t="s">
        <v>6</v>
      </c>
      <c r="E314" s="28" t="s">
        <v>1101</v>
      </c>
      <c r="F314" s="28" t="s">
        <v>1102</v>
      </c>
    </row>
    <row r="315" spans="2:6" x14ac:dyDescent="0.25">
      <c r="B315" s="88" t="str">
        <f>'Lista por etapa'!B235</f>
        <v>Tábua madeira 2,3 x 30 cm bruto</v>
      </c>
      <c r="C315" s="91" t="str">
        <f>'Lista por etapa'!C235</f>
        <v>Peça 3,0 m</v>
      </c>
      <c r="D315" s="87">
        <f>'Lista por etapa'!D235</f>
        <v>0</v>
      </c>
      <c r="E315" s="107">
        <f>IFERROR(VLOOKUP(B315,'Lista por categoria'!B:F,4,0),0)</f>
        <v>0</v>
      </c>
      <c r="F315" s="107">
        <f t="shared" ref="F315:F317" si="33">D315*E315</f>
        <v>0</v>
      </c>
    </row>
    <row r="316" spans="2:6" x14ac:dyDescent="0.25">
      <c r="B316" s="88" t="str">
        <f>'Lista por etapa'!B236</f>
        <v>Sarrafo madeira 2,3 x 10 cm bruto</v>
      </c>
      <c r="C316" s="91" t="str">
        <f>'Lista por etapa'!C236</f>
        <v>Peça 3,0 m</v>
      </c>
      <c r="D316" s="87">
        <f>'Lista por etapa'!D236</f>
        <v>0</v>
      </c>
      <c r="E316" s="107">
        <f>IFERROR(VLOOKUP(B316,'Lista por categoria'!B:F,4,0),0)</f>
        <v>0</v>
      </c>
      <c r="F316" s="107">
        <f t="shared" si="33"/>
        <v>0</v>
      </c>
    </row>
    <row r="317" spans="2:6" x14ac:dyDescent="0.25">
      <c r="B317" s="88" t="str">
        <f>'Lista por etapa'!B237</f>
        <v>Prego aço polido c/ cabeça 17 x 27</v>
      </c>
      <c r="C317" s="91" t="str">
        <f>'Lista por etapa'!C237</f>
        <v>kg</v>
      </c>
      <c r="D317" s="87">
        <f>'Lista por etapa'!D237</f>
        <v>0</v>
      </c>
      <c r="E317" s="107">
        <f>IFERROR(VLOOKUP(B317,'Lista por categoria'!B:F,4,0),0)</f>
        <v>0</v>
      </c>
      <c r="F317" s="107">
        <f t="shared" si="33"/>
        <v>0</v>
      </c>
    </row>
    <row r="318" spans="2:6" ht="15.75" x14ac:dyDescent="0.25">
      <c r="B318" s="134" t="str">
        <f>'10. Laje'!B125</f>
        <v>Escoras de madeira da laje</v>
      </c>
      <c r="C318" s="134"/>
      <c r="D318" s="134"/>
      <c r="E318" s="134"/>
      <c r="F318" s="134"/>
    </row>
    <row r="319" spans="2:6" x14ac:dyDescent="0.25">
      <c r="B319" s="108" t="s">
        <v>5</v>
      </c>
      <c r="C319" s="109" t="s">
        <v>46</v>
      </c>
      <c r="D319" s="122" t="s">
        <v>6</v>
      </c>
      <c r="E319" s="28" t="s">
        <v>1101</v>
      </c>
      <c r="F319" s="28" t="s">
        <v>1102</v>
      </c>
    </row>
    <row r="320" spans="2:6" x14ac:dyDescent="0.25">
      <c r="B320" s="88" t="str">
        <f>'Lista por etapa'!B240</f>
        <v>Escora de madeira 5 x 10 cm bruto</v>
      </c>
      <c r="C320" s="91" t="str">
        <f>'Lista por etapa'!C240</f>
        <v>Peça 3,0 m</v>
      </c>
      <c r="D320" s="87">
        <f>'Lista por etapa'!D240</f>
        <v>0</v>
      </c>
      <c r="E320" s="107">
        <f>IFERROR(VLOOKUP(B320,'Lista por categoria'!B:F,4,0),0)</f>
        <v>0</v>
      </c>
      <c r="F320" s="107">
        <f t="shared" ref="F320:F321" si="34">D320*E320</f>
        <v>0</v>
      </c>
    </row>
    <row r="321" spans="2:6" x14ac:dyDescent="0.25">
      <c r="B321" s="88" t="str">
        <f>'Lista por etapa'!B241</f>
        <v>Tábua madeira 2,3 x 30 cm bruto</v>
      </c>
      <c r="C321" s="91" t="str">
        <f>'Lista por etapa'!C241</f>
        <v>Peça 3,0 m</v>
      </c>
      <c r="D321" s="87">
        <f>'Lista por etapa'!D241</f>
        <v>0</v>
      </c>
      <c r="E321" s="107">
        <f>IFERROR(VLOOKUP(B321,'Lista por categoria'!B:F,4,0),0)</f>
        <v>0</v>
      </c>
      <c r="F321" s="107">
        <f t="shared" si="34"/>
        <v>0</v>
      </c>
    </row>
    <row r="322" spans="2:6" x14ac:dyDescent="0.25">
      <c r="B322" s="116" t="s">
        <v>1199</v>
      </c>
      <c r="C322" s="117" t="s">
        <v>46</v>
      </c>
      <c r="D322" s="120" t="s">
        <v>6</v>
      </c>
      <c r="E322" s="118" t="s">
        <v>1101</v>
      </c>
      <c r="F322" s="118" t="s">
        <v>1102</v>
      </c>
    </row>
    <row r="323" spans="2:6" x14ac:dyDescent="0.25">
      <c r="B323" s="88" t="s">
        <v>1205</v>
      </c>
      <c r="C323" s="91" t="s">
        <v>1204</v>
      </c>
      <c r="D323" s="87">
        <f>'Mão de Obra por etapa'!D99</f>
        <v>0</v>
      </c>
      <c r="E323" s="107">
        <f>'Mão de Obra por etapa'!E99</f>
        <v>0</v>
      </c>
      <c r="F323" s="107">
        <f>'Mão de Obra por etapa'!F99</f>
        <v>0</v>
      </c>
    </row>
    <row r="324" spans="2:6" x14ac:dyDescent="0.25">
      <c r="B324" s="88" t="s">
        <v>1200</v>
      </c>
      <c r="C324" s="91" t="s">
        <v>1204</v>
      </c>
      <c r="D324" s="87">
        <f>'Mão de Obra por etapa'!D100</f>
        <v>0</v>
      </c>
      <c r="E324" s="107">
        <f>'Mão de Obra por etapa'!E100</f>
        <v>0</v>
      </c>
      <c r="F324" s="107">
        <f>'Mão de Obra por etapa'!F100</f>
        <v>0</v>
      </c>
    </row>
    <row r="325" spans="2:6" x14ac:dyDescent="0.25">
      <c r="B325" s="88" t="s">
        <v>1206</v>
      </c>
      <c r="C325" s="91" t="s">
        <v>1204</v>
      </c>
      <c r="D325" s="87">
        <f>'Mão de Obra por etapa'!D101</f>
        <v>0</v>
      </c>
      <c r="E325" s="107">
        <f>'Mão de Obra por etapa'!E101</f>
        <v>0</v>
      </c>
      <c r="F325" s="107">
        <f>'Mão de Obra por etapa'!F101</f>
        <v>0</v>
      </c>
    </row>
    <row r="326" spans="2:6" x14ac:dyDescent="0.25">
      <c r="B326" s="88" t="s">
        <v>1201</v>
      </c>
      <c r="C326" s="91" t="s">
        <v>1204</v>
      </c>
      <c r="D326" s="87">
        <f>'Mão de Obra por etapa'!D102</f>
        <v>0</v>
      </c>
      <c r="E326" s="107">
        <f>'Mão de Obra por etapa'!E102</f>
        <v>0</v>
      </c>
      <c r="F326" s="107">
        <f>'Mão de Obra por etapa'!F102</f>
        <v>0</v>
      </c>
    </row>
    <row r="327" spans="2:6" x14ac:dyDescent="0.25">
      <c r="B327" s="88" t="s">
        <v>1202</v>
      </c>
      <c r="C327" s="91" t="s">
        <v>1204</v>
      </c>
      <c r="D327" s="87">
        <f>'Mão de Obra por etapa'!D103</f>
        <v>0</v>
      </c>
      <c r="E327" s="107">
        <f>'Mão de Obra por etapa'!E103</f>
        <v>0</v>
      </c>
      <c r="F327" s="107">
        <f>'Mão de Obra por etapa'!F103</f>
        <v>0</v>
      </c>
    </row>
    <row r="328" spans="2:6" x14ac:dyDescent="0.25">
      <c r="B328" s="88" t="s">
        <v>1203</v>
      </c>
      <c r="C328" s="91" t="s">
        <v>1204</v>
      </c>
      <c r="D328" s="87">
        <f>'Mão de Obra por etapa'!D104</f>
        <v>0</v>
      </c>
      <c r="E328" s="107">
        <f>'Mão de Obra por etapa'!E104</f>
        <v>0</v>
      </c>
      <c r="F328" s="107">
        <f>'Mão de Obra por etapa'!F104</f>
        <v>0</v>
      </c>
    </row>
    <row r="329" spans="2:6" x14ac:dyDescent="0.25">
      <c r="B329" s="142" t="s">
        <v>1207</v>
      </c>
      <c r="C329" s="143"/>
      <c r="D329" s="143"/>
      <c r="E329" s="144"/>
      <c r="F329" s="115">
        <f>SUM(F301:F304,F307,F310:F312,F315:F317,F320:F321,F323:F328)</f>
        <v>0</v>
      </c>
    </row>
    <row r="330" spans="2:6" x14ac:dyDescent="0.25">
      <c r="B330" s="110"/>
      <c r="C330" s="110"/>
      <c r="D330" s="121"/>
      <c r="E330" s="110"/>
      <c r="F330" s="110"/>
    </row>
    <row r="331" spans="2:6" ht="18.75" x14ac:dyDescent="0.3">
      <c r="B331" s="137" t="str">
        <f>'11. Chapisco-Emboço-Reboco'!B2:D2</f>
        <v>Reboco</v>
      </c>
      <c r="C331" s="137"/>
      <c r="D331" s="137"/>
      <c r="E331" s="137"/>
      <c r="F331" s="137"/>
    </row>
    <row r="332" spans="2:6" ht="15.75" x14ac:dyDescent="0.25">
      <c r="B332" s="134" t="str">
        <f>'11. Chapisco-Emboço-Reboco'!B5:D5</f>
        <v>Argamassa do chapisco das paredes internas</v>
      </c>
      <c r="C332" s="134"/>
      <c r="D332" s="134"/>
      <c r="E332" s="134"/>
      <c r="F332" s="134"/>
    </row>
    <row r="333" spans="2:6" x14ac:dyDescent="0.25">
      <c r="B333" s="108" t="s">
        <v>5</v>
      </c>
      <c r="C333" s="109" t="s">
        <v>46</v>
      </c>
      <c r="D333" s="122" t="s">
        <v>6</v>
      </c>
      <c r="E333" s="28" t="s">
        <v>1101</v>
      </c>
      <c r="F333" s="28" t="s">
        <v>1102</v>
      </c>
    </row>
    <row r="334" spans="2:6" x14ac:dyDescent="0.25">
      <c r="B334" s="88" t="str">
        <f>'Lista por etapa'!B246</f>
        <v>Argamassa chapisco pronta</v>
      </c>
      <c r="C334" s="91" t="str">
        <f>'Lista por etapa'!C246</f>
        <v>Saco 20 kg</v>
      </c>
      <c r="D334" s="87">
        <f>'Lista por etapa'!D246</f>
        <v>0</v>
      </c>
      <c r="E334" s="107">
        <f>IFERROR(VLOOKUP(B334,'Lista por categoria'!B:F,4,0),0)</f>
        <v>0</v>
      </c>
      <c r="F334" s="107">
        <f t="shared" ref="F334:F337" si="35">D334*E334</f>
        <v>0</v>
      </c>
    </row>
    <row r="335" spans="2:6" x14ac:dyDescent="0.25">
      <c r="B335" s="88" t="str">
        <f>'Lista por etapa'!B247</f>
        <v>Cimento CP II</v>
      </c>
      <c r="C335" s="91" t="str">
        <f>'Lista por etapa'!C247</f>
        <v>Saco 50kg</v>
      </c>
      <c r="D335" s="87">
        <f>'Lista por etapa'!D247</f>
        <v>0</v>
      </c>
      <c r="E335" s="107">
        <f>IFERROR(VLOOKUP(B335,'Lista por categoria'!B:F,4,0),0)</f>
        <v>0</v>
      </c>
      <c r="F335" s="107">
        <f t="shared" si="35"/>
        <v>0</v>
      </c>
    </row>
    <row r="336" spans="2:6" x14ac:dyDescent="0.25">
      <c r="B336" s="88" t="str">
        <f>'Lista por etapa'!B248</f>
        <v>Areia média</v>
      </c>
      <c r="C336" s="91" t="str">
        <f>'Lista por etapa'!C248</f>
        <v>m3</v>
      </c>
      <c r="D336" s="87">
        <f>'Lista por etapa'!D248</f>
        <v>0</v>
      </c>
      <c r="E336" s="107">
        <f>IFERROR(VLOOKUP(B336,'Lista por categoria'!B:F,4,0),0)</f>
        <v>0</v>
      </c>
      <c r="F336" s="107">
        <f t="shared" si="35"/>
        <v>0</v>
      </c>
    </row>
    <row r="337" spans="2:6" x14ac:dyDescent="0.25">
      <c r="B337" s="88" t="str">
        <f>'Lista por etapa'!B249</f>
        <v>Aditivo plastificante Bianco</v>
      </c>
      <c r="C337" s="91" t="str">
        <f>'Lista por etapa'!C249</f>
        <v>Litros</v>
      </c>
      <c r="D337" s="87">
        <f>'Lista por etapa'!D249</f>
        <v>0</v>
      </c>
      <c r="E337" s="107">
        <f>IFERROR(VLOOKUP(B337,'Lista por categoria'!B:F,4,0),0)</f>
        <v>0</v>
      </c>
      <c r="F337" s="107">
        <f t="shared" si="35"/>
        <v>0</v>
      </c>
    </row>
    <row r="338" spans="2:6" ht="15.75" x14ac:dyDescent="0.25">
      <c r="B338" s="134" t="str">
        <f>'11. Chapisco-Emboço-Reboco'!B70:D70</f>
        <v>Argamassa do emboço das paredes internas</v>
      </c>
      <c r="C338" s="134"/>
      <c r="D338" s="134"/>
      <c r="E338" s="134"/>
      <c r="F338" s="134"/>
    </row>
    <row r="339" spans="2:6" x14ac:dyDescent="0.25">
      <c r="B339" s="108" t="s">
        <v>5</v>
      </c>
      <c r="C339" s="109" t="s">
        <v>46</v>
      </c>
      <c r="D339" s="122" t="s">
        <v>6</v>
      </c>
      <c r="E339" s="28" t="s">
        <v>1101</v>
      </c>
      <c r="F339" s="28" t="s">
        <v>1102</v>
      </c>
    </row>
    <row r="340" spans="2:6" x14ac:dyDescent="0.25">
      <c r="B340" s="88" t="str">
        <f>'Lista por etapa'!B252</f>
        <v>Argamassa emboço pronta</v>
      </c>
      <c r="C340" s="91" t="str">
        <f>'Lista por etapa'!C252</f>
        <v>Saco 20 kg</v>
      </c>
      <c r="D340" s="87">
        <f>'Lista por etapa'!D252</f>
        <v>0</v>
      </c>
      <c r="E340" s="107">
        <f>IFERROR(VLOOKUP(B340,'Lista por categoria'!B:F,4,0),0)</f>
        <v>0</v>
      </c>
      <c r="F340" s="107">
        <f t="shared" ref="F340:F344" si="36">D340*E340</f>
        <v>0</v>
      </c>
    </row>
    <row r="341" spans="2:6" x14ac:dyDescent="0.25">
      <c r="B341" s="88" t="str">
        <f>'Lista por etapa'!B253</f>
        <v>Cimento CP II</v>
      </c>
      <c r="C341" s="91" t="str">
        <f>'Lista por etapa'!C253</f>
        <v>Saco 50kg</v>
      </c>
      <c r="D341" s="87">
        <f>'Lista por etapa'!D253</f>
        <v>0</v>
      </c>
      <c r="E341" s="107">
        <f>IFERROR(VLOOKUP(B341,'Lista por categoria'!B:F,4,0),0)</f>
        <v>0</v>
      </c>
      <c r="F341" s="107">
        <f t="shared" si="36"/>
        <v>0</v>
      </c>
    </row>
    <row r="342" spans="2:6" x14ac:dyDescent="0.25">
      <c r="B342" s="88" t="str">
        <f>'Lista por etapa'!B254</f>
        <v>Areia média</v>
      </c>
      <c r="C342" s="91" t="str">
        <f>'Lista por etapa'!C254</f>
        <v>m3</v>
      </c>
      <c r="D342" s="87">
        <f>'Lista por etapa'!D254</f>
        <v>0</v>
      </c>
      <c r="E342" s="107">
        <f>IFERROR(VLOOKUP(B342,'Lista por categoria'!B:F,4,0),0)</f>
        <v>0</v>
      </c>
      <c r="F342" s="107">
        <f t="shared" si="36"/>
        <v>0</v>
      </c>
    </row>
    <row r="343" spans="2:6" x14ac:dyDescent="0.25">
      <c r="B343" s="88" t="str">
        <f>'Lista por etapa'!B255</f>
        <v>Cal hidratada para construção civil</v>
      </c>
      <c r="C343" s="91" t="str">
        <f>'Lista por etapa'!C255</f>
        <v>Saco 20 kg</v>
      </c>
      <c r="D343" s="87">
        <f>'Lista por etapa'!D255</f>
        <v>0</v>
      </c>
      <c r="E343" s="107">
        <f>IFERROR(VLOOKUP(B343,'Lista por categoria'!B:F,4,0),0)</f>
        <v>0</v>
      </c>
      <c r="F343" s="107">
        <f t="shared" si="36"/>
        <v>0</v>
      </c>
    </row>
    <row r="344" spans="2:6" x14ac:dyDescent="0.25">
      <c r="B344" s="88" t="str">
        <f>'Lista por etapa'!B256</f>
        <v>Aditivo plastificante Bianco</v>
      </c>
      <c r="C344" s="91" t="str">
        <f>'Lista por etapa'!C256</f>
        <v>Litros</v>
      </c>
      <c r="D344" s="87">
        <f>'Lista por etapa'!D256</f>
        <v>0</v>
      </c>
      <c r="E344" s="107">
        <f>IFERROR(VLOOKUP(B344,'Lista por categoria'!B:F,4,0),0)</f>
        <v>0</v>
      </c>
      <c r="F344" s="107">
        <f t="shared" si="36"/>
        <v>0</v>
      </c>
    </row>
    <row r="345" spans="2:6" ht="15.75" x14ac:dyDescent="0.25">
      <c r="B345" s="134" t="str">
        <f>'11. Chapisco-Emboço-Reboco'!B134:D134</f>
        <v>Argamassa do reboco das paredes internas</v>
      </c>
      <c r="C345" s="134"/>
      <c r="D345" s="134"/>
      <c r="E345" s="134"/>
      <c r="F345" s="134"/>
    </row>
    <row r="346" spans="2:6" x14ac:dyDescent="0.25">
      <c r="B346" s="108" t="s">
        <v>5</v>
      </c>
      <c r="C346" s="109" t="s">
        <v>46</v>
      </c>
      <c r="D346" s="122" t="s">
        <v>6</v>
      </c>
      <c r="E346" s="28" t="s">
        <v>1101</v>
      </c>
      <c r="F346" s="28" t="s">
        <v>1102</v>
      </c>
    </row>
    <row r="347" spans="2:6" x14ac:dyDescent="0.25">
      <c r="B347" s="88" t="str">
        <f>'Lista por etapa'!B259</f>
        <v>Argamassa reboco pronta</v>
      </c>
      <c r="C347" s="91" t="str">
        <f>'Lista por etapa'!C259</f>
        <v>Saco 20 kg</v>
      </c>
      <c r="D347" s="87">
        <f>'Lista por etapa'!D259</f>
        <v>0</v>
      </c>
      <c r="E347" s="107">
        <f>IFERROR(VLOOKUP(B347,'Lista por categoria'!B:F,4,0),0)</f>
        <v>0</v>
      </c>
      <c r="F347" s="107">
        <f t="shared" ref="F347:F351" si="37">D347*E347</f>
        <v>0</v>
      </c>
    </row>
    <row r="348" spans="2:6" x14ac:dyDescent="0.25">
      <c r="B348" s="88" t="str">
        <f>'Lista por etapa'!B260</f>
        <v>Cimento CP II</v>
      </c>
      <c r="C348" s="91" t="str">
        <f>'Lista por etapa'!C260</f>
        <v>Saco 50kg</v>
      </c>
      <c r="D348" s="87">
        <f>'Lista por etapa'!D260</f>
        <v>0</v>
      </c>
      <c r="E348" s="107">
        <f>IFERROR(VLOOKUP(B348,'Lista por categoria'!B:F,4,0),0)</f>
        <v>0</v>
      </c>
      <c r="F348" s="107">
        <f t="shared" si="37"/>
        <v>0</v>
      </c>
    </row>
    <row r="349" spans="2:6" x14ac:dyDescent="0.25">
      <c r="B349" s="88" t="str">
        <f>'Lista por etapa'!B261</f>
        <v>Areia média</v>
      </c>
      <c r="C349" s="91" t="str">
        <f>'Lista por etapa'!C261</f>
        <v>m3</v>
      </c>
      <c r="D349" s="87">
        <f>'Lista por etapa'!D261</f>
        <v>0</v>
      </c>
      <c r="E349" s="107">
        <f>IFERROR(VLOOKUP(B349,'Lista por categoria'!B:F,4,0),0)</f>
        <v>0</v>
      </c>
      <c r="F349" s="107">
        <f t="shared" si="37"/>
        <v>0</v>
      </c>
    </row>
    <row r="350" spans="2:6" x14ac:dyDescent="0.25">
      <c r="B350" s="88" t="str">
        <f>'Lista por etapa'!B262</f>
        <v>Cal hidratada para construção civil</v>
      </c>
      <c r="C350" s="91" t="str">
        <f>'Lista por etapa'!C262</f>
        <v>Saco 20 kg</v>
      </c>
      <c r="D350" s="87">
        <f>'Lista por etapa'!D262</f>
        <v>0</v>
      </c>
      <c r="E350" s="107">
        <f>IFERROR(VLOOKUP(B350,'Lista por categoria'!B:F,4,0),0)</f>
        <v>0</v>
      </c>
      <c r="F350" s="107">
        <f t="shared" si="37"/>
        <v>0</v>
      </c>
    </row>
    <row r="351" spans="2:6" x14ac:dyDescent="0.25">
      <c r="B351" s="88" t="str">
        <f>'Lista por etapa'!B263</f>
        <v>Aditivo plastificante Bianco</v>
      </c>
      <c r="C351" s="91" t="str">
        <f>'Lista por etapa'!C263</f>
        <v>Litros</v>
      </c>
      <c r="D351" s="87">
        <f>'Lista por etapa'!D263</f>
        <v>0</v>
      </c>
      <c r="E351" s="107">
        <f>IFERROR(VLOOKUP(B351,'Lista por categoria'!B:F,4,0),0)</f>
        <v>0</v>
      </c>
      <c r="F351" s="107">
        <f t="shared" si="37"/>
        <v>0</v>
      </c>
    </row>
    <row r="352" spans="2:6" ht="15.75" x14ac:dyDescent="0.25">
      <c r="B352" s="134" t="str">
        <f>'11. Chapisco-Emboço-Reboco'!B198:D198</f>
        <v>Argamassa do chapisco das paredes externas</v>
      </c>
      <c r="C352" s="134"/>
      <c r="D352" s="134"/>
      <c r="E352" s="134"/>
      <c r="F352" s="134"/>
    </row>
    <row r="353" spans="2:6" x14ac:dyDescent="0.25">
      <c r="B353" s="108" t="s">
        <v>5</v>
      </c>
      <c r="C353" s="109" t="s">
        <v>46</v>
      </c>
      <c r="D353" s="122" t="s">
        <v>6</v>
      </c>
      <c r="E353" s="28" t="s">
        <v>1101</v>
      </c>
      <c r="F353" s="28" t="s">
        <v>1102</v>
      </c>
    </row>
    <row r="354" spans="2:6" x14ac:dyDescent="0.25">
      <c r="B354" s="88" t="str">
        <f>'Lista por etapa'!B266</f>
        <v>Argamassa chapisco pronta</v>
      </c>
      <c r="C354" s="91" t="str">
        <f>'Lista por etapa'!C266</f>
        <v>Saco 20 kg</v>
      </c>
      <c r="D354" s="87">
        <f>'Lista por etapa'!D266</f>
        <v>0</v>
      </c>
      <c r="E354" s="107">
        <f>IFERROR(VLOOKUP(B354,'Lista por categoria'!B:F,4,0),0)</f>
        <v>0</v>
      </c>
      <c r="F354" s="107">
        <f t="shared" ref="F354:F357" si="38">D354*E354</f>
        <v>0</v>
      </c>
    </row>
    <row r="355" spans="2:6" x14ac:dyDescent="0.25">
      <c r="B355" s="88" t="str">
        <f>'Lista por etapa'!B267</f>
        <v>Cimento CP II</v>
      </c>
      <c r="C355" s="91" t="str">
        <f>'Lista por etapa'!C267</f>
        <v>Saco 50kg</v>
      </c>
      <c r="D355" s="87">
        <f>'Lista por etapa'!D267</f>
        <v>0</v>
      </c>
      <c r="E355" s="107">
        <f>IFERROR(VLOOKUP(B355,'Lista por categoria'!B:F,4,0),0)</f>
        <v>0</v>
      </c>
      <c r="F355" s="107">
        <f t="shared" si="38"/>
        <v>0</v>
      </c>
    </row>
    <row r="356" spans="2:6" x14ac:dyDescent="0.25">
      <c r="B356" s="88" t="str">
        <f>'Lista por etapa'!B268</f>
        <v>Areia média</v>
      </c>
      <c r="C356" s="91" t="str">
        <f>'Lista por etapa'!C268</f>
        <v>m3</v>
      </c>
      <c r="D356" s="87">
        <f>'Lista por etapa'!D268</f>
        <v>0</v>
      </c>
      <c r="E356" s="107">
        <f>IFERROR(VLOOKUP(B356,'Lista por categoria'!B:F,4,0),0)</f>
        <v>0</v>
      </c>
      <c r="F356" s="107">
        <f t="shared" si="38"/>
        <v>0</v>
      </c>
    </row>
    <row r="357" spans="2:6" x14ac:dyDescent="0.25">
      <c r="B357" s="88" t="str">
        <f>'Lista por etapa'!B269</f>
        <v>Aditivo plastificante Bianco</v>
      </c>
      <c r="C357" s="91" t="str">
        <f>'Lista por etapa'!C269</f>
        <v>Litros</v>
      </c>
      <c r="D357" s="87">
        <f>'Lista por etapa'!D269</f>
        <v>0</v>
      </c>
      <c r="E357" s="107">
        <f>IFERROR(VLOOKUP(B357,'Lista por categoria'!B:F,4,0),0)</f>
        <v>0</v>
      </c>
      <c r="F357" s="107">
        <f t="shared" si="38"/>
        <v>0</v>
      </c>
    </row>
    <row r="358" spans="2:6" ht="15.75" x14ac:dyDescent="0.25">
      <c r="B358" s="134" t="str">
        <f>'11. Chapisco-Emboço-Reboco'!B263:D263</f>
        <v>Argamassa do emboço das paredes externas</v>
      </c>
      <c r="C358" s="134"/>
      <c r="D358" s="134"/>
      <c r="E358" s="134"/>
      <c r="F358" s="134"/>
    </row>
    <row r="359" spans="2:6" x14ac:dyDescent="0.25">
      <c r="B359" s="108" t="s">
        <v>5</v>
      </c>
      <c r="C359" s="109" t="s">
        <v>46</v>
      </c>
      <c r="D359" s="122" t="s">
        <v>6</v>
      </c>
      <c r="E359" s="28" t="s">
        <v>1101</v>
      </c>
      <c r="F359" s="28" t="s">
        <v>1102</v>
      </c>
    </row>
    <row r="360" spans="2:6" x14ac:dyDescent="0.25">
      <c r="B360" s="88" t="str">
        <f>'Lista por etapa'!B272</f>
        <v>Argamassa emboço pronta</v>
      </c>
      <c r="C360" s="91" t="str">
        <f>'Lista por etapa'!C272</f>
        <v>Saco 20 kg</v>
      </c>
      <c r="D360" s="87">
        <f>'Lista por etapa'!D272</f>
        <v>0</v>
      </c>
      <c r="E360" s="107">
        <f>IFERROR(VLOOKUP(B360,'Lista por categoria'!B:F,4,0),0)</f>
        <v>0</v>
      </c>
      <c r="F360" s="107">
        <f t="shared" ref="F360:F364" si="39">D360*E360</f>
        <v>0</v>
      </c>
    </row>
    <row r="361" spans="2:6" x14ac:dyDescent="0.25">
      <c r="B361" s="88" t="str">
        <f>'Lista por etapa'!B273</f>
        <v>Cimento CP II</v>
      </c>
      <c r="C361" s="91" t="str">
        <f>'Lista por etapa'!C273</f>
        <v>Saco 50kg</v>
      </c>
      <c r="D361" s="87">
        <f>'Lista por etapa'!D273</f>
        <v>0</v>
      </c>
      <c r="E361" s="107">
        <f>IFERROR(VLOOKUP(B361,'Lista por categoria'!B:F,4,0),0)</f>
        <v>0</v>
      </c>
      <c r="F361" s="107">
        <f t="shared" si="39"/>
        <v>0</v>
      </c>
    </row>
    <row r="362" spans="2:6" x14ac:dyDescent="0.25">
      <c r="B362" s="88" t="str">
        <f>'Lista por etapa'!B274</f>
        <v>Areia média</v>
      </c>
      <c r="C362" s="91" t="str">
        <f>'Lista por etapa'!C274</f>
        <v>m3</v>
      </c>
      <c r="D362" s="87">
        <f>'Lista por etapa'!D274</f>
        <v>0</v>
      </c>
      <c r="E362" s="107">
        <f>IFERROR(VLOOKUP(B362,'Lista por categoria'!B:F,4,0),0)</f>
        <v>0</v>
      </c>
      <c r="F362" s="107">
        <f t="shared" si="39"/>
        <v>0</v>
      </c>
    </row>
    <row r="363" spans="2:6" x14ac:dyDescent="0.25">
      <c r="B363" s="88" t="str">
        <f>'Lista por etapa'!B275</f>
        <v>Cal hidratada para construção civil</v>
      </c>
      <c r="C363" s="91" t="str">
        <f>'Lista por etapa'!C275</f>
        <v>Saco 20 kg</v>
      </c>
      <c r="D363" s="87">
        <f>'Lista por etapa'!D275</f>
        <v>0</v>
      </c>
      <c r="E363" s="107">
        <f>IFERROR(VLOOKUP(B363,'Lista por categoria'!B:F,4,0),0)</f>
        <v>0</v>
      </c>
      <c r="F363" s="107">
        <f t="shared" si="39"/>
        <v>0</v>
      </c>
    </row>
    <row r="364" spans="2:6" x14ac:dyDescent="0.25">
      <c r="B364" s="88" t="str">
        <f>'Lista por etapa'!B276</f>
        <v>Aditivo plastificante Bianco</v>
      </c>
      <c r="C364" s="91" t="str">
        <f>'Lista por etapa'!C276</f>
        <v>Litros</v>
      </c>
      <c r="D364" s="87">
        <f>'Lista por etapa'!D276</f>
        <v>0</v>
      </c>
      <c r="E364" s="107">
        <f>IFERROR(VLOOKUP(B364,'Lista por categoria'!B:F,4,0),0)</f>
        <v>0</v>
      </c>
      <c r="F364" s="107">
        <f t="shared" si="39"/>
        <v>0</v>
      </c>
    </row>
    <row r="365" spans="2:6" ht="15.75" x14ac:dyDescent="0.25">
      <c r="B365" s="134" t="str">
        <f>'11. Chapisco-Emboço-Reboco'!B327:D327</f>
        <v>Argamassa do reboco das paredes externas</v>
      </c>
      <c r="C365" s="134"/>
      <c r="D365" s="134"/>
      <c r="E365" s="134"/>
      <c r="F365" s="134"/>
    </row>
    <row r="366" spans="2:6" x14ac:dyDescent="0.25">
      <c r="B366" s="108" t="s">
        <v>5</v>
      </c>
      <c r="C366" s="109" t="s">
        <v>46</v>
      </c>
      <c r="D366" s="122" t="s">
        <v>6</v>
      </c>
      <c r="E366" s="28" t="s">
        <v>1101</v>
      </c>
      <c r="F366" s="28" t="s">
        <v>1102</v>
      </c>
    </row>
    <row r="367" spans="2:6" x14ac:dyDescent="0.25">
      <c r="B367" s="88" t="str">
        <f>'Lista por etapa'!B279</f>
        <v>Argamassa reboco pronta</v>
      </c>
      <c r="C367" s="91" t="str">
        <f>'Lista por etapa'!C279</f>
        <v>Saco 20 kg</v>
      </c>
      <c r="D367" s="87">
        <f>'Lista por etapa'!D279</f>
        <v>0</v>
      </c>
      <c r="E367" s="107">
        <f>IFERROR(VLOOKUP(B367,'Lista por categoria'!B:F,4,0),0)</f>
        <v>0</v>
      </c>
      <c r="F367" s="107">
        <f t="shared" ref="F367:F371" si="40">D367*E367</f>
        <v>0</v>
      </c>
    </row>
    <row r="368" spans="2:6" x14ac:dyDescent="0.25">
      <c r="B368" s="88" t="str">
        <f>'Lista por etapa'!B280</f>
        <v>Cimento CP II</v>
      </c>
      <c r="C368" s="91" t="str">
        <f>'Lista por etapa'!C280</f>
        <v>Saco 50kg</v>
      </c>
      <c r="D368" s="87">
        <f>'Lista por etapa'!D280</f>
        <v>0</v>
      </c>
      <c r="E368" s="107">
        <f>IFERROR(VLOOKUP(B368,'Lista por categoria'!B:F,4,0),0)</f>
        <v>0</v>
      </c>
      <c r="F368" s="107">
        <f t="shared" si="40"/>
        <v>0</v>
      </c>
    </row>
    <row r="369" spans="2:6" x14ac:dyDescent="0.25">
      <c r="B369" s="88" t="str">
        <f>'Lista por etapa'!B281</f>
        <v>Areia média</v>
      </c>
      <c r="C369" s="91" t="str">
        <f>'Lista por etapa'!C281</f>
        <v>m3</v>
      </c>
      <c r="D369" s="87">
        <f>'Lista por etapa'!D281</f>
        <v>0</v>
      </c>
      <c r="E369" s="107">
        <f>IFERROR(VLOOKUP(B369,'Lista por categoria'!B:F,4,0),0)</f>
        <v>0</v>
      </c>
      <c r="F369" s="107">
        <f t="shared" si="40"/>
        <v>0</v>
      </c>
    </row>
    <row r="370" spans="2:6" x14ac:dyDescent="0.25">
      <c r="B370" s="88" t="str">
        <f>'Lista por etapa'!B282</f>
        <v>Cal hidratada para construção civil</v>
      </c>
      <c r="C370" s="91" t="str">
        <f>'Lista por etapa'!C282</f>
        <v>Saco 20 kg</v>
      </c>
      <c r="D370" s="87">
        <f>'Lista por etapa'!D282</f>
        <v>0</v>
      </c>
      <c r="E370" s="107">
        <f>IFERROR(VLOOKUP(B370,'Lista por categoria'!B:F,4,0),0)</f>
        <v>0</v>
      </c>
      <c r="F370" s="107">
        <f t="shared" si="40"/>
        <v>0</v>
      </c>
    </row>
    <row r="371" spans="2:6" x14ac:dyDescent="0.25">
      <c r="B371" s="88" t="str">
        <f>'Lista por etapa'!B283</f>
        <v>Aditivo plastificante Bianco</v>
      </c>
      <c r="C371" s="91" t="str">
        <f>'Lista por etapa'!C283</f>
        <v>Litros</v>
      </c>
      <c r="D371" s="87">
        <f>'Lista por etapa'!D283</f>
        <v>0</v>
      </c>
      <c r="E371" s="107">
        <f>IFERROR(VLOOKUP(B371,'Lista por categoria'!B:F,4,0),0)</f>
        <v>0</v>
      </c>
      <c r="F371" s="107">
        <f t="shared" si="40"/>
        <v>0</v>
      </c>
    </row>
    <row r="372" spans="2:6" ht="15.75" x14ac:dyDescent="0.25">
      <c r="B372" s="134" t="str">
        <f>'11. Chapisco-Emboço-Reboco'!B391:D391</f>
        <v>Argamassa do chapisco das teto</v>
      </c>
      <c r="C372" s="134"/>
      <c r="D372" s="134"/>
      <c r="E372" s="134"/>
      <c r="F372" s="134"/>
    </row>
    <row r="373" spans="2:6" x14ac:dyDescent="0.25">
      <c r="B373" s="108" t="s">
        <v>5</v>
      </c>
      <c r="C373" s="109" t="s">
        <v>46</v>
      </c>
      <c r="D373" s="122" t="s">
        <v>6</v>
      </c>
      <c r="E373" s="28" t="s">
        <v>1101</v>
      </c>
      <c r="F373" s="28" t="s">
        <v>1102</v>
      </c>
    </row>
    <row r="374" spans="2:6" x14ac:dyDescent="0.25">
      <c r="B374" s="88" t="str">
        <f>'Lista por etapa'!B286</f>
        <v>Argamassa chapisco pronta</v>
      </c>
      <c r="C374" s="91" t="str">
        <f>'Lista por etapa'!C286</f>
        <v>Saco 20 kg</v>
      </c>
      <c r="D374" s="87">
        <f>'Lista por etapa'!D286</f>
        <v>0</v>
      </c>
      <c r="E374" s="107">
        <f>IFERROR(VLOOKUP(B374,'Lista por categoria'!B:F,4,0),0)</f>
        <v>0</v>
      </c>
      <c r="F374" s="107">
        <f t="shared" ref="F374:F377" si="41">D374*E374</f>
        <v>0</v>
      </c>
    </row>
    <row r="375" spans="2:6" x14ac:dyDescent="0.25">
      <c r="B375" s="88" t="str">
        <f>'Lista por etapa'!B287</f>
        <v>Cimento CP II</v>
      </c>
      <c r="C375" s="91" t="str">
        <f>'Lista por etapa'!C287</f>
        <v>Saco 50kg</v>
      </c>
      <c r="D375" s="87">
        <f>'Lista por etapa'!D287</f>
        <v>0</v>
      </c>
      <c r="E375" s="107">
        <f>IFERROR(VLOOKUP(B375,'Lista por categoria'!B:F,4,0),0)</f>
        <v>0</v>
      </c>
      <c r="F375" s="107">
        <f t="shared" si="41"/>
        <v>0</v>
      </c>
    </row>
    <row r="376" spans="2:6" x14ac:dyDescent="0.25">
      <c r="B376" s="88" t="str">
        <f>'Lista por etapa'!B288</f>
        <v>Areia média</v>
      </c>
      <c r="C376" s="91" t="str">
        <f>'Lista por etapa'!C288</f>
        <v>m3</v>
      </c>
      <c r="D376" s="87">
        <f>'Lista por etapa'!D288</f>
        <v>0</v>
      </c>
      <c r="E376" s="107">
        <f>IFERROR(VLOOKUP(B376,'Lista por categoria'!B:F,4,0),0)</f>
        <v>0</v>
      </c>
      <c r="F376" s="107">
        <f t="shared" si="41"/>
        <v>0</v>
      </c>
    </row>
    <row r="377" spans="2:6" x14ac:dyDescent="0.25">
      <c r="B377" s="88" t="str">
        <f>'Lista por etapa'!B289</f>
        <v>Aditivo plastificante Bianco</v>
      </c>
      <c r="C377" s="91" t="str">
        <f>'Lista por etapa'!C289</f>
        <v>Litros</v>
      </c>
      <c r="D377" s="87">
        <f>'Lista por etapa'!D289</f>
        <v>0</v>
      </c>
      <c r="E377" s="107">
        <f>IFERROR(VLOOKUP(B377,'Lista por categoria'!B:F,4,0),0)</f>
        <v>0</v>
      </c>
      <c r="F377" s="107">
        <f t="shared" si="41"/>
        <v>0</v>
      </c>
    </row>
    <row r="378" spans="2:6" ht="15.75" x14ac:dyDescent="0.25">
      <c r="B378" s="134" t="str">
        <f>'11. Chapisco-Emboço-Reboco'!B452:D452</f>
        <v>Argamassa do emboço das teto</v>
      </c>
      <c r="C378" s="134"/>
      <c r="D378" s="134"/>
      <c r="E378" s="134"/>
      <c r="F378" s="134"/>
    </row>
    <row r="379" spans="2:6" x14ac:dyDescent="0.25">
      <c r="B379" s="108" t="s">
        <v>5</v>
      </c>
      <c r="C379" s="109" t="s">
        <v>46</v>
      </c>
      <c r="D379" s="122" t="s">
        <v>6</v>
      </c>
      <c r="E379" s="28" t="s">
        <v>1101</v>
      </c>
      <c r="F379" s="28" t="s">
        <v>1102</v>
      </c>
    </row>
    <row r="380" spans="2:6" x14ac:dyDescent="0.25">
      <c r="B380" s="88" t="str">
        <f>'Lista por etapa'!B292</f>
        <v>Argamassa emboço pronta</v>
      </c>
      <c r="C380" s="91" t="str">
        <f>'Lista por etapa'!C292</f>
        <v>Saco 20 kg</v>
      </c>
      <c r="D380" s="87">
        <f>'Lista por etapa'!D292</f>
        <v>0</v>
      </c>
      <c r="E380" s="107">
        <f>IFERROR(VLOOKUP(B380,'Lista por categoria'!B:F,4,0),0)</f>
        <v>0</v>
      </c>
      <c r="F380" s="107">
        <f t="shared" ref="F380:F384" si="42">D380*E380</f>
        <v>0</v>
      </c>
    </row>
    <row r="381" spans="2:6" x14ac:dyDescent="0.25">
      <c r="B381" s="88" t="str">
        <f>'Lista por etapa'!B293</f>
        <v>Cimento CP II</v>
      </c>
      <c r="C381" s="91" t="str">
        <f>'Lista por etapa'!C293</f>
        <v>Saco 50kg</v>
      </c>
      <c r="D381" s="87">
        <f>'Lista por etapa'!D293</f>
        <v>0</v>
      </c>
      <c r="E381" s="107">
        <f>IFERROR(VLOOKUP(B381,'Lista por categoria'!B:F,4,0),0)</f>
        <v>0</v>
      </c>
      <c r="F381" s="107">
        <f t="shared" si="42"/>
        <v>0</v>
      </c>
    </row>
    <row r="382" spans="2:6" x14ac:dyDescent="0.25">
      <c r="B382" s="88" t="str">
        <f>'Lista por etapa'!B294</f>
        <v>Areia média</v>
      </c>
      <c r="C382" s="91" t="str">
        <f>'Lista por etapa'!C294</f>
        <v>m3</v>
      </c>
      <c r="D382" s="87">
        <f>'Lista por etapa'!D294</f>
        <v>0</v>
      </c>
      <c r="E382" s="107">
        <f>IFERROR(VLOOKUP(B382,'Lista por categoria'!B:F,4,0),0)</f>
        <v>0</v>
      </c>
      <c r="F382" s="107">
        <f t="shared" si="42"/>
        <v>0</v>
      </c>
    </row>
    <row r="383" spans="2:6" x14ac:dyDescent="0.25">
      <c r="B383" s="88" t="str">
        <f>'Lista por etapa'!B295</f>
        <v>Cal hidratada para construção civil</v>
      </c>
      <c r="C383" s="91" t="str">
        <f>'Lista por etapa'!C295</f>
        <v>Saco 20 kg</v>
      </c>
      <c r="D383" s="87">
        <f>'Lista por etapa'!D295</f>
        <v>0</v>
      </c>
      <c r="E383" s="107">
        <f>IFERROR(VLOOKUP(B383,'Lista por categoria'!B:F,4,0),0)</f>
        <v>0</v>
      </c>
      <c r="F383" s="107">
        <f t="shared" si="42"/>
        <v>0</v>
      </c>
    </row>
    <row r="384" spans="2:6" x14ac:dyDescent="0.25">
      <c r="B384" s="88" t="str">
        <f>'Lista por etapa'!B296</f>
        <v>Aditivo plastificante Bianco</v>
      </c>
      <c r="C384" s="91" t="str">
        <f>'Lista por etapa'!C296</f>
        <v>Litros</v>
      </c>
      <c r="D384" s="87">
        <f>'Lista por etapa'!D296</f>
        <v>0</v>
      </c>
      <c r="E384" s="107">
        <f>IFERROR(VLOOKUP(B384,'Lista por categoria'!B:F,4,0),0)</f>
        <v>0</v>
      </c>
      <c r="F384" s="107">
        <f t="shared" si="42"/>
        <v>0</v>
      </c>
    </row>
    <row r="385" spans="2:6" ht="15.75" x14ac:dyDescent="0.25">
      <c r="B385" s="134" t="str">
        <f>'11. Chapisco-Emboço-Reboco'!B512:D512</f>
        <v>Argamassa do reboco das teto</v>
      </c>
      <c r="C385" s="134"/>
      <c r="D385" s="134"/>
      <c r="E385" s="134"/>
      <c r="F385" s="134"/>
    </row>
    <row r="386" spans="2:6" x14ac:dyDescent="0.25">
      <c r="B386" s="108" t="s">
        <v>5</v>
      </c>
      <c r="C386" s="109" t="s">
        <v>46</v>
      </c>
      <c r="D386" s="122" t="s">
        <v>6</v>
      </c>
      <c r="E386" s="28" t="s">
        <v>1101</v>
      </c>
      <c r="F386" s="28" t="s">
        <v>1102</v>
      </c>
    </row>
    <row r="387" spans="2:6" x14ac:dyDescent="0.25">
      <c r="B387" s="88" t="str">
        <f>'Lista por etapa'!B299</f>
        <v>Argamassa reboco pronta</v>
      </c>
      <c r="C387" s="91" t="str">
        <f>'Lista por etapa'!C299</f>
        <v>Saco 20 kg</v>
      </c>
      <c r="D387" s="87">
        <f>'Lista por etapa'!D299</f>
        <v>0</v>
      </c>
      <c r="E387" s="107">
        <f>IFERROR(VLOOKUP(B387,'Lista por categoria'!B:F,4,0),0)</f>
        <v>0</v>
      </c>
      <c r="F387" s="107">
        <f t="shared" ref="F387:F391" si="43">D387*E387</f>
        <v>0</v>
      </c>
    </row>
    <row r="388" spans="2:6" x14ac:dyDescent="0.25">
      <c r="B388" s="88" t="str">
        <f>'Lista por etapa'!B300</f>
        <v>Cimento CP II</v>
      </c>
      <c r="C388" s="91" t="str">
        <f>'Lista por etapa'!C300</f>
        <v>Saco 50kg</v>
      </c>
      <c r="D388" s="87">
        <f>'Lista por etapa'!D300</f>
        <v>0</v>
      </c>
      <c r="E388" s="107">
        <f>IFERROR(VLOOKUP(B388,'Lista por categoria'!B:F,4,0),0)</f>
        <v>0</v>
      </c>
      <c r="F388" s="107">
        <f t="shared" si="43"/>
        <v>0</v>
      </c>
    </row>
    <row r="389" spans="2:6" x14ac:dyDescent="0.25">
      <c r="B389" s="88" t="str">
        <f>'Lista por etapa'!B301</f>
        <v>Areia média</v>
      </c>
      <c r="C389" s="91" t="str">
        <f>'Lista por etapa'!C301</f>
        <v>m3</v>
      </c>
      <c r="D389" s="87">
        <f>'Lista por etapa'!D301</f>
        <v>0</v>
      </c>
      <c r="E389" s="107">
        <f>IFERROR(VLOOKUP(B389,'Lista por categoria'!B:F,4,0),0)</f>
        <v>0</v>
      </c>
      <c r="F389" s="107">
        <f t="shared" si="43"/>
        <v>0</v>
      </c>
    </row>
    <row r="390" spans="2:6" x14ac:dyDescent="0.25">
      <c r="B390" s="88" t="str">
        <f>'Lista por etapa'!B302</f>
        <v>Cal hidratada para construção civil</v>
      </c>
      <c r="C390" s="91" t="str">
        <f>'Lista por etapa'!C302</f>
        <v>Saco 20 kg</v>
      </c>
      <c r="D390" s="87">
        <f>'Lista por etapa'!D302</f>
        <v>0</v>
      </c>
      <c r="E390" s="107">
        <f>IFERROR(VLOOKUP(B390,'Lista por categoria'!B:F,4,0),0)</f>
        <v>0</v>
      </c>
      <c r="F390" s="107">
        <f t="shared" si="43"/>
        <v>0</v>
      </c>
    </row>
    <row r="391" spans="2:6" x14ac:dyDescent="0.25">
      <c r="B391" s="88" t="str">
        <f>'Lista por etapa'!B303</f>
        <v>Aditivo plastificante Bianco</v>
      </c>
      <c r="C391" s="91" t="str">
        <f>'Lista por etapa'!C303</f>
        <v>Litros</v>
      </c>
      <c r="D391" s="87">
        <f>'Lista por etapa'!D303</f>
        <v>0</v>
      </c>
      <c r="E391" s="107">
        <f>IFERROR(VLOOKUP(B391,'Lista por categoria'!B:F,4,0),0)</f>
        <v>0</v>
      </c>
      <c r="F391" s="107">
        <f t="shared" si="43"/>
        <v>0</v>
      </c>
    </row>
    <row r="392" spans="2:6" x14ac:dyDescent="0.25">
      <c r="B392" s="116" t="s">
        <v>1199</v>
      </c>
      <c r="C392" s="117" t="s">
        <v>46</v>
      </c>
      <c r="D392" s="120" t="s">
        <v>6</v>
      </c>
      <c r="E392" s="118" t="s">
        <v>1101</v>
      </c>
      <c r="F392" s="118" t="s">
        <v>1102</v>
      </c>
    </row>
    <row r="393" spans="2:6" x14ac:dyDescent="0.25">
      <c r="B393" s="88" t="s">
        <v>1205</v>
      </c>
      <c r="C393" s="91" t="s">
        <v>1204</v>
      </c>
      <c r="D393" s="87">
        <f>'Mão de Obra por etapa'!D108</f>
        <v>0</v>
      </c>
      <c r="E393" s="107">
        <f>'Mão de Obra por etapa'!E108</f>
        <v>0</v>
      </c>
      <c r="F393" s="107">
        <f>'Mão de Obra por etapa'!F108</f>
        <v>0</v>
      </c>
    </row>
    <row r="394" spans="2:6" x14ac:dyDescent="0.25">
      <c r="B394" s="88" t="s">
        <v>1200</v>
      </c>
      <c r="C394" s="91" t="s">
        <v>1204</v>
      </c>
      <c r="D394" s="87">
        <f>'Mão de Obra por etapa'!D109</f>
        <v>0</v>
      </c>
      <c r="E394" s="107">
        <f>'Mão de Obra por etapa'!E109</f>
        <v>0</v>
      </c>
      <c r="F394" s="107">
        <f>'Mão de Obra por etapa'!F109</f>
        <v>0</v>
      </c>
    </row>
    <row r="395" spans="2:6" x14ac:dyDescent="0.25">
      <c r="B395" s="88" t="s">
        <v>1206</v>
      </c>
      <c r="C395" s="91" t="s">
        <v>1204</v>
      </c>
      <c r="D395" s="87">
        <f>'Mão de Obra por etapa'!D110</f>
        <v>0</v>
      </c>
      <c r="E395" s="107">
        <f>'Mão de Obra por etapa'!E110</f>
        <v>0</v>
      </c>
      <c r="F395" s="107">
        <f>'Mão de Obra por etapa'!F110</f>
        <v>0</v>
      </c>
    </row>
    <row r="396" spans="2:6" x14ac:dyDescent="0.25">
      <c r="B396" s="88" t="s">
        <v>1201</v>
      </c>
      <c r="C396" s="91" t="s">
        <v>1204</v>
      </c>
      <c r="D396" s="87">
        <f>'Mão de Obra por etapa'!D111</f>
        <v>0</v>
      </c>
      <c r="E396" s="107">
        <f>'Mão de Obra por etapa'!E111</f>
        <v>0</v>
      </c>
      <c r="F396" s="107">
        <f>'Mão de Obra por etapa'!F111</f>
        <v>0</v>
      </c>
    </row>
    <row r="397" spans="2:6" x14ac:dyDescent="0.25">
      <c r="B397" s="88" t="s">
        <v>1202</v>
      </c>
      <c r="C397" s="91" t="s">
        <v>1204</v>
      </c>
      <c r="D397" s="87">
        <f>'Mão de Obra por etapa'!D112</f>
        <v>0</v>
      </c>
      <c r="E397" s="107">
        <f>'Mão de Obra por etapa'!E112</f>
        <v>0</v>
      </c>
      <c r="F397" s="107">
        <f>'Mão de Obra por etapa'!F112</f>
        <v>0</v>
      </c>
    </row>
    <row r="398" spans="2:6" x14ac:dyDescent="0.25">
      <c r="B398" s="88" t="s">
        <v>1203</v>
      </c>
      <c r="C398" s="91" t="s">
        <v>1204</v>
      </c>
      <c r="D398" s="87">
        <f>'Mão de Obra por etapa'!D113</f>
        <v>0</v>
      </c>
      <c r="E398" s="107">
        <f>'Mão de Obra por etapa'!E113</f>
        <v>0</v>
      </c>
      <c r="F398" s="107">
        <f>'Mão de Obra por etapa'!F113</f>
        <v>0</v>
      </c>
    </row>
    <row r="399" spans="2:6" x14ac:dyDescent="0.25">
      <c r="B399" s="142" t="s">
        <v>1207</v>
      </c>
      <c r="C399" s="143"/>
      <c r="D399" s="143"/>
      <c r="E399" s="144"/>
      <c r="F399" s="115">
        <f>SUM(F334:F337,F340:F344,F347:F351,F354:F357,F360:F364,F367:F371,F374:F377,F380:F384,F387:F391,F393:F398)</f>
        <v>0</v>
      </c>
    </row>
    <row r="400" spans="2:6" x14ac:dyDescent="0.25">
      <c r="B400" s="110"/>
      <c r="C400" s="110"/>
      <c r="D400" s="121"/>
      <c r="E400" s="110"/>
      <c r="F400" s="110"/>
    </row>
    <row r="401" spans="2:6" ht="18.75" x14ac:dyDescent="0.3">
      <c r="B401" s="137" t="str">
        <f>'12. Gesso'!B2</f>
        <v>Gesso</v>
      </c>
      <c r="C401" s="137"/>
      <c r="D401" s="137"/>
      <c r="E401" s="137"/>
      <c r="F401" s="137"/>
    </row>
    <row r="402" spans="2:6" ht="15.75" x14ac:dyDescent="0.25">
      <c r="B402" s="134" t="str">
        <f>'12. Gesso'!B5</f>
        <v>Gesso das paredes internas</v>
      </c>
      <c r="C402" s="134"/>
      <c r="D402" s="134"/>
      <c r="E402" s="134"/>
      <c r="F402" s="134"/>
    </row>
    <row r="403" spans="2:6" x14ac:dyDescent="0.25">
      <c r="B403" s="108" t="s">
        <v>5</v>
      </c>
      <c r="C403" s="109" t="s">
        <v>46</v>
      </c>
      <c r="D403" s="122" t="s">
        <v>6</v>
      </c>
      <c r="E403" s="28" t="s">
        <v>1101</v>
      </c>
      <c r="F403" s="28" t="s">
        <v>1102</v>
      </c>
    </row>
    <row r="404" spans="2:6" x14ac:dyDescent="0.25">
      <c r="B404" s="88" t="str">
        <f>'Lista por etapa'!B308</f>
        <v>Gesso liso aplicado</v>
      </c>
      <c r="C404" s="91" t="str">
        <f>'Lista por etapa'!C308</f>
        <v>m²</v>
      </c>
      <c r="D404" s="87">
        <f>'Lista por etapa'!D308</f>
        <v>0</v>
      </c>
      <c r="E404" s="107">
        <f>IFERROR(VLOOKUP(B404,'Lista por categoria'!B:F,4,0),0)</f>
        <v>0</v>
      </c>
      <c r="F404" s="107">
        <f t="shared" ref="F404:F405" si="44">D404*E404</f>
        <v>0</v>
      </c>
    </row>
    <row r="405" spans="2:6" x14ac:dyDescent="0.25">
      <c r="B405" s="88" t="str">
        <f>'Lista por etapa'!B309</f>
        <v>Gesso em pó secagem rápida</v>
      </c>
      <c r="C405" s="91" t="str">
        <f>'Lista por etapa'!C309</f>
        <v>Saco 20 kg</v>
      </c>
      <c r="D405" s="87">
        <f>'Lista por etapa'!D309</f>
        <v>0</v>
      </c>
      <c r="E405" s="107">
        <f>IFERROR(VLOOKUP(B405,'Lista por categoria'!B:F,4,0),0)</f>
        <v>0</v>
      </c>
      <c r="F405" s="107">
        <f t="shared" si="44"/>
        <v>0</v>
      </c>
    </row>
    <row r="406" spans="2:6" ht="15.75" x14ac:dyDescent="0.25">
      <c r="B406" s="134" t="str">
        <f>'12. Gesso'!B34</f>
        <v>Gesso do teto</v>
      </c>
      <c r="C406" s="134"/>
      <c r="D406" s="134"/>
      <c r="E406" s="134"/>
      <c r="F406" s="134"/>
    </row>
    <row r="407" spans="2:6" x14ac:dyDescent="0.25">
      <c r="B407" s="108" t="s">
        <v>5</v>
      </c>
      <c r="C407" s="109" t="s">
        <v>46</v>
      </c>
      <c r="D407" s="122" t="s">
        <v>6</v>
      </c>
      <c r="E407" s="28" t="s">
        <v>1101</v>
      </c>
      <c r="F407" s="28" t="s">
        <v>1102</v>
      </c>
    </row>
    <row r="408" spans="2:6" x14ac:dyDescent="0.25">
      <c r="B408" s="88" t="str">
        <f>'Lista por etapa'!B312</f>
        <v>Gesso liso aplicado</v>
      </c>
      <c r="C408" s="91" t="str">
        <f>'Lista por etapa'!C312</f>
        <v>m²</v>
      </c>
      <c r="D408" s="87">
        <f>'Lista por etapa'!D312</f>
        <v>0</v>
      </c>
      <c r="E408" s="107">
        <f>IFERROR(VLOOKUP(B408,'Lista por categoria'!B:F,4,0),0)</f>
        <v>0</v>
      </c>
      <c r="F408" s="107">
        <f t="shared" ref="F408:F409" si="45">D408*E408</f>
        <v>0</v>
      </c>
    </row>
    <row r="409" spans="2:6" x14ac:dyDescent="0.25">
      <c r="B409" s="88" t="str">
        <f>'Lista por etapa'!B313</f>
        <v>Gesso em pó secagem rápida</v>
      </c>
      <c r="C409" s="91" t="str">
        <f>'Lista por etapa'!C313</f>
        <v>Saco 20 kg</v>
      </c>
      <c r="D409" s="87">
        <f>'Lista por etapa'!D313</f>
        <v>131.25</v>
      </c>
      <c r="E409" s="107">
        <f>IFERROR(VLOOKUP(B409,'Lista por categoria'!B:F,4,0),0)</f>
        <v>0</v>
      </c>
      <c r="F409" s="107">
        <f t="shared" si="45"/>
        <v>0</v>
      </c>
    </row>
    <row r="410" spans="2:6" x14ac:dyDescent="0.25">
      <c r="B410" s="116" t="s">
        <v>1199</v>
      </c>
      <c r="C410" s="117" t="s">
        <v>46</v>
      </c>
      <c r="D410" s="120" t="s">
        <v>6</v>
      </c>
      <c r="E410" s="118" t="s">
        <v>1101</v>
      </c>
      <c r="F410" s="118" t="s">
        <v>1102</v>
      </c>
    </row>
    <row r="411" spans="2:6" x14ac:dyDescent="0.25">
      <c r="B411" s="88" t="s">
        <v>1205</v>
      </c>
      <c r="C411" s="91" t="s">
        <v>1204</v>
      </c>
      <c r="D411" s="87">
        <f>'Mão de Obra por etapa'!D117</f>
        <v>0</v>
      </c>
      <c r="E411" s="107">
        <f>'Mão de Obra por etapa'!E117</f>
        <v>0</v>
      </c>
      <c r="F411" s="107">
        <f>'Mão de Obra por etapa'!F117</f>
        <v>0</v>
      </c>
    </row>
    <row r="412" spans="2:6" x14ac:dyDescent="0.25">
      <c r="B412" s="88" t="s">
        <v>1200</v>
      </c>
      <c r="C412" s="91" t="s">
        <v>1204</v>
      </c>
      <c r="D412" s="87">
        <f>'Mão de Obra por etapa'!D118</f>
        <v>0</v>
      </c>
      <c r="E412" s="107">
        <f>'Mão de Obra por etapa'!E118</f>
        <v>0</v>
      </c>
      <c r="F412" s="107">
        <f>'Mão de Obra por etapa'!F118</f>
        <v>0</v>
      </c>
    </row>
    <row r="413" spans="2:6" x14ac:dyDescent="0.25">
      <c r="B413" s="88" t="s">
        <v>1206</v>
      </c>
      <c r="C413" s="91" t="s">
        <v>1204</v>
      </c>
      <c r="D413" s="87">
        <f>'Mão de Obra por etapa'!D119</f>
        <v>0</v>
      </c>
      <c r="E413" s="107">
        <f>'Mão de Obra por etapa'!E119</f>
        <v>0</v>
      </c>
      <c r="F413" s="107">
        <f>'Mão de Obra por etapa'!F119</f>
        <v>0</v>
      </c>
    </row>
    <row r="414" spans="2:6" x14ac:dyDescent="0.25">
      <c r="B414" s="88" t="s">
        <v>1201</v>
      </c>
      <c r="C414" s="91" t="s">
        <v>1204</v>
      </c>
      <c r="D414" s="87">
        <f>'Mão de Obra por etapa'!D120</f>
        <v>0</v>
      </c>
      <c r="E414" s="107">
        <f>'Mão de Obra por etapa'!E120</f>
        <v>0</v>
      </c>
      <c r="F414" s="107">
        <f>'Mão de Obra por etapa'!F120</f>
        <v>0</v>
      </c>
    </row>
    <row r="415" spans="2:6" x14ac:dyDescent="0.25">
      <c r="B415" s="88" t="s">
        <v>1202</v>
      </c>
      <c r="C415" s="91" t="s">
        <v>1204</v>
      </c>
      <c r="D415" s="87">
        <f>'Mão de Obra por etapa'!D121</f>
        <v>0</v>
      </c>
      <c r="E415" s="107">
        <f>'Mão de Obra por etapa'!E121</f>
        <v>0</v>
      </c>
      <c r="F415" s="107">
        <f>'Mão de Obra por etapa'!F121</f>
        <v>0</v>
      </c>
    </row>
    <row r="416" spans="2:6" x14ac:dyDescent="0.25">
      <c r="B416" s="88" t="s">
        <v>1203</v>
      </c>
      <c r="C416" s="91" t="s">
        <v>1204</v>
      </c>
      <c r="D416" s="87">
        <f>'Mão de Obra por etapa'!D122</f>
        <v>0</v>
      </c>
      <c r="E416" s="107">
        <f>'Mão de Obra por etapa'!E122</f>
        <v>0</v>
      </c>
      <c r="F416" s="107">
        <f>'Mão de Obra por etapa'!F122</f>
        <v>0</v>
      </c>
    </row>
    <row r="417" spans="2:6" x14ac:dyDescent="0.25">
      <c r="B417" s="142" t="s">
        <v>1207</v>
      </c>
      <c r="C417" s="143"/>
      <c r="D417" s="143"/>
      <c r="E417" s="144"/>
      <c r="F417" s="115">
        <f>SUM(F404:F405,F408:F409,F411:F416)</f>
        <v>0</v>
      </c>
    </row>
    <row r="418" spans="2:6" x14ac:dyDescent="0.25">
      <c r="B418" s="110"/>
      <c r="C418" s="110"/>
      <c r="D418" s="121"/>
      <c r="E418" s="110"/>
      <c r="F418" s="110"/>
    </row>
    <row r="419" spans="2:6" ht="18.75" x14ac:dyDescent="0.3">
      <c r="B419" s="137" t="str">
        <f>'13. Portas'!B2</f>
        <v>Portas</v>
      </c>
      <c r="C419" s="137"/>
      <c r="D419" s="137"/>
      <c r="E419" s="137"/>
      <c r="F419" s="137"/>
    </row>
    <row r="420" spans="2:6" ht="15.75" x14ac:dyDescent="0.25">
      <c r="B420" s="134" t="str">
        <f>'13. Portas'!B5</f>
        <v>Portas e materiais para instalação</v>
      </c>
      <c r="C420" s="134"/>
      <c r="D420" s="134"/>
      <c r="E420" s="134"/>
      <c r="F420" s="134"/>
    </row>
    <row r="421" spans="2:6" x14ac:dyDescent="0.25">
      <c r="B421" s="108" t="s">
        <v>5</v>
      </c>
      <c r="C421" s="109" t="s">
        <v>46</v>
      </c>
      <c r="D421" s="122" t="s">
        <v>6</v>
      </c>
      <c r="E421" s="28" t="s">
        <v>1101</v>
      </c>
      <c r="F421" s="28" t="s">
        <v>1102</v>
      </c>
    </row>
    <row r="422" spans="2:6" x14ac:dyDescent="0.25">
      <c r="B422" s="88" t="str">
        <f>'Lista por etapa'!B318</f>
        <v>Espuma expansiva</v>
      </c>
      <c r="C422" s="91" t="str">
        <f>'Lista por etapa'!C318</f>
        <v>Tubo</v>
      </c>
      <c r="D422" s="87">
        <f>'Lista por etapa'!D318</f>
        <v>0</v>
      </c>
      <c r="E422" s="107">
        <f>IFERROR(VLOOKUP(B422,'Lista por categoria'!B:F,4,0),0)</f>
        <v>0</v>
      </c>
      <c r="F422" s="107">
        <f t="shared" ref="F422:F434" si="46">IFERROR(D422*E422,0)</f>
        <v>0</v>
      </c>
    </row>
    <row r="423" spans="2:6" x14ac:dyDescent="0.25">
      <c r="B423" s="88" t="str">
        <f>'Lista por etapa'!B319</f>
        <v>Kit de instalação de porta de madeira</v>
      </c>
      <c r="C423" s="91" t="str">
        <f>'Lista por etapa'!C319</f>
        <v>Peça</v>
      </c>
      <c r="D423" s="87">
        <f>'Lista por etapa'!D319</f>
        <v>0</v>
      </c>
      <c r="E423" s="107">
        <f>IFERROR(VLOOKUP(B423,'Lista por categoria'!B:F,4,0),0)</f>
        <v>0</v>
      </c>
      <c r="F423" s="107">
        <f t="shared" si="46"/>
        <v>0</v>
      </c>
    </row>
    <row r="424" spans="2:6" x14ac:dyDescent="0.25">
      <c r="B424" s="88" t="str">
        <f>'Lista por etapa'!B320</f>
        <v>Soleira para portas</v>
      </c>
      <c r="C424" s="91" t="str">
        <f>'Lista por etapa'!C320</f>
        <v>Peça</v>
      </c>
      <c r="D424" s="87">
        <f>'Lista por etapa'!D320</f>
        <v>0</v>
      </c>
      <c r="E424" s="107">
        <f>IFERROR(VLOOKUP(B424,'Lista por categoria'!B:F,4,0),0)</f>
        <v>0</v>
      </c>
      <c r="F424" s="107">
        <f t="shared" si="46"/>
        <v>0</v>
      </c>
    </row>
    <row r="425" spans="2:6" x14ac:dyDescent="0.25">
      <c r="B425" s="88" t="str">
        <f>'Lista por etapa'!B321</f>
        <v/>
      </c>
      <c r="C425" s="91" t="str">
        <f>'Lista por etapa'!C321</f>
        <v/>
      </c>
      <c r="D425" s="87" t="str">
        <f>'Lista por etapa'!D321</f>
        <v/>
      </c>
      <c r="E425" s="107">
        <f>IFERROR(VLOOKUP(B425,'Lista por categoria'!B:F,4,0),0)</f>
        <v>0</v>
      </c>
      <c r="F425" s="107">
        <f t="shared" si="46"/>
        <v>0</v>
      </c>
    </row>
    <row r="426" spans="2:6" x14ac:dyDescent="0.25">
      <c r="B426" s="88" t="str">
        <f>'Lista por etapa'!B322</f>
        <v/>
      </c>
      <c r="C426" s="91" t="str">
        <f>'Lista por etapa'!C322</f>
        <v/>
      </c>
      <c r="D426" s="87" t="str">
        <f>'Lista por etapa'!D322</f>
        <v/>
      </c>
      <c r="E426" s="107">
        <f>IFERROR(VLOOKUP(B426,'Lista por categoria'!B:F,4,0),0)</f>
        <v>0</v>
      </c>
      <c r="F426" s="107">
        <f t="shared" si="46"/>
        <v>0</v>
      </c>
    </row>
    <row r="427" spans="2:6" x14ac:dyDescent="0.25">
      <c r="B427" s="88" t="str">
        <f>'Lista por etapa'!B323</f>
        <v/>
      </c>
      <c r="C427" s="91" t="str">
        <f>'Lista por etapa'!C323</f>
        <v/>
      </c>
      <c r="D427" s="87" t="str">
        <f>'Lista por etapa'!D323</f>
        <v/>
      </c>
      <c r="E427" s="107">
        <f>IFERROR(VLOOKUP(B427,'Lista por categoria'!B:F,4,0),0)</f>
        <v>0</v>
      </c>
      <c r="F427" s="107">
        <f t="shared" si="46"/>
        <v>0</v>
      </c>
    </row>
    <row r="428" spans="2:6" x14ac:dyDescent="0.25">
      <c r="B428" s="88" t="str">
        <f>'Lista por etapa'!B324</f>
        <v/>
      </c>
      <c r="C428" s="91" t="str">
        <f>'Lista por etapa'!C324</f>
        <v/>
      </c>
      <c r="D428" s="87" t="str">
        <f>'Lista por etapa'!D324</f>
        <v/>
      </c>
      <c r="E428" s="107">
        <f>IFERROR(VLOOKUP(B428,'Lista por categoria'!B:F,4,0),0)</f>
        <v>0</v>
      </c>
      <c r="F428" s="107">
        <f t="shared" si="46"/>
        <v>0</v>
      </c>
    </row>
    <row r="429" spans="2:6" x14ac:dyDescent="0.25">
      <c r="B429" s="88" t="str">
        <f>'Lista por etapa'!B325</f>
        <v/>
      </c>
      <c r="C429" s="91" t="str">
        <f>'Lista por etapa'!C325</f>
        <v/>
      </c>
      <c r="D429" s="87" t="str">
        <f>'Lista por etapa'!D325</f>
        <v/>
      </c>
      <c r="E429" s="107">
        <f>IFERROR(VLOOKUP(B429,'Lista por categoria'!B:F,4,0),0)</f>
        <v>0</v>
      </c>
      <c r="F429" s="107">
        <f t="shared" si="46"/>
        <v>0</v>
      </c>
    </row>
    <row r="430" spans="2:6" x14ac:dyDescent="0.25">
      <c r="B430" s="88" t="str">
        <f>'Lista por etapa'!B326</f>
        <v/>
      </c>
      <c r="C430" s="91" t="str">
        <f>'Lista por etapa'!C326</f>
        <v/>
      </c>
      <c r="D430" s="87" t="str">
        <f>'Lista por etapa'!D326</f>
        <v/>
      </c>
      <c r="E430" s="107">
        <f>IFERROR(VLOOKUP(B430,'Lista por categoria'!B:F,4,0),0)</f>
        <v>0</v>
      </c>
      <c r="F430" s="107">
        <f t="shared" si="46"/>
        <v>0</v>
      </c>
    </row>
    <row r="431" spans="2:6" x14ac:dyDescent="0.25">
      <c r="B431" s="88" t="str">
        <f>'Lista por etapa'!B327</f>
        <v/>
      </c>
      <c r="C431" s="91" t="str">
        <f>'Lista por etapa'!C327</f>
        <v/>
      </c>
      <c r="D431" s="87" t="str">
        <f>'Lista por etapa'!D327</f>
        <v/>
      </c>
      <c r="E431" s="107">
        <f>IFERROR(VLOOKUP(B431,'Lista por categoria'!B:F,4,0),0)</f>
        <v>0</v>
      </c>
      <c r="F431" s="107">
        <f t="shared" si="46"/>
        <v>0</v>
      </c>
    </row>
    <row r="432" spans="2:6" x14ac:dyDescent="0.25">
      <c r="B432" s="88" t="str">
        <f>'Lista por etapa'!B328</f>
        <v/>
      </c>
      <c r="C432" s="91" t="str">
        <f>'Lista por etapa'!C328</f>
        <v/>
      </c>
      <c r="D432" s="87" t="str">
        <f>'Lista por etapa'!D328</f>
        <v/>
      </c>
      <c r="E432" s="107">
        <f>IFERROR(VLOOKUP(B432,'Lista por categoria'!B:F,4,0),0)</f>
        <v>0</v>
      </c>
      <c r="F432" s="107">
        <f t="shared" si="46"/>
        <v>0</v>
      </c>
    </row>
    <row r="433" spans="2:6" x14ac:dyDescent="0.25">
      <c r="B433" s="88" t="str">
        <f>'Lista por etapa'!B329</f>
        <v/>
      </c>
      <c r="C433" s="91" t="str">
        <f>'Lista por etapa'!C329</f>
        <v/>
      </c>
      <c r="D433" s="87" t="str">
        <f>'Lista por etapa'!D329</f>
        <v/>
      </c>
      <c r="E433" s="107">
        <f>IFERROR(VLOOKUP(B433,'Lista por categoria'!B:F,4,0),0)</f>
        <v>0</v>
      </c>
      <c r="F433" s="107">
        <f t="shared" si="46"/>
        <v>0</v>
      </c>
    </row>
    <row r="434" spans="2:6" x14ac:dyDescent="0.25">
      <c r="B434" s="88" t="str">
        <f>'Lista por etapa'!B330</f>
        <v/>
      </c>
      <c r="C434" s="91" t="str">
        <f>'Lista por etapa'!C330</f>
        <v/>
      </c>
      <c r="D434" s="87" t="str">
        <f>'Lista por etapa'!D330</f>
        <v/>
      </c>
      <c r="E434" s="107">
        <f>IFERROR(VLOOKUP(B434,'Lista por categoria'!B:F,4,0),0)</f>
        <v>0</v>
      </c>
      <c r="F434" s="107">
        <f t="shared" si="46"/>
        <v>0</v>
      </c>
    </row>
    <row r="435" spans="2:6" x14ac:dyDescent="0.25">
      <c r="B435" s="116" t="s">
        <v>1199</v>
      </c>
      <c r="C435" s="117" t="s">
        <v>46</v>
      </c>
      <c r="D435" s="120" t="s">
        <v>6</v>
      </c>
      <c r="E435" s="118" t="s">
        <v>1101</v>
      </c>
      <c r="F435" s="118" t="s">
        <v>1102</v>
      </c>
    </row>
    <row r="436" spans="2:6" x14ac:dyDescent="0.25">
      <c r="B436" s="88" t="s">
        <v>1205</v>
      </c>
      <c r="C436" s="91" t="s">
        <v>1204</v>
      </c>
      <c r="D436" s="87">
        <f>'Mão de Obra por etapa'!D126</f>
        <v>0</v>
      </c>
      <c r="E436" s="107">
        <f>'Mão de Obra por etapa'!E126</f>
        <v>0</v>
      </c>
      <c r="F436" s="107">
        <f>'Mão de Obra por etapa'!F126</f>
        <v>0</v>
      </c>
    </row>
    <row r="437" spans="2:6" x14ac:dyDescent="0.25">
      <c r="B437" s="88" t="s">
        <v>1200</v>
      </c>
      <c r="C437" s="91" t="s">
        <v>1204</v>
      </c>
      <c r="D437" s="87">
        <f>'Mão de Obra por etapa'!D127</f>
        <v>0</v>
      </c>
      <c r="E437" s="107">
        <f>'Mão de Obra por etapa'!E127</f>
        <v>0</v>
      </c>
      <c r="F437" s="107">
        <f>'Mão de Obra por etapa'!F127</f>
        <v>0</v>
      </c>
    </row>
    <row r="438" spans="2:6" x14ac:dyDescent="0.25">
      <c r="B438" s="88" t="s">
        <v>1206</v>
      </c>
      <c r="C438" s="91" t="s">
        <v>1204</v>
      </c>
      <c r="D438" s="87">
        <f>'Mão de Obra por etapa'!D128</f>
        <v>0</v>
      </c>
      <c r="E438" s="107">
        <f>'Mão de Obra por etapa'!E128</f>
        <v>0</v>
      </c>
      <c r="F438" s="107">
        <f>'Mão de Obra por etapa'!F128</f>
        <v>0</v>
      </c>
    </row>
    <row r="439" spans="2:6" x14ac:dyDescent="0.25">
      <c r="B439" s="88" t="s">
        <v>1201</v>
      </c>
      <c r="C439" s="91" t="s">
        <v>1204</v>
      </c>
      <c r="D439" s="87">
        <f>'Mão de Obra por etapa'!D129</f>
        <v>0</v>
      </c>
      <c r="E439" s="107">
        <f>'Mão de Obra por etapa'!E129</f>
        <v>0</v>
      </c>
      <c r="F439" s="107">
        <f>'Mão de Obra por etapa'!F129</f>
        <v>0</v>
      </c>
    </row>
    <row r="440" spans="2:6" x14ac:dyDescent="0.25">
      <c r="B440" s="88" t="s">
        <v>1202</v>
      </c>
      <c r="C440" s="91" t="s">
        <v>1204</v>
      </c>
      <c r="D440" s="87">
        <f>'Mão de Obra por etapa'!D130</f>
        <v>0</v>
      </c>
      <c r="E440" s="107">
        <f>'Mão de Obra por etapa'!E130</f>
        <v>0</v>
      </c>
      <c r="F440" s="107">
        <f>'Mão de Obra por etapa'!F130</f>
        <v>0</v>
      </c>
    </row>
    <row r="441" spans="2:6" x14ac:dyDescent="0.25">
      <c r="B441" s="88" t="s">
        <v>1203</v>
      </c>
      <c r="C441" s="91" t="s">
        <v>1204</v>
      </c>
      <c r="D441" s="87">
        <f>'Mão de Obra por etapa'!D131</f>
        <v>0</v>
      </c>
      <c r="E441" s="107">
        <f>'Mão de Obra por etapa'!E131</f>
        <v>0</v>
      </c>
      <c r="F441" s="107">
        <f>'Mão de Obra por etapa'!F131</f>
        <v>0</v>
      </c>
    </row>
    <row r="442" spans="2:6" x14ac:dyDescent="0.25">
      <c r="B442" s="142" t="s">
        <v>1207</v>
      </c>
      <c r="C442" s="143"/>
      <c r="D442" s="143"/>
      <c r="E442" s="144"/>
      <c r="F442" s="115">
        <f>SUM(F422:F434,F436:F441)</f>
        <v>0</v>
      </c>
    </row>
    <row r="443" spans="2:6" x14ac:dyDescent="0.25">
      <c r="B443" s="110"/>
      <c r="C443" s="110"/>
      <c r="D443" s="121"/>
      <c r="E443" s="110"/>
      <c r="F443" s="110"/>
    </row>
    <row r="444" spans="2:6" ht="18.75" x14ac:dyDescent="0.3">
      <c r="B444" s="137" t="str">
        <f>'14. Janelas'!B2</f>
        <v>Janelas</v>
      </c>
      <c r="C444" s="137"/>
      <c r="D444" s="137"/>
      <c r="E444" s="137"/>
      <c r="F444" s="137"/>
    </row>
    <row r="445" spans="2:6" ht="15.75" x14ac:dyDescent="0.25">
      <c r="B445" s="134" t="str">
        <f>'14. Janelas'!B5</f>
        <v>Janelas e materias para instalação</v>
      </c>
      <c r="C445" s="134"/>
      <c r="D445" s="134"/>
      <c r="E445" s="134"/>
      <c r="F445" s="134"/>
    </row>
    <row r="446" spans="2:6" x14ac:dyDescent="0.25">
      <c r="B446" s="108" t="s">
        <v>5</v>
      </c>
      <c r="C446" s="109" t="s">
        <v>46</v>
      </c>
      <c r="D446" s="122" t="s">
        <v>6</v>
      </c>
      <c r="E446" s="28" t="s">
        <v>1101</v>
      </c>
      <c r="F446" s="28" t="s">
        <v>1102</v>
      </c>
    </row>
    <row r="447" spans="2:6" x14ac:dyDescent="0.25">
      <c r="B447" s="88" t="str">
        <f>'Lista por etapa'!B335</f>
        <v>Espuma expansiva</v>
      </c>
      <c r="C447" s="91" t="str">
        <f>'Lista por etapa'!C335</f>
        <v>Tubo</v>
      </c>
      <c r="D447" s="87">
        <f>'Lista por etapa'!D335</f>
        <v>0</v>
      </c>
      <c r="E447" s="107">
        <f>IFERROR(VLOOKUP(B447,'Lista por categoria'!B:F,4,0),0)</f>
        <v>0</v>
      </c>
      <c r="F447" s="107">
        <f t="shared" ref="F447:F459" si="47">IFERROR(D447*E447,0)</f>
        <v>0</v>
      </c>
    </row>
    <row r="448" spans="2:6" x14ac:dyDescent="0.25">
      <c r="B448" s="88" t="str">
        <f>'Lista por etapa'!B336</f>
        <v>Kit de instalação de janela de madeira</v>
      </c>
      <c r="C448" s="91" t="str">
        <f>'Lista por etapa'!C336</f>
        <v>Peça</v>
      </c>
      <c r="D448" s="87">
        <f>'Lista por etapa'!D336</f>
        <v>0</v>
      </c>
      <c r="E448" s="107">
        <f>IFERROR(VLOOKUP(B448,'Lista por categoria'!B:F,4,0),0)</f>
        <v>0</v>
      </c>
      <c r="F448" s="107">
        <f t="shared" si="47"/>
        <v>0</v>
      </c>
    </row>
    <row r="449" spans="2:6" x14ac:dyDescent="0.25">
      <c r="B449" s="88" t="str">
        <f>'Lista por etapa'!B337</f>
        <v>Peitoril para janela</v>
      </c>
      <c r="C449" s="91" t="str">
        <f>'Lista por etapa'!C337</f>
        <v>Peça</v>
      </c>
      <c r="D449" s="87">
        <f>'Lista por etapa'!D337</f>
        <v>0</v>
      </c>
      <c r="E449" s="107">
        <f>IFERROR(VLOOKUP(B449,'Lista por categoria'!B:F,4,0),0)</f>
        <v>0</v>
      </c>
      <c r="F449" s="107">
        <f t="shared" si="47"/>
        <v>0</v>
      </c>
    </row>
    <row r="450" spans="2:6" x14ac:dyDescent="0.25">
      <c r="B450" s="88" t="str">
        <f>'Lista por etapa'!B338</f>
        <v/>
      </c>
      <c r="C450" s="91" t="str">
        <f>'Lista por etapa'!C338</f>
        <v/>
      </c>
      <c r="D450" s="87" t="str">
        <f>'Lista por etapa'!D338</f>
        <v/>
      </c>
      <c r="E450" s="107">
        <f>IFERROR(VLOOKUP(B450,'Lista por categoria'!B:F,4,0),0)</f>
        <v>0</v>
      </c>
      <c r="F450" s="107">
        <f t="shared" si="47"/>
        <v>0</v>
      </c>
    </row>
    <row r="451" spans="2:6" x14ac:dyDescent="0.25">
      <c r="B451" s="88" t="str">
        <f>'Lista por etapa'!B339</f>
        <v/>
      </c>
      <c r="C451" s="91" t="str">
        <f>'Lista por etapa'!C339</f>
        <v/>
      </c>
      <c r="D451" s="87" t="str">
        <f>'Lista por etapa'!D339</f>
        <v/>
      </c>
      <c r="E451" s="107">
        <f>IFERROR(VLOOKUP(B451,'Lista por categoria'!B:F,4,0),0)</f>
        <v>0</v>
      </c>
      <c r="F451" s="107">
        <f t="shared" si="47"/>
        <v>0</v>
      </c>
    </row>
    <row r="452" spans="2:6" x14ac:dyDescent="0.25">
      <c r="B452" s="88" t="str">
        <f>'Lista por etapa'!B340</f>
        <v/>
      </c>
      <c r="C452" s="91" t="str">
        <f>'Lista por etapa'!C340</f>
        <v/>
      </c>
      <c r="D452" s="87" t="str">
        <f>'Lista por etapa'!D340</f>
        <v/>
      </c>
      <c r="E452" s="107">
        <f>IFERROR(VLOOKUP(B452,'Lista por categoria'!B:F,4,0),0)</f>
        <v>0</v>
      </c>
      <c r="F452" s="107">
        <f t="shared" si="47"/>
        <v>0</v>
      </c>
    </row>
    <row r="453" spans="2:6" x14ac:dyDescent="0.25">
      <c r="B453" s="88" t="str">
        <f>'Lista por etapa'!B341</f>
        <v/>
      </c>
      <c r="C453" s="91" t="str">
        <f>'Lista por etapa'!C341</f>
        <v/>
      </c>
      <c r="D453" s="87" t="str">
        <f>'Lista por etapa'!D341</f>
        <v/>
      </c>
      <c r="E453" s="107">
        <f>IFERROR(VLOOKUP(B453,'Lista por categoria'!B:F,4,0),0)</f>
        <v>0</v>
      </c>
      <c r="F453" s="107">
        <f t="shared" si="47"/>
        <v>0</v>
      </c>
    </row>
    <row r="454" spans="2:6" x14ac:dyDescent="0.25">
      <c r="B454" s="88" t="str">
        <f>'Lista por etapa'!B342</f>
        <v/>
      </c>
      <c r="C454" s="91" t="str">
        <f>'Lista por etapa'!C342</f>
        <v/>
      </c>
      <c r="D454" s="87" t="str">
        <f>'Lista por etapa'!D342</f>
        <v/>
      </c>
      <c r="E454" s="107">
        <f>IFERROR(VLOOKUP(B454,'Lista por categoria'!B:F,4,0),0)</f>
        <v>0</v>
      </c>
      <c r="F454" s="107">
        <f t="shared" si="47"/>
        <v>0</v>
      </c>
    </row>
    <row r="455" spans="2:6" x14ac:dyDescent="0.25">
      <c r="B455" s="88" t="str">
        <f>'Lista por etapa'!B343</f>
        <v/>
      </c>
      <c r="C455" s="91" t="str">
        <f>'Lista por etapa'!C343</f>
        <v/>
      </c>
      <c r="D455" s="87" t="str">
        <f>'Lista por etapa'!D343</f>
        <v/>
      </c>
      <c r="E455" s="107">
        <f>IFERROR(VLOOKUP(B455,'Lista por categoria'!B:F,4,0),0)</f>
        <v>0</v>
      </c>
      <c r="F455" s="107">
        <f t="shared" si="47"/>
        <v>0</v>
      </c>
    </row>
    <row r="456" spans="2:6" x14ac:dyDescent="0.25">
      <c r="B456" s="88" t="str">
        <f>'Lista por etapa'!B344</f>
        <v/>
      </c>
      <c r="C456" s="91" t="str">
        <f>'Lista por etapa'!C344</f>
        <v/>
      </c>
      <c r="D456" s="87" t="str">
        <f>'Lista por etapa'!D344</f>
        <v/>
      </c>
      <c r="E456" s="107">
        <f>IFERROR(VLOOKUP(B456,'Lista por categoria'!B:F,4,0),0)</f>
        <v>0</v>
      </c>
      <c r="F456" s="107">
        <f t="shared" si="47"/>
        <v>0</v>
      </c>
    </row>
    <row r="457" spans="2:6" x14ac:dyDescent="0.25">
      <c r="B457" s="88" t="str">
        <f>'Lista por etapa'!B345</f>
        <v/>
      </c>
      <c r="C457" s="91" t="str">
        <f>'Lista por etapa'!C345</f>
        <v/>
      </c>
      <c r="D457" s="87" t="str">
        <f>'Lista por etapa'!D345</f>
        <v/>
      </c>
      <c r="E457" s="107">
        <f>IFERROR(VLOOKUP(B457,'Lista por categoria'!B:F,4,0),0)</f>
        <v>0</v>
      </c>
      <c r="F457" s="107">
        <f t="shared" si="47"/>
        <v>0</v>
      </c>
    </row>
    <row r="458" spans="2:6" x14ac:dyDescent="0.25">
      <c r="B458" s="88" t="str">
        <f>'Lista por etapa'!B346</f>
        <v/>
      </c>
      <c r="C458" s="91" t="str">
        <f>'Lista por etapa'!C346</f>
        <v/>
      </c>
      <c r="D458" s="87" t="str">
        <f>'Lista por etapa'!D346</f>
        <v/>
      </c>
      <c r="E458" s="107">
        <f>IFERROR(VLOOKUP(B458,'Lista por categoria'!B:F,4,0),0)</f>
        <v>0</v>
      </c>
      <c r="F458" s="107">
        <f t="shared" si="47"/>
        <v>0</v>
      </c>
    </row>
    <row r="459" spans="2:6" x14ac:dyDescent="0.25">
      <c r="B459" s="88" t="str">
        <f>'Lista por etapa'!B347</f>
        <v/>
      </c>
      <c r="C459" s="91" t="str">
        <f>'Lista por etapa'!C347</f>
        <v/>
      </c>
      <c r="D459" s="87" t="str">
        <f>'Lista por etapa'!D347</f>
        <v/>
      </c>
      <c r="E459" s="107">
        <f>IFERROR(VLOOKUP(B459,'Lista por categoria'!B:F,4,0),0)</f>
        <v>0</v>
      </c>
      <c r="F459" s="107">
        <f t="shared" si="47"/>
        <v>0</v>
      </c>
    </row>
    <row r="460" spans="2:6" x14ac:dyDescent="0.25">
      <c r="B460" s="116" t="s">
        <v>1199</v>
      </c>
      <c r="C460" s="117" t="s">
        <v>46</v>
      </c>
      <c r="D460" s="120" t="s">
        <v>6</v>
      </c>
      <c r="E460" s="118" t="s">
        <v>1101</v>
      </c>
      <c r="F460" s="118" t="s">
        <v>1102</v>
      </c>
    </row>
    <row r="461" spans="2:6" x14ac:dyDescent="0.25">
      <c r="B461" s="88" t="s">
        <v>1205</v>
      </c>
      <c r="C461" s="91" t="s">
        <v>1204</v>
      </c>
      <c r="D461" s="87">
        <f>'Mão de Obra por etapa'!D135</f>
        <v>0</v>
      </c>
      <c r="E461" s="107">
        <f>'Mão de Obra por etapa'!E135</f>
        <v>0</v>
      </c>
      <c r="F461" s="107">
        <f>'Mão de Obra por etapa'!F135</f>
        <v>0</v>
      </c>
    </row>
    <row r="462" spans="2:6" x14ac:dyDescent="0.25">
      <c r="B462" s="88" t="s">
        <v>1200</v>
      </c>
      <c r="C462" s="91" t="s">
        <v>1204</v>
      </c>
      <c r="D462" s="87">
        <f>'Mão de Obra por etapa'!D136</f>
        <v>0</v>
      </c>
      <c r="E462" s="107">
        <f>'Mão de Obra por etapa'!E136</f>
        <v>0</v>
      </c>
      <c r="F462" s="107">
        <f>'Mão de Obra por etapa'!F136</f>
        <v>0</v>
      </c>
    </row>
    <row r="463" spans="2:6" x14ac:dyDescent="0.25">
      <c r="B463" s="88" t="s">
        <v>1206</v>
      </c>
      <c r="C463" s="91" t="s">
        <v>1204</v>
      </c>
      <c r="D463" s="87">
        <f>'Mão de Obra por etapa'!D137</f>
        <v>0</v>
      </c>
      <c r="E463" s="107">
        <f>'Mão de Obra por etapa'!E137</f>
        <v>0</v>
      </c>
      <c r="F463" s="107">
        <f>'Mão de Obra por etapa'!F137</f>
        <v>0</v>
      </c>
    </row>
    <row r="464" spans="2:6" x14ac:dyDescent="0.25">
      <c r="B464" s="88" t="s">
        <v>1201</v>
      </c>
      <c r="C464" s="91" t="s">
        <v>1204</v>
      </c>
      <c r="D464" s="87">
        <f>'Mão de Obra por etapa'!D138</f>
        <v>0</v>
      </c>
      <c r="E464" s="107">
        <f>'Mão de Obra por etapa'!E138</f>
        <v>0</v>
      </c>
      <c r="F464" s="107">
        <f>'Mão de Obra por etapa'!F138</f>
        <v>0</v>
      </c>
    </row>
    <row r="465" spans="2:6" x14ac:dyDescent="0.25">
      <c r="B465" s="88" t="s">
        <v>1202</v>
      </c>
      <c r="C465" s="91" t="s">
        <v>1204</v>
      </c>
      <c r="D465" s="87">
        <f>'Mão de Obra por etapa'!D139</f>
        <v>0</v>
      </c>
      <c r="E465" s="107">
        <f>'Mão de Obra por etapa'!E139</f>
        <v>0</v>
      </c>
      <c r="F465" s="107">
        <f>'Mão de Obra por etapa'!F139</f>
        <v>0</v>
      </c>
    </row>
    <row r="466" spans="2:6" x14ac:dyDescent="0.25">
      <c r="B466" s="88" t="s">
        <v>1203</v>
      </c>
      <c r="C466" s="91" t="s">
        <v>1204</v>
      </c>
      <c r="D466" s="87">
        <f>'Mão de Obra por etapa'!D140</f>
        <v>0</v>
      </c>
      <c r="E466" s="107">
        <f>'Mão de Obra por etapa'!E140</f>
        <v>0</v>
      </c>
      <c r="F466" s="107">
        <f>'Mão de Obra por etapa'!F140</f>
        <v>0</v>
      </c>
    </row>
    <row r="467" spans="2:6" x14ac:dyDescent="0.25">
      <c r="B467" s="142" t="s">
        <v>1207</v>
      </c>
      <c r="C467" s="143"/>
      <c r="D467" s="143"/>
      <c r="E467" s="144"/>
      <c r="F467" s="115">
        <f>SUM(F447:F459,F461:F466)</f>
        <v>0</v>
      </c>
    </row>
    <row r="468" spans="2:6" x14ac:dyDescent="0.25">
      <c r="B468" s="110"/>
      <c r="C468" s="110"/>
      <c r="D468" s="121"/>
      <c r="E468" s="110"/>
      <c r="F468" s="110"/>
    </row>
    <row r="469" spans="2:6" ht="18.75" x14ac:dyDescent="0.3">
      <c r="B469" s="137" t="str">
        <f>'15. Telhado exposto'!B2:D2</f>
        <v>Telhado exposto</v>
      </c>
      <c r="C469" s="137"/>
      <c r="D469" s="137"/>
      <c r="E469" s="137"/>
      <c r="F469" s="137"/>
    </row>
    <row r="470" spans="2:6" ht="15.75" x14ac:dyDescent="0.25">
      <c r="B470" s="134" t="str">
        <f>'15. Telhado exposto'!B5:D5</f>
        <v>Telhas e madeiramento do telhado exposto</v>
      </c>
      <c r="C470" s="134"/>
      <c r="D470" s="134"/>
      <c r="E470" s="134"/>
      <c r="F470" s="134"/>
    </row>
    <row r="471" spans="2:6" x14ac:dyDescent="0.25">
      <c r="B471" s="108" t="s">
        <v>5</v>
      </c>
      <c r="C471" s="109" t="s">
        <v>46</v>
      </c>
      <c r="D471" s="122" t="s">
        <v>6</v>
      </c>
      <c r="E471" s="28" t="s">
        <v>1101</v>
      </c>
      <c r="F471" s="28" t="s">
        <v>1102</v>
      </c>
    </row>
    <row r="472" spans="2:6" x14ac:dyDescent="0.25">
      <c r="B472" s="88" t="str">
        <f>'Lista por etapa'!B352</f>
        <v>Telha concreto</v>
      </c>
      <c r="C472" s="91" t="str">
        <f>'Lista por etapa'!C352</f>
        <v>Peça</v>
      </c>
      <c r="D472" s="87">
        <f>'Lista por etapa'!D352</f>
        <v>2740.5</v>
      </c>
      <c r="E472" s="107">
        <f>IFERROR(VLOOKUP(B472,'Lista por categoria'!B:F,4,0),0)</f>
        <v>0</v>
      </c>
      <c r="F472" s="107">
        <f t="shared" ref="F472:F478" si="48">D472*E472</f>
        <v>0</v>
      </c>
    </row>
    <row r="473" spans="2:6" x14ac:dyDescent="0.25">
      <c r="B473" s="88" t="str">
        <f>'Lista por etapa'!B353</f>
        <v>Telha concreto cumeeira</v>
      </c>
      <c r="C473" s="91" t="str">
        <f>'Lista por etapa'!C353</f>
        <v>Peça</v>
      </c>
      <c r="D473" s="87">
        <f>'Lista por etapa'!D353</f>
        <v>78.75</v>
      </c>
      <c r="E473" s="107">
        <f>IFERROR(VLOOKUP(B473,'Lista por categoria'!B:F,4,0),0)</f>
        <v>0</v>
      </c>
      <c r="F473" s="107">
        <f t="shared" si="48"/>
        <v>0</v>
      </c>
    </row>
    <row r="474" spans="2:6" x14ac:dyDescent="0.25">
      <c r="B474" s="88" t="str">
        <f>'Lista por etapa'!B354</f>
        <v>Viga madeira 5 x 15 cm bruto</v>
      </c>
      <c r="C474" s="91" t="str">
        <f>'Lista por etapa'!C354</f>
        <v>Peça 3,0 m</v>
      </c>
      <c r="D474" s="87">
        <f>'Lista por etapa'!D354</f>
        <v>149.91984213972145</v>
      </c>
      <c r="E474" s="107">
        <f>IFERROR(VLOOKUP(B474,'Lista por categoria'!B:F,4,0),0)</f>
        <v>0</v>
      </c>
      <c r="F474" s="107">
        <f t="shared" si="48"/>
        <v>0</v>
      </c>
    </row>
    <row r="475" spans="2:6" x14ac:dyDescent="0.25">
      <c r="B475" s="88" t="str">
        <f>'Lista por etapa'!B355</f>
        <v>Viga madeira 5 x 11 cm bruto</v>
      </c>
      <c r="C475" s="91" t="str">
        <f>'Lista por etapa'!C355</f>
        <v>Peça 3,0 m</v>
      </c>
      <c r="D475" s="87">
        <f>'Lista por etapa'!D355</f>
        <v>80.187537387448018</v>
      </c>
      <c r="E475" s="107">
        <f>IFERROR(VLOOKUP(B475,'Lista por categoria'!B:F,4,0),0)</f>
        <v>0</v>
      </c>
      <c r="F475" s="107">
        <f t="shared" si="48"/>
        <v>0</v>
      </c>
    </row>
    <row r="476" spans="2:6" x14ac:dyDescent="0.25">
      <c r="B476" s="88" t="str">
        <f>'Lista por etapa'!B356</f>
        <v>Caibro madeira 5 x 7 cm bruto</v>
      </c>
      <c r="C476" s="91" t="str">
        <f>'Lista por etapa'!C356</f>
        <v>Peça 3,0 m</v>
      </c>
      <c r="D476" s="87">
        <f>'Lista por etapa'!D356</f>
        <v>200.78342306320857</v>
      </c>
      <c r="E476" s="107">
        <f>IFERROR(VLOOKUP(B476,'Lista por categoria'!B:F,4,0),0)</f>
        <v>0</v>
      </c>
      <c r="F476" s="107">
        <f t="shared" si="48"/>
        <v>0</v>
      </c>
    </row>
    <row r="477" spans="2:6" x14ac:dyDescent="0.25">
      <c r="B477" s="88" t="str">
        <f>'Lista por etapa'!B357</f>
        <v>Ripa madeira 1,5 x 5 cm bruto</v>
      </c>
      <c r="C477" s="91" t="str">
        <f>'Lista por etapa'!C357</f>
        <v>Metro Linear</v>
      </c>
      <c r="D477" s="87">
        <f>'Lista por etapa'!D357</f>
        <v>941.17229560879014</v>
      </c>
      <c r="E477" s="107">
        <f>IFERROR(VLOOKUP(B477,'Lista por categoria'!B:F,4,0),0)</f>
        <v>0</v>
      </c>
      <c r="F477" s="107">
        <f t="shared" si="48"/>
        <v>0</v>
      </c>
    </row>
    <row r="478" spans="2:6" x14ac:dyDescent="0.25">
      <c r="B478" s="88" t="str">
        <f>'Lista por etapa'!B358</f>
        <v>Prego aço polido c/ cabeça 17 x 27</v>
      </c>
      <c r="C478" s="91" t="str">
        <f>'Lista por etapa'!C358</f>
        <v>kg</v>
      </c>
      <c r="D478" s="87">
        <f>'Lista por etapa'!D358</f>
        <v>27</v>
      </c>
      <c r="E478" s="107">
        <f>IFERROR(VLOOKUP(B478,'Lista por categoria'!B:F,4,0),0)</f>
        <v>0</v>
      </c>
      <c r="F478" s="107">
        <f t="shared" si="48"/>
        <v>0</v>
      </c>
    </row>
    <row r="479" spans="2:6" x14ac:dyDescent="0.25">
      <c r="B479" s="116" t="s">
        <v>1199</v>
      </c>
      <c r="C479" s="117" t="s">
        <v>46</v>
      </c>
      <c r="D479" s="120" t="s">
        <v>6</v>
      </c>
      <c r="E479" s="118" t="s">
        <v>1101</v>
      </c>
      <c r="F479" s="118" t="s">
        <v>1102</v>
      </c>
    </row>
    <row r="480" spans="2:6" x14ac:dyDescent="0.25">
      <c r="B480" s="88" t="s">
        <v>1205</v>
      </c>
      <c r="C480" s="91" t="s">
        <v>1204</v>
      </c>
      <c r="D480" s="87">
        <f>'Mão de Obra por etapa'!D144</f>
        <v>0</v>
      </c>
      <c r="E480" s="107">
        <f>'Mão de Obra por etapa'!E144</f>
        <v>0</v>
      </c>
      <c r="F480" s="107">
        <f>'Mão de Obra por etapa'!F144</f>
        <v>0</v>
      </c>
    </row>
    <row r="481" spans="2:6" x14ac:dyDescent="0.25">
      <c r="B481" s="88" t="s">
        <v>1200</v>
      </c>
      <c r="C481" s="91" t="s">
        <v>1204</v>
      </c>
      <c r="D481" s="87">
        <f>'Mão de Obra por etapa'!D145</f>
        <v>0</v>
      </c>
      <c r="E481" s="107">
        <f>'Mão de Obra por etapa'!E145</f>
        <v>0</v>
      </c>
      <c r="F481" s="107">
        <f>'Mão de Obra por etapa'!F145</f>
        <v>0</v>
      </c>
    </row>
    <row r="482" spans="2:6" x14ac:dyDescent="0.25">
      <c r="B482" s="88" t="s">
        <v>1206</v>
      </c>
      <c r="C482" s="91" t="s">
        <v>1204</v>
      </c>
      <c r="D482" s="87">
        <f>'Mão de Obra por etapa'!D146</f>
        <v>0</v>
      </c>
      <c r="E482" s="107">
        <f>'Mão de Obra por etapa'!E146</f>
        <v>0</v>
      </c>
      <c r="F482" s="107">
        <f>'Mão de Obra por etapa'!F146</f>
        <v>0</v>
      </c>
    </row>
    <row r="483" spans="2:6" x14ac:dyDescent="0.25">
      <c r="B483" s="88" t="s">
        <v>1201</v>
      </c>
      <c r="C483" s="91" t="s">
        <v>1204</v>
      </c>
      <c r="D483" s="87">
        <f>'Mão de Obra por etapa'!D147</f>
        <v>0</v>
      </c>
      <c r="E483" s="107">
        <f>'Mão de Obra por etapa'!E147</f>
        <v>0</v>
      </c>
      <c r="F483" s="107">
        <f>'Mão de Obra por etapa'!F147</f>
        <v>0</v>
      </c>
    </row>
    <row r="484" spans="2:6" x14ac:dyDescent="0.25">
      <c r="B484" s="88" t="s">
        <v>1202</v>
      </c>
      <c r="C484" s="91" t="s">
        <v>1204</v>
      </c>
      <c r="D484" s="87">
        <f>'Mão de Obra por etapa'!D148</f>
        <v>0</v>
      </c>
      <c r="E484" s="107">
        <f>'Mão de Obra por etapa'!E148</f>
        <v>0</v>
      </c>
      <c r="F484" s="107">
        <f>'Mão de Obra por etapa'!F148</f>
        <v>0</v>
      </c>
    </row>
    <row r="485" spans="2:6" x14ac:dyDescent="0.25">
      <c r="B485" s="88" t="s">
        <v>1203</v>
      </c>
      <c r="C485" s="91" t="s">
        <v>1204</v>
      </c>
      <c r="D485" s="87">
        <f>'Mão de Obra por etapa'!D149</f>
        <v>0</v>
      </c>
      <c r="E485" s="107">
        <f>'Mão de Obra por etapa'!E149</f>
        <v>0</v>
      </c>
      <c r="F485" s="107">
        <f>'Mão de Obra por etapa'!F149</f>
        <v>0</v>
      </c>
    </row>
    <row r="486" spans="2:6" x14ac:dyDescent="0.25">
      <c r="B486" s="142" t="s">
        <v>1207</v>
      </c>
      <c r="C486" s="143"/>
      <c r="D486" s="143"/>
      <c r="E486" s="144"/>
      <c r="F486" s="115">
        <f>SUM(F472:F478,F480:F485)</f>
        <v>0</v>
      </c>
    </row>
    <row r="487" spans="2:6" x14ac:dyDescent="0.25">
      <c r="B487" s="110"/>
      <c r="C487" s="110"/>
      <c r="D487" s="121"/>
      <c r="E487" s="110"/>
      <c r="F487" s="110"/>
    </row>
    <row r="488" spans="2:6" ht="18.75" x14ac:dyDescent="0.3">
      <c r="B488" s="137" t="str">
        <f>'16. Pintura'!B2</f>
        <v>Pintura</v>
      </c>
      <c r="C488" s="137"/>
      <c r="D488" s="137"/>
      <c r="E488" s="137"/>
      <c r="F488" s="137"/>
    </row>
    <row r="489" spans="2:6" ht="15.75" x14ac:dyDescent="0.25">
      <c r="B489" s="134" t="str">
        <f>'16. Pintura'!B5</f>
        <v>Pintura das paredes internas</v>
      </c>
      <c r="C489" s="134"/>
      <c r="D489" s="134"/>
      <c r="E489" s="134"/>
      <c r="F489" s="134"/>
    </row>
    <row r="490" spans="2:6" x14ac:dyDescent="0.25">
      <c r="B490" s="108" t="s">
        <v>5</v>
      </c>
      <c r="C490" s="109" t="s">
        <v>46</v>
      </c>
      <c r="D490" s="122" t="s">
        <v>6</v>
      </c>
      <c r="E490" s="28" t="s">
        <v>1101</v>
      </c>
      <c r="F490" s="28" t="s">
        <v>1102</v>
      </c>
    </row>
    <row r="491" spans="2:6" x14ac:dyDescent="0.25">
      <c r="B491" s="88" t="str">
        <f>'Lista por etapa'!B363</f>
        <v xml:space="preserve">Tinta </v>
      </c>
      <c r="C491" s="91" t="str">
        <f>'Lista por etapa'!C363</f>
        <v>Litros</v>
      </c>
      <c r="D491" s="87">
        <f>'Lista por etapa'!D363</f>
        <v>0</v>
      </c>
      <c r="E491" s="107">
        <f>IFERROR(VLOOKUP(B491,'Lista por categoria'!B:F,4,0),0)</f>
        <v>0</v>
      </c>
      <c r="F491" s="107">
        <f t="shared" ref="F491:F496" si="49">D491*E491</f>
        <v>0</v>
      </c>
    </row>
    <row r="492" spans="2:6" x14ac:dyDescent="0.25">
      <c r="B492" s="88" t="str">
        <f>'Lista por etapa'!B364</f>
        <v>Fundo preparador</v>
      </c>
      <c r="C492" s="91" t="str">
        <f>'Lista por etapa'!C364</f>
        <v>Litros</v>
      </c>
      <c r="D492" s="87">
        <f>'Lista por etapa'!D364</f>
        <v>0</v>
      </c>
      <c r="E492" s="107">
        <f>IFERROR(VLOOKUP(B492,'Lista por categoria'!B:F,4,0),0)</f>
        <v>0</v>
      </c>
      <c r="F492" s="107">
        <f t="shared" si="49"/>
        <v>0</v>
      </c>
    </row>
    <row r="493" spans="2:6" x14ac:dyDescent="0.25">
      <c r="B493" s="88" t="str">
        <f>'Lista por etapa'!B365</f>
        <v>Rolo para pintura</v>
      </c>
      <c r="C493" s="91" t="str">
        <f>'Lista por etapa'!C365</f>
        <v>Peça</v>
      </c>
      <c r="D493" s="87">
        <f>'Lista por etapa'!D365</f>
        <v>0</v>
      </c>
      <c r="E493" s="107">
        <f>IFERROR(VLOOKUP(B493,'Lista por categoria'!B:F,4,0),0)</f>
        <v>0</v>
      </c>
      <c r="F493" s="107">
        <f t="shared" si="49"/>
        <v>0</v>
      </c>
    </row>
    <row r="494" spans="2:6" x14ac:dyDescent="0.25">
      <c r="B494" s="88" t="str">
        <f>'Lista por etapa'!B366</f>
        <v>Pincel para pintura</v>
      </c>
      <c r="C494" s="91" t="str">
        <f>'Lista por etapa'!C366</f>
        <v>Peça</v>
      </c>
      <c r="D494" s="87">
        <f>'Lista por etapa'!D366</f>
        <v>0</v>
      </c>
      <c r="E494" s="107">
        <f>IFERROR(VLOOKUP(B494,'Lista por categoria'!B:F,4,0),0)</f>
        <v>0</v>
      </c>
      <c r="F494" s="107">
        <f t="shared" si="49"/>
        <v>0</v>
      </c>
    </row>
    <row r="495" spans="2:6" x14ac:dyDescent="0.25">
      <c r="B495" s="88" t="str">
        <f>'Lista por etapa'!B367</f>
        <v>Fita crepe larga</v>
      </c>
      <c r="C495" s="91" t="str">
        <f>'Lista por etapa'!C367</f>
        <v>Peça</v>
      </c>
      <c r="D495" s="87">
        <f>'Lista por etapa'!D367</f>
        <v>0</v>
      </c>
      <c r="E495" s="107">
        <f>IFERROR(VLOOKUP(B495,'Lista por categoria'!B:F,4,0),0)</f>
        <v>0</v>
      </c>
      <c r="F495" s="107">
        <f t="shared" si="49"/>
        <v>0</v>
      </c>
    </row>
    <row r="496" spans="2:6" x14ac:dyDescent="0.25">
      <c r="B496" s="88" t="str">
        <f>'Lista por etapa'!B368</f>
        <v>Lixa para parede</v>
      </c>
      <c r="C496" s="91" t="str">
        <f>'Lista por etapa'!C368</f>
        <v>Peça</v>
      </c>
      <c r="D496" s="87">
        <f>'Lista por etapa'!D368</f>
        <v>0</v>
      </c>
      <c r="E496" s="107">
        <f>IFERROR(VLOOKUP(B496,'Lista por categoria'!B:F,4,0),0)</f>
        <v>0</v>
      </c>
      <c r="F496" s="107">
        <f t="shared" si="49"/>
        <v>0</v>
      </c>
    </row>
    <row r="497" spans="2:6" ht="15.75" x14ac:dyDescent="0.25">
      <c r="B497" s="134" t="str">
        <f>'16. Pintura'!B58</f>
        <v>Pintura das paredes externas</v>
      </c>
      <c r="C497" s="134"/>
      <c r="D497" s="134"/>
      <c r="E497" s="134"/>
      <c r="F497" s="134"/>
    </row>
    <row r="498" spans="2:6" x14ac:dyDescent="0.25">
      <c r="B498" s="108" t="s">
        <v>5</v>
      </c>
      <c r="C498" s="109" t="s">
        <v>46</v>
      </c>
      <c r="D498" s="122" t="s">
        <v>6</v>
      </c>
      <c r="E498" s="28" t="s">
        <v>1101</v>
      </c>
      <c r="F498" s="28" t="s">
        <v>1102</v>
      </c>
    </row>
    <row r="499" spans="2:6" x14ac:dyDescent="0.25">
      <c r="B499" s="88" t="str">
        <f>'Lista por etapa'!B371</f>
        <v xml:space="preserve">Tinta </v>
      </c>
      <c r="C499" s="91" t="str">
        <f>'Lista por etapa'!C371</f>
        <v>Litros</v>
      </c>
      <c r="D499" s="87">
        <f>'Lista por etapa'!D371</f>
        <v>0</v>
      </c>
      <c r="E499" s="107">
        <f>IFERROR(VLOOKUP(B499,'Lista por categoria'!B:F,4,0),0)</f>
        <v>0</v>
      </c>
      <c r="F499" s="107">
        <f t="shared" ref="F499:F504" si="50">D499*E499</f>
        <v>0</v>
      </c>
    </row>
    <row r="500" spans="2:6" x14ac:dyDescent="0.25">
      <c r="B500" s="88" t="str">
        <f>'Lista por etapa'!B372</f>
        <v>Fundo preparador</v>
      </c>
      <c r="C500" s="91" t="str">
        <f>'Lista por etapa'!C372</f>
        <v>Litros</v>
      </c>
      <c r="D500" s="87">
        <f>'Lista por etapa'!D372</f>
        <v>0</v>
      </c>
      <c r="E500" s="107">
        <f>IFERROR(VLOOKUP(B500,'Lista por categoria'!B:F,4,0),0)</f>
        <v>0</v>
      </c>
      <c r="F500" s="107">
        <f t="shared" si="50"/>
        <v>0</v>
      </c>
    </row>
    <row r="501" spans="2:6" x14ac:dyDescent="0.25">
      <c r="B501" s="88" t="str">
        <f>'Lista por etapa'!B373</f>
        <v>Rolo para pintura</v>
      </c>
      <c r="C501" s="91" t="str">
        <f>'Lista por etapa'!C373</f>
        <v>Peça</v>
      </c>
      <c r="D501" s="87">
        <f>'Lista por etapa'!D373</f>
        <v>0</v>
      </c>
      <c r="E501" s="107">
        <f>IFERROR(VLOOKUP(B501,'Lista por categoria'!B:F,4,0),0)</f>
        <v>0</v>
      </c>
      <c r="F501" s="107">
        <f t="shared" si="50"/>
        <v>0</v>
      </c>
    </row>
    <row r="502" spans="2:6" x14ac:dyDescent="0.25">
      <c r="B502" s="88" t="str">
        <f>'Lista por etapa'!B374</f>
        <v>Pincel para pintura</v>
      </c>
      <c r="C502" s="91" t="str">
        <f>'Lista por etapa'!C374</f>
        <v>Peça</v>
      </c>
      <c r="D502" s="87">
        <f>'Lista por etapa'!D374</f>
        <v>0</v>
      </c>
      <c r="E502" s="107">
        <f>IFERROR(VLOOKUP(B502,'Lista por categoria'!B:F,4,0),0)</f>
        <v>0</v>
      </c>
      <c r="F502" s="107">
        <f t="shared" si="50"/>
        <v>0</v>
      </c>
    </row>
    <row r="503" spans="2:6" x14ac:dyDescent="0.25">
      <c r="B503" s="88" t="str">
        <f>'Lista por etapa'!B375</f>
        <v>Fita crepe larga</v>
      </c>
      <c r="C503" s="91" t="str">
        <f>'Lista por etapa'!C375</f>
        <v>Peça</v>
      </c>
      <c r="D503" s="87">
        <f>'Lista por etapa'!D375</f>
        <v>0</v>
      </c>
      <c r="E503" s="107">
        <f>IFERROR(VLOOKUP(B503,'Lista por categoria'!B:F,4,0),0)</f>
        <v>0</v>
      </c>
      <c r="F503" s="107">
        <f t="shared" si="50"/>
        <v>0</v>
      </c>
    </row>
    <row r="504" spans="2:6" x14ac:dyDescent="0.25">
      <c r="B504" s="88" t="str">
        <f>'Lista por etapa'!B376</f>
        <v>Lixa para parede</v>
      </c>
      <c r="C504" s="91" t="str">
        <f>'Lista por etapa'!C376</f>
        <v>Peça</v>
      </c>
      <c r="D504" s="87">
        <f>'Lista por etapa'!D376</f>
        <v>0</v>
      </c>
      <c r="E504" s="107">
        <f>IFERROR(VLOOKUP(B504,'Lista por categoria'!B:F,4,0),0)</f>
        <v>0</v>
      </c>
      <c r="F504" s="107">
        <f t="shared" si="50"/>
        <v>0</v>
      </c>
    </row>
    <row r="505" spans="2:6" ht="15.75" x14ac:dyDescent="0.25">
      <c r="B505" s="134" t="str">
        <f>'16. Pintura'!B110</f>
        <v>Pintura do teto</v>
      </c>
      <c r="C505" s="134"/>
      <c r="D505" s="134"/>
      <c r="E505" s="134"/>
      <c r="F505" s="134"/>
    </row>
    <row r="506" spans="2:6" x14ac:dyDescent="0.25">
      <c r="B506" s="108" t="s">
        <v>5</v>
      </c>
      <c r="C506" s="109" t="s">
        <v>46</v>
      </c>
      <c r="D506" s="122" t="s">
        <v>6</v>
      </c>
      <c r="E506" s="28" t="s">
        <v>1101</v>
      </c>
      <c r="F506" s="28" t="s">
        <v>1102</v>
      </c>
    </row>
    <row r="507" spans="2:6" x14ac:dyDescent="0.25">
      <c r="B507" s="88" t="str">
        <f>'Lista por etapa'!B379</f>
        <v xml:space="preserve">Tinta </v>
      </c>
      <c r="C507" s="91" t="str">
        <f>'Lista por etapa'!C379</f>
        <v>Litros</v>
      </c>
      <c r="D507" s="87">
        <f>'Lista por etapa'!D379</f>
        <v>0</v>
      </c>
      <c r="E507" s="107">
        <f>IFERROR(VLOOKUP(B507,'Lista por categoria'!B:F,4,0),0)</f>
        <v>0</v>
      </c>
      <c r="F507" s="107">
        <f t="shared" ref="F507:F512" si="51">D507*E507</f>
        <v>0</v>
      </c>
    </row>
    <row r="508" spans="2:6" x14ac:dyDescent="0.25">
      <c r="B508" s="88" t="str">
        <f>'Lista por etapa'!B380</f>
        <v>Fundo preparador</v>
      </c>
      <c r="C508" s="91" t="str">
        <f>'Lista por etapa'!C380</f>
        <v>Litros</v>
      </c>
      <c r="D508" s="87">
        <f>'Lista por etapa'!D380</f>
        <v>0</v>
      </c>
      <c r="E508" s="107">
        <f>IFERROR(VLOOKUP(B508,'Lista por categoria'!B:F,4,0),0)</f>
        <v>0</v>
      </c>
      <c r="F508" s="107">
        <f t="shared" si="51"/>
        <v>0</v>
      </c>
    </row>
    <row r="509" spans="2:6" x14ac:dyDescent="0.25">
      <c r="B509" s="88" t="str">
        <f>'Lista por etapa'!B381</f>
        <v>Rolo para pintura</v>
      </c>
      <c r="C509" s="91" t="str">
        <f>'Lista por etapa'!C381</f>
        <v>Peça</v>
      </c>
      <c r="D509" s="87">
        <f>'Lista por etapa'!D381</f>
        <v>0</v>
      </c>
      <c r="E509" s="107">
        <f>IFERROR(VLOOKUP(B509,'Lista por categoria'!B:F,4,0),0)</f>
        <v>0</v>
      </c>
      <c r="F509" s="107">
        <f t="shared" si="51"/>
        <v>0</v>
      </c>
    </row>
    <row r="510" spans="2:6" x14ac:dyDescent="0.25">
      <c r="B510" s="88" t="str">
        <f>'Lista por etapa'!B382</f>
        <v>Pincel para pintura</v>
      </c>
      <c r="C510" s="91" t="str">
        <f>'Lista por etapa'!C382</f>
        <v>Peça</v>
      </c>
      <c r="D510" s="87">
        <f>'Lista por etapa'!D382</f>
        <v>0</v>
      </c>
      <c r="E510" s="107">
        <f>IFERROR(VLOOKUP(B510,'Lista por categoria'!B:F,4,0),0)</f>
        <v>0</v>
      </c>
      <c r="F510" s="107">
        <f t="shared" si="51"/>
        <v>0</v>
      </c>
    </row>
    <row r="511" spans="2:6" x14ac:dyDescent="0.25">
      <c r="B511" s="88" t="str">
        <f>'Lista por etapa'!B383</f>
        <v>Fita crepe larga</v>
      </c>
      <c r="C511" s="91" t="str">
        <f>'Lista por etapa'!C383</f>
        <v>Peça</v>
      </c>
      <c r="D511" s="87">
        <f>'Lista por etapa'!D383</f>
        <v>0</v>
      </c>
      <c r="E511" s="107">
        <f>IFERROR(VLOOKUP(B511,'Lista por categoria'!B:F,4,0),0)</f>
        <v>0</v>
      </c>
      <c r="F511" s="107">
        <f t="shared" si="51"/>
        <v>0</v>
      </c>
    </row>
    <row r="512" spans="2:6" x14ac:dyDescent="0.25">
      <c r="B512" s="88" t="str">
        <f>'Lista por etapa'!B384</f>
        <v>Lixa para parede</v>
      </c>
      <c r="C512" s="91" t="str">
        <f>'Lista por etapa'!C384</f>
        <v>Peça</v>
      </c>
      <c r="D512" s="87">
        <f>'Lista por etapa'!D384</f>
        <v>0</v>
      </c>
      <c r="E512" s="107">
        <f>IFERROR(VLOOKUP(B512,'Lista por categoria'!B:F,4,0),0)</f>
        <v>0</v>
      </c>
      <c r="F512" s="107">
        <f t="shared" si="51"/>
        <v>0</v>
      </c>
    </row>
    <row r="513" spans="2:6" x14ac:dyDescent="0.25">
      <c r="B513" s="116" t="s">
        <v>1199</v>
      </c>
      <c r="C513" s="117" t="s">
        <v>46</v>
      </c>
      <c r="D513" s="120" t="s">
        <v>6</v>
      </c>
      <c r="E513" s="118" t="s">
        <v>1101</v>
      </c>
      <c r="F513" s="118" t="s">
        <v>1102</v>
      </c>
    </row>
    <row r="514" spans="2:6" x14ac:dyDescent="0.25">
      <c r="B514" s="88" t="s">
        <v>1205</v>
      </c>
      <c r="C514" s="91" t="s">
        <v>1204</v>
      </c>
      <c r="D514" s="87">
        <f>'Mão de Obra por etapa'!D153</f>
        <v>0</v>
      </c>
      <c r="E514" s="107">
        <f>'Mão de Obra por etapa'!E153</f>
        <v>0</v>
      </c>
      <c r="F514" s="107">
        <f>'Mão de Obra por etapa'!F153</f>
        <v>0</v>
      </c>
    </row>
    <row r="515" spans="2:6" x14ac:dyDescent="0.25">
      <c r="B515" s="88" t="s">
        <v>1200</v>
      </c>
      <c r="C515" s="91" t="s">
        <v>1204</v>
      </c>
      <c r="D515" s="87">
        <f>'Mão de Obra por etapa'!D154</f>
        <v>0</v>
      </c>
      <c r="E515" s="107">
        <f>'Mão de Obra por etapa'!E154</f>
        <v>0</v>
      </c>
      <c r="F515" s="107">
        <f>'Mão de Obra por etapa'!F154</f>
        <v>0</v>
      </c>
    </row>
    <row r="516" spans="2:6" x14ac:dyDescent="0.25">
      <c r="B516" s="88" t="s">
        <v>1206</v>
      </c>
      <c r="C516" s="91" t="s">
        <v>1204</v>
      </c>
      <c r="D516" s="87">
        <f>'Mão de Obra por etapa'!D155</f>
        <v>0</v>
      </c>
      <c r="E516" s="107">
        <f>'Mão de Obra por etapa'!E155</f>
        <v>0</v>
      </c>
      <c r="F516" s="107">
        <f>'Mão de Obra por etapa'!F155</f>
        <v>0</v>
      </c>
    </row>
    <row r="517" spans="2:6" x14ac:dyDescent="0.25">
      <c r="B517" s="88" t="s">
        <v>1201</v>
      </c>
      <c r="C517" s="91" t="s">
        <v>1204</v>
      </c>
      <c r="D517" s="87">
        <f>'Mão de Obra por etapa'!D156</f>
        <v>0</v>
      </c>
      <c r="E517" s="107">
        <f>'Mão de Obra por etapa'!E156</f>
        <v>0</v>
      </c>
      <c r="F517" s="107">
        <f>'Mão de Obra por etapa'!F156</f>
        <v>0</v>
      </c>
    </row>
    <row r="518" spans="2:6" x14ac:dyDescent="0.25">
      <c r="B518" s="88" t="s">
        <v>1202</v>
      </c>
      <c r="C518" s="91" t="s">
        <v>1204</v>
      </c>
      <c r="D518" s="87">
        <f>'Mão de Obra por etapa'!D157</f>
        <v>0</v>
      </c>
      <c r="E518" s="107">
        <f>'Mão de Obra por etapa'!E157</f>
        <v>0</v>
      </c>
      <c r="F518" s="107">
        <f>'Mão de Obra por etapa'!F157</f>
        <v>0</v>
      </c>
    </row>
    <row r="519" spans="2:6" x14ac:dyDescent="0.25">
      <c r="B519" s="88" t="s">
        <v>1203</v>
      </c>
      <c r="C519" s="91" t="s">
        <v>1204</v>
      </c>
      <c r="D519" s="87">
        <f>'Mão de Obra por etapa'!D158</f>
        <v>0</v>
      </c>
      <c r="E519" s="107">
        <f>'Mão de Obra por etapa'!E158</f>
        <v>0</v>
      </c>
      <c r="F519" s="107">
        <f>'Mão de Obra por etapa'!F158</f>
        <v>0</v>
      </c>
    </row>
    <row r="520" spans="2:6" x14ac:dyDescent="0.25">
      <c r="B520" s="142" t="s">
        <v>1207</v>
      </c>
      <c r="C520" s="143"/>
      <c r="D520" s="143"/>
      <c r="E520" s="144"/>
      <c r="F520" s="115">
        <f>SUM(F491:F496,F499:F504,F507:F512,F514:F519)</f>
        <v>0</v>
      </c>
    </row>
    <row r="521" spans="2:6" x14ac:dyDescent="0.25">
      <c r="B521" s="110"/>
      <c r="C521" s="110"/>
      <c r="D521" s="121"/>
      <c r="E521" s="110"/>
      <c r="F521" s="110"/>
    </row>
    <row r="522" spans="2:6" ht="18.75" x14ac:dyDescent="0.3">
      <c r="B522" s="137" t="str">
        <f>'17. Pisos'!B2</f>
        <v>Pisos</v>
      </c>
      <c r="C522" s="137"/>
      <c r="D522" s="137"/>
      <c r="E522" s="137"/>
      <c r="F522" s="137"/>
    </row>
    <row r="523" spans="2:6" ht="15.75" x14ac:dyDescent="0.25">
      <c r="B523" s="134" t="str">
        <f>'17. Pisos'!B5</f>
        <v>Pisos ambiente interno seco</v>
      </c>
      <c r="C523" s="134"/>
      <c r="D523" s="134"/>
      <c r="E523" s="134"/>
      <c r="F523" s="134"/>
    </row>
    <row r="524" spans="2:6" x14ac:dyDescent="0.25">
      <c r="B524" s="108" t="s">
        <v>5</v>
      </c>
      <c r="C524" s="109" t="s">
        <v>46</v>
      </c>
      <c r="D524" s="122" t="s">
        <v>6</v>
      </c>
      <c r="E524" s="28" t="s">
        <v>1101</v>
      </c>
      <c r="F524" s="28" t="s">
        <v>1102</v>
      </c>
    </row>
    <row r="525" spans="2:6" x14ac:dyDescent="0.25">
      <c r="B525" s="88" t="str">
        <f>'Lista por etapa'!B389</f>
        <v>Piso cerâmico,  x  cm</v>
      </c>
      <c r="C525" s="91" t="str">
        <f>'Lista por etapa'!C389</f>
        <v>m²</v>
      </c>
      <c r="D525" s="87">
        <f>'Lista por etapa'!D389</f>
        <v>0</v>
      </c>
      <c r="E525" s="107">
        <f>IFERROR(VLOOKUP(B525,'Lista por categoria'!B:F,4,0),0)</f>
        <v>0</v>
      </c>
      <c r="F525" s="107">
        <f t="shared" ref="F525:F530" si="52">D525*E525</f>
        <v>0</v>
      </c>
    </row>
    <row r="526" spans="2:6" x14ac:dyDescent="0.25">
      <c r="B526" s="88" t="str">
        <f>'Lista por etapa'!B390</f>
        <v>Porcelanato,  x  cm</v>
      </c>
      <c r="C526" s="91" t="str">
        <f>'Lista por etapa'!C390</f>
        <v>m²</v>
      </c>
      <c r="D526" s="87">
        <f>'Lista por etapa'!D390</f>
        <v>0</v>
      </c>
      <c r="E526" s="107">
        <f>IFERROR(VLOOKUP(B526,'Lista por categoria'!B:F,4,0),0)</f>
        <v>0</v>
      </c>
      <c r="F526" s="107">
        <f t="shared" si="52"/>
        <v>0</v>
      </c>
    </row>
    <row r="527" spans="2:6" x14ac:dyDescent="0.25">
      <c r="B527" s="88" t="str">
        <f>'Lista por etapa'!B391</f>
        <v>Piso cimentício,  x  cm</v>
      </c>
      <c r="C527" s="91" t="str">
        <f>'Lista por etapa'!C391</f>
        <v>m²</v>
      </c>
      <c r="D527" s="87">
        <f>'Lista por etapa'!D391</f>
        <v>0</v>
      </c>
      <c r="E527" s="107">
        <f>IFERROR(VLOOKUP(B527,'Lista por categoria'!B:F,4,0),0)</f>
        <v>0</v>
      </c>
      <c r="F527" s="107">
        <f t="shared" si="52"/>
        <v>0</v>
      </c>
    </row>
    <row r="528" spans="2:6" x14ac:dyDescent="0.25">
      <c r="B528" s="88" t="str">
        <f>'Lista por etapa'!B392</f>
        <v>Argamassa colante AC-I</v>
      </c>
      <c r="C528" s="91" t="str">
        <f>'Lista por etapa'!C392</f>
        <v>Saco 20 kg</v>
      </c>
      <c r="D528" s="87">
        <f>'Lista por etapa'!D392</f>
        <v>0</v>
      </c>
      <c r="E528" s="107">
        <f>IFERROR(VLOOKUP(B528,'Lista por categoria'!B:F,4,0),0)</f>
        <v>0</v>
      </c>
      <c r="F528" s="107">
        <f t="shared" si="52"/>
        <v>0</v>
      </c>
    </row>
    <row r="529" spans="2:6" x14ac:dyDescent="0.25">
      <c r="B529" s="88" t="str">
        <f>'Lista por etapa'!B393</f>
        <v>Rejunte cimentício</v>
      </c>
      <c r="C529" s="91" t="str">
        <f>'Lista por etapa'!C393</f>
        <v>Saco 5 kg</v>
      </c>
      <c r="D529" s="87">
        <f>'Lista por etapa'!D393</f>
        <v>0</v>
      </c>
      <c r="E529" s="107">
        <f>IFERROR(VLOOKUP(B529,'Lista por categoria'!B:F,4,0),0)</f>
        <v>0</v>
      </c>
      <c r="F529" s="107">
        <f t="shared" si="52"/>
        <v>0</v>
      </c>
    </row>
    <row r="530" spans="2:6" x14ac:dyDescent="0.25">
      <c r="B530" s="88" t="str">
        <f>'Lista por etapa'!B394</f>
        <v>Espaçador nivelador</v>
      </c>
      <c r="C530" s="91" t="str">
        <f>'Lista por etapa'!C394</f>
        <v>Pacote 50 pç</v>
      </c>
      <c r="D530" s="87">
        <f>'Lista por etapa'!D394</f>
        <v>0</v>
      </c>
      <c r="E530" s="107">
        <f>IFERROR(VLOOKUP(B530,'Lista por categoria'!B:F,4,0),0)</f>
        <v>0</v>
      </c>
      <c r="F530" s="107">
        <f t="shared" si="52"/>
        <v>0</v>
      </c>
    </row>
    <row r="531" spans="2:6" ht="15.75" x14ac:dyDescent="0.25">
      <c r="B531" s="134" t="str">
        <f>'17. Pisos'!B44</f>
        <v>Pisos ambiente interno úmido</v>
      </c>
      <c r="C531" s="134"/>
      <c r="D531" s="134"/>
      <c r="E531" s="134"/>
      <c r="F531" s="134"/>
    </row>
    <row r="532" spans="2:6" x14ac:dyDescent="0.25">
      <c r="B532" s="108" t="s">
        <v>5</v>
      </c>
      <c r="C532" s="109" t="s">
        <v>46</v>
      </c>
      <c r="D532" s="122" t="s">
        <v>6</v>
      </c>
      <c r="E532" s="28" t="s">
        <v>1101</v>
      </c>
      <c r="F532" s="28" t="s">
        <v>1102</v>
      </c>
    </row>
    <row r="533" spans="2:6" x14ac:dyDescent="0.25">
      <c r="B533" s="88" t="str">
        <f>'Lista por etapa'!B397</f>
        <v>Piso cerâmico,  x  cm</v>
      </c>
      <c r="C533" s="91" t="str">
        <f>'Lista por etapa'!C397</f>
        <v>m²</v>
      </c>
      <c r="D533" s="87">
        <f>'Lista por etapa'!D397</f>
        <v>0</v>
      </c>
      <c r="E533" s="107">
        <f>IFERROR(VLOOKUP(B533,'Lista por categoria'!B:F,4,0),0)</f>
        <v>0</v>
      </c>
      <c r="F533" s="107">
        <f t="shared" ref="F533:F539" si="53">D533*E533</f>
        <v>0</v>
      </c>
    </row>
    <row r="534" spans="2:6" x14ac:dyDescent="0.25">
      <c r="B534" s="88" t="str">
        <f>'Lista por etapa'!B398</f>
        <v>Porcelanato,  x  cm</v>
      </c>
      <c r="C534" s="91" t="str">
        <f>'Lista por etapa'!C398</f>
        <v>m²</v>
      </c>
      <c r="D534" s="87">
        <f>'Lista por etapa'!D398</f>
        <v>0</v>
      </c>
      <c r="E534" s="107">
        <f>IFERROR(VLOOKUP(B534,'Lista por categoria'!B:F,4,0),0)</f>
        <v>0</v>
      </c>
      <c r="F534" s="107">
        <f t="shared" si="53"/>
        <v>0</v>
      </c>
    </row>
    <row r="535" spans="2:6" x14ac:dyDescent="0.25">
      <c r="B535" s="88" t="str">
        <f>'Lista por etapa'!B399</f>
        <v>Piso cimentício,  x  cm</v>
      </c>
      <c r="C535" s="91" t="str">
        <f>'Lista por etapa'!C399</f>
        <v>m²</v>
      </c>
      <c r="D535" s="87">
        <f>'Lista por etapa'!D399</f>
        <v>0</v>
      </c>
      <c r="E535" s="107">
        <f>IFERROR(VLOOKUP(B535,'Lista por categoria'!B:F,4,0),0)</f>
        <v>0</v>
      </c>
      <c r="F535" s="107">
        <f t="shared" si="53"/>
        <v>0</v>
      </c>
    </row>
    <row r="536" spans="2:6" x14ac:dyDescent="0.25">
      <c r="B536" s="88" t="str">
        <f>'Lista por etapa'!B400</f>
        <v>Argamassa colante AC-I</v>
      </c>
      <c r="C536" s="91" t="str">
        <f>'Lista por etapa'!C400</f>
        <v>Saco 20 kg</v>
      </c>
      <c r="D536" s="87">
        <f>'Lista por etapa'!D400</f>
        <v>0</v>
      </c>
      <c r="E536" s="107">
        <f>IFERROR(VLOOKUP(B536,'Lista por categoria'!B:F,4,0),0)</f>
        <v>0</v>
      </c>
      <c r="F536" s="107">
        <f t="shared" si="53"/>
        <v>0</v>
      </c>
    </row>
    <row r="537" spans="2:6" x14ac:dyDescent="0.25">
      <c r="B537" s="88" t="str">
        <f>'Lista por etapa'!B401</f>
        <v>Argamassa colante AC-II</v>
      </c>
      <c r="C537" s="91" t="str">
        <f>'Lista por etapa'!C401</f>
        <v>Saco 20 kg</v>
      </c>
      <c r="D537" s="87">
        <f>'Lista por etapa'!D401</f>
        <v>0</v>
      </c>
      <c r="E537" s="107">
        <f>IFERROR(VLOOKUP(B537,'Lista por categoria'!B:F,4,0),0)</f>
        <v>0</v>
      </c>
      <c r="F537" s="107">
        <f t="shared" si="53"/>
        <v>0</v>
      </c>
    </row>
    <row r="538" spans="2:6" x14ac:dyDescent="0.25">
      <c r="B538" s="88" t="str">
        <f>'Lista por etapa'!B402</f>
        <v>Rejunte acrílico</v>
      </c>
      <c r="C538" s="91" t="str">
        <f>'Lista por etapa'!C402</f>
        <v>Saco 5 kg</v>
      </c>
      <c r="D538" s="87">
        <f>'Lista por etapa'!D402</f>
        <v>0</v>
      </c>
      <c r="E538" s="107">
        <f>IFERROR(VLOOKUP(B538,'Lista por categoria'!B:F,4,0),0)</f>
        <v>0</v>
      </c>
      <c r="F538" s="107">
        <f t="shared" si="53"/>
        <v>0</v>
      </c>
    </row>
    <row r="539" spans="2:6" x14ac:dyDescent="0.25">
      <c r="B539" s="88" t="str">
        <f>'Lista por etapa'!B403</f>
        <v>Espaçador nivelador</v>
      </c>
      <c r="C539" s="91" t="str">
        <f>'Lista por etapa'!C403</f>
        <v>Pacote 50 pç</v>
      </c>
      <c r="D539" s="87">
        <f>'Lista por etapa'!D403</f>
        <v>0</v>
      </c>
      <c r="E539" s="107">
        <f>IFERROR(VLOOKUP(B539,'Lista por categoria'!B:F,4,0),0)</f>
        <v>0</v>
      </c>
      <c r="F539" s="107">
        <f t="shared" si="53"/>
        <v>0</v>
      </c>
    </row>
    <row r="540" spans="2:6" ht="15.75" x14ac:dyDescent="0.25">
      <c r="B540" s="134" t="str">
        <f>'17. Pisos'!B84</f>
        <v>Pisos ambiente externo seco</v>
      </c>
      <c r="C540" s="134"/>
      <c r="D540" s="134"/>
      <c r="E540" s="134"/>
      <c r="F540" s="134"/>
    </row>
    <row r="541" spans="2:6" x14ac:dyDescent="0.25">
      <c r="B541" s="108" t="s">
        <v>5</v>
      </c>
      <c r="C541" s="109" t="s">
        <v>46</v>
      </c>
      <c r="D541" s="122" t="s">
        <v>6</v>
      </c>
      <c r="E541" s="28" t="s">
        <v>1101</v>
      </c>
      <c r="F541" s="28" t="s">
        <v>1102</v>
      </c>
    </row>
    <row r="542" spans="2:6" x14ac:dyDescent="0.25">
      <c r="B542" s="88" t="str">
        <f>'Lista por etapa'!B406</f>
        <v>Piso cerâmico,  x  cm</v>
      </c>
      <c r="C542" s="91" t="str">
        <f>'Lista por etapa'!C406</f>
        <v>m²</v>
      </c>
      <c r="D542" s="87">
        <f>'Lista por etapa'!D406</f>
        <v>0</v>
      </c>
      <c r="E542" s="107">
        <f>IFERROR(VLOOKUP(B542,'Lista por categoria'!B:F,4,0),0)</f>
        <v>0</v>
      </c>
      <c r="F542" s="107">
        <f t="shared" ref="F542:F547" si="54">D542*E542</f>
        <v>0</v>
      </c>
    </row>
    <row r="543" spans="2:6" x14ac:dyDescent="0.25">
      <c r="B543" s="88" t="str">
        <f>'Lista por etapa'!B407</f>
        <v>Porcelanato,  x  cm</v>
      </c>
      <c r="C543" s="91" t="str">
        <f>'Lista por etapa'!C407</f>
        <v>m²</v>
      </c>
      <c r="D543" s="87">
        <f>'Lista por etapa'!D407</f>
        <v>0</v>
      </c>
      <c r="E543" s="107">
        <f>IFERROR(VLOOKUP(B543,'Lista por categoria'!B:F,4,0),0)</f>
        <v>0</v>
      </c>
      <c r="F543" s="107">
        <f t="shared" si="54"/>
        <v>0</v>
      </c>
    </row>
    <row r="544" spans="2:6" x14ac:dyDescent="0.25">
      <c r="B544" s="88" t="str">
        <f>'Lista por etapa'!B408</f>
        <v>Piso cimentício,  x  cm</v>
      </c>
      <c r="C544" s="91" t="str">
        <f>'Lista por etapa'!C408</f>
        <v>m²</v>
      </c>
      <c r="D544" s="87">
        <f>'Lista por etapa'!D408</f>
        <v>0</v>
      </c>
      <c r="E544" s="107">
        <f>IFERROR(VLOOKUP(B544,'Lista por categoria'!B:F,4,0),0)</f>
        <v>0</v>
      </c>
      <c r="F544" s="107">
        <f t="shared" si="54"/>
        <v>0</v>
      </c>
    </row>
    <row r="545" spans="2:6" x14ac:dyDescent="0.25">
      <c r="B545" s="88" t="str">
        <f>'Lista por etapa'!B409</f>
        <v>Argamassa colante AC-II</v>
      </c>
      <c r="C545" s="91" t="str">
        <f>'Lista por etapa'!C409</f>
        <v>Saco 20 kg</v>
      </c>
      <c r="D545" s="87">
        <f>'Lista por etapa'!D409</f>
        <v>0</v>
      </c>
      <c r="E545" s="107">
        <f>IFERROR(VLOOKUP(B545,'Lista por categoria'!B:F,4,0),0)</f>
        <v>0</v>
      </c>
      <c r="F545" s="107">
        <f t="shared" si="54"/>
        <v>0</v>
      </c>
    </row>
    <row r="546" spans="2:6" x14ac:dyDescent="0.25">
      <c r="B546" s="88" t="str">
        <f>'Lista por etapa'!B410</f>
        <v>Rejunte acrílico</v>
      </c>
      <c r="C546" s="91" t="str">
        <f>'Lista por etapa'!C410</f>
        <v>Saco 5 kg</v>
      </c>
      <c r="D546" s="87">
        <f>'Lista por etapa'!D410</f>
        <v>0</v>
      </c>
      <c r="E546" s="107">
        <f>IFERROR(VLOOKUP(B546,'Lista por categoria'!B:F,4,0),0)</f>
        <v>0</v>
      </c>
      <c r="F546" s="107">
        <f t="shared" si="54"/>
        <v>0</v>
      </c>
    </row>
    <row r="547" spans="2:6" x14ac:dyDescent="0.25">
      <c r="B547" s="88" t="str">
        <f>'Lista por etapa'!B411</f>
        <v>Espaçador nivelador</v>
      </c>
      <c r="C547" s="91" t="str">
        <f>'Lista por etapa'!C411</f>
        <v>Pacote 50 pç</v>
      </c>
      <c r="D547" s="87">
        <f>'Lista por etapa'!D411</f>
        <v>0</v>
      </c>
      <c r="E547" s="107">
        <f>IFERROR(VLOOKUP(B547,'Lista por categoria'!B:F,4,0),0)</f>
        <v>0</v>
      </c>
      <c r="F547" s="107">
        <f t="shared" si="54"/>
        <v>0</v>
      </c>
    </row>
    <row r="548" spans="2:6" ht="15.75" x14ac:dyDescent="0.25">
      <c r="B548" s="134" t="str">
        <f>'17. Pisos'!B123</f>
        <v>Pisos ambiente externo úmido</v>
      </c>
      <c r="C548" s="134"/>
      <c r="D548" s="134"/>
      <c r="E548" s="134"/>
      <c r="F548" s="134"/>
    </row>
    <row r="549" spans="2:6" x14ac:dyDescent="0.25">
      <c r="B549" s="108" t="s">
        <v>5</v>
      </c>
      <c r="C549" s="109" t="s">
        <v>46</v>
      </c>
      <c r="D549" s="122" t="s">
        <v>6</v>
      </c>
      <c r="E549" s="28" t="s">
        <v>1101</v>
      </c>
      <c r="F549" s="28" t="s">
        <v>1102</v>
      </c>
    </row>
    <row r="550" spans="2:6" x14ac:dyDescent="0.25">
      <c r="B550" s="88" t="str">
        <f>'Lista por etapa'!B414</f>
        <v>Piso cerâmico,  x  cm</v>
      </c>
      <c r="C550" s="91" t="str">
        <f>'Lista por etapa'!C414</f>
        <v>m²</v>
      </c>
      <c r="D550" s="87">
        <f>'Lista por etapa'!D414</f>
        <v>0</v>
      </c>
      <c r="E550" s="107">
        <f>IFERROR(VLOOKUP(B550,'Lista por categoria'!B:F,4,0),0)</f>
        <v>0</v>
      </c>
      <c r="F550" s="107">
        <f t="shared" ref="F550:F556" si="55">D550*E550</f>
        <v>0</v>
      </c>
    </row>
    <row r="551" spans="2:6" x14ac:dyDescent="0.25">
      <c r="B551" s="88" t="str">
        <f>'Lista por etapa'!B415</f>
        <v>Porcelanato,  x  cm</v>
      </c>
      <c r="C551" s="91" t="str">
        <f>'Lista por etapa'!C415</f>
        <v>m²</v>
      </c>
      <c r="D551" s="87">
        <f>'Lista por etapa'!D415</f>
        <v>0</v>
      </c>
      <c r="E551" s="107">
        <f>IFERROR(VLOOKUP(B551,'Lista por categoria'!B:F,4,0),0)</f>
        <v>0</v>
      </c>
      <c r="F551" s="107">
        <f t="shared" si="55"/>
        <v>0</v>
      </c>
    </row>
    <row r="552" spans="2:6" x14ac:dyDescent="0.25">
      <c r="B552" s="88" t="str">
        <f>'Lista por etapa'!B416</f>
        <v>Piso cimentício,  x  cm</v>
      </c>
      <c r="C552" s="91" t="str">
        <f>'Lista por etapa'!C416</f>
        <v>m²</v>
      </c>
      <c r="D552" s="87">
        <f>'Lista por etapa'!D416</f>
        <v>0</v>
      </c>
      <c r="E552" s="107">
        <f>IFERROR(VLOOKUP(B552,'Lista por categoria'!B:F,4,0),0)</f>
        <v>0</v>
      </c>
      <c r="F552" s="107">
        <f t="shared" si="55"/>
        <v>0</v>
      </c>
    </row>
    <row r="553" spans="2:6" x14ac:dyDescent="0.25">
      <c r="B553" s="88" t="str">
        <f>'Lista por etapa'!B417</f>
        <v>Argamassa colante AC-II</v>
      </c>
      <c r="C553" s="91" t="str">
        <f>'Lista por etapa'!C417</f>
        <v>Saco 20 kg</v>
      </c>
      <c r="D553" s="87">
        <f>'Lista por etapa'!D417</f>
        <v>0</v>
      </c>
      <c r="E553" s="107">
        <f>IFERROR(VLOOKUP(B553,'Lista por categoria'!B:F,4,0),0)</f>
        <v>0</v>
      </c>
      <c r="F553" s="107">
        <f t="shared" si="55"/>
        <v>0</v>
      </c>
    </row>
    <row r="554" spans="2:6" x14ac:dyDescent="0.25">
      <c r="B554" s="88" t="str">
        <f>'Lista por etapa'!B418</f>
        <v>Argamassa colante AC-III</v>
      </c>
      <c r="C554" s="91" t="str">
        <f>'Lista por etapa'!C418</f>
        <v>Saco 20 kg</v>
      </c>
      <c r="D554" s="87">
        <f>'Lista por etapa'!D418</f>
        <v>0</v>
      </c>
      <c r="E554" s="107">
        <f>IFERROR(VLOOKUP(B554,'Lista por categoria'!B:F,4,0),0)</f>
        <v>0</v>
      </c>
      <c r="F554" s="107">
        <f t="shared" si="55"/>
        <v>0</v>
      </c>
    </row>
    <row r="555" spans="2:6" x14ac:dyDescent="0.25">
      <c r="B555" s="88" t="str">
        <f>'Lista por etapa'!B419</f>
        <v>Rejunte epóxi</v>
      </c>
      <c r="C555" s="91" t="str">
        <f>'Lista por etapa'!C419</f>
        <v>Saco 5 kg</v>
      </c>
      <c r="D555" s="87">
        <f>'Lista por etapa'!D419</f>
        <v>0</v>
      </c>
      <c r="E555" s="107">
        <f>IFERROR(VLOOKUP(B555,'Lista por categoria'!B:F,4,0),0)</f>
        <v>0</v>
      </c>
      <c r="F555" s="107">
        <f t="shared" si="55"/>
        <v>0</v>
      </c>
    </row>
    <row r="556" spans="2:6" x14ac:dyDescent="0.25">
      <c r="B556" s="88" t="str">
        <f>'Lista por etapa'!B420</f>
        <v>Espaçador nivelador</v>
      </c>
      <c r="C556" s="91" t="str">
        <f>'Lista por etapa'!C420</f>
        <v>Pacote 50 pç</v>
      </c>
      <c r="D556" s="87">
        <f>'Lista por etapa'!D420</f>
        <v>0</v>
      </c>
      <c r="E556" s="107">
        <f>IFERROR(VLOOKUP(B556,'Lista por categoria'!B:F,4,0),0)</f>
        <v>0</v>
      </c>
      <c r="F556" s="107">
        <f t="shared" si="55"/>
        <v>0</v>
      </c>
    </row>
    <row r="557" spans="2:6" x14ac:dyDescent="0.25">
      <c r="B557" s="116" t="s">
        <v>1199</v>
      </c>
      <c r="C557" s="117" t="s">
        <v>46</v>
      </c>
      <c r="D557" s="120" t="s">
        <v>6</v>
      </c>
      <c r="E557" s="118" t="s">
        <v>1101</v>
      </c>
      <c r="F557" s="118" t="s">
        <v>1102</v>
      </c>
    </row>
    <row r="558" spans="2:6" x14ac:dyDescent="0.25">
      <c r="B558" s="88" t="s">
        <v>1205</v>
      </c>
      <c r="C558" s="91" t="s">
        <v>1204</v>
      </c>
      <c r="D558" s="87">
        <f>'Mão de Obra por etapa'!D162</f>
        <v>0</v>
      </c>
      <c r="E558" s="107">
        <f>'Mão de Obra por etapa'!E162</f>
        <v>0</v>
      </c>
      <c r="F558" s="107">
        <f>'Mão de Obra por etapa'!F162</f>
        <v>0</v>
      </c>
    </row>
    <row r="559" spans="2:6" x14ac:dyDescent="0.25">
      <c r="B559" s="88" t="s">
        <v>1200</v>
      </c>
      <c r="C559" s="91" t="s">
        <v>1204</v>
      </c>
      <c r="D559" s="87">
        <f>'Mão de Obra por etapa'!D163</f>
        <v>0</v>
      </c>
      <c r="E559" s="107">
        <f>'Mão de Obra por etapa'!E163</f>
        <v>0</v>
      </c>
      <c r="F559" s="107">
        <f>'Mão de Obra por etapa'!F163</f>
        <v>0</v>
      </c>
    </row>
    <row r="560" spans="2:6" x14ac:dyDescent="0.25">
      <c r="B560" s="88" t="s">
        <v>1206</v>
      </c>
      <c r="C560" s="91" t="s">
        <v>1204</v>
      </c>
      <c r="D560" s="87">
        <f>'Mão de Obra por etapa'!D164</f>
        <v>0</v>
      </c>
      <c r="E560" s="107">
        <f>'Mão de Obra por etapa'!E164</f>
        <v>0</v>
      </c>
      <c r="F560" s="107">
        <f>'Mão de Obra por etapa'!F164</f>
        <v>0</v>
      </c>
    </row>
    <row r="561" spans="2:6" x14ac:dyDescent="0.25">
      <c r="B561" s="88" t="s">
        <v>1201</v>
      </c>
      <c r="C561" s="91" t="s">
        <v>1204</v>
      </c>
      <c r="D561" s="87">
        <f>'Mão de Obra por etapa'!D165</f>
        <v>0</v>
      </c>
      <c r="E561" s="107">
        <f>'Mão de Obra por etapa'!E165</f>
        <v>0</v>
      </c>
      <c r="F561" s="107">
        <f>'Mão de Obra por etapa'!F165</f>
        <v>0</v>
      </c>
    </row>
    <row r="562" spans="2:6" x14ac:dyDescent="0.25">
      <c r="B562" s="88" t="s">
        <v>1202</v>
      </c>
      <c r="C562" s="91" t="s">
        <v>1204</v>
      </c>
      <c r="D562" s="87">
        <f>'Mão de Obra por etapa'!D166</f>
        <v>0</v>
      </c>
      <c r="E562" s="107">
        <f>'Mão de Obra por etapa'!E166</f>
        <v>0</v>
      </c>
      <c r="F562" s="107">
        <f>'Mão de Obra por etapa'!F166</f>
        <v>0</v>
      </c>
    </row>
    <row r="563" spans="2:6" x14ac:dyDescent="0.25">
      <c r="B563" s="88" t="s">
        <v>1203</v>
      </c>
      <c r="C563" s="91" t="s">
        <v>1204</v>
      </c>
      <c r="D563" s="87">
        <f>'Mão de Obra por etapa'!D167</f>
        <v>0</v>
      </c>
      <c r="E563" s="107">
        <f>'Mão de Obra por etapa'!E167</f>
        <v>0</v>
      </c>
      <c r="F563" s="107">
        <f>'Mão de Obra por etapa'!F167</f>
        <v>0</v>
      </c>
    </row>
    <row r="564" spans="2:6" x14ac:dyDescent="0.25">
      <c r="B564" s="142" t="s">
        <v>1207</v>
      </c>
      <c r="C564" s="143"/>
      <c r="D564" s="143"/>
      <c r="E564" s="144"/>
      <c r="F564" s="115">
        <f>SUM(F525:F530,F533:F539,F542:F547,F550:F556,F558:F563)</f>
        <v>0</v>
      </c>
    </row>
    <row r="565" spans="2:6" x14ac:dyDescent="0.25">
      <c r="B565" s="110"/>
      <c r="C565" s="110"/>
      <c r="D565" s="121"/>
      <c r="E565" s="110"/>
      <c r="F565" s="110"/>
    </row>
    <row r="566" spans="2:6" ht="18.75" x14ac:dyDescent="0.3">
      <c r="B566" s="137" t="str">
        <f>'18. Revestimentos'!B2</f>
        <v>Revestimentos</v>
      </c>
      <c r="C566" s="137"/>
      <c r="D566" s="137"/>
      <c r="E566" s="137"/>
      <c r="F566" s="137"/>
    </row>
    <row r="567" spans="2:6" ht="15.75" x14ac:dyDescent="0.25">
      <c r="B567" s="134" t="str">
        <f>'18. Revestimentos'!B5</f>
        <v>Revestimentos ambiente interno seco</v>
      </c>
      <c r="C567" s="134"/>
      <c r="D567" s="134"/>
      <c r="E567" s="134"/>
      <c r="F567" s="134"/>
    </row>
    <row r="568" spans="2:6" x14ac:dyDescent="0.25">
      <c r="B568" s="108" t="s">
        <v>5</v>
      </c>
      <c r="C568" s="109" t="s">
        <v>46</v>
      </c>
      <c r="D568" s="122" t="s">
        <v>6</v>
      </c>
      <c r="E568" s="28" t="s">
        <v>1101</v>
      </c>
      <c r="F568" s="28" t="s">
        <v>1102</v>
      </c>
    </row>
    <row r="569" spans="2:6" x14ac:dyDescent="0.25">
      <c r="B569" s="88" t="str">
        <f>'Lista por etapa'!B425</f>
        <v>Azulejos,  x  cm</v>
      </c>
      <c r="C569" s="91" t="str">
        <f>'Lista por etapa'!C425</f>
        <v>m²</v>
      </c>
      <c r="D569" s="87">
        <f>'Lista por etapa'!D425</f>
        <v>0</v>
      </c>
      <c r="E569" s="107">
        <f>IFERROR(VLOOKUP(B569,'Lista por categoria'!B:F,4,0),0)</f>
        <v>0</v>
      </c>
      <c r="F569" s="107">
        <f t="shared" ref="F569:F574" si="56">D569*E569</f>
        <v>0</v>
      </c>
    </row>
    <row r="570" spans="2:6" x14ac:dyDescent="0.25">
      <c r="B570" s="88" t="str">
        <f>'Lista por etapa'!B426</f>
        <v>Porcelanato,  x  cm</v>
      </c>
      <c r="C570" s="91" t="str">
        <f>'Lista por etapa'!C426</f>
        <v>m²</v>
      </c>
      <c r="D570" s="87">
        <f>'Lista por etapa'!D426</f>
        <v>0</v>
      </c>
      <c r="E570" s="107">
        <f>IFERROR(VLOOKUP(B570,'Lista por categoria'!B:F,4,0),0)</f>
        <v>0</v>
      </c>
      <c r="F570" s="107">
        <f t="shared" si="56"/>
        <v>0</v>
      </c>
    </row>
    <row r="571" spans="2:6" x14ac:dyDescent="0.25">
      <c r="B571" s="88" t="str">
        <f>'Lista por etapa'!B427</f>
        <v>Pastilhas,  x  cm</v>
      </c>
      <c r="C571" s="91" t="str">
        <f>'Lista por etapa'!C427</f>
        <v>m²</v>
      </c>
      <c r="D571" s="87">
        <f>'Lista por etapa'!D427</f>
        <v>0</v>
      </c>
      <c r="E571" s="107">
        <f>IFERROR(VLOOKUP(B571,'Lista por categoria'!B:F,4,0),0)</f>
        <v>0</v>
      </c>
      <c r="F571" s="107">
        <f t="shared" si="56"/>
        <v>0</v>
      </c>
    </row>
    <row r="572" spans="2:6" x14ac:dyDescent="0.25">
      <c r="B572" s="88" t="str">
        <f>'Lista por etapa'!B428</f>
        <v>Argamassa colante AC-I</v>
      </c>
      <c r="C572" s="91" t="str">
        <f>'Lista por etapa'!C428</f>
        <v>Saco 20 kg</v>
      </c>
      <c r="D572" s="87">
        <f>'Lista por etapa'!D428</f>
        <v>0</v>
      </c>
      <c r="E572" s="107">
        <f>IFERROR(VLOOKUP(B572,'Lista por categoria'!B:F,4,0),0)</f>
        <v>0</v>
      </c>
      <c r="F572" s="107">
        <f t="shared" si="56"/>
        <v>0</v>
      </c>
    </row>
    <row r="573" spans="2:6" x14ac:dyDescent="0.25">
      <c r="B573" s="88" t="str">
        <f>'Lista por etapa'!B429</f>
        <v>Rejunte cimentício</v>
      </c>
      <c r="C573" s="91" t="str">
        <f>'Lista por etapa'!C429</f>
        <v>Saco 5 kg</v>
      </c>
      <c r="D573" s="87">
        <f>'Lista por etapa'!D429</f>
        <v>0</v>
      </c>
      <c r="E573" s="107">
        <f>IFERROR(VLOOKUP(B573,'Lista por categoria'!B:F,4,0),0)</f>
        <v>0</v>
      </c>
      <c r="F573" s="107">
        <f t="shared" si="56"/>
        <v>0</v>
      </c>
    </row>
    <row r="574" spans="2:6" x14ac:dyDescent="0.25">
      <c r="B574" s="88" t="str">
        <f>'Lista por etapa'!B430</f>
        <v>Espaçador nivelador</v>
      </c>
      <c r="C574" s="91" t="str">
        <f>'Lista por etapa'!C430</f>
        <v>Pacote 50 pç</v>
      </c>
      <c r="D574" s="87">
        <f>'Lista por etapa'!D430</f>
        <v>0</v>
      </c>
      <c r="E574" s="107">
        <f>IFERROR(VLOOKUP(B574,'Lista por categoria'!B:F,4,0),0)</f>
        <v>0</v>
      </c>
      <c r="F574" s="107">
        <f t="shared" si="56"/>
        <v>0</v>
      </c>
    </row>
    <row r="575" spans="2:6" ht="15.75" x14ac:dyDescent="0.25">
      <c r="B575" s="134" t="str">
        <f>'18. Revestimentos'!B44</f>
        <v>Revestimentos ambiente interno úmido</v>
      </c>
      <c r="C575" s="134"/>
      <c r="D575" s="134"/>
      <c r="E575" s="134"/>
      <c r="F575" s="134"/>
    </row>
    <row r="576" spans="2:6" x14ac:dyDescent="0.25">
      <c r="B576" s="108" t="s">
        <v>5</v>
      </c>
      <c r="C576" s="109" t="s">
        <v>46</v>
      </c>
      <c r="D576" s="122" t="s">
        <v>6</v>
      </c>
      <c r="E576" s="28" t="s">
        <v>1101</v>
      </c>
      <c r="F576" s="28" t="s">
        <v>1102</v>
      </c>
    </row>
    <row r="577" spans="2:6" x14ac:dyDescent="0.25">
      <c r="B577" s="88" t="str">
        <f>'Lista por etapa'!B433</f>
        <v>Azulejos,  x  cm</v>
      </c>
      <c r="C577" s="91" t="str">
        <f>'Lista por etapa'!C433</f>
        <v>m²</v>
      </c>
      <c r="D577" s="87">
        <f>'Lista por etapa'!D433</f>
        <v>0</v>
      </c>
      <c r="E577" s="107">
        <f>IFERROR(VLOOKUP(B577,'Lista por categoria'!B:F,4,0),0)</f>
        <v>0</v>
      </c>
      <c r="F577" s="107">
        <f t="shared" ref="F577:F583" si="57">D577*E577</f>
        <v>0</v>
      </c>
    </row>
    <row r="578" spans="2:6" x14ac:dyDescent="0.25">
      <c r="B578" s="88" t="str">
        <f>'Lista por etapa'!B434</f>
        <v>Porcelanato,  x  cm</v>
      </c>
      <c r="C578" s="91" t="str">
        <f>'Lista por etapa'!C434</f>
        <v>m²</v>
      </c>
      <c r="D578" s="87">
        <f>'Lista por etapa'!D434</f>
        <v>0</v>
      </c>
      <c r="E578" s="107">
        <f>IFERROR(VLOOKUP(B578,'Lista por categoria'!B:F,4,0),0)</f>
        <v>0</v>
      </c>
      <c r="F578" s="107">
        <f t="shared" si="57"/>
        <v>0</v>
      </c>
    </row>
    <row r="579" spans="2:6" x14ac:dyDescent="0.25">
      <c r="B579" s="88" t="str">
        <f>'Lista por etapa'!B435</f>
        <v>Pastilhas,  x  cm</v>
      </c>
      <c r="C579" s="91" t="str">
        <f>'Lista por etapa'!C435</f>
        <v>m²</v>
      </c>
      <c r="D579" s="87">
        <f>'Lista por etapa'!D435</f>
        <v>0</v>
      </c>
      <c r="E579" s="107">
        <f>IFERROR(VLOOKUP(B579,'Lista por categoria'!B:F,4,0),0)</f>
        <v>0</v>
      </c>
      <c r="F579" s="107">
        <f t="shared" si="57"/>
        <v>0</v>
      </c>
    </row>
    <row r="580" spans="2:6" x14ac:dyDescent="0.25">
      <c r="B580" s="88" t="str">
        <f>'Lista por etapa'!B436</f>
        <v>Argamassa colante AC-I</v>
      </c>
      <c r="C580" s="91" t="str">
        <f>'Lista por etapa'!C436</f>
        <v>Saco 20 kg</v>
      </c>
      <c r="D580" s="87">
        <f>'Lista por etapa'!D436</f>
        <v>0</v>
      </c>
      <c r="E580" s="107">
        <f>IFERROR(VLOOKUP(B580,'Lista por categoria'!B:F,4,0),0)</f>
        <v>0</v>
      </c>
      <c r="F580" s="107">
        <f t="shared" si="57"/>
        <v>0</v>
      </c>
    </row>
    <row r="581" spans="2:6" x14ac:dyDescent="0.25">
      <c r="B581" s="88" t="str">
        <f>'Lista por etapa'!B437</f>
        <v>Argamassa colante AC-II</v>
      </c>
      <c r="C581" s="91" t="str">
        <f>'Lista por etapa'!C437</f>
        <v>Saco 20 kg</v>
      </c>
      <c r="D581" s="87">
        <f>'Lista por etapa'!D437</f>
        <v>0</v>
      </c>
      <c r="E581" s="107">
        <f>IFERROR(VLOOKUP(B581,'Lista por categoria'!B:F,4,0),0)</f>
        <v>0</v>
      </c>
      <c r="F581" s="107">
        <f t="shared" si="57"/>
        <v>0</v>
      </c>
    </row>
    <row r="582" spans="2:6" x14ac:dyDescent="0.25">
      <c r="B582" s="88" t="str">
        <f>'Lista por etapa'!B438</f>
        <v>Rejunte acrílico</v>
      </c>
      <c r="C582" s="91" t="str">
        <f>'Lista por etapa'!C438</f>
        <v>Saco 5 kg</v>
      </c>
      <c r="D582" s="87">
        <f>'Lista por etapa'!D438</f>
        <v>0</v>
      </c>
      <c r="E582" s="107">
        <f>IFERROR(VLOOKUP(B582,'Lista por categoria'!B:F,4,0),0)</f>
        <v>0</v>
      </c>
      <c r="F582" s="107">
        <f t="shared" si="57"/>
        <v>0</v>
      </c>
    </row>
    <row r="583" spans="2:6" x14ac:dyDescent="0.25">
      <c r="B583" s="88" t="str">
        <f>'Lista por etapa'!B439</f>
        <v>Espaçador nivelador</v>
      </c>
      <c r="C583" s="91" t="str">
        <f>'Lista por etapa'!C439</f>
        <v>Pacote 50 pç</v>
      </c>
      <c r="D583" s="87">
        <f>'Lista por etapa'!D439</f>
        <v>0</v>
      </c>
      <c r="E583" s="107">
        <f>IFERROR(VLOOKUP(B583,'Lista por categoria'!B:F,4,0),0)</f>
        <v>0</v>
      </c>
      <c r="F583" s="107">
        <f t="shared" si="57"/>
        <v>0</v>
      </c>
    </row>
    <row r="584" spans="2:6" ht="15.75" x14ac:dyDescent="0.25">
      <c r="B584" s="134" t="str">
        <f>'18. Revestimentos'!B84</f>
        <v>Revestimentos ambiente externo seco</v>
      </c>
      <c r="C584" s="134"/>
      <c r="D584" s="134"/>
      <c r="E584" s="134"/>
      <c r="F584" s="134"/>
    </row>
    <row r="585" spans="2:6" x14ac:dyDescent="0.25">
      <c r="B585" s="108" t="s">
        <v>5</v>
      </c>
      <c r="C585" s="109" t="s">
        <v>46</v>
      </c>
      <c r="D585" s="122" t="s">
        <v>6</v>
      </c>
      <c r="E585" s="28" t="s">
        <v>1101</v>
      </c>
      <c r="F585" s="28" t="s">
        <v>1102</v>
      </c>
    </row>
    <row r="586" spans="2:6" x14ac:dyDescent="0.25">
      <c r="B586" s="88" t="str">
        <f>'Lista por etapa'!B442</f>
        <v>Azulejos,  x  cm</v>
      </c>
      <c r="C586" s="91" t="str">
        <f>'Lista por etapa'!C442</f>
        <v>m²</v>
      </c>
      <c r="D586" s="87">
        <f>'Lista por etapa'!D442</f>
        <v>0</v>
      </c>
      <c r="E586" s="107">
        <f>IFERROR(VLOOKUP(B586,'Lista por categoria'!B:F,4,0),0)</f>
        <v>0</v>
      </c>
      <c r="F586" s="107">
        <f t="shared" ref="F586:F591" si="58">D586*E586</f>
        <v>0</v>
      </c>
    </row>
    <row r="587" spans="2:6" x14ac:dyDescent="0.25">
      <c r="B587" s="88" t="str">
        <f>'Lista por etapa'!B443</f>
        <v>Porcelanato,  x  cm</v>
      </c>
      <c r="C587" s="91" t="str">
        <f>'Lista por etapa'!C443</f>
        <v>m²</v>
      </c>
      <c r="D587" s="87">
        <f>'Lista por etapa'!D443</f>
        <v>0</v>
      </c>
      <c r="E587" s="107">
        <f>IFERROR(VLOOKUP(B587,'Lista por categoria'!B:F,4,0),0)</f>
        <v>0</v>
      </c>
      <c r="F587" s="107">
        <f t="shared" si="58"/>
        <v>0</v>
      </c>
    </row>
    <row r="588" spans="2:6" x14ac:dyDescent="0.25">
      <c r="B588" s="88" t="str">
        <f>'Lista por etapa'!B444</f>
        <v>Pastilhas,  x  cm</v>
      </c>
      <c r="C588" s="91" t="str">
        <f>'Lista por etapa'!C444</f>
        <v>m²</v>
      </c>
      <c r="D588" s="87">
        <f>'Lista por etapa'!D444</f>
        <v>0</v>
      </c>
      <c r="E588" s="107">
        <f>IFERROR(VLOOKUP(B588,'Lista por categoria'!B:F,4,0),0)</f>
        <v>0</v>
      </c>
      <c r="F588" s="107">
        <f t="shared" si="58"/>
        <v>0</v>
      </c>
    </row>
    <row r="589" spans="2:6" x14ac:dyDescent="0.25">
      <c r="B589" s="88" t="str">
        <f>'Lista por etapa'!B445</f>
        <v>Argamassa colante AC-II</v>
      </c>
      <c r="C589" s="91" t="str">
        <f>'Lista por etapa'!C445</f>
        <v>Saco 20 kg</v>
      </c>
      <c r="D589" s="87">
        <f>'Lista por etapa'!D445</f>
        <v>0</v>
      </c>
      <c r="E589" s="107">
        <f>IFERROR(VLOOKUP(B589,'Lista por categoria'!B:F,4,0),0)</f>
        <v>0</v>
      </c>
      <c r="F589" s="107">
        <f t="shared" si="58"/>
        <v>0</v>
      </c>
    </row>
    <row r="590" spans="2:6" x14ac:dyDescent="0.25">
      <c r="B590" s="88" t="str">
        <f>'Lista por etapa'!B446</f>
        <v>Rejunte acrílico</v>
      </c>
      <c r="C590" s="91" t="str">
        <f>'Lista por etapa'!C446</f>
        <v>Saco 5 kg</v>
      </c>
      <c r="D590" s="87">
        <f>'Lista por etapa'!D446</f>
        <v>0</v>
      </c>
      <c r="E590" s="107">
        <f>IFERROR(VLOOKUP(B590,'Lista por categoria'!B:F,4,0),0)</f>
        <v>0</v>
      </c>
      <c r="F590" s="107">
        <f t="shared" si="58"/>
        <v>0</v>
      </c>
    </row>
    <row r="591" spans="2:6" x14ac:dyDescent="0.25">
      <c r="B591" s="88" t="str">
        <f>'Lista por etapa'!B447</f>
        <v>Espaçador nivelador</v>
      </c>
      <c r="C591" s="91" t="str">
        <f>'Lista por etapa'!C447</f>
        <v>Pacote 50 pç</v>
      </c>
      <c r="D591" s="87">
        <f>'Lista por etapa'!D447</f>
        <v>0</v>
      </c>
      <c r="E591" s="107">
        <f>IFERROR(VLOOKUP(B591,'Lista por categoria'!B:F,4,0),0)</f>
        <v>0</v>
      </c>
      <c r="F591" s="107">
        <f t="shared" si="58"/>
        <v>0</v>
      </c>
    </row>
    <row r="592" spans="2:6" ht="15.75" x14ac:dyDescent="0.25">
      <c r="B592" s="134" t="str">
        <f>'18. Revestimentos'!B123</f>
        <v>Revestimentos ambiente externo úmido</v>
      </c>
      <c r="C592" s="134"/>
      <c r="D592" s="134"/>
      <c r="E592" s="134"/>
      <c r="F592" s="134"/>
    </row>
    <row r="593" spans="2:6" x14ac:dyDescent="0.25">
      <c r="B593" s="108" t="s">
        <v>5</v>
      </c>
      <c r="C593" s="109" t="s">
        <v>46</v>
      </c>
      <c r="D593" s="122" t="s">
        <v>6</v>
      </c>
      <c r="E593" s="28" t="s">
        <v>1101</v>
      </c>
      <c r="F593" s="28" t="s">
        <v>1102</v>
      </c>
    </row>
    <row r="594" spans="2:6" x14ac:dyDescent="0.25">
      <c r="B594" s="88" t="str">
        <f>'Lista por etapa'!B450</f>
        <v>Azulejos,  x  cm</v>
      </c>
      <c r="C594" s="91" t="str">
        <f>'Lista por etapa'!C450</f>
        <v>m²</v>
      </c>
      <c r="D594" s="87">
        <f>'Lista por etapa'!D450</f>
        <v>0</v>
      </c>
      <c r="E594" s="107">
        <f>IFERROR(VLOOKUP(B594,'Lista por categoria'!B:F,4,0),0)</f>
        <v>0</v>
      </c>
      <c r="F594" s="107">
        <f t="shared" ref="F594:F600" si="59">D594*E594</f>
        <v>0</v>
      </c>
    </row>
    <row r="595" spans="2:6" x14ac:dyDescent="0.25">
      <c r="B595" s="88" t="str">
        <f>'Lista por etapa'!B451</f>
        <v>Porcelanato,  x  cm</v>
      </c>
      <c r="C595" s="91" t="str">
        <f>'Lista por etapa'!C451</f>
        <v>m²</v>
      </c>
      <c r="D595" s="87">
        <f>'Lista por etapa'!D451</f>
        <v>0</v>
      </c>
      <c r="E595" s="107">
        <f>IFERROR(VLOOKUP(B595,'Lista por categoria'!B:F,4,0),0)</f>
        <v>0</v>
      </c>
      <c r="F595" s="107">
        <f t="shared" si="59"/>
        <v>0</v>
      </c>
    </row>
    <row r="596" spans="2:6" x14ac:dyDescent="0.25">
      <c r="B596" s="88" t="str">
        <f>'Lista por etapa'!B452</f>
        <v>Pastilhas,  x  cm</v>
      </c>
      <c r="C596" s="91" t="str">
        <f>'Lista por etapa'!C452</f>
        <v>m²</v>
      </c>
      <c r="D596" s="87">
        <f>'Lista por etapa'!D452</f>
        <v>0</v>
      </c>
      <c r="E596" s="107">
        <f>IFERROR(VLOOKUP(B596,'Lista por categoria'!B:F,4,0),0)</f>
        <v>0</v>
      </c>
      <c r="F596" s="107">
        <f t="shared" si="59"/>
        <v>0</v>
      </c>
    </row>
    <row r="597" spans="2:6" x14ac:dyDescent="0.25">
      <c r="B597" s="88" t="str">
        <f>'Lista por etapa'!B453</f>
        <v>Argamassa colante AC-II</v>
      </c>
      <c r="C597" s="91" t="str">
        <f>'Lista por etapa'!C453</f>
        <v>Saco 20 kg</v>
      </c>
      <c r="D597" s="87">
        <f>'Lista por etapa'!D453</f>
        <v>0</v>
      </c>
      <c r="E597" s="107">
        <f>IFERROR(VLOOKUP(B597,'Lista por categoria'!B:F,4,0),0)</f>
        <v>0</v>
      </c>
      <c r="F597" s="107">
        <f t="shared" si="59"/>
        <v>0</v>
      </c>
    </row>
    <row r="598" spans="2:6" x14ac:dyDescent="0.25">
      <c r="B598" s="88" t="str">
        <f>'Lista por etapa'!B454</f>
        <v>Argamassa colante AC-III</v>
      </c>
      <c r="C598" s="91" t="str">
        <f>'Lista por etapa'!C454</f>
        <v>Saco 20 kg</v>
      </c>
      <c r="D598" s="87">
        <f>'Lista por etapa'!D454</f>
        <v>0</v>
      </c>
      <c r="E598" s="107">
        <f>IFERROR(VLOOKUP(B598,'Lista por categoria'!B:F,4,0),0)</f>
        <v>0</v>
      </c>
      <c r="F598" s="107">
        <f t="shared" si="59"/>
        <v>0</v>
      </c>
    </row>
    <row r="599" spans="2:6" x14ac:dyDescent="0.25">
      <c r="B599" s="88" t="str">
        <f>'Lista por etapa'!B455</f>
        <v>Rejunte epóxi</v>
      </c>
      <c r="C599" s="91" t="str">
        <f>'Lista por etapa'!C455</f>
        <v>Saco 5 kg</v>
      </c>
      <c r="D599" s="87">
        <f>'Lista por etapa'!D455</f>
        <v>0</v>
      </c>
      <c r="E599" s="107">
        <f>IFERROR(VLOOKUP(B599,'Lista por categoria'!B:F,4,0),0)</f>
        <v>0</v>
      </c>
      <c r="F599" s="107">
        <f t="shared" si="59"/>
        <v>0</v>
      </c>
    </row>
    <row r="600" spans="2:6" x14ac:dyDescent="0.25">
      <c r="B600" s="88" t="str">
        <f>'Lista por etapa'!B456</f>
        <v>Espaçador nivelador</v>
      </c>
      <c r="C600" s="91" t="str">
        <f>'Lista por etapa'!C456</f>
        <v>Pacote 50 pç</v>
      </c>
      <c r="D600" s="87">
        <f>'Lista por etapa'!D456</f>
        <v>0</v>
      </c>
      <c r="E600" s="107">
        <f>IFERROR(VLOOKUP(B600,'Lista por categoria'!B:F,4,0),0)</f>
        <v>0</v>
      </c>
      <c r="F600" s="107">
        <f t="shared" si="59"/>
        <v>0</v>
      </c>
    </row>
    <row r="601" spans="2:6" x14ac:dyDescent="0.25">
      <c r="B601" s="116" t="s">
        <v>1199</v>
      </c>
      <c r="C601" s="117" t="s">
        <v>46</v>
      </c>
      <c r="D601" s="120" t="s">
        <v>6</v>
      </c>
      <c r="E601" s="118" t="s">
        <v>1101</v>
      </c>
      <c r="F601" s="118" t="s">
        <v>1102</v>
      </c>
    </row>
    <row r="602" spans="2:6" x14ac:dyDescent="0.25">
      <c r="B602" s="88" t="s">
        <v>1205</v>
      </c>
      <c r="C602" s="91" t="s">
        <v>1204</v>
      </c>
      <c r="D602" s="87">
        <f>'Mão de Obra por etapa'!D171</f>
        <v>0</v>
      </c>
      <c r="E602" s="107">
        <f>'Mão de Obra por etapa'!E171</f>
        <v>0</v>
      </c>
      <c r="F602" s="107">
        <f>'Mão de Obra por etapa'!F171</f>
        <v>0</v>
      </c>
    </row>
    <row r="603" spans="2:6" x14ac:dyDescent="0.25">
      <c r="B603" s="88" t="s">
        <v>1200</v>
      </c>
      <c r="C603" s="91" t="s">
        <v>1204</v>
      </c>
      <c r="D603" s="87">
        <f>'Mão de Obra por etapa'!D172</f>
        <v>0</v>
      </c>
      <c r="E603" s="107">
        <f>'Mão de Obra por etapa'!E172</f>
        <v>0</v>
      </c>
      <c r="F603" s="107">
        <f>'Mão de Obra por etapa'!F172</f>
        <v>0</v>
      </c>
    </row>
    <row r="604" spans="2:6" x14ac:dyDescent="0.25">
      <c r="B604" s="88" t="s">
        <v>1206</v>
      </c>
      <c r="C604" s="91" t="s">
        <v>1204</v>
      </c>
      <c r="D604" s="87">
        <f>'Mão de Obra por etapa'!D173</f>
        <v>0</v>
      </c>
      <c r="E604" s="107">
        <f>'Mão de Obra por etapa'!E173</f>
        <v>0</v>
      </c>
      <c r="F604" s="107">
        <f>'Mão de Obra por etapa'!F173</f>
        <v>0</v>
      </c>
    </row>
    <row r="605" spans="2:6" x14ac:dyDescent="0.25">
      <c r="B605" s="88" t="s">
        <v>1201</v>
      </c>
      <c r="C605" s="91" t="s">
        <v>1204</v>
      </c>
      <c r="D605" s="87">
        <f>'Mão de Obra por etapa'!D174</f>
        <v>0</v>
      </c>
      <c r="E605" s="107">
        <f>'Mão de Obra por etapa'!E174</f>
        <v>0</v>
      </c>
      <c r="F605" s="107">
        <f>'Mão de Obra por etapa'!F174</f>
        <v>0</v>
      </c>
    </row>
    <row r="606" spans="2:6" x14ac:dyDescent="0.25">
      <c r="B606" s="88" t="s">
        <v>1202</v>
      </c>
      <c r="C606" s="91" t="s">
        <v>1204</v>
      </c>
      <c r="D606" s="87">
        <f>'Mão de Obra por etapa'!D175</f>
        <v>0</v>
      </c>
      <c r="E606" s="107">
        <f>'Mão de Obra por etapa'!E175</f>
        <v>0</v>
      </c>
      <c r="F606" s="107">
        <f>'Mão de Obra por etapa'!F175</f>
        <v>0</v>
      </c>
    </row>
    <row r="607" spans="2:6" x14ac:dyDescent="0.25">
      <c r="B607" s="88" t="s">
        <v>1203</v>
      </c>
      <c r="C607" s="91" t="s">
        <v>1204</v>
      </c>
      <c r="D607" s="87">
        <f>'Mão de Obra por etapa'!D176</f>
        <v>0</v>
      </c>
      <c r="E607" s="107">
        <f>'Mão de Obra por etapa'!E176</f>
        <v>0</v>
      </c>
      <c r="F607" s="107">
        <f>'Mão de Obra por etapa'!F176</f>
        <v>0</v>
      </c>
    </row>
    <row r="608" spans="2:6" x14ac:dyDescent="0.25">
      <c r="B608" s="142" t="s">
        <v>1207</v>
      </c>
      <c r="C608" s="143"/>
      <c r="D608" s="143"/>
      <c r="E608" s="144"/>
      <c r="F608" s="115">
        <f>SUM(F569:F574,F577:F583,F586:F591,F594:F600,F602:F607)</f>
        <v>0</v>
      </c>
    </row>
    <row r="609" spans="2:6" x14ac:dyDescent="0.25">
      <c r="B609" s="110"/>
      <c r="C609" s="110"/>
      <c r="D609" s="121"/>
      <c r="E609" s="110"/>
      <c r="F609" s="110"/>
    </row>
    <row r="610" spans="2:6" ht="18.75" x14ac:dyDescent="0.3">
      <c r="B610" s="137" t="str">
        <f>'19. Muro com Tijolos'!B2:D2</f>
        <v>Muro com Tijolos Cerâmicos</v>
      </c>
      <c r="C610" s="137"/>
      <c r="D610" s="137"/>
      <c r="E610" s="137"/>
      <c r="F610" s="137"/>
    </row>
    <row r="611" spans="2:6" ht="15.75" x14ac:dyDescent="0.25">
      <c r="B611" s="134" t="str">
        <f>'19. Muro com Tijolos'!B5:D5</f>
        <v>Fundação de estacas do muro</v>
      </c>
      <c r="C611" s="134"/>
      <c r="D611" s="134"/>
      <c r="E611" s="134"/>
      <c r="F611" s="134"/>
    </row>
    <row r="612" spans="2:6" x14ac:dyDescent="0.25">
      <c r="B612" s="108" t="s">
        <v>5</v>
      </c>
      <c r="C612" s="109" t="s">
        <v>46</v>
      </c>
      <c r="D612" s="122" t="s">
        <v>6</v>
      </c>
      <c r="E612" s="28" t="s">
        <v>1101</v>
      </c>
      <c r="F612" s="28" t="s">
        <v>1102</v>
      </c>
    </row>
    <row r="613" spans="2:6" x14ac:dyDescent="0.25">
      <c r="B613" s="88" t="str">
        <f>'Lista por etapa'!B461</f>
        <v>Concreto usinado para estaca</v>
      </c>
      <c r="C613" s="91" t="str">
        <f>'Lista por etapa'!C461</f>
        <v>m3</v>
      </c>
      <c r="D613" s="87">
        <f>'Lista por etapa'!D461</f>
        <v>0</v>
      </c>
      <c r="E613" s="107">
        <f>IFERROR(VLOOKUP(B613,'Lista por categoria'!B:F,4,0),0)</f>
        <v>0</v>
      </c>
      <c r="F613" s="107">
        <f t="shared" ref="F613:F620" si="60">D613*E613</f>
        <v>0</v>
      </c>
    </row>
    <row r="614" spans="2:6" x14ac:dyDescent="0.25">
      <c r="B614" s="88" t="str">
        <f>'Lista por etapa'!B462</f>
        <v>Cimento CP III</v>
      </c>
      <c r="C614" s="91" t="str">
        <f>'Lista por etapa'!C462</f>
        <v>Saco 50kg</v>
      </c>
      <c r="D614" s="87">
        <f>'Lista por etapa'!D462</f>
        <v>0</v>
      </c>
      <c r="E614" s="107">
        <f>IFERROR(VLOOKUP(B614,'Lista por categoria'!B:F,4,0),0)</f>
        <v>0</v>
      </c>
      <c r="F614" s="107">
        <f t="shared" si="60"/>
        <v>0</v>
      </c>
    </row>
    <row r="615" spans="2:6" x14ac:dyDescent="0.25">
      <c r="B615" s="88" t="str">
        <f>'Lista por etapa'!B463</f>
        <v>Areia média</v>
      </c>
      <c r="C615" s="91" t="str">
        <f>'Lista por etapa'!C463</f>
        <v>m3</v>
      </c>
      <c r="D615" s="87">
        <f>'Lista por etapa'!D463</f>
        <v>0</v>
      </c>
      <c r="E615" s="107">
        <f>IFERROR(VLOOKUP(B615,'Lista por categoria'!B:F,4,0),0)</f>
        <v>0</v>
      </c>
      <c r="F615" s="107">
        <f t="shared" si="60"/>
        <v>0</v>
      </c>
    </row>
    <row r="616" spans="2:6" x14ac:dyDescent="0.25">
      <c r="B616" s="88" t="str">
        <f>'Lista por etapa'!B464</f>
        <v>Pedra brita 1</v>
      </c>
      <c r="C616" s="91" t="str">
        <f>'Lista por etapa'!C464</f>
        <v>m3</v>
      </c>
      <c r="D616" s="87">
        <f>'Lista por etapa'!D464</f>
        <v>0</v>
      </c>
      <c r="E616" s="107">
        <f>IFERROR(VLOOKUP(B616,'Lista por categoria'!B:F,4,0),0)</f>
        <v>0</v>
      </c>
      <c r="F616" s="107">
        <f t="shared" si="60"/>
        <v>0</v>
      </c>
    </row>
    <row r="617" spans="2:6" x14ac:dyDescent="0.25">
      <c r="B617" s="88" t="str">
        <f>'Lista por etapa'!B465</f>
        <v>Pedra brita 2 para lastro</v>
      </c>
      <c r="C617" s="91" t="str">
        <f>'Lista por etapa'!C465</f>
        <v>m3</v>
      </c>
      <c r="D617" s="87">
        <f>'Lista por etapa'!D465</f>
        <v>0</v>
      </c>
      <c r="E617" s="107">
        <f>IFERROR(VLOOKUP(B617,'Lista por categoria'!B:F,4,0),0)</f>
        <v>0</v>
      </c>
      <c r="F617" s="107">
        <f t="shared" si="60"/>
        <v>0</v>
      </c>
    </row>
    <row r="618" spans="2:6" x14ac:dyDescent="0.25">
      <c r="B618" s="88" t="str">
        <f>'Lista por etapa'!B466</f>
        <v xml:space="preserve">Barra de aço CA-25, </v>
      </c>
      <c r="C618" s="91" t="str">
        <f>'Lista por etapa'!C466</f>
        <v>Barra 12 m</v>
      </c>
      <c r="D618" s="87">
        <f>'Lista por etapa'!D466</f>
        <v>0</v>
      </c>
      <c r="E618" s="107">
        <f>IFERROR(VLOOKUP(B618,'Lista por categoria'!B:F,4,0),0)</f>
        <v>0</v>
      </c>
      <c r="F618" s="107">
        <f t="shared" si="60"/>
        <v>0</v>
      </c>
    </row>
    <row r="619" spans="2:6" x14ac:dyDescent="0.25">
      <c r="B619" s="88" t="str">
        <f>'Lista por etapa'!B467</f>
        <v>Arame recozido BWG 18 (1,24mm)</v>
      </c>
      <c r="C619" s="91" t="str">
        <f>'Lista por etapa'!C467</f>
        <v>Rolo 1 kg</v>
      </c>
      <c r="D619" s="87">
        <f>'Lista por etapa'!D467</f>
        <v>0</v>
      </c>
      <c r="E619" s="107">
        <f>IFERROR(VLOOKUP(B619,'Lista por categoria'!B:F,4,0),0)</f>
        <v>0</v>
      </c>
      <c r="F619" s="107">
        <f t="shared" si="60"/>
        <v>0</v>
      </c>
    </row>
    <row r="620" spans="2:6" x14ac:dyDescent="0.25">
      <c r="B620" s="88" t="str">
        <f>'Lista por etapa'!B468</f>
        <v>Espaçadores de ferragem</v>
      </c>
      <c r="C620" s="91" t="str">
        <f>'Lista por etapa'!C468</f>
        <v>Peça</v>
      </c>
      <c r="D620" s="87">
        <f>'Lista por etapa'!D468</f>
        <v>0</v>
      </c>
      <c r="E620" s="107">
        <f>IFERROR(VLOOKUP(B620,'Lista por categoria'!B:F,4,0),0)</f>
        <v>0</v>
      </c>
      <c r="F620" s="107">
        <f t="shared" si="60"/>
        <v>0</v>
      </c>
    </row>
    <row r="621" spans="2:6" ht="15.75" x14ac:dyDescent="0.25">
      <c r="B621" s="134" t="str">
        <f>'19. Muro com Tijolos'!B77:D77</f>
        <v>Concreto da viga baldrame do muro</v>
      </c>
      <c r="C621" s="134"/>
      <c r="D621" s="134"/>
      <c r="E621" s="134"/>
      <c r="F621" s="134"/>
    </row>
    <row r="622" spans="2:6" x14ac:dyDescent="0.25">
      <c r="B622" s="108" t="s">
        <v>5</v>
      </c>
      <c r="C622" s="109" t="s">
        <v>46</v>
      </c>
      <c r="D622" s="122" t="s">
        <v>6</v>
      </c>
      <c r="E622" s="28" t="s">
        <v>1101</v>
      </c>
      <c r="F622" s="28" t="s">
        <v>1102</v>
      </c>
    </row>
    <row r="623" spans="2:6" x14ac:dyDescent="0.25">
      <c r="B623" s="88" t="str">
        <f>'Lista por etapa'!B471</f>
        <v>Concreto usinado para vigas baldrames</v>
      </c>
      <c r="C623" s="91" t="str">
        <f>'Lista por etapa'!C471</f>
        <v>m3</v>
      </c>
      <c r="D623" s="87">
        <f>'Lista por etapa'!D471</f>
        <v>0</v>
      </c>
      <c r="E623" s="107">
        <f>IFERROR(VLOOKUP(B623,'Lista por categoria'!B:F,4,0),0)</f>
        <v>0</v>
      </c>
      <c r="F623" s="107">
        <f t="shared" ref="F623:F626" si="61">D623*E623</f>
        <v>0</v>
      </c>
    </row>
    <row r="624" spans="2:6" x14ac:dyDescent="0.25">
      <c r="B624" s="88" t="str">
        <f>'Lista por etapa'!B472</f>
        <v>Cimento CP III</v>
      </c>
      <c r="C624" s="91" t="str">
        <f>'Lista por etapa'!C472</f>
        <v>Saco 50kg</v>
      </c>
      <c r="D624" s="87">
        <f>'Lista por etapa'!D472</f>
        <v>0</v>
      </c>
      <c r="E624" s="107">
        <f>IFERROR(VLOOKUP(B624,'Lista por categoria'!B:F,4,0),0)</f>
        <v>0</v>
      </c>
      <c r="F624" s="107">
        <f t="shared" si="61"/>
        <v>0</v>
      </c>
    </row>
    <row r="625" spans="2:6" x14ac:dyDescent="0.25">
      <c r="B625" s="88" t="str">
        <f>'Lista por etapa'!B473</f>
        <v>Areia média</v>
      </c>
      <c r="C625" s="91" t="str">
        <f>'Lista por etapa'!C473</f>
        <v>m3</v>
      </c>
      <c r="D625" s="87">
        <f>'Lista por etapa'!D473</f>
        <v>0</v>
      </c>
      <c r="E625" s="107">
        <f>IFERROR(VLOOKUP(B625,'Lista por categoria'!B:F,4,0),0)</f>
        <v>0</v>
      </c>
      <c r="F625" s="107">
        <f t="shared" si="61"/>
        <v>0</v>
      </c>
    </row>
    <row r="626" spans="2:6" x14ac:dyDescent="0.25">
      <c r="B626" s="88" t="str">
        <f>'Lista por etapa'!B474</f>
        <v>Pedra brita 1</v>
      </c>
      <c r="C626" s="91" t="str">
        <f>'Lista por etapa'!C474</f>
        <v>m3</v>
      </c>
      <c r="D626" s="87">
        <f>'Lista por etapa'!D474</f>
        <v>0</v>
      </c>
      <c r="E626" s="107">
        <f>IFERROR(VLOOKUP(B626,'Lista por categoria'!B:F,4,0),0)</f>
        <v>0</v>
      </c>
      <c r="F626" s="107">
        <f t="shared" si="61"/>
        <v>0</v>
      </c>
    </row>
    <row r="627" spans="2:6" ht="15.75" x14ac:dyDescent="0.25">
      <c r="B627" s="134" t="str">
        <f>'19. Muro com Tijolos'!B120:D120</f>
        <v>Concreto magro usado no lastro</v>
      </c>
      <c r="C627" s="134"/>
      <c r="D627" s="134"/>
      <c r="E627" s="134"/>
      <c r="F627" s="134"/>
    </row>
    <row r="628" spans="2:6" x14ac:dyDescent="0.25">
      <c r="B628" s="108" t="s">
        <v>5</v>
      </c>
      <c r="C628" s="109" t="s">
        <v>46</v>
      </c>
      <c r="D628" s="122" t="s">
        <v>6</v>
      </c>
      <c r="E628" s="28" t="s">
        <v>1101</v>
      </c>
      <c r="F628" s="28" t="s">
        <v>1102</v>
      </c>
    </row>
    <row r="629" spans="2:6" x14ac:dyDescent="0.25">
      <c r="B629" s="88" t="str">
        <f>'Lista por etapa'!B477</f>
        <v>Cimento CP III</v>
      </c>
      <c r="C629" s="91" t="str">
        <f>'Lista por etapa'!C477</f>
        <v>Saco 50kg</v>
      </c>
      <c r="D629" s="87">
        <f>'Lista por etapa'!D477</f>
        <v>0</v>
      </c>
      <c r="E629" s="107">
        <f>IFERROR(VLOOKUP(B629,'Lista por categoria'!B:F,4,0),0)</f>
        <v>0</v>
      </c>
      <c r="F629" s="107">
        <f t="shared" ref="F629:F631" si="62">D629*E629</f>
        <v>0</v>
      </c>
    </row>
    <row r="630" spans="2:6" x14ac:dyDescent="0.25">
      <c r="B630" s="88" t="str">
        <f>'Lista por etapa'!B478</f>
        <v>Areia média</v>
      </c>
      <c r="C630" s="91" t="str">
        <f>'Lista por etapa'!C478</f>
        <v>m3</v>
      </c>
      <c r="D630" s="87">
        <f>'Lista por etapa'!D478</f>
        <v>0</v>
      </c>
      <c r="E630" s="107">
        <f>IFERROR(VLOOKUP(B630,'Lista por categoria'!B:F,4,0),0)</f>
        <v>0</v>
      </c>
      <c r="F630" s="107">
        <f t="shared" si="62"/>
        <v>0</v>
      </c>
    </row>
    <row r="631" spans="2:6" x14ac:dyDescent="0.25">
      <c r="B631" s="88" t="str">
        <f>'Lista por etapa'!B479</f>
        <v>Pedra brita 1</v>
      </c>
      <c r="C631" s="91" t="str">
        <f>'Lista por etapa'!C479</f>
        <v>m3</v>
      </c>
      <c r="D631" s="87">
        <f>'Lista por etapa'!D479</f>
        <v>0</v>
      </c>
      <c r="E631" s="107">
        <f>IFERROR(VLOOKUP(B631,'Lista por categoria'!B:F,4,0),0)</f>
        <v>0</v>
      </c>
      <c r="F631" s="107">
        <f t="shared" si="62"/>
        <v>0</v>
      </c>
    </row>
    <row r="632" spans="2:6" ht="15.75" x14ac:dyDescent="0.25">
      <c r="B632" s="134" t="str">
        <f>'19. Muro com Tijolos'!B142:D142</f>
        <v>Armações de aço da viga baldrame do muro</v>
      </c>
      <c r="C632" s="134"/>
      <c r="D632" s="134"/>
      <c r="E632" s="134"/>
      <c r="F632" s="134"/>
    </row>
    <row r="633" spans="2:6" x14ac:dyDescent="0.25">
      <c r="B633" s="108" t="s">
        <v>5</v>
      </c>
      <c r="C633" s="109" t="s">
        <v>46</v>
      </c>
      <c r="D633" s="122" t="s">
        <v>6</v>
      </c>
      <c r="E633" s="28" t="s">
        <v>1101</v>
      </c>
      <c r="F633" s="28" t="s">
        <v>1102</v>
      </c>
    </row>
    <row r="634" spans="2:6" x14ac:dyDescent="0.25">
      <c r="B634" s="88" t="str">
        <f>'Lista por etapa'!B482</f>
        <v>Barra de aço CA-25, 10mm (⅜'')</v>
      </c>
      <c r="C634" s="91" t="str">
        <f>'Lista por etapa'!C482</f>
        <v>Barra 12 m</v>
      </c>
      <c r="D634" s="87">
        <f>'Lista por etapa'!D482</f>
        <v>0</v>
      </c>
      <c r="E634" s="107">
        <f>IFERROR(VLOOKUP(B634,'Lista por categoria'!B:F,4,0),0)</f>
        <v>0</v>
      </c>
      <c r="F634" s="107">
        <f t="shared" ref="F634:F637" si="63">D634*E634</f>
        <v>0</v>
      </c>
    </row>
    <row r="635" spans="2:6" x14ac:dyDescent="0.25">
      <c r="B635" s="88" t="str">
        <f>'Lista por etapa'!B483</f>
        <v>Barra de aço CA-60, 4,2mm</v>
      </c>
      <c r="C635" s="91" t="str">
        <f>'Lista por etapa'!C483</f>
        <v>Barra 12 m</v>
      </c>
      <c r="D635" s="87">
        <f>'Lista por etapa'!D483</f>
        <v>0</v>
      </c>
      <c r="E635" s="107">
        <f>IFERROR(VLOOKUP(B635,'Lista por categoria'!B:F,4,0),0)</f>
        <v>0</v>
      </c>
      <c r="F635" s="107">
        <f t="shared" si="63"/>
        <v>0</v>
      </c>
    </row>
    <row r="636" spans="2:6" x14ac:dyDescent="0.25">
      <c r="B636" s="88" t="str">
        <f>'Lista por etapa'!B484</f>
        <v>Arame recozido BWG 18 (1,24mm)</v>
      </c>
      <c r="C636" s="91" t="str">
        <f>'Lista por etapa'!C484</f>
        <v>Rolo 1 kg</v>
      </c>
      <c r="D636" s="87">
        <f>'Lista por etapa'!D484</f>
        <v>0</v>
      </c>
      <c r="E636" s="107">
        <f>IFERROR(VLOOKUP(B636,'Lista por categoria'!B:F,4,0),0)</f>
        <v>0</v>
      </c>
      <c r="F636" s="107">
        <f t="shared" si="63"/>
        <v>0</v>
      </c>
    </row>
    <row r="637" spans="2:6" x14ac:dyDescent="0.25">
      <c r="B637" s="88" t="str">
        <f>'Lista por etapa'!B485</f>
        <v>Espaçadores de ferragem</v>
      </c>
      <c r="C637" s="91" t="str">
        <f>'Lista por etapa'!C485</f>
        <v>Peça</v>
      </c>
      <c r="D637" s="87">
        <f>'Lista por etapa'!D485</f>
        <v>0</v>
      </c>
      <c r="E637" s="107">
        <f>IFERROR(VLOOKUP(B637,'Lista por categoria'!B:F,4,0),0)</f>
        <v>0</v>
      </c>
      <c r="F637" s="107">
        <f t="shared" si="63"/>
        <v>0</v>
      </c>
    </row>
    <row r="638" spans="2:6" ht="15.75" x14ac:dyDescent="0.25">
      <c r="B638" s="134" t="str">
        <f>'19. Muro com Tijolos'!B191:D191</f>
        <v>Armações de aço das colunas de arranque</v>
      </c>
      <c r="C638" s="134"/>
      <c r="D638" s="134"/>
      <c r="E638" s="134"/>
      <c r="F638" s="134"/>
    </row>
    <row r="639" spans="2:6" x14ac:dyDescent="0.25">
      <c r="B639" s="108" t="s">
        <v>5</v>
      </c>
      <c r="C639" s="109" t="s">
        <v>46</v>
      </c>
      <c r="D639" s="122" t="s">
        <v>6</v>
      </c>
      <c r="E639" s="28" t="s">
        <v>1101</v>
      </c>
      <c r="F639" s="28" t="s">
        <v>1102</v>
      </c>
    </row>
    <row r="640" spans="2:6" x14ac:dyDescent="0.25">
      <c r="B640" s="88" t="str">
        <f>'Lista por etapa'!B488</f>
        <v>Barra de aço CA-25, 10mm (⅜'')</v>
      </c>
      <c r="C640" s="91" t="str">
        <f>'Lista por etapa'!C488</f>
        <v>Barra 12 m</v>
      </c>
      <c r="D640" s="87">
        <f>'Lista por etapa'!D488</f>
        <v>0</v>
      </c>
      <c r="E640" s="107">
        <f>IFERROR(VLOOKUP(B640,'Lista por categoria'!B:F,4,0),0)</f>
        <v>0</v>
      </c>
      <c r="F640" s="107">
        <f t="shared" ref="F640:F641" si="64">D640*E640</f>
        <v>0</v>
      </c>
    </row>
    <row r="641" spans="2:6" x14ac:dyDescent="0.25">
      <c r="B641" s="88" t="str">
        <f>'Lista por etapa'!B489</f>
        <v>Barra de aço CA-60, 4,2mm</v>
      </c>
      <c r="C641" s="91" t="str">
        <f>'Lista por etapa'!C489</f>
        <v>Barra 12 m</v>
      </c>
      <c r="D641" s="87">
        <f>'Lista por etapa'!D489</f>
        <v>0</v>
      </c>
      <c r="E641" s="107">
        <f>IFERROR(VLOOKUP(B641,'Lista por categoria'!B:F,4,0),0)</f>
        <v>0</v>
      </c>
      <c r="F641" s="107">
        <f t="shared" si="64"/>
        <v>0</v>
      </c>
    </row>
    <row r="642" spans="2:6" ht="15.75" x14ac:dyDescent="0.25">
      <c r="B642" s="134" t="str">
        <f>'19. Muro com Tijolos'!B235:D235</f>
        <v>Fôrmas de madeira da viga baldrame do muro</v>
      </c>
      <c r="C642" s="134"/>
      <c r="D642" s="134"/>
      <c r="E642" s="134"/>
      <c r="F642" s="134"/>
    </row>
    <row r="643" spans="2:6" x14ac:dyDescent="0.25">
      <c r="B643" s="108" t="s">
        <v>5</v>
      </c>
      <c r="C643" s="109" t="s">
        <v>46</v>
      </c>
      <c r="D643" s="122" t="s">
        <v>6</v>
      </c>
      <c r="E643" s="28" t="s">
        <v>1101</v>
      </c>
      <c r="F643" s="28" t="s">
        <v>1102</v>
      </c>
    </row>
    <row r="644" spans="2:6" x14ac:dyDescent="0.25">
      <c r="B644" s="88" t="str">
        <f>'Lista por etapa'!B492</f>
        <v>Tábua madeira 2,3 x 30 cm bruto</v>
      </c>
      <c r="C644" s="91" t="str">
        <f>'Lista por etapa'!C492</f>
        <v>Peça 3,0 m</v>
      </c>
      <c r="D644" s="87">
        <f>'Lista por etapa'!D492</f>
        <v>0</v>
      </c>
      <c r="E644" s="107">
        <f>IFERROR(VLOOKUP(B644,'Lista por categoria'!B:F,4,0),0)</f>
        <v>0</v>
      </c>
      <c r="F644" s="107">
        <f t="shared" ref="F644:F646" si="65">D644*E644</f>
        <v>0</v>
      </c>
    </row>
    <row r="645" spans="2:6" x14ac:dyDescent="0.25">
      <c r="B645" s="88" t="str">
        <f>'Lista por etapa'!B493</f>
        <v>Sarrafo madeira 2,3 x 10 cm bruto</v>
      </c>
      <c r="C645" s="91" t="str">
        <f>'Lista por etapa'!C493</f>
        <v>Peça 3,0 m</v>
      </c>
      <c r="D645" s="87">
        <f>'Lista por etapa'!D493</f>
        <v>0</v>
      </c>
      <c r="E645" s="107">
        <f>IFERROR(VLOOKUP(B645,'Lista por categoria'!B:F,4,0),0)</f>
        <v>0</v>
      </c>
      <c r="F645" s="107">
        <f t="shared" si="65"/>
        <v>0</v>
      </c>
    </row>
    <row r="646" spans="2:6" x14ac:dyDescent="0.25">
      <c r="B646" s="88" t="str">
        <f>'Lista por etapa'!B494</f>
        <v>Prego aço polido c/ cabeça 17 x 27</v>
      </c>
      <c r="C646" s="91" t="str">
        <f>'Lista por etapa'!C494</f>
        <v>kg</v>
      </c>
      <c r="D646" s="87">
        <f>'Lista por etapa'!D494</f>
        <v>0</v>
      </c>
      <c r="E646" s="107">
        <f>IFERROR(VLOOKUP(B646,'Lista por categoria'!B:F,4,0),0)</f>
        <v>0</v>
      </c>
      <c r="F646" s="107">
        <f t="shared" si="65"/>
        <v>0</v>
      </c>
    </row>
    <row r="647" spans="2:6" ht="15.75" x14ac:dyDescent="0.25">
      <c r="B647" s="134" t="str">
        <f>'19. Muro com Tijolos'!B265:D265</f>
        <v>Impermeabilização da viga baldrame do muro</v>
      </c>
      <c r="C647" s="134"/>
      <c r="D647" s="134"/>
      <c r="E647" s="134"/>
      <c r="F647" s="134"/>
    </row>
    <row r="648" spans="2:6" x14ac:dyDescent="0.25">
      <c r="B648" s="108" t="s">
        <v>5</v>
      </c>
      <c r="C648" s="109" t="s">
        <v>46</v>
      </c>
      <c r="D648" s="122" t="s">
        <v>6</v>
      </c>
      <c r="E648" s="28" t="s">
        <v>1101</v>
      </c>
      <c r="F648" s="28" t="s">
        <v>1102</v>
      </c>
    </row>
    <row r="649" spans="2:6" x14ac:dyDescent="0.25">
      <c r="B649" s="88" t="str">
        <f>'Lista por etapa'!B497</f>
        <v>Cimento CP III</v>
      </c>
      <c r="C649" s="91" t="str">
        <f>'Lista por etapa'!C497</f>
        <v>Saco 50kg</v>
      </c>
      <c r="D649" s="87">
        <f>'Lista por etapa'!D497</f>
        <v>0</v>
      </c>
      <c r="E649" s="107">
        <f>IFERROR(VLOOKUP(B649,'Lista por categoria'!B:F,4,0),0)</f>
        <v>0</v>
      </c>
      <c r="F649" s="107">
        <f t="shared" ref="F649:F652" si="66">D649*E649</f>
        <v>0</v>
      </c>
    </row>
    <row r="650" spans="2:6" x14ac:dyDescent="0.25">
      <c r="B650" s="88" t="str">
        <f>'Lista por etapa'!B498</f>
        <v>Areia média</v>
      </c>
      <c r="C650" s="91" t="str">
        <f>'Lista por etapa'!C498</f>
        <v>m3</v>
      </c>
      <c r="D650" s="87">
        <f>'Lista por etapa'!D498</f>
        <v>0</v>
      </c>
      <c r="E650" s="107">
        <f>IFERROR(VLOOKUP(B650,'Lista por categoria'!B:F,4,0),0)</f>
        <v>0</v>
      </c>
      <c r="F650" s="107">
        <f t="shared" si="66"/>
        <v>0</v>
      </c>
    </row>
    <row r="651" spans="2:6" x14ac:dyDescent="0.25">
      <c r="B651" s="88" t="str">
        <f>'Lista por etapa'!B499</f>
        <v>Impermeabilizante Vedatop</v>
      </c>
      <c r="C651" s="91" t="str">
        <f>'Lista por etapa'!C499</f>
        <v>Caixa 12 kg</v>
      </c>
      <c r="D651" s="87">
        <f>'Lista por etapa'!D499</f>
        <v>0</v>
      </c>
      <c r="E651" s="107">
        <f>IFERROR(VLOOKUP(B651,'Lista por categoria'!B:F,4,0),0)</f>
        <v>0</v>
      </c>
      <c r="F651" s="107">
        <f t="shared" si="66"/>
        <v>0</v>
      </c>
    </row>
    <row r="652" spans="2:6" x14ac:dyDescent="0.25">
      <c r="B652" s="88" t="str">
        <f>'Lista por etapa'!B500</f>
        <v>Broxa para pintura rústicas, 15 cm</v>
      </c>
      <c r="C652" s="91" t="str">
        <f>'Lista por etapa'!C500</f>
        <v>Peça</v>
      </c>
      <c r="D652" s="87">
        <f>'Lista por etapa'!D500</f>
        <v>0</v>
      </c>
      <c r="E652" s="107">
        <f>IFERROR(VLOOKUP(B652,'Lista por categoria'!B:F,4,0),0)</f>
        <v>0</v>
      </c>
      <c r="F652" s="107">
        <f t="shared" si="66"/>
        <v>0</v>
      </c>
    </row>
    <row r="653" spans="2:6" ht="15.75" x14ac:dyDescent="0.25">
      <c r="B653" s="134" t="str">
        <f>'19. Muro com Tijolos'!B287:D287</f>
        <v>Tijolos cerâmicos e argamassa do muro</v>
      </c>
      <c r="C653" s="134"/>
      <c r="D653" s="134"/>
      <c r="E653" s="134"/>
      <c r="F653" s="134"/>
    </row>
    <row r="654" spans="2:6" x14ac:dyDescent="0.25">
      <c r="B654" s="108" t="s">
        <v>5</v>
      </c>
      <c r="C654" s="109" t="s">
        <v>46</v>
      </c>
      <c r="D654" s="122" t="s">
        <v>6</v>
      </c>
      <c r="E654" s="28" t="s">
        <v>1101</v>
      </c>
      <c r="F654" s="28" t="s">
        <v>1102</v>
      </c>
    </row>
    <row r="655" spans="2:6" x14ac:dyDescent="0.25">
      <c r="B655" s="88" t="str">
        <f>'Lista por etapa'!B503</f>
        <v xml:space="preserve">Bloco cerâmico de vedação, </v>
      </c>
      <c r="C655" s="91" t="str">
        <f>'Lista por etapa'!C503</f>
        <v>Peça</v>
      </c>
      <c r="D655" s="87">
        <f>'Lista por etapa'!D503</f>
        <v>0</v>
      </c>
      <c r="E655" s="107">
        <f>IFERROR(VLOOKUP(B655,'Lista por categoria'!B:F,4,0),0)</f>
        <v>0</v>
      </c>
      <c r="F655" s="107">
        <f t="shared" ref="F655:F661" si="67">D655*E655</f>
        <v>0</v>
      </c>
    </row>
    <row r="656" spans="2:6" x14ac:dyDescent="0.25">
      <c r="B656" s="88" t="str">
        <f>'Lista por etapa'!B504</f>
        <v>Cimento CP II</v>
      </c>
      <c r="C656" s="91" t="str">
        <f>'Lista por etapa'!C504</f>
        <v>Saco 50kg</v>
      </c>
      <c r="D656" s="87">
        <f>'Lista por etapa'!D504</f>
        <v>0</v>
      </c>
      <c r="E656" s="107">
        <f>IFERROR(VLOOKUP(B656,'Lista por categoria'!B:F,4,0),0)</f>
        <v>0</v>
      </c>
      <c r="F656" s="107">
        <f t="shared" si="67"/>
        <v>0</v>
      </c>
    </row>
    <row r="657" spans="2:6" x14ac:dyDescent="0.25">
      <c r="B657" s="88" t="str">
        <f>'Lista por etapa'!B505</f>
        <v>Areia média</v>
      </c>
      <c r="C657" s="91" t="str">
        <f>'Lista por etapa'!C505</f>
        <v>m3</v>
      </c>
      <c r="D657" s="87">
        <f>'Lista por etapa'!D505</f>
        <v>0</v>
      </c>
      <c r="E657" s="107">
        <f>IFERROR(VLOOKUP(B657,'Lista por categoria'!B:F,4,0),0)</f>
        <v>0</v>
      </c>
      <c r="F657" s="107">
        <f t="shared" si="67"/>
        <v>0</v>
      </c>
    </row>
    <row r="658" spans="2:6" x14ac:dyDescent="0.25">
      <c r="B658" s="88" t="str">
        <f>'Lista por etapa'!B506</f>
        <v>Cal hidratada para construção civil</v>
      </c>
      <c r="C658" s="91" t="str">
        <f>'Lista por etapa'!C506</f>
        <v>Saco 20 kg</v>
      </c>
      <c r="D658" s="87">
        <f>'Lista por etapa'!D506</f>
        <v>0</v>
      </c>
      <c r="E658" s="107">
        <f>IFERROR(VLOOKUP(B658,'Lista por categoria'!B:F,4,0),0)</f>
        <v>0</v>
      </c>
      <c r="F658" s="107">
        <f t="shared" si="67"/>
        <v>0</v>
      </c>
    </row>
    <row r="659" spans="2:6" x14ac:dyDescent="0.25">
      <c r="B659" s="88" t="str">
        <f>'Lista por etapa'!B507</f>
        <v>Aditivo plastificante Alvenarit</v>
      </c>
      <c r="C659" s="91" t="str">
        <f>'Lista por etapa'!C507</f>
        <v>Litros</v>
      </c>
      <c r="D659" s="87">
        <f>'Lista por etapa'!D507</f>
        <v>0</v>
      </c>
      <c r="E659" s="107">
        <f>IFERROR(VLOOKUP(B659,'Lista por categoria'!B:F,4,0),0)</f>
        <v>0</v>
      </c>
      <c r="F659" s="107">
        <f t="shared" si="67"/>
        <v>0</v>
      </c>
    </row>
    <row r="660" spans="2:6" x14ac:dyDescent="0.25">
      <c r="B660" s="88" t="str">
        <f>'Lista por etapa'!B508</f>
        <v xml:space="preserve">Portão para carros, </v>
      </c>
      <c r="C660" s="91" t="str">
        <f>'Lista por etapa'!C508</f>
        <v>Peça</v>
      </c>
      <c r="D660" s="87">
        <f>'Lista por etapa'!D508</f>
        <v>0</v>
      </c>
      <c r="E660" s="107">
        <f>IFERROR(VLOOKUP(B660,'Lista por categoria'!B:F,4,0),0)</f>
        <v>0</v>
      </c>
      <c r="F660" s="107">
        <f t="shared" si="67"/>
        <v>0</v>
      </c>
    </row>
    <row r="661" spans="2:6" x14ac:dyDescent="0.25">
      <c r="B661" s="88" t="str">
        <f>'Lista por etapa'!B509</f>
        <v xml:space="preserve">Portão social, </v>
      </c>
      <c r="C661" s="91" t="str">
        <f>'Lista por etapa'!C509</f>
        <v>Peça</v>
      </c>
      <c r="D661" s="87">
        <f>'Lista por etapa'!D509</f>
        <v>0</v>
      </c>
      <c r="E661" s="107">
        <f>IFERROR(VLOOKUP(B661,'Lista por categoria'!B:F,4,0),0)</f>
        <v>0</v>
      </c>
      <c r="F661" s="107">
        <f t="shared" si="67"/>
        <v>0</v>
      </c>
    </row>
    <row r="662" spans="2:6" ht="15.75" x14ac:dyDescent="0.25">
      <c r="B662" s="134" t="str">
        <f>'19. Muro com Tijolos'!B389:D389</f>
        <v>Colunas ou pilares do muro</v>
      </c>
      <c r="C662" s="134"/>
      <c r="D662" s="134"/>
      <c r="E662" s="134"/>
      <c r="F662" s="134"/>
    </row>
    <row r="663" spans="2:6" x14ac:dyDescent="0.25">
      <c r="B663" s="108" t="s">
        <v>5</v>
      </c>
      <c r="C663" s="109" t="s">
        <v>46</v>
      </c>
      <c r="D663" s="122" t="s">
        <v>6</v>
      </c>
      <c r="E663" s="28" t="s">
        <v>1101</v>
      </c>
      <c r="F663" s="28" t="s">
        <v>1102</v>
      </c>
    </row>
    <row r="664" spans="2:6" x14ac:dyDescent="0.25">
      <c r="B664" s="88" t="str">
        <f>'Lista por etapa'!B512</f>
        <v>Concreto usinado para pilares</v>
      </c>
      <c r="C664" s="91" t="str">
        <f>'Lista por etapa'!C512</f>
        <v>m3</v>
      </c>
      <c r="D664" s="87">
        <f>'Lista por etapa'!D512</f>
        <v>0</v>
      </c>
      <c r="E664" s="107">
        <f>IFERROR(VLOOKUP(B664,'Lista por categoria'!B:F,4,0),0)</f>
        <v>0</v>
      </c>
      <c r="F664" s="107">
        <f t="shared" ref="F664:F674" si="68">D664*E664</f>
        <v>0</v>
      </c>
    </row>
    <row r="665" spans="2:6" x14ac:dyDescent="0.25">
      <c r="B665" s="88" t="str">
        <f>'Lista por etapa'!B513</f>
        <v>Cimento CP III</v>
      </c>
      <c r="C665" s="91" t="str">
        <f>'Lista por etapa'!C513</f>
        <v>Saco 50kg</v>
      </c>
      <c r="D665" s="87">
        <f>'Lista por etapa'!D513</f>
        <v>0</v>
      </c>
      <c r="E665" s="107">
        <f>IFERROR(VLOOKUP(B665,'Lista por categoria'!B:F,4,0),0)</f>
        <v>0</v>
      </c>
      <c r="F665" s="107">
        <f t="shared" si="68"/>
        <v>0</v>
      </c>
    </row>
    <row r="666" spans="2:6" x14ac:dyDescent="0.25">
      <c r="B666" s="88" t="str">
        <f>'Lista por etapa'!B514</f>
        <v>Areia média</v>
      </c>
      <c r="C666" s="91" t="str">
        <f>'Lista por etapa'!C514</f>
        <v>m3</v>
      </c>
      <c r="D666" s="87">
        <f>'Lista por etapa'!D514</f>
        <v>0</v>
      </c>
      <c r="E666" s="107">
        <f>IFERROR(VLOOKUP(B666,'Lista por categoria'!B:F,4,0),0)</f>
        <v>0</v>
      </c>
      <c r="F666" s="107">
        <f t="shared" si="68"/>
        <v>0</v>
      </c>
    </row>
    <row r="667" spans="2:6" x14ac:dyDescent="0.25">
      <c r="B667" s="88" t="str">
        <f>'Lista por etapa'!B515</f>
        <v>Pedra brita 1</v>
      </c>
      <c r="C667" s="91" t="str">
        <f>'Lista por etapa'!C515</f>
        <v>m3</v>
      </c>
      <c r="D667" s="87">
        <f>'Lista por etapa'!D515</f>
        <v>0</v>
      </c>
      <c r="E667" s="107">
        <f>IFERROR(VLOOKUP(B667,'Lista por categoria'!B:F,4,0),0)</f>
        <v>0</v>
      </c>
      <c r="F667" s="107">
        <f t="shared" si="68"/>
        <v>0</v>
      </c>
    </row>
    <row r="668" spans="2:6" x14ac:dyDescent="0.25">
      <c r="B668" s="88" t="str">
        <f>'Lista por etapa'!B516</f>
        <v>Barra de aço CA-25, 10mm (⅜'')</v>
      </c>
      <c r="C668" s="91" t="str">
        <f>'Lista por etapa'!C516</f>
        <v>Barra 12 m</v>
      </c>
      <c r="D668" s="87">
        <f>'Lista por etapa'!D516</f>
        <v>0</v>
      </c>
      <c r="E668" s="107">
        <f>IFERROR(VLOOKUP(B668,'Lista por categoria'!B:F,4,0),0)</f>
        <v>0</v>
      </c>
      <c r="F668" s="107">
        <f t="shared" si="68"/>
        <v>0</v>
      </c>
    </row>
    <row r="669" spans="2:6" x14ac:dyDescent="0.25">
      <c r="B669" s="88" t="str">
        <f>'Lista por etapa'!B517</f>
        <v>Barra de aço CA-60, 4,2mm</v>
      </c>
      <c r="C669" s="91" t="str">
        <f>'Lista por etapa'!C517</f>
        <v>Barra 12 m</v>
      </c>
      <c r="D669" s="87">
        <f>'Lista por etapa'!D517</f>
        <v>0</v>
      </c>
      <c r="E669" s="107">
        <f>IFERROR(VLOOKUP(B669,'Lista por categoria'!B:F,4,0),0)</f>
        <v>0</v>
      </c>
      <c r="F669" s="107">
        <f t="shared" si="68"/>
        <v>0</v>
      </c>
    </row>
    <row r="670" spans="2:6" x14ac:dyDescent="0.25">
      <c r="B670" s="88" t="str">
        <f>'Lista por etapa'!B518</f>
        <v>Arame recozido BWG 18 (1,24mm)</v>
      </c>
      <c r="C670" s="91" t="str">
        <f>'Lista por etapa'!C518</f>
        <v>Rolo 1 kg</v>
      </c>
      <c r="D670" s="87">
        <f>'Lista por etapa'!D518</f>
        <v>0</v>
      </c>
      <c r="E670" s="107">
        <f>IFERROR(VLOOKUP(B670,'Lista por categoria'!B:F,4,0),0)</f>
        <v>0</v>
      </c>
      <c r="F670" s="107">
        <f t="shared" si="68"/>
        <v>0</v>
      </c>
    </row>
    <row r="671" spans="2:6" x14ac:dyDescent="0.25">
      <c r="B671" s="88" t="str">
        <f>'Lista por etapa'!B519</f>
        <v>Espaçadores de ferragem</v>
      </c>
      <c r="C671" s="91" t="str">
        <f>'Lista por etapa'!C519</f>
        <v>Peça</v>
      </c>
      <c r="D671" s="87">
        <f>'Lista por etapa'!D519</f>
        <v>0</v>
      </c>
      <c r="E671" s="107">
        <f>IFERROR(VLOOKUP(B671,'Lista por categoria'!B:F,4,0),0)</f>
        <v>0</v>
      </c>
      <c r="F671" s="107">
        <f t="shared" si="68"/>
        <v>0</v>
      </c>
    </row>
    <row r="672" spans="2:6" x14ac:dyDescent="0.25">
      <c r="B672" s="88" t="str">
        <f>'Lista por etapa'!B520</f>
        <v>Tábua madeira 2,3 x 30 cm bruto</v>
      </c>
      <c r="C672" s="91" t="str">
        <f>'Lista por etapa'!C520</f>
        <v/>
      </c>
      <c r="D672" s="87">
        <f>'Lista por etapa'!D520</f>
        <v>0</v>
      </c>
      <c r="E672" s="107">
        <f>IFERROR(VLOOKUP(B672,'Lista por categoria'!B:F,4,0),0)</f>
        <v>0</v>
      </c>
      <c r="F672" s="107">
        <f t="shared" si="68"/>
        <v>0</v>
      </c>
    </row>
    <row r="673" spans="2:6" x14ac:dyDescent="0.25">
      <c r="B673" s="88" t="str">
        <f>'Lista por etapa'!B521</f>
        <v>Sarrafo madeira 2,3 x 10 cm bruto</v>
      </c>
      <c r="C673" s="91" t="str">
        <f>'Lista por etapa'!C521</f>
        <v>Peça 3,0 m</v>
      </c>
      <c r="D673" s="87">
        <f>'Lista por etapa'!D521</f>
        <v>0</v>
      </c>
      <c r="E673" s="107">
        <f>IFERROR(VLOOKUP(B673,'Lista por categoria'!B:F,4,0),0)</f>
        <v>0</v>
      </c>
      <c r="F673" s="107">
        <f t="shared" si="68"/>
        <v>0</v>
      </c>
    </row>
    <row r="674" spans="2:6" x14ac:dyDescent="0.25">
      <c r="B674" s="88" t="str">
        <f>'Lista por etapa'!B522</f>
        <v>Prego aço polido c/ cabeça 17 x 27</v>
      </c>
      <c r="C674" s="91" t="str">
        <f>'Lista por etapa'!C522</f>
        <v>kg</v>
      </c>
      <c r="D674" s="87">
        <f>'Lista por etapa'!D522</f>
        <v>0</v>
      </c>
      <c r="E674" s="107">
        <f>IFERROR(VLOOKUP(B674,'Lista por categoria'!B:F,4,0),0)</f>
        <v>0</v>
      </c>
      <c r="F674" s="107">
        <f t="shared" si="68"/>
        <v>0</v>
      </c>
    </row>
    <row r="675" spans="2:6" ht="15.75" x14ac:dyDescent="0.25">
      <c r="B675" s="134" t="str">
        <f>'19. Muro com Tijolos'!B525:D525</f>
        <v>Cintas de amarração do muro</v>
      </c>
      <c r="C675" s="134"/>
      <c r="D675" s="134"/>
      <c r="E675" s="134"/>
      <c r="F675" s="134"/>
    </row>
    <row r="676" spans="2:6" x14ac:dyDescent="0.25">
      <c r="B676" s="108" t="s">
        <v>5</v>
      </c>
      <c r="C676" s="109" t="s">
        <v>46</v>
      </c>
      <c r="D676" s="122" t="s">
        <v>6</v>
      </c>
      <c r="E676" s="28" t="s">
        <v>1101</v>
      </c>
      <c r="F676" s="28" t="s">
        <v>1102</v>
      </c>
    </row>
    <row r="677" spans="2:6" x14ac:dyDescent="0.25">
      <c r="B677" s="88" t="str">
        <f>'Lista por etapa'!B525</f>
        <v/>
      </c>
      <c r="C677" s="91" t="str">
        <f>'Lista por etapa'!C525</f>
        <v>Peça</v>
      </c>
      <c r="D677" s="87">
        <f>'Lista por etapa'!D525</f>
        <v>0</v>
      </c>
      <c r="E677" s="107">
        <f>IFERROR(VLOOKUP(B677,'Lista por categoria'!B:F,4,0),0)</f>
        <v>0</v>
      </c>
      <c r="F677" s="107">
        <f t="shared" ref="F677:F681" si="69">D677*E677</f>
        <v>0</v>
      </c>
    </row>
    <row r="678" spans="2:6" x14ac:dyDescent="0.25">
      <c r="B678" s="88" t="str">
        <f>'Lista por etapa'!B526</f>
        <v>Barra de aço CA-25, 10mm (⅜'')</v>
      </c>
      <c r="C678" s="91" t="str">
        <f>'Lista por etapa'!C526</f>
        <v>Barra 12 m</v>
      </c>
      <c r="D678" s="87">
        <f>'Lista por etapa'!D526</f>
        <v>0</v>
      </c>
      <c r="E678" s="107">
        <f>IFERROR(VLOOKUP(B678,'Lista por categoria'!B:F,4,0),0)</f>
        <v>0</v>
      </c>
      <c r="F678" s="107">
        <f t="shared" si="69"/>
        <v>0</v>
      </c>
    </row>
    <row r="679" spans="2:6" x14ac:dyDescent="0.25">
      <c r="B679" s="88" t="str">
        <f>'Lista por etapa'!B527</f>
        <v>Cimento CP III</v>
      </c>
      <c r="C679" s="91" t="str">
        <f>'Lista por etapa'!C527</f>
        <v>Saco 50kg</v>
      </c>
      <c r="D679" s="87">
        <f>'Lista por etapa'!D527</f>
        <v>0</v>
      </c>
      <c r="E679" s="107">
        <f>IFERROR(VLOOKUP(B679,'Lista por categoria'!B:F,4,0),0)</f>
        <v>0</v>
      </c>
      <c r="F679" s="107">
        <f t="shared" si="69"/>
        <v>0</v>
      </c>
    </row>
    <row r="680" spans="2:6" x14ac:dyDescent="0.25">
      <c r="B680" s="88" t="str">
        <f>'Lista por etapa'!B528</f>
        <v>Areia média</v>
      </c>
      <c r="C680" s="91" t="str">
        <f>'Lista por etapa'!C528</f>
        <v>m3</v>
      </c>
      <c r="D680" s="87">
        <f>'Lista por etapa'!D528</f>
        <v>0</v>
      </c>
      <c r="E680" s="107">
        <f>IFERROR(VLOOKUP(B680,'Lista por categoria'!B:F,4,0),0)</f>
        <v>0</v>
      </c>
      <c r="F680" s="107">
        <f t="shared" si="69"/>
        <v>0</v>
      </c>
    </row>
    <row r="681" spans="2:6" x14ac:dyDescent="0.25">
      <c r="B681" s="88" t="str">
        <f>'Lista por etapa'!B529</f>
        <v>Pedra brita 1</v>
      </c>
      <c r="C681" s="91" t="str">
        <f>'Lista por etapa'!C529</f>
        <v>m3</v>
      </c>
      <c r="D681" s="87">
        <f>'Lista por etapa'!D529</f>
        <v>0</v>
      </c>
      <c r="E681" s="107">
        <f>IFERROR(VLOOKUP(B681,'Lista por categoria'!B:F,4,0),0)</f>
        <v>0</v>
      </c>
      <c r="F681" s="107">
        <f t="shared" si="69"/>
        <v>0</v>
      </c>
    </row>
    <row r="682" spans="2:6" ht="15.75" x14ac:dyDescent="0.25">
      <c r="B682" s="134" t="str">
        <f>'19. Muro com Tijolos'!B568:D568</f>
        <v>Argamassa do chapisco do muro</v>
      </c>
      <c r="C682" s="134"/>
      <c r="D682" s="134"/>
      <c r="E682" s="134"/>
      <c r="F682" s="134"/>
    </row>
    <row r="683" spans="2:6" x14ac:dyDescent="0.25">
      <c r="B683" s="108" t="s">
        <v>5</v>
      </c>
      <c r="C683" s="109" t="s">
        <v>46</v>
      </c>
      <c r="D683" s="122" t="s">
        <v>6</v>
      </c>
      <c r="E683" s="28" t="s">
        <v>1101</v>
      </c>
      <c r="F683" s="28" t="s">
        <v>1102</v>
      </c>
    </row>
    <row r="684" spans="2:6" x14ac:dyDescent="0.25">
      <c r="B684" s="88" t="str">
        <f>'Lista por etapa'!B532</f>
        <v>Argamassa chapisco pronta</v>
      </c>
      <c r="C684" s="91" t="str">
        <f>'Lista por etapa'!C532</f>
        <v>Saco 20 kg</v>
      </c>
      <c r="D684" s="87">
        <f>'Lista por etapa'!D532</f>
        <v>0</v>
      </c>
      <c r="E684" s="107">
        <f>IFERROR(VLOOKUP(B684,'Lista por categoria'!B:F,4,0),0)</f>
        <v>0</v>
      </c>
      <c r="F684" s="107">
        <f t="shared" ref="F684:F687" si="70">D684*E684</f>
        <v>0</v>
      </c>
    </row>
    <row r="685" spans="2:6" x14ac:dyDescent="0.25">
      <c r="B685" s="88" t="str">
        <f>'Lista por etapa'!B533</f>
        <v>Cimento CP II</v>
      </c>
      <c r="C685" s="91" t="str">
        <f>'Lista por etapa'!C533</f>
        <v>Saco 50kg</v>
      </c>
      <c r="D685" s="87">
        <f>'Lista por etapa'!D533</f>
        <v>0</v>
      </c>
      <c r="E685" s="107">
        <f>IFERROR(VLOOKUP(B685,'Lista por categoria'!B:F,4,0),0)</f>
        <v>0</v>
      </c>
      <c r="F685" s="107">
        <f t="shared" si="70"/>
        <v>0</v>
      </c>
    </row>
    <row r="686" spans="2:6" x14ac:dyDescent="0.25">
      <c r="B686" s="88" t="str">
        <f>'Lista por etapa'!B534</f>
        <v>Areia média</v>
      </c>
      <c r="C686" s="91" t="str">
        <f>'Lista por etapa'!C534</f>
        <v>m3</v>
      </c>
      <c r="D686" s="87">
        <f>'Lista por etapa'!D534</f>
        <v>0</v>
      </c>
      <c r="E686" s="107">
        <f>IFERROR(VLOOKUP(B686,'Lista por categoria'!B:F,4,0),0)</f>
        <v>0</v>
      </c>
      <c r="F686" s="107">
        <f t="shared" si="70"/>
        <v>0</v>
      </c>
    </row>
    <row r="687" spans="2:6" x14ac:dyDescent="0.25">
      <c r="B687" s="88" t="str">
        <f>'Lista por etapa'!B535</f>
        <v>Aditivo plastificante Bianco</v>
      </c>
      <c r="C687" s="91" t="str">
        <f>'Lista por etapa'!C535</f>
        <v>Litros</v>
      </c>
      <c r="D687" s="87">
        <f>'Lista por etapa'!D535</f>
        <v>0</v>
      </c>
      <c r="E687" s="107">
        <f>IFERROR(VLOOKUP(B687,'Lista por categoria'!B:F,4,0),0)</f>
        <v>0</v>
      </c>
      <c r="F687" s="107">
        <f t="shared" si="70"/>
        <v>0</v>
      </c>
    </row>
    <row r="688" spans="2:6" ht="15.75" x14ac:dyDescent="0.25">
      <c r="B688" s="134" t="str">
        <f>'19. Muro com Tijolos'!B631:D631</f>
        <v>Argamassa do emboço do muro</v>
      </c>
      <c r="C688" s="134"/>
      <c r="D688" s="134"/>
      <c r="E688" s="134"/>
      <c r="F688" s="134"/>
    </row>
    <row r="689" spans="2:6" x14ac:dyDescent="0.25">
      <c r="B689" s="108" t="s">
        <v>5</v>
      </c>
      <c r="C689" s="109" t="s">
        <v>46</v>
      </c>
      <c r="D689" s="122" t="s">
        <v>6</v>
      </c>
      <c r="E689" s="28" t="s">
        <v>1101</v>
      </c>
      <c r="F689" s="28" t="s">
        <v>1102</v>
      </c>
    </row>
    <row r="690" spans="2:6" x14ac:dyDescent="0.25">
      <c r="B690" s="88" t="str">
        <f>'Lista por etapa'!B538</f>
        <v>Argamassa emboço pronta</v>
      </c>
      <c r="C690" s="91" t="str">
        <f>'Lista por etapa'!C538</f>
        <v>Saco 20 kg</v>
      </c>
      <c r="D690" s="87">
        <f>'Lista por etapa'!D538</f>
        <v>0</v>
      </c>
      <c r="E690" s="107">
        <f>IFERROR(VLOOKUP(B690,'Lista por categoria'!B:F,4,0),0)</f>
        <v>0</v>
      </c>
      <c r="F690" s="107">
        <f t="shared" ref="F690:F694" si="71">D690*E690</f>
        <v>0</v>
      </c>
    </row>
    <row r="691" spans="2:6" x14ac:dyDescent="0.25">
      <c r="B691" s="88" t="str">
        <f>'Lista por etapa'!B539</f>
        <v>Cimento CP II</v>
      </c>
      <c r="C691" s="91" t="str">
        <f>'Lista por etapa'!C539</f>
        <v>Saco 50kg</v>
      </c>
      <c r="D691" s="87">
        <f>'Lista por etapa'!D539</f>
        <v>0</v>
      </c>
      <c r="E691" s="107">
        <f>IFERROR(VLOOKUP(B691,'Lista por categoria'!B:F,4,0),0)</f>
        <v>0</v>
      </c>
      <c r="F691" s="107">
        <f t="shared" si="71"/>
        <v>0</v>
      </c>
    </row>
    <row r="692" spans="2:6" x14ac:dyDescent="0.25">
      <c r="B692" s="88" t="str">
        <f>'Lista por etapa'!B540</f>
        <v>Areia média</v>
      </c>
      <c r="C692" s="91" t="str">
        <f>'Lista por etapa'!C540</f>
        <v>m3</v>
      </c>
      <c r="D692" s="87">
        <f>'Lista por etapa'!D540</f>
        <v>0</v>
      </c>
      <c r="E692" s="107">
        <f>IFERROR(VLOOKUP(B692,'Lista por categoria'!B:F,4,0),0)</f>
        <v>0</v>
      </c>
      <c r="F692" s="107">
        <f t="shared" si="71"/>
        <v>0</v>
      </c>
    </row>
    <row r="693" spans="2:6" x14ac:dyDescent="0.25">
      <c r="B693" s="88" t="str">
        <f>'Lista por etapa'!B541</f>
        <v>Cal hidratada para construção civil</v>
      </c>
      <c r="C693" s="91" t="str">
        <f>'Lista por etapa'!C541</f>
        <v>Saco 20 kg</v>
      </c>
      <c r="D693" s="87">
        <f>'Lista por etapa'!D541</f>
        <v>0</v>
      </c>
      <c r="E693" s="107">
        <f>IFERROR(VLOOKUP(B693,'Lista por categoria'!B:F,4,0),0)</f>
        <v>0</v>
      </c>
      <c r="F693" s="107">
        <f t="shared" si="71"/>
        <v>0</v>
      </c>
    </row>
    <row r="694" spans="2:6" x14ac:dyDescent="0.25">
      <c r="B694" s="88" t="str">
        <f>'Lista por etapa'!B542</f>
        <v>Aditivo plastificante Bianco</v>
      </c>
      <c r="C694" s="91" t="str">
        <f>'Lista por etapa'!C542</f>
        <v>Litros</v>
      </c>
      <c r="D694" s="87">
        <f>'Lista por etapa'!D542</f>
        <v>0</v>
      </c>
      <c r="E694" s="107">
        <f>IFERROR(VLOOKUP(B694,'Lista por categoria'!B:F,4,0),0)</f>
        <v>0</v>
      </c>
      <c r="F694" s="107">
        <f t="shared" si="71"/>
        <v>0</v>
      </c>
    </row>
    <row r="695" spans="2:6" ht="15.75" x14ac:dyDescent="0.25">
      <c r="B695" s="134" t="str">
        <f>'19. Muro com Tijolos'!B688:D688</f>
        <v>Argamassa do reboco do muro</v>
      </c>
      <c r="C695" s="134"/>
      <c r="D695" s="134"/>
      <c r="E695" s="134"/>
      <c r="F695" s="134"/>
    </row>
    <row r="696" spans="2:6" x14ac:dyDescent="0.25">
      <c r="B696" s="108" t="s">
        <v>5</v>
      </c>
      <c r="C696" s="109" t="s">
        <v>46</v>
      </c>
      <c r="D696" s="122" t="s">
        <v>6</v>
      </c>
      <c r="E696" s="28" t="s">
        <v>1101</v>
      </c>
      <c r="F696" s="28" t="s">
        <v>1102</v>
      </c>
    </row>
    <row r="697" spans="2:6" x14ac:dyDescent="0.25">
      <c r="B697" s="88" t="str">
        <f>'Lista por etapa'!B545</f>
        <v>Argamassa reboco pronta</v>
      </c>
      <c r="C697" s="91" t="str">
        <f>'Lista por etapa'!C545</f>
        <v>Saco 20 kg</v>
      </c>
      <c r="D697" s="87">
        <f>'Lista por etapa'!D545</f>
        <v>0</v>
      </c>
      <c r="E697" s="107">
        <f>IFERROR(VLOOKUP(B697,'Lista por categoria'!B:F,4,0),0)</f>
        <v>0</v>
      </c>
      <c r="F697" s="107">
        <f t="shared" ref="F697:F701" si="72">D697*E697</f>
        <v>0</v>
      </c>
    </row>
    <row r="698" spans="2:6" x14ac:dyDescent="0.25">
      <c r="B698" s="88" t="str">
        <f>'Lista por etapa'!B546</f>
        <v>Cimento CP II</v>
      </c>
      <c r="C698" s="91" t="str">
        <f>'Lista por etapa'!C546</f>
        <v>Saco 50kg</v>
      </c>
      <c r="D698" s="87">
        <f>'Lista por etapa'!D546</f>
        <v>0</v>
      </c>
      <c r="E698" s="107">
        <f>IFERROR(VLOOKUP(B698,'Lista por categoria'!B:F,4,0),0)</f>
        <v>0</v>
      </c>
      <c r="F698" s="107">
        <f t="shared" si="72"/>
        <v>0</v>
      </c>
    </row>
    <row r="699" spans="2:6" x14ac:dyDescent="0.25">
      <c r="B699" s="88" t="str">
        <f>'Lista por etapa'!B547</f>
        <v>Areia média</v>
      </c>
      <c r="C699" s="91" t="str">
        <f>'Lista por etapa'!C547</f>
        <v>m3</v>
      </c>
      <c r="D699" s="87">
        <f>'Lista por etapa'!D547</f>
        <v>0</v>
      </c>
      <c r="E699" s="107">
        <f>IFERROR(VLOOKUP(B699,'Lista por categoria'!B:F,4,0),0)</f>
        <v>0</v>
      </c>
      <c r="F699" s="107">
        <f t="shared" si="72"/>
        <v>0</v>
      </c>
    </row>
    <row r="700" spans="2:6" x14ac:dyDescent="0.25">
      <c r="B700" s="88" t="str">
        <f>'Lista por etapa'!B548</f>
        <v>Cal hidratada para construção civil</v>
      </c>
      <c r="C700" s="91" t="str">
        <f>'Lista por etapa'!C548</f>
        <v>Saco 20 kg</v>
      </c>
      <c r="D700" s="87">
        <f>'Lista por etapa'!D548</f>
        <v>0</v>
      </c>
      <c r="E700" s="107">
        <f>IFERROR(VLOOKUP(B700,'Lista por categoria'!B:F,4,0),0)</f>
        <v>0</v>
      </c>
      <c r="F700" s="107">
        <f t="shared" si="72"/>
        <v>0</v>
      </c>
    </row>
    <row r="701" spans="2:6" x14ac:dyDescent="0.25">
      <c r="B701" s="88" t="str">
        <f>'Lista por etapa'!B549</f>
        <v>Aditivo plastificante Bianco</v>
      </c>
      <c r="C701" s="91" t="str">
        <f>'Lista por etapa'!C549</f>
        <v>Litros</v>
      </c>
      <c r="D701" s="87">
        <f>'Lista por etapa'!D549</f>
        <v>0</v>
      </c>
      <c r="E701" s="107">
        <f>IFERROR(VLOOKUP(B701,'Lista por categoria'!B:F,4,0),0)</f>
        <v>0</v>
      </c>
      <c r="F701" s="107">
        <f t="shared" si="72"/>
        <v>0</v>
      </c>
    </row>
    <row r="702" spans="2:6" ht="15.75" x14ac:dyDescent="0.25">
      <c r="B702" s="134" t="str">
        <f>'19. Muro com Tijolos'!B745:D745</f>
        <v>Pintura do muro</v>
      </c>
      <c r="C702" s="134"/>
      <c r="D702" s="134"/>
      <c r="E702" s="134"/>
      <c r="F702" s="134"/>
    </row>
    <row r="703" spans="2:6" x14ac:dyDescent="0.25">
      <c r="B703" s="108" t="s">
        <v>5</v>
      </c>
      <c r="C703" s="109" t="s">
        <v>46</v>
      </c>
      <c r="D703" s="122" t="s">
        <v>6</v>
      </c>
      <c r="E703" s="28" t="s">
        <v>1101</v>
      </c>
      <c r="F703" s="28" t="s">
        <v>1102</v>
      </c>
    </row>
    <row r="704" spans="2:6" x14ac:dyDescent="0.25">
      <c r="B704" s="88" t="str">
        <f>'Lista por etapa'!B552</f>
        <v xml:space="preserve">Tinta </v>
      </c>
      <c r="C704" s="91" t="str">
        <f>'Lista por etapa'!C552</f>
        <v>Litros</v>
      </c>
      <c r="D704" s="87">
        <f>'Lista por etapa'!D552</f>
        <v>0</v>
      </c>
      <c r="E704" s="107">
        <f>IFERROR(VLOOKUP(B704,'Lista por categoria'!B:F,4,0),0)</f>
        <v>0</v>
      </c>
      <c r="F704" s="107">
        <f t="shared" ref="F704:F709" si="73">D704*E704</f>
        <v>0</v>
      </c>
    </row>
    <row r="705" spans="2:6" x14ac:dyDescent="0.25">
      <c r="B705" s="88" t="str">
        <f>'Lista por etapa'!B553</f>
        <v>Fundo preparador</v>
      </c>
      <c r="C705" s="91" t="str">
        <f>'Lista por etapa'!C553</f>
        <v>Litros</v>
      </c>
      <c r="D705" s="87">
        <f>'Lista por etapa'!D553</f>
        <v>0</v>
      </c>
      <c r="E705" s="107">
        <f>IFERROR(VLOOKUP(B705,'Lista por categoria'!B:F,4,0),0)</f>
        <v>0</v>
      </c>
      <c r="F705" s="107">
        <f t="shared" si="73"/>
        <v>0</v>
      </c>
    </row>
    <row r="706" spans="2:6" x14ac:dyDescent="0.25">
      <c r="B706" s="88" t="str">
        <f>'Lista por etapa'!B554</f>
        <v>Rolo para pintura</v>
      </c>
      <c r="C706" s="91" t="str">
        <f>'Lista por etapa'!C554</f>
        <v>Peça</v>
      </c>
      <c r="D706" s="87">
        <f>'Lista por etapa'!D554</f>
        <v>0</v>
      </c>
      <c r="E706" s="107">
        <f>IFERROR(VLOOKUP(B706,'Lista por categoria'!B:F,4,0),0)</f>
        <v>0</v>
      </c>
      <c r="F706" s="107">
        <f t="shared" si="73"/>
        <v>0</v>
      </c>
    </row>
    <row r="707" spans="2:6" x14ac:dyDescent="0.25">
      <c r="B707" s="88" t="str">
        <f>'Lista por etapa'!B555</f>
        <v>Pincel para pintura</v>
      </c>
      <c r="C707" s="91" t="str">
        <f>'Lista por etapa'!C555</f>
        <v>Peça</v>
      </c>
      <c r="D707" s="87">
        <f>'Lista por etapa'!D555</f>
        <v>0</v>
      </c>
      <c r="E707" s="107">
        <f>IFERROR(VLOOKUP(B707,'Lista por categoria'!B:F,4,0),0)</f>
        <v>0</v>
      </c>
      <c r="F707" s="107">
        <f t="shared" si="73"/>
        <v>0</v>
      </c>
    </row>
    <row r="708" spans="2:6" x14ac:dyDescent="0.25">
      <c r="B708" s="88" t="str">
        <f>'Lista por etapa'!B556</f>
        <v>Fita crepe larga</v>
      </c>
      <c r="C708" s="91" t="str">
        <f>'Lista por etapa'!C556</f>
        <v>Peça</v>
      </c>
      <c r="D708" s="87">
        <f>'Lista por etapa'!D556</f>
        <v>0</v>
      </c>
      <c r="E708" s="107">
        <f>IFERROR(VLOOKUP(B708,'Lista por categoria'!B:F,4,0),0)</f>
        <v>0</v>
      </c>
      <c r="F708" s="107">
        <f t="shared" si="73"/>
        <v>0</v>
      </c>
    </row>
    <row r="709" spans="2:6" x14ac:dyDescent="0.25">
      <c r="B709" s="88" t="str">
        <f>'Lista por etapa'!B557</f>
        <v>Lixa para parede</v>
      </c>
      <c r="C709" s="91" t="str">
        <f>'Lista por etapa'!C557</f>
        <v>Peça</v>
      </c>
      <c r="D709" s="87">
        <f>'Lista por etapa'!D557</f>
        <v>0</v>
      </c>
      <c r="E709" s="107">
        <f>IFERROR(VLOOKUP(B709,'Lista por categoria'!B:F,4,0),0)</f>
        <v>0</v>
      </c>
      <c r="F709" s="107">
        <f t="shared" si="73"/>
        <v>0</v>
      </c>
    </row>
    <row r="710" spans="2:6" x14ac:dyDescent="0.25">
      <c r="B710" s="116" t="s">
        <v>1199</v>
      </c>
      <c r="C710" s="117" t="s">
        <v>46</v>
      </c>
      <c r="D710" s="120" t="s">
        <v>6</v>
      </c>
      <c r="E710" s="118" t="s">
        <v>1101</v>
      </c>
      <c r="F710" s="118" t="s">
        <v>1102</v>
      </c>
    </row>
    <row r="711" spans="2:6" x14ac:dyDescent="0.25">
      <c r="B711" s="88" t="s">
        <v>1205</v>
      </c>
      <c r="C711" s="91" t="s">
        <v>1204</v>
      </c>
      <c r="D711" s="87">
        <f>'Mão de Obra por etapa'!D180</f>
        <v>0</v>
      </c>
      <c r="E711" s="107">
        <f>'Mão de Obra por etapa'!E180</f>
        <v>0</v>
      </c>
      <c r="F711" s="107">
        <f>'Mão de Obra por etapa'!F180</f>
        <v>0</v>
      </c>
    </row>
    <row r="712" spans="2:6" x14ac:dyDescent="0.25">
      <c r="B712" s="88" t="s">
        <v>1200</v>
      </c>
      <c r="C712" s="91" t="s">
        <v>1204</v>
      </c>
      <c r="D712" s="87">
        <f>'Mão de Obra por etapa'!D181</f>
        <v>0</v>
      </c>
      <c r="E712" s="107">
        <f>'Mão de Obra por etapa'!E181</f>
        <v>0</v>
      </c>
      <c r="F712" s="107">
        <f>'Mão de Obra por etapa'!F181</f>
        <v>0</v>
      </c>
    </row>
    <row r="713" spans="2:6" x14ac:dyDescent="0.25">
      <c r="B713" s="88" t="s">
        <v>1206</v>
      </c>
      <c r="C713" s="91" t="s">
        <v>1204</v>
      </c>
      <c r="D713" s="87">
        <f>'Mão de Obra por etapa'!D182</f>
        <v>0</v>
      </c>
      <c r="E713" s="107">
        <f>'Mão de Obra por etapa'!E182</f>
        <v>0</v>
      </c>
      <c r="F713" s="107">
        <f>'Mão de Obra por etapa'!F182</f>
        <v>0</v>
      </c>
    </row>
    <row r="714" spans="2:6" x14ac:dyDescent="0.25">
      <c r="B714" s="88" t="s">
        <v>1201</v>
      </c>
      <c r="C714" s="91" t="s">
        <v>1204</v>
      </c>
      <c r="D714" s="87">
        <f>'Mão de Obra por etapa'!D183</f>
        <v>0</v>
      </c>
      <c r="E714" s="107">
        <f>'Mão de Obra por etapa'!E183</f>
        <v>0</v>
      </c>
      <c r="F714" s="107">
        <f>'Mão de Obra por etapa'!F183</f>
        <v>0</v>
      </c>
    </row>
    <row r="715" spans="2:6" x14ac:dyDescent="0.25">
      <c r="B715" s="88" t="s">
        <v>1202</v>
      </c>
      <c r="C715" s="91" t="s">
        <v>1204</v>
      </c>
      <c r="D715" s="87">
        <f>'Mão de Obra por etapa'!D184</f>
        <v>0</v>
      </c>
      <c r="E715" s="107">
        <f>'Mão de Obra por etapa'!E184</f>
        <v>0</v>
      </c>
      <c r="F715" s="107">
        <f>'Mão de Obra por etapa'!F184</f>
        <v>0</v>
      </c>
    </row>
    <row r="716" spans="2:6" x14ac:dyDescent="0.25">
      <c r="B716" s="88" t="s">
        <v>1203</v>
      </c>
      <c r="C716" s="91" t="s">
        <v>1204</v>
      </c>
      <c r="D716" s="87">
        <f>'Mão de Obra por etapa'!D185</f>
        <v>0</v>
      </c>
      <c r="E716" s="107">
        <f>'Mão de Obra por etapa'!E185</f>
        <v>0</v>
      </c>
      <c r="F716" s="107">
        <f>'Mão de Obra por etapa'!F185</f>
        <v>0</v>
      </c>
    </row>
    <row r="717" spans="2:6" x14ac:dyDescent="0.25">
      <c r="B717" s="142" t="s">
        <v>1207</v>
      </c>
      <c r="C717" s="143"/>
      <c r="D717" s="143"/>
      <c r="E717" s="144"/>
      <c r="F717" s="115">
        <f>SUM(F613:F620,F623:F626,F629:F631,F634:F637,F640:F641,F644:F646,F649:F652,F655:F661,F664:F674,F677:F681,F684:F687,F690:F694,F697:F701,F704:F709,F711:F716)</f>
        <v>0</v>
      </c>
    </row>
    <row r="718" spans="2:6" x14ac:dyDescent="0.25">
      <c r="B718" s="110"/>
      <c r="C718" s="110"/>
      <c r="D718" s="121"/>
      <c r="E718" s="110"/>
      <c r="F718" s="110"/>
    </row>
    <row r="719" spans="2:6" ht="18.75" x14ac:dyDescent="0.3">
      <c r="B719" s="137" t="str">
        <f>'20. Muro com Blocos'!B2:D2</f>
        <v>Muro com Blocos de Concreto</v>
      </c>
      <c r="C719" s="137"/>
      <c r="D719" s="137"/>
      <c r="E719" s="137"/>
      <c r="F719" s="137"/>
    </row>
    <row r="720" spans="2:6" ht="15.75" x14ac:dyDescent="0.25">
      <c r="B720" s="134" t="str">
        <f>'20. Muro com Blocos'!B5:D5</f>
        <v>Fundação de estacas do muro</v>
      </c>
      <c r="C720" s="134"/>
      <c r="D720" s="134"/>
      <c r="E720" s="134"/>
      <c r="F720" s="134"/>
    </row>
    <row r="721" spans="2:6" x14ac:dyDescent="0.25">
      <c r="B721" s="108" t="s">
        <v>5</v>
      </c>
      <c r="C721" s="109" t="s">
        <v>46</v>
      </c>
      <c r="D721" s="122" t="s">
        <v>6</v>
      </c>
      <c r="E721" s="28" t="s">
        <v>1101</v>
      </c>
      <c r="F721" s="28" t="s">
        <v>1102</v>
      </c>
    </row>
    <row r="722" spans="2:6" x14ac:dyDescent="0.25">
      <c r="B722" s="88" t="str">
        <f>'Lista por etapa'!B562</f>
        <v>Concreto usinado para estaca</v>
      </c>
      <c r="C722" s="91" t="str">
        <f>'Lista por etapa'!C562</f>
        <v>m3</v>
      </c>
      <c r="D722" s="87">
        <f>'Lista por etapa'!D562</f>
        <v>0</v>
      </c>
      <c r="E722" s="107">
        <f>IFERROR(VLOOKUP(B722,'Lista por categoria'!B:F,4,0),0)</f>
        <v>0</v>
      </c>
      <c r="F722" s="107">
        <f t="shared" ref="F722:F729" si="74">D722*E722</f>
        <v>0</v>
      </c>
    </row>
    <row r="723" spans="2:6" x14ac:dyDescent="0.25">
      <c r="B723" s="88" t="str">
        <f>'Lista por etapa'!B563</f>
        <v>Cimento CP III</v>
      </c>
      <c r="C723" s="91" t="str">
        <f>'Lista por etapa'!C563</f>
        <v>Saco 50kg</v>
      </c>
      <c r="D723" s="87">
        <f>'Lista por etapa'!D563</f>
        <v>0</v>
      </c>
      <c r="E723" s="107">
        <f>IFERROR(VLOOKUP(B723,'Lista por categoria'!B:F,4,0),0)</f>
        <v>0</v>
      </c>
      <c r="F723" s="107">
        <f t="shared" si="74"/>
        <v>0</v>
      </c>
    </row>
    <row r="724" spans="2:6" x14ac:dyDescent="0.25">
      <c r="B724" s="88" t="str">
        <f>'Lista por etapa'!B564</f>
        <v>Areia média</v>
      </c>
      <c r="C724" s="91" t="str">
        <f>'Lista por etapa'!C564</f>
        <v>m3</v>
      </c>
      <c r="D724" s="87">
        <f>'Lista por etapa'!D564</f>
        <v>0</v>
      </c>
      <c r="E724" s="107">
        <f>IFERROR(VLOOKUP(B724,'Lista por categoria'!B:F,4,0),0)</f>
        <v>0</v>
      </c>
      <c r="F724" s="107">
        <f t="shared" si="74"/>
        <v>0</v>
      </c>
    </row>
    <row r="725" spans="2:6" x14ac:dyDescent="0.25">
      <c r="B725" s="88" t="str">
        <f>'Lista por etapa'!B565</f>
        <v>Pedra brita 1</v>
      </c>
      <c r="C725" s="91" t="str">
        <f>'Lista por etapa'!C565</f>
        <v>m3</v>
      </c>
      <c r="D725" s="87">
        <f>'Lista por etapa'!D565</f>
        <v>0</v>
      </c>
      <c r="E725" s="107">
        <f>IFERROR(VLOOKUP(B725,'Lista por categoria'!B:F,4,0),0)</f>
        <v>0</v>
      </c>
      <c r="F725" s="107">
        <f t="shared" si="74"/>
        <v>0</v>
      </c>
    </row>
    <row r="726" spans="2:6" x14ac:dyDescent="0.25">
      <c r="B726" s="88" t="str">
        <f>'Lista por etapa'!B566</f>
        <v>Pedra brita 2 para lastro</v>
      </c>
      <c r="C726" s="91" t="str">
        <f>'Lista por etapa'!C566</f>
        <v>m3</v>
      </c>
      <c r="D726" s="87">
        <f>'Lista por etapa'!D566</f>
        <v>0</v>
      </c>
      <c r="E726" s="107">
        <f>IFERROR(VLOOKUP(B726,'Lista por categoria'!B:F,4,0),0)</f>
        <v>0</v>
      </c>
      <c r="F726" s="107">
        <f t="shared" si="74"/>
        <v>0</v>
      </c>
    </row>
    <row r="727" spans="2:6" x14ac:dyDescent="0.25">
      <c r="B727" s="88" t="str">
        <f>'Lista por etapa'!B567</f>
        <v xml:space="preserve">Barra de aço CA-25, </v>
      </c>
      <c r="C727" s="91" t="str">
        <f>'Lista por etapa'!C567</f>
        <v>Barra 12 m</v>
      </c>
      <c r="D727" s="87">
        <f>'Lista por etapa'!D567</f>
        <v>0</v>
      </c>
      <c r="E727" s="107">
        <f>IFERROR(VLOOKUP(B727,'Lista por categoria'!B:F,4,0),0)</f>
        <v>0</v>
      </c>
      <c r="F727" s="107">
        <f t="shared" si="74"/>
        <v>0</v>
      </c>
    </row>
    <row r="728" spans="2:6" x14ac:dyDescent="0.25">
      <c r="B728" s="88" t="str">
        <f>'Lista por etapa'!B568</f>
        <v>Arame recozido BWG 18 (1,24mm)</v>
      </c>
      <c r="C728" s="91" t="str">
        <f>'Lista por etapa'!C568</f>
        <v>Rolo 1 kg</v>
      </c>
      <c r="D728" s="87">
        <f>'Lista por etapa'!D568</f>
        <v>0</v>
      </c>
      <c r="E728" s="107">
        <f>IFERROR(VLOOKUP(B728,'Lista por categoria'!B:F,4,0),0)</f>
        <v>0</v>
      </c>
      <c r="F728" s="107">
        <f t="shared" si="74"/>
        <v>0</v>
      </c>
    </row>
    <row r="729" spans="2:6" x14ac:dyDescent="0.25">
      <c r="B729" s="88" t="str">
        <f>'Lista por etapa'!B569</f>
        <v>Espaçadores de ferragem</v>
      </c>
      <c r="C729" s="91" t="str">
        <f>'Lista por etapa'!C569</f>
        <v>Peça</v>
      </c>
      <c r="D729" s="87">
        <f>'Lista por etapa'!D569</f>
        <v>0</v>
      </c>
      <c r="E729" s="107">
        <f>IFERROR(VLOOKUP(B729,'Lista por categoria'!B:F,4,0),0)</f>
        <v>0</v>
      </c>
      <c r="F729" s="107">
        <f t="shared" si="74"/>
        <v>0</v>
      </c>
    </row>
    <row r="730" spans="2:6" ht="15.75" x14ac:dyDescent="0.25">
      <c r="B730" s="134" t="str">
        <f>'20. Muro com Blocos'!B77:D77</f>
        <v>Concreto da viga baldrame do muro</v>
      </c>
      <c r="C730" s="134"/>
      <c r="D730" s="134"/>
      <c r="E730" s="134"/>
      <c r="F730" s="134"/>
    </row>
    <row r="731" spans="2:6" x14ac:dyDescent="0.25">
      <c r="B731" s="108" t="s">
        <v>5</v>
      </c>
      <c r="C731" s="109" t="s">
        <v>46</v>
      </c>
      <c r="D731" s="122" t="s">
        <v>6</v>
      </c>
      <c r="E731" s="28" t="s">
        <v>1101</v>
      </c>
      <c r="F731" s="28" t="s">
        <v>1102</v>
      </c>
    </row>
    <row r="732" spans="2:6" x14ac:dyDescent="0.25">
      <c r="B732" s="88" t="str">
        <f>'Lista por etapa'!B572</f>
        <v>Concreto usinado para vigas baldrames</v>
      </c>
      <c r="C732" s="91" t="str">
        <f>'Lista por etapa'!C572</f>
        <v>m3</v>
      </c>
      <c r="D732" s="87">
        <f>'Lista por etapa'!D572</f>
        <v>0</v>
      </c>
      <c r="E732" s="107">
        <f>IFERROR(VLOOKUP(B732,'Lista por categoria'!B:F,4,0),0)</f>
        <v>0</v>
      </c>
      <c r="F732" s="107">
        <f t="shared" ref="F732:F735" si="75">D732*E732</f>
        <v>0</v>
      </c>
    </row>
    <row r="733" spans="2:6" x14ac:dyDescent="0.25">
      <c r="B733" s="88" t="str">
        <f>'Lista por etapa'!B573</f>
        <v>Cimento CP III</v>
      </c>
      <c r="C733" s="91" t="str">
        <f>'Lista por etapa'!C573</f>
        <v>Saco 50kg</v>
      </c>
      <c r="D733" s="87">
        <f>'Lista por etapa'!D573</f>
        <v>0</v>
      </c>
      <c r="E733" s="107">
        <f>IFERROR(VLOOKUP(B733,'Lista por categoria'!B:F,4,0),0)</f>
        <v>0</v>
      </c>
      <c r="F733" s="107">
        <f t="shared" si="75"/>
        <v>0</v>
      </c>
    </row>
    <row r="734" spans="2:6" x14ac:dyDescent="0.25">
      <c r="B734" s="88" t="str">
        <f>'Lista por etapa'!B574</f>
        <v>Areia média</v>
      </c>
      <c r="C734" s="91" t="str">
        <f>'Lista por etapa'!C574</f>
        <v>m3</v>
      </c>
      <c r="D734" s="87">
        <f>'Lista por etapa'!D574</f>
        <v>0</v>
      </c>
      <c r="E734" s="107">
        <f>IFERROR(VLOOKUP(B734,'Lista por categoria'!B:F,4,0),0)</f>
        <v>0</v>
      </c>
      <c r="F734" s="107">
        <f t="shared" si="75"/>
        <v>0</v>
      </c>
    </row>
    <row r="735" spans="2:6" x14ac:dyDescent="0.25">
      <c r="B735" s="88" t="str">
        <f>'Lista por etapa'!B575</f>
        <v>Pedra brita 1</v>
      </c>
      <c r="C735" s="91" t="str">
        <f>'Lista por etapa'!C575</f>
        <v>m3</v>
      </c>
      <c r="D735" s="87">
        <f>'Lista por etapa'!D575</f>
        <v>0</v>
      </c>
      <c r="E735" s="107">
        <f>IFERROR(VLOOKUP(B735,'Lista por categoria'!B:F,4,0),0)</f>
        <v>0</v>
      </c>
      <c r="F735" s="107">
        <f t="shared" si="75"/>
        <v>0</v>
      </c>
    </row>
    <row r="736" spans="2:6" ht="15.75" x14ac:dyDescent="0.25">
      <c r="B736" s="134" t="str">
        <f>'20. Muro com Blocos'!B120:D120</f>
        <v>Concreto magro usado no lastro</v>
      </c>
      <c r="C736" s="134"/>
      <c r="D736" s="134"/>
      <c r="E736" s="134"/>
      <c r="F736" s="134"/>
    </row>
    <row r="737" spans="2:6" x14ac:dyDescent="0.25">
      <c r="B737" s="108" t="s">
        <v>5</v>
      </c>
      <c r="C737" s="109" t="s">
        <v>46</v>
      </c>
      <c r="D737" s="122" t="s">
        <v>6</v>
      </c>
      <c r="E737" s="28" t="s">
        <v>1101</v>
      </c>
      <c r="F737" s="28" t="s">
        <v>1102</v>
      </c>
    </row>
    <row r="738" spans="2:6" x14ac:dyDescent="0.25">
      <c r="B738" s="88" t="str">
        <f>'Lista por etapa'!B578</f>
        <v>Cimento CP III</v>
      </c>
      <c r="C738" s="91" t="str">
        <f>'Lista por etapa'!C578</f>
        <v>Saco 50kg</v>
      </c>
      <c r="D738" s="87">
        <f>'Lista por etapa'!D578</f>
        <v>0</v>
      </c>
      <c r="E738" s="107">
        <f>IFERROR(VLOOKUP(B738,'Lista por categoria'!B:F,4,0),0)</f>
        <v>0</v>
      </c>
      <c r="F738" s="107">
        <f t="shared" ref="F738:F740" si="76">D738*E738</f>
        <v>0</v>
      </c>
    </row>
    <row r="739" spans="2:6" x14ac:dyDescent="0.25">
      <c r="B739" s="88" t="str">
        <f>'Lista por etapa'!B579</f>
        <v>Areia média</v>
      </c>
      <c r="C739" s="91" t="str">
        <f>'Lista por etapa'!C579</f>
        <v>m3</v>
      </c>
      <c r="D739" s="87">
        <f>'Lista por etapa'!D579</f>
        <v>0</v>
      </c>
      <c r="E739" s="107">
        <f>IFERROR(VLOOKUP(B739,'Lista por categoria'!B:F,4,0),0)</f>
        <v>0</v>
      </c>
      <c r="F739" s="107">
        <f t="shared" si="76"/>
        <v>0</v>
      </c>
    </row>
    <row r="740" spans="2:6" x14ac:dyDescent="0.25">
      <c r="B740" s="88" t="str">
        <f>'Lista por etapa'!B580</f>
        <v>Pedra brita 1</v>
      </c>
      <c r="C740" s="91" t="str">
        <f>'Lista por etapa'!C580</f>
        <v>m3</v>
      </c>
      <c r="D740" s="87">
        <f>'Lista por etapa'!D580</f>
        <v>0</v>
      </c>
      <c r="E740" s="107">
        <f>IFERROR(VLOOKUP(B740,'Lista por categoria'!B:F,4,0),0)</f>
        <v>0</v>
      </c>
      <c r="F740" s="107">
        <f t="shared" si="76"/>
        <v>0</v>
      </c>
    </row>
    <row r="741" spans="2:6" ht="15.75" x14ac:dyDescent="0.25">
      <c r="B741" s="134" t="str">
        <f>'20. Muro com Blocos'!B142:D142</f>
        <v>Armações de aço da viga baldrame do muro</v>
      </c>
      <c r="C741" s="134"/>
      <c r="D741" s="134"/>
      <c r="E741" s="134"/>
      <c r="F741" s="134"/>
    </row>
    <row r="742" spans="2:6" x14ac:dyDescent="0.25">
      <c r="B742" s="108" t="s">
        <v>5</v>
      </c>
      <c r="C742" s="109" t="s">
        <v>46</v>
      </c>
      <c r="D742" s="122" t="s">
        <v>6</v>
      </c>
      <c r="E742" s="28" t="s">
        <v>1101</v>
      </c>
      <c r="F742" s="28" t="s">
        <v>1102</v>
      </c>
    </row>
    <row r="743" spans="2:6" x14ac:dyDescent="0.25">
      <c r="B743" s="88" t="str">
        <f>'Lista por etapa'!B583</f>
        <v>Barra de aço CA-25, 10mm (⅜'')</v>
      </c>
      <c r="C743" s="91" t="str">
        <f>'Lista por etapa'!C583</f>
        <v>Barra 12 m</v>
      </c>
      <c r="D743" s="87">
        <f>'Lista por etapa'!D583</f>
        <v>0</v>
      </c>
      <c r="E743" s="107">
        <f>IFERROR(VLOOKUP(B743,'Lista por categoria'!B:F,4,0),0)</f>
        <v>0</v>
      </c>
      <c r="F743" s="107">
        <f t="shared" ref="F743:F746" si="77">D743*E743</f>
        <v>0</v>
      </c>
    </row>
    <row r="744" spans="2:6" x14ac:dyDescent="0.25">
      <c r="B744" s="88" t="str">
        <f>'Lista por etapa'!B584</f>
        <v>Barra de aço CA-60, 4,2mm</v>
      </c>
      <c r="C744" s="91" t="str">
        <f>'Lista por etapa'!C584</f>
        <v>Barra 12 m</v>
      </c>
      <c r="D744" s="87">
        <f>'Lista por etapa'!D584</f>
        <v>0</v>
      </c>
      <c r="E744" s="107">
        <f>IFERROR(VLOOKUP(B744,'Lista por categoria'!B:F,4,0),0)</f>
        <v>0</v>
      </c>
      <c r="F744" s="107">
        <f t="shared" si="77"/>
        <v>0</v>
      </c>
    </row>
    <row r="745" spans="2:6" x14ac:dyDescent="0.25">
      <c r="B745" s="88" t="str">
        <f>'Lista por etapa'!B585</f>
        <v>Arame recozido BWG 18 (1,24mm)</v>
      </c>
      <c r="C745" s="91" t="str">
        <f>'Lista por etapa'!C585</f>
        <v>Rolo 1 kg</v>
      </c>
      <c r="D745" s="87">
        <f>'Lista por etapa'!D585</f>
        <v>0</v>
      </c>
      <c r="E745" s="107">
        <f>IFERROR(VLOOKUP(B745,'Lista por categoria'!B:F,4,0),0)</f>
        <v>0</v>
      </c>
      <c r="F745" s="107">
        <f t="shared" si="77"/>
        <v>0</v>
      </c>
    </row>
    <row r="746" spans="2:6" x14ac:dyDescent="0.25">
      <c r="B746" s="88" t="str">
        <f>'Lista por etapa'!B586</f>
        <v>Espaçadores de ferragem</v>
      </c>
      <c r="C746" s="91" t="str">
        <f>'Lista por etapa'!C586</f>
        <v>Peça</v>
      </c>
      <c r="D746" s="87">
        <f>'Lista por etapa'!D586</f>
        <v>0</v>
      </c>
      <c r="E746" s="107">
        <f>IFERROR(VLOOKUP(B746,'Lista por categoria'!B:F,4,0),0)</f>
        <v>0</v>
      </c>
      <c r="F746" s="107">
        <f t="shared" si="77"/>
        <v>0</v>
      </c>
    </row>
    <row r="747" spans="2:6" ht="15.75" x14ac:dyDescent="0.25">
      <c r="B747" s="134" t="str">
        <f>'20. Muro com Blocos'!B191:D191</f>
        <v>Armações de aço das colunas de arranque</v>
      </c>
      <c r="C747" s="134"/>
      <c r="D747" s="134"/>
      <c r="E747" s="134"/>
      <c r="F747" s="134"/>
    </row>
    <row r="748" spans="2:6" x14ac:dyDescent="0.25">
      <c r="B748" s="108" t="s">
        <v>5</v>
      </c>
      <c r="C748" s="109" t="s">
        <v>46</v>
      </c>
      <c r="D748" s="122" t="s">
        <v>6</v>
      </c>
      <c r="E748" s="28" t="s">
        <v>1101</v>
      </c>
      <c r="F748" s="28" t="s">
        <v>1102</v>
      </c>
    </row>
    <row r="749" spans="2:6" x14ac:dyDescent="0.25">
      <c r="B749" s="88" t="str">
        <f>'Lista por etapa'!B589</f>
        <v>Barra de aço CA-25, 10mm (⅜'')</v>
      </c>
      <c r="C749" s="91" t="str">
        <f>'Lista por etapa'!C589</f>
        <v>Barra 12 m</v>
      </c>
      <c r="D749" s="87">
        <f>'Lista por etapa'!D589</f>
        <v>0</v>
      </c>
      <c r="E749" s="107">
        <f>IFERROR(VLOOKUP(B749,'Lista por categoria'!B:F,4,0),0)</f>
        <v>0</v>
      </c>
      <c r="F749" s="107">
        <f t="shared" ref="F749:F750" si="78">D749*E749</f>
        <v>0</v>
      </c>
    </row>
    <row r="750" spans="2:6" x14ac:dyDescent="0.25">
      <c r="B750" s="88" t="str">
        <f>'Lista por etapa'!B590</f>
        <v>Barra de aço CA-60, 4,2mm</v>
      </c>
      <c r="C750" s="91" t="str">
        <f>'Lista por etapa'!C590</f>
        <v>Barra 12 m</v>
      </c>
      <c r="D750" s="87">
        <f>'Lista por etapa'!D590</f>
        <v>0</v>
      </c>
      <c r="E750" s="107">
        <f>IFERROR(VLOOKUP(B750,'Lista por categoria'!B:F,4,0),0)</f>
        <v>0</v>
      </c>
      <c r="F750" s="107">
        <f t="shared" si="78"/>
        <v>0</v>
      </c>
    </row>
    <row r="751" spans="2:6" ht="15.75" x14ac:dyDescent="0.25">
      <c r="B751" s="134" t="str">
        <f>'20. Muro com Blocos'!B235:D235</f>
        <v>Fôrmas de madeira da viga baldrame do muro</v>
      </c>
      <c r="C751" s="134"/>
      <c r="D751" s="134"/>
      <c r="E751" s="134"/>
      <c r="F751" s="134"/>
    </row>
    <row r="752" spans="2:6" x14ac:dyDescent="0.25">
      <c r="B752" s="108" t="s">
        <v>5</v>
      </c>
      <c r="C752" s="109" t="s">
        <v>46</v>
      </c>
      <c r="D752" s="122" t="s">
        <v>6</v>
      </c>
      <c r="E752" s="28" t="s">
        <v>1101</v>
      </c>
      <c r="F752" s="28" t="s">
        <v>1102</v>
      </c>
    </row>
    <row r="753" spans="2:6" x14ac:dyDescent="0.25">
      <c r="B753" s="88" t="str">
        <f>'Lista por etapa'!B593</f>
        <v>Tábua madeira 2,3 x 30 cm bruto</v>
      </c>
      <c r="C753" s="91" t="str">
        <f>'Lista por etapa'!C593</f>
        <v>Peça 3,0 m</v>
      </c>
      <c r="D753" s="87">
        <f>'Lista por etapa'!D593</f>
        <v>0</v>
      </c>
      <c r="E753" s="107">
        <f>IFERROR(VLOOKUP(B753,'Lista por categoria'!B:F,4,0),0)</f>
        <v>0</v>
      </c>
      <c r="F753" s="107">
        <f t="shared" ref="F753:F755" si="79">D753*E753</f>
        <v>0</v>
      </c>
    </row>
    <row r="754" spans="2:6" x14ac:dyDescent="0.25">
      <c r="B754" s="88" t="str">
        <f>'Lista por etapa'!B594</f>
        <v>Sarrafo madeira 2,3 x 10 cm bruto</v>
      </c>
      <c r="C754" s="91" t="str">
        <f>'Lista por etapa'!C594</f>
        <v>Peça 3,0 m</v>
      </c>
      <c r="D754" s="87">
        <f>'Lista por etapa'!D594</f>
        <v>0</v>
      </c>
      <c r="E754" s="107">
        <f>IFERROR(VLOOKUP(B754,'Lista por categoria'!B:F,4,0),0)</f>
        <v>0</v>
      </c>
      <c r="F754" s="107">
        <f t="shared" si="79"/>
        <v>0</v>
      </c>
    </row>
    <row r="755" spans="2:6" x14ac:dyDescent="0.25">
      <c r="B755" s="88" t="str">
        <f>'Lista por etapa'!B595</f>
        <v>Prego aço polido c/ cabeça 17 x 27</v>
      </c>
      <c r="C755" s="91" t="str">
        <f>'Lista por etapa'!C595</f>
        <v>kg</v>
      </c>
      <c r="D755" s="87">
        <f>'Lista por etapa'!D595</f>
        <v>0</v>
      </c>
      <c r="E755" s="107">
        <f>IFERROR(VLOOKUP(B755,'Lista por categoria'!B:F,4,0),0)</f>
        <v>0</v>
      </c>
      <c r="F755" s="107">
        <f t="shared" si="79"/>
        <v>0</v>
      </c>
    </row>
    <row r="756" spans="2:6" ht="15.75" x14ac:dyDescent="0.25">
      <c r="B756" s="134" t="str">
        <f>'20. Muro com Blocos'!B265:D265</f>
        <v>Impermeabilização da viga baldrame do muro</v>
      </c>
      <c r="C756" s="134"/>
      <c r="D756" s="134"/>
      <c r="E756" s="134"/>
      <c r="F756" s="134"/>
    </row>
    <row r="757" spans="2:6" x14ac:dyDescent="0.25">
      <c r="B757" s="108" t="s">
        <v>5</v>
      </c>
      <c r="C757" s="109" t="s">
        <v>46</v>
      </c>
      <c r="D757" s="122" t="s">
        <v>6</v>
      </c>
      <c r="E757" s="28" t="s">
        <v>1101</v>
      </c>
      <c r="F757" s="28" t="s">
        <v>1102</v>
      </c>
    </row>
    <row r="758" spans="2:6" x14ac:dyDescent="0.25">
      <c r="B758" s="88" t="str">
        <f>'Lista por etapa'!B598</f>
        <v>Cimento CP III</v>
      </c>
      <c r="C758" s="91" t="str">
        <f>'Lista por etapa'!C598</f>
        <v>Saco 50kg</v>
      </c>
      <c r="D758" s="87">
        <f>'Lista por etapa'!D598</f>
        <v>0</v>
      </c>
      <c r="E758" s="107">
        <f>IFERROR(VLOOKUP(B758,'Lista por categoria'!B:F,4,0),0)</f>
        <v>0</v>
      </c>
      <c r="F758" s="107">
        <f t="shared" ref="F758:F761" si="80">D758*E758</f>
        <v>0</v>
      </c>
    </row>
    <row r="759" spans="2:6" x14ac:dyDescent="0.25">
      <c r="B759" s="88" t="str">
        <f>'Lista por etapa'!B599</f>
        <v>Areia média</v>
      </c>
      <c r="C759" s="91" t="str">
        <f>'Lista por etapa'!C599</f>
        <v>m3</v>
      </c>
      <c r="D759" s="87">
        <f>'Lista por etapa'!D599</f>
        <v>0</v>
      </c>
      <c r="E759" s="107">
        <f>IFERROR(VLOOKUP(B759,'Lista por categoria'!B:F,4,0),0)</f>
        <v>0</v>
      </c>
      <c r="F759" s="107">
        <f t="shared" si="80"/>
        <v>0</v>
      </c>
    </row>
    <row r="760" spans="2:6" x14ac:dyDescent="0.25">
      <c r="B760" s="88" t="str">
        <f>'Lista por etapa'!B600</f>
        <v>Impermeabilizante Vedatop</v>
      </c>
      <c r="C760" s="91" t="str">
        <f>'Lista por etapa'!C600</f>
        <v>Caixa 12 kg</v>
      </c>
      <c r="D760" s="87">
        <f>'Lista por etapa'!D600</f>
        <v>0</v>
      </c>
      <c r="E760" s="107">
        <f>IFERROR(VLOOKUP(B760,'Lista por categoria'!B:F,4,0),0)</f>
        <v>0</v>
      </c>
      <c r="F760" s="107">
        <f t="shared" si="80"/>
        <v>0</v>
      </c>
    </row>
    <row r="761" spans="2:6" x14ac:dyDescent="0.25">
      <c r="B761" s="88" t="str">
        <f>'Lista por etapa'!B601</f>
        <v>Broxa para pintura rústicas, 15 cm</v>
      </c>
      <c r="C761" s="91" t="str">
        <f>'Lista por etapa'!C601</f>
        <v>Peça</v>
      </c>
      <c r="D761" s="87">
        <f>'Lista por etapa'!D601</f>
        <v>0</v>
      </c>
      <c r="E761" s="107">
        <f>IFERROR(VLOOKUP(B761,'Lista por categoria'!B:F,4,0),0)</f>
        <v>0</v>
      </c>
      <c r="F761" s="107">
        <f t="shared" si="80"/>
        <v>0</v>
      </c>
    </row>
    <row r="762" spans="2:6" ht="15.75" x14ac:dyDescent="0.25">
      <c r="B762" s="134" t="str">
        <f>'20. Muro com Blocos'!B287:D287</f>
        <v>Blocos de concreto e argamassa do muro</v>
      </c>
      <c r="C762" s="134"/>
      <c r="D762" s="134"/>
      <c r="E762" s="134"/>
      <c r="F762" s="134"/>
    </row>
    <row r="763" spans="2:6" x14ac:dyDescent="0.25">
      <c r="B763" s="108" t="s">
        <v>5</v>
      </c>
      <c r="C763" s="109" t="s">
        <v>46</v>
      </c>
      <c r="D763" s="122" t="s">
        <v>6</v>
      </c>
      <c r="E763" s="28" t="s">
        <v>1101</v>
      </c>
      <c r="F763" s="28" t="s">
        <v>1102</v>
      </c>
    </row>
    <row r="764" spans="2:6" x14ac:dyDescent="0.25">
      <c r="B764" s="88" t="str">
        <f>'Lista por etapa'!B604</f>
        <v xml:space="preserve">Bloco de concreto vedação, </v>
      </c>
      <c r="C764" s="91" t="str">
        <f>'Lista por etapa'!C604</f>
        <v>Peça</v>
      </c>
      <c r="D764" s="87">
        <f>'Lista por etapa'!D604</f>
        <v>0</v>
      </c>
      <c r="E764" s="107">
        <f>IFERROR(VLOOKUP(B764,'Lista por categoria'!B:F,4,0),0)</f>
        <v>0</v>
      </c>
      <c r="F764" s="107">
        <f t="shared" ref="F764:F770" si="81">D764*E764</f>
        <v>0</v>
      </c>
    </row>
    <row r="765" spans="2:6" x14ac:dyDescent="0.25">
      <c r="B765" s="88" t="str">
        <f>'Lista por etapa'!B605</f>
        <v>Cimento CP II</v>
      </c>
      <c r="C765" s="91" t="str">
        <f>'Lista por etapa'!C605</f>
        <v>Saco 50kg</v>
      </c>
      <c r="D765" s="87">
        <f>'Lista por etapa'!D605</f>
        <v>0</v>
      </c>
      <c r="E765" s="107">
        <f>IFERROR(VLOOKUP(B765,'Lista por categoria'!B:F,4,0),0)</f>
        <v>0</v>
      </c>
      <c r="F765" s="107">
        <f t="shared" si="81"/>
        <v>0</v>
      </c>
    </row>
    <row r="766" spans="2:6" x14ac:dyDescent="0.25">
      <c r="B766" s="88" t="str">
        <f>'Lista por etapa'!B606</f>
        <v>Areia média</v>
      </c>
      <c r="C766" s="91" t="str">
        <f>'Lista por etapa'!C606</f>
        <v>m3</v>
      </c>
      <c r="D766" s="87">
        <f>'Lista por etapa'!D606</f>
        <v>0</v>
      </c>
      <c r="E766" s="107">
        <f>IFERROR(VLOOKUP(B766,'Lista por categoria'!B:F,4,0),0)</f>
        <v>0</v>
      </c>
      <c r="F766" s="107">
        <f t="shared" si="81"/>
        <v>0</v>
      </c>
    </row>
    <row r="767" spans="2:6" x14ac:dyDescent="0.25">
      <c r="B767" s="88" t="str">
        <f>'Lista por etapa'!B607</f>
        <v>Cal hidratada para construção civil</v>
      </c>
      <c r="C767" s="91" t="str">
        <f>'Lista por etapa'!C607</f>
        <v>Saco 20 kg</v>
      </c>
      <c r="D767" s="87">
        <f>'Lista por etapa'!D607</f>
        <v>0</v>
      </c>
      <c r="E767" s="107">
        <f>IFERROR(VLOOKUP(B767,'Lista por categoria'!B:F,4,0),0)</f>
        <v>0</v>
      </c>
      <c r="F767" s="107">
        <f t="shared" si="81"/>
        <v>0</v>
      </c>
    </row>
    <row r="768" spans="2:6" x14ac:dyDescent="0.25">
      <c r="B768" s="88" t="str">
        <f>'Lista por etapa'!B608</f>
        <v>Aditivo plastificante Alvenarit</v>
      </c>
      <c r="C768" s="91" t="str">
        <f>'Lista por etapa'!C608</f>
        <v>Litros</v>
      </c>
      <c r="D768" s="87">
        <f>'Lista por etapa'!D608</f>
        <v>0</v>
      </c>
      <c r="E768" s="107">
        <f>IFERROR(VLOOKUP(B768,'Lista por categoria'!B:F,4,0),0)</f>
        <v>0</v>
      </c>
      <c r="F768" s="107">
        <f t="shared" si="81"/>
        <v>0</v>
      </c>
    </row>
    <row r="769" spans="2:6" x14ac:dyDescent="0.25">
      <c r="B769" s="88" t="str">
        <f>'Lista por etapa'!B609</f>
        <v xml:space="preserve">Portão para carros, </v>
      </c>
      <c r="C769" s="91" t="str">
        <f>'Lista por etapa'!C609</f>
        <v>Peça</v>
      </c>
      <c r="D769" s="87">
        <f>'Lista por etapa'!D609</f>
        <v>0</v>
      </c>
      <c r="E769" s="107">
        <f>IFERROR(VLOOKUP(B769,'Lista por categoria'!B:F,4,0),0)</f>
        <v>0</v>
      </c>
      <c r="F769" s="107">
        <f t="shared" si="81"/>
        <v>0</v>
      </c>
    </row>
    <row r="770" spans="2:6" x14ac:dyDescent="0.25">
      <c r="B770" s="88" t="str">
        <f>'Lista por etapa'!B610</f>
        <v xml:space="preserve">Portão social, </v>
      </c>
      <c r="C770" s="91" t="str">
        <f>'Lista por etapa'!C610</f>
        <v>Peça</v>
      </c>
      <c r="D770" s="87">
        <f>'Lista por etapa'!D610</f>
        <v>0</v>
      </c>
      <c r="E770" s="107">
        <f>IFERROR(VLOOKUP(B770,'Lista por categoria'!B:F,4,0),0)</f>
        <v>0</v>
      </c>
      <c r="F770" s="107">
        <f t="shared" si="81"/>
        <v>0</v>
      </c>
    </row>
    <row r="771" spans="2:6" ht="15.75" x14ac:dyDescent="0.25">
      <c r="B771" s="134" t="str">
        <f>'20. Muro com Blocos'!B373:D373</f>
        <v>Colunas ou pilares do muro</v>
      </c>
      <c r="C771" s="134"/>
      <c r="D771" s="134"/>
      <c r="E771" s="134"/>
      <c r="F771" s="134"/>
    </row>
    <row r="772" spans="2:6" x14ac:dyDescent="0.25">
      <c r="B772" s="108" t="s">
        <v>5</v>
      </c>
      <c r="C772" s="109" t="s">
        <v>46</v>
      </c>
      <c r="D772" s="122" t="s">
        <v>6</v>
      </c>
      <c r="E772" s="28" t="s">
        <v>1101</v>
      </c>
      <c r="F772" s="28" t="s">
        <v>1102</v>
      </c>
    </row>
    <row r="773" spans="2:6" x14ac:dyDescent="0.25">
      <c r="B773" s="88" t="str">
        <f>'Lista por etapa'!B613</f>
        <v>Concreto usinado para pilares</v>
      </c>
      <c r="C773" s="91" t="str">
        <f>'Lista por etapa'!C613</f>
        <v>m3</v>
      </c>
      <c r="D773" s="87">
        <f>'Lista por etapa'!D613</f>
        <v>0</v>
      </c>
      <c r="E773" s="107">
        <f>IFERROR(VLOOKUP(B773,'Lista por categoria'!B:F,4,0),0)</f>
        <v>0</v>
      </c>
      <c r="F773" s="107">
        <f t="shared" ref="F773:F783" si="82">D773*E773</f>
        <v>0</v>
      </c>
    </row>
    <row r="774" spans="2:6" x14ac:dyDescent="0.25">
      <c r="B774" s="88" t="str">
        <f>'Lista por etapa'!B614</f>
        <v>Cimento CP III</v>
      </c>
      <c r="C774" s="91" t="str">
        <f>'Lista por etapa'!C614</f>
        <v>Saco 50kg</v>
      </c>
      <c r="D774" s="87">
        <f>'Lista por etapa'!D614</f>
        <v>0</v>
      </c>
      <c r="E774" s="107">
        <f>IFERROR(VLOOKUP(B774,'Lista por categoria'!B:F,4,0),0)</f>
        <v>0</v>
      </c>
      <c r="F774" s="107">
        <f t="shared" si="82"/>
        <v>0</v>
      </c>
    </row>
    <row r="775" spans="2:6" x14ac:dyDescent="0.25">
      <c r="B775" s="88" t="str">
        <f>'Lista por etapa'!B615</f>
        <v>Areia média</v>
      </c>
      <c r="C775" s="91" t="str">
        <f>'Lista por etapa'!C615</f>
        <v>m3</v>
      </c>
      <c r="D775" s="87">
        <f>'Lista por etapa'!D615</f>
        <v>0</v>
      </c>
      <c r="E775" s="107">
        <f>IFERROR(VLOOKUP(B775,'Lista por categoria'!B:F,4,0),0)</f>
        <v>0</v>
      </c>
      <c r="F775" s="107">
        <f t="shared" si="82"/>
        <v>0</v>
      </c>
    </row>
    <row r="776" spans="2:6" x14ac:dyDescent="0.25">
      <c r="B776" s="88" t="str">
        <f>'Lista por etapa'!B616</f>
        <v>Pedra brita 1</v>
      </c>
      <c r="C776" s="91" t="str">
        <f>'Lista por etapa'!C616</f>
        <v>m3</v>
      </c>
      <c r="D776" s="87">
        <f>'Lista por etapa'!D616</f>
        <v>0</v>
      </c>
      <c r="E776" s="107">
        <f>IFERROR(VLOOKUP(B776,'Lista por categoria'!B:F,4,0),0)</f>
        <v>0</v>
      </c>
      <c r="F776" s="107">
        <f t="shared" si="82"/>
        <v>0</v>
      </c>
    </row>
    <row r="777" spans="2:6" x14ac:dyDescent="0.25">
      <c r="B777" s="88" t="str">
        <f>'Lista por etapa'!B617</f>
        <v>Barra de aço CA-25, 10mm (⅜'')</v>
      </c>
      <c r="C777" s="91" t="str">
        <f>'Lista por etapa'!C617</f>
        <v>Barra 12 m</v>
      </c>
      <c r="D777" s="87">
        <f>'Lista por etapa'!D617</f>
        <v>0</v>
      </c>
      <c r="E777" s="107">
        <f>IFERROR(VLOOKUP(B777,'Lista por categoria'!B:F,4,0),0)</f>
        <v>0</v>
      </c>
      <c r="F777" s="107">
        <f t="shared" si="82"/>
        <v>0</v>
      </c>
    </row>
    <row r="778" spans="2:6" x14ac:dyDescent="0.25">
      <c r="B778" s="88" t="str">
        <f>'Lista por etapa'!B618</f>
        <v>Barra de aço CA-60, 4,2mm</v>
      </c>
      <c r="C778" s="91" t="str">
        <f>'Lista por etapa'!C618</f>
        <v>Barra 12 m</v>
      </c>
      <c r="D778" s="87">
        <f>'Lista por etapa'!D618</f>
        <v>0</v>
      </c>
      <c r="E778" s="107">
        <f>IFERROR(VLOOKUP(B778,'Lista por categoria'!B:F,4,0),0)</f>
        <v>0</v>
      </c>
      <c r="F778" s="107">
        <f t="shared" si="82"/>
        <v>0</v>
      </c>
    </row>
    <row r="779" spans="2:6" x14ac:dyDescent="0.25">
      <c r="B779" s="88" t="str">
        <f>'Lista por etapa'!B619</f>
        <v>Arame recozido BWG 18 (1,24mm)</v>
      </c>
      <c r="C779" s="91" t="str">
        <f>'Lista por etapa'!C619</f>
        <v>Rolo 1 kg</v>
      </c>
      <c r="D779" s="87">
        <f>'Lista por etapa'!D619</f>
        <v>0</v>
      </c>
      <c r="E779" s="107">
        <f>IFERROR(VLOOKUP(B779,'Lista por categoria'!B:F,4,0),0)</f>
        <v>0</v>
      </c>
      <c r="F779" s="107">
        <f t="shared" si="82"/>
        <v>0</v>
      </c>
    </row>
    <row r="780" spans="2:6" x14ac:dyDescent="0.25">
      <c r="B780" s="88" t="str">
        <f>'Lista por etapa'!B620</f>
        <v>Espaçadores de ferragem</v>
      </c>
      <c r="C780" s="91" t="str">
        <f>'Lista por etapa'!C620</f>
        <v>Peça</v>
      </c>
      <c r="D780" s="87">
        <f>'Lista por etapa'!D620</f>
        <v>0</v>
      </c>
      <c r="E780" s="107">
        <f>IFERROR(VLOOKUP(B780,'Lista por categoria'!B:F,4,0),0)</f>
        <v>0</v>
      </c>
      <c r="F780" s="107">
        <f t="shared" si="82"/>
        <v>0</v>
      </c>
    </row>
    <row r="781" spans="2:6" x14ac:dyDescent="0.25">
      <c r="B781" s="88" t="str">
        <f>'Lista por etapa'!B621</f>
        <v>Tábua madeira 2,3 x 30 cm bruto</v>
      </c>
      <c r="C781" s="91" t="str">
        <f>'Lista por etapa'!C621</f>
        <v/>
      </c>
      <c r="D781" s="87">
        <f>'Lista por etapa'!D621</f>
        <v>0</v>
      </c>
      <c r="E781" s="107">
        <f>IFERROR(VLOOKUP(B781,'Lista por categoria'!B:F,4,0),0)</f>
        <v>0</v>
      </c>
      <c r="F781" s="107">
        <f t="shared" si="82"/>
        <v>0</v>
      </c>
    </row>
    <row r="782" spans="2:6" x14ac:dyDescent="0.25">
      <c r="B782" s="88" t="str">
        <f>'Lista por etapa'!B622</f>
        <v>Sarrafo madeira 2,3 x 10 cm bruto</v>
      </c>
      <c r="C782" s="91" t="str">
        <f>'Lista por etapa'!C622</f>
        <v>Peça 3,0 m</v>
      </c>
      <c r="D782" s="87">
        <f>'Lista por etapa'!D622</f>
        <v>0</v>
      </c>
      <c r="E782" s="107">
        <f>IFERROR(VLOOKUP(B782,'Lista por categoria'!B:F,4,0),0)</f>
        <v>0</v>
      </c>
      <c r="F782" s="107">
        <f t="shared" si="82"/>
        <v>0</v>
      </c>
    </row>
    <row r="783" spans="2:6" x14ac:dyDescent="0.25">
      <c r="B783" s="88" t="str">
        <f>'Lista por etapa'!B623</f>
        <v>Prego aço polido c/ cabeça 17 x 27</v>
      </c>
      <c r="C783" s="91" t="str">
        <f>'Lista por etapa'!C623</f>
        <v>kg</v>
      </c>
      <c r="D783" s="87">
        <f>'Lista por etapa'!D623</f>
        <v>0</v>
      </c>
      <c r="E783" s="107">
        <f>IFERROR(VLOOKUP(B783,'Lista por categoria'!B:F,4,0),0)</f>
        <v>0</v>
      </c>
      <c r="F783" s="107">
        <f t="shared" si="82"/>
        <v>0</v>
      </c>
    </row>
    <row r="784" spans="2:6" ht="15.75" x14ac:dyDescent="0.25">
      <c r="B784" s="134" t="str">
        <f>'20. Muro com Blocos'!B509:D509</f>
        <v>Cintas de amarração do muro</v>
      </c>
      <c r="C784" s="134"/>
      <c r="D784" s="134"/>
      <c r="E784" s="134"/>
      <c r="F784" s="134"/>
    </row>
    <row r="785" spans="2:6" x14ac:dyDescent="0.25">
      <c r="B785" s="108" t="s">
        <v>5</v>
      </c>
      <c r="C785" s="109" t="s">
        <v>46</v>
      </c>
      <c r="D785" s="122" t="s">
        <v>6</v>
      </c>
      <c r="E785" s="28" t="s">
        <v>1101</v>
      </c>
      <c r="F785" s="28" t="s">
        <v>1102</v>
      </c>
    </row>
    <row r="786" spans="2:6" x14ac:dyDescent="0.25">
      <c r="B786" s="88" t="str">
        <f>'Lista por etapa'!B626</f>
        <v/>
      </c>
      <c r="C786" s="91" t="str">
        <f>'Lista por etapa'!C626</f>
        <v>Peça</v>
      </c>
      <c r="D786" s="87">
        <f>'Lista por etapa'!D626</f>
        <v>0</v>
      </c>
      <c r="E786" s="107">
        <f>IFERROR(VLOOKUP(B786,'Lista por categoria'!B:F,4,0),0)</f>
        <v>0</v>
      </c>
      <c r="F786" s="107">
        <f t="shared" ref="F786:F790" si="83">D786*E786</f>
        <v>0</v>
      </c>
    </row>
    <row r="787" spans="2:6" x14ac:dyDescent="0.25">
      <c r="B787" s="88" t="str">
        <f>'Lista por etapa'!B627</f>
        <v>Barra de aço CA-25, 10mm (⅜'')</v>
      </c>
      <c r="C787" s="91" t="str">
        <f>'Lista por etapa'!C627</f>
        <v>Barra 12 m</v>
      </c>
      <c r="D787" s="87">
        <f>'Lista por etapa'!D627</f>
        <v>0</v>
      </c>
      <c r="E787" s="107">
        <f>IFERROR(VLOOKUP(B787,'Lista por categoria'!B:F,4,0),0)</f>
        <v>0</v>
      </c>
      <c r="F787" s="107">
        <f t="shared" si="83"/>
        <v>0</v>
      </c>
    </row>
    <row r="788" spans="2:6" x14ac:dyDescent="0.25">
      <c r="B788" s="88" t="str">
        <f>'Lista por etapa'!B628</f>
        <v>Cimento CP III</v>
      </c>
      <c r="C788" s="91" t="str">
        <f>'Lista por etapa'!C628</f>
        <v>Saco 50kg</v>
      </c>
      <c r="D788" s="87">
        <f>'Lista por etapa'!D628</f>
        <v>0</v>
      </c>
      <c r="E788" s="107">
        <f>IFERROR(VLOOKUP(B788,'Lista por categoria'!B:F,4,0),0)</f>
        <v>0</v>
      </c>
      <c r="F788" s="107">
        <f t="shared" si="83"/>
        <v>0</v>
      </c>
    </row>
    <row r="789" spans="2:6" x14ac:dyDescent="0.25">
      <c r="B789" s="88" t="str">
        <f>'Lista por etapa'!B629</f>
        <v>Areia média</v>
      </c>
      <c r="C789" s="91" t="str">
        <f>'Lista por etapa'!C629</f>
        <v>m3</v>
      </c>
      <c r="D789" s="87">
        <f>'Lista por etapa'!D629</f>
        <v>0</v>
      </c>
      <c r="E789" s="107">
        <f>IFERROR(VLOOKUP(B789,'Lista por categoria'!B:F,4,0),0)</f>
        <v>0</v>
      </c>
      <c r="F789" s="107">
        <f t="shared" si="83"/>
        <v>0</v>
      </c>
    </row>
    <row r="790" spans="2:6" x14ac:dyDescent="0.25">
      <c r="B790" s="88" t="str">
        <f>'Lista por etapa'!B630</f>
        <v>Pedra brita 1</v>
      </c>
      <c r="C790" s="91" t="str">
        <f>'Lista por etapa'!C630</f>
        <v>m3</v>
      </c>
      <c r="D790" s="87">
        <f>'Lista por etapa'!D630</f>
        <v>0</v>
      </c>
      <c r="E790" s="107">
        <f>IFERROR(VLOOKUP(B790,'Lista por categoria'!B:F,4,0),0)</f>
        <v>0</v>
      </c>
      <c r="F790" s="107">
        <f t="shared" si="83"/>
        <v>0</v>
      </c>
    </row>
    <row r="791" spans="2:6" ht="15.75" x14ac:dyDescent="0.25">
      <c r="B791" s="134" t="str">
        <f>'20. Muro com Blocos'!B544:D544</f>
        <v>Argamassa do chapisco do muro</v>
      </c>
      <c r="C791" s="134"/>
      <c r="D791" s="134"/>
      <c r="E791" s="134"/>
      <c r="F791" s="134"/>
    </row>
    <row r="792" spans="2:6" x14ac:dyDescent="0.25">
      <c r="B792" s="108" t="s">
        <v>5</v>
      </c>
      <c r="C792" s="109" t="s">
        <v>46</v>
      </c>
      <c r="D792" s="122" t="s">
        <v>6</v>
      </c>
      <c r="E792" s="28" t="s">
        <v>1101</v>
      </c>
      <c r="F792" s="28" t="s">
        <v>1102</v>
      </c>
    </row>
    <row r="793" spans="2:6" x14ac:dyDescent="0.25">
      <c r="B793" s="88" t="str">
        <f>'Lista por etapa'!B633</f>
        <v>Argamassa chapisco pronta</v>
      </c>
      <c r="C793" s="91" t="str">
        <f>'Lista por etapa'!C633</f>
        <v>Saco 20 kg</v>
      </c>
      <c r="D793" s="87">
        <f>'Lista por etapa'!D633</f>
        <v>0</v>
      </c>
      <c r="E793" s="107">
        <f>IFERROR(VLOOKUP(B793,'Lista por categoria'!B:F,4,0),0)</f>
        <v>0</v>
      </c>
      <c r="F793" s="107">
        <f t="shared" ref="F793:F796" si="84">D793*E793</f>
        <v>0</v>
      </c>
    </row>
    <row r="794" spans="2:6" x14ac:dyDescent="0.25">
      <c r="B794" s="88" t="str">
        <f>'Lista por etapa'!B634</f>
        <v>Cimento CP II</v>
      </c>
      <c r="C794" s="91" t="str">
        <f>'Lista por etapa'!C634</f>
        <v>Saco 50kg</v>
      </c>
      <c r="D794" s="87">
        <f>'Lista por etapa'!D634</f>
        <v>0</v>
      </c>
      <c r="E794" s="107">
        <f>IFERROR(VLOOKUP(B794,'Lista por categoria'!B:F,4,0),0)</f>
        <v>0</v>
      </c>
      <c r="F794" s="107">
        <f t="shared" si="84"/>
        <v>0</v>
      </c>
    </row>
    <row r="795" spans="2:6" x14ac:dyDescent="0.25">
      <c r="B795" s="88" t="str">
        <f>'Lista por etapa'!B635</f>
        <v>Areia média</v>
      </c>
      <c r="C795" s="91" t="str">
        <f>'Lista por etapa'!C635</f>
        <v>m3</v>
      </c>
      <c r="D795" s="87">
        <f>'Lista por etapa'!D635</f>
        <v>0</v>
      </c>
      <c r="E795" s="107">
        <f>IFERROR(VLOOKUP(B795,'Lista por categoria'!B:F,4,0),0)</f>
        <v>0</v>
      </c>
      <c r="F795" s="107">
        <f t="shared" si="84"/>
        <v>0</v>
      </c>
    </row>
    <row r="796" spans="2:6" x14ac:dyDescent="0.25">
      <c r="B796" s="88" t="str">
        <f>'Lista por etapa'!B636</f>
        <v>Aditivo plastificante Bianco</v>
      </c>
      <c r="C796" s="91" t="str">
        <f>'Lista por etapa'!C636</f>
        <v>Litros</v>
      </c>
      <c r="D796" s="87">
        <f>'Lista por etapa'!D636</f>
        <v>0</v>
      </c>
      <c r="E796" s="107">
        <f>IFERROR(VLOOKUP(B796,'Lista por categoria'!B:F,4,0),0)</f>
        <v>0</v>
      </c>
      <c r="F796" s="107">
        <f t="shared" si="84"/>
        <v>0</v>
      </c>
    </row>
    <row r="797" spans="2:6" ht="15.75" x14ac:dyDescent="0.25">
      <c r="B797" s="134" t="str">
        <f>'20. Muro com Blocos'!B607:D607</f>
        <v>Argamassa do emboço do muro</v>
      </c>
      <c r="C797" s="134"/>
      <c r="D797" s="134"/>
      <c r="E797" s="134"/>
      <c r="F797" s="134"/>
    </row>
    <row r="798" spans="2:6" x14ac:dyDescent="0.25">
      <c r="B798" s="108" t="s">
        <v>5</v>
      </c>
      <c r="C798" s="109" t="s">
        <v>46</v>
      </c>
      <c r="D798" s="122" t="s">
        <v>6</v>
      </c>
      <c r="E798" s="28" t="s">
        <v>1101</v>
      </c>
      <c r="F798" s="28" t="s">
        <v>1102</v>
      </c>
    </row>
    <row r="799" spans="2:6" x14ac:dyDescent="0.25">
      <c r="B799" s="88" t="str">
        <f>'Lista por etapa'!B639</f>
        <v>Argamassa emboço pronta</v>
      </c>
      <c r="C799" s="91" t="str">
        <f>'Lista por etapa'!C639</f>
        <v>Saco 20 kg</v>
      </c>
      <c r="D799" s="87">
        <f>'Lista por etapa'!D639</f>
        <v>0</v>
      </c>
      <c r="E799" s="107">
        <f>IFERROR(VLOOKUP(B799,'Lista por categoria'!B:F,4,0),0)</f>
        <v>0</v>
      </c>
      <c r="F799" s="107">
        <f t="shared" ref="F799:F803" si="85">D799*E799</f>
        <v>0</v>
      </c>
    </row>
    <row r="800" spans="2:6" x14ac:dyDescent="0.25">
      <c r="B800" s="88" t="str">
        <f>'Lista por etapa'!B640</f>
        <v>Cimento CP II</v>
      </c>
      <c r="C800" s="91" t="str">
        <f>'Lista por etapa'!C640</f>
        <v>Saco 50kg</v>
      </c>
      <c r="D800" s="87">
        <f>'Lista por etapa'!D640</f>
        <v>0</v>
      </c>
      <c r="E800" s="107">
        <f>IFERROR(VLOOKUP(B800,'Lista por categoria'!B:F,4,0),0)</f>
        <v>0</v>
      </c>
      <c r="F800" s="107">
        <f t="shared" si="85"/>
        <v>0</v>
      </c>
    </row>
    <row r="801" spans="2:6" x14ac:dyDescent="0.25">
      <c r="B801" s="88" t="str">
        <f>'Lista por etapa'!B641</f>
        <v>Areia média</v>
      </c>
      <c r="C801" s="91" t="str">
        <f>'Lista por etapa'!C641</f>
        <v>m3</v>
      </c>
      <c r="D801" s="87">
        <f>'Lista por etapa'!D641</f>
        <v>0</v>
      </c>
      <c r="E801" s="107">
        <f>IFERROR(VLOOKUP(B801,'Lista por categoria'!B:F,4,0),0)</f>
        <v>0</v>
      </c>
      <c r="F801" s="107">
        <f t="shared" si="85"/>
        <v>0</v>
      </c>
    </row>
    <row r="802" spans="2:6" x14ac:dyDescent="0.25">
      <c r="B802" s="88" t="str">
        <f>'Lista por etapa'!B642</f>
        <v>Cal hidratada para construção civil</v>
      </c>
      <c r="C802" s="91" t="str">
        <f>'Lista por etapa'!C642</f>
        <v>Saco 20 kg</v>
      </c>
      <c r="D802" s="87">
        <f>'Lista por etapa'!D642</f>
        <v>0</v>
      </c>
      <c r="E802" s="107">
        <f>IFERROR(VLOOKUP(B802,'Lista por categoria'!B:F,4,0),0)</f>
        <v>0</v>
      </c>
      <c r="F802" s="107">
        <f t="shared" si="85"/>
        <v>0</v>
      </c>
    </row>
    <row r="803" spans="2:6" x14ac:dyDescent="0.25">
      <c r="B803" s="88" t="str">
        <f>'Lista por etapa'!B643</f>
        <v>Aditivo plastificante Bianco</v>
      </c>
      <c r="C803" s="91" t="str">
        <f>'Lista por etapa'!C643</f>
        <v>Litros</v>
      </c>
      <c r="D803" s="87">
        <f>'Lista por etapa'!D643</f>
        <v>0</v>
      </c>
      <c r="E803" s="107">
        <f>IFERROR(VLOOKUP(B803,'Lista por categoria'!B:F,4,0),0)</f>
        <v>0</v>
      </c>
      <c r="F803" s="107">
        <f t="shared" si="85"/>
        <v>0</v>
      </c>
    </row>
    <row r="804" spans="2:6" ht="15.75" x14ac:dyDescent="0.25">
      <c r="B804" s="134" t="str">
        <f>'20. Muro com Blocos'!B664:D664</f>
        <v>Argamassa do reboco do muro</v>
      </c>
      <c r="C804" s="134"/>
      <c r="D804" s="134"/>
      <c r="E804" s="134"/>
      <c r="F804" s="134"/>
    </row>
    <row r="805" spans="2:6" x14ac:dyDescent="0.25">
      <c r="B805" s="108" t="s">
        <v>5</v>
      </c>
      <c r="C805" s="109" t="s">
        <v>46</v>
      </c>
      <c r="D805" s="122" t="s">
        <v>6</v>
      </c>
      <c r="E805" s="28" t="s">
        <v>1101</v>
      </c>
      <c r="F805" s="28" t="s">
        <v>1102</v>
      </c>
    </row>
    <row r="806" spans="2:6" x14ac:dyDescent="0.25">
      <c r="B806" s="88" t="str">
        <f>'Lista por etapa'!B646</f>
        <v>Argamassa reboco pronta</v>
      </c>
      <c r="C806" s="91" t="str">
        <f>'Lista por etapa'!C646</f>
        <v>Saco 20 kg</v>
      </c>
      <c r="D806" s="87">
        <f>'Lista por etapa'!D646</f>
        <v>0</v>
      </c>
      <c r="E806" s="107">
        <f>IFERROR(VLOOKUP(B806,'Lista por categoria'!B:F,4,0),0)</f>
        <v>0</v>
      </c>
      <c r="F806" s="107">
        <f t="shared" ref="F806:F810" si="86">D806*E806</f>
        <v>0</v>
      </c>
    </row>
    <row r="807" spans="2:6" x14ac:dyDescent="0.25">
      <c r="B807" s="88" t="str">
        <f>'Lista por etapa'!B647</f>
        <v>Cimento CP II</v>
      </c>
      <c r="C807" s="91" t="str">
        <f>'Lista por etapa'!C647</f>
        <v>Saco 50kg</v>
      </c>
      <c r="D807" s="87">
        <f>'Lista por etapa'!D647</f>
        <v>0</v>
      </c>
      <c r="E807" s="107">
        <f>IFERROR(VLOOKUP(B807,'Lista por categoria'!B:F,4,0),0)</f>
        <v>0</v>
      </c>
      <c r="F807" s="107">
        <f t="shared" si="86"/>
        <v>0</v>
      </c>
    </row>
    <row r="808" spans="2:6" x14ac:dyDescent="0.25">
      <c r="B808" s="88" t="str">
        <f>'Lista por etapa'!B648</f>
        <v>Areia média</v>
      </c>
      <c r="C808" s="91" t="str">
        <f>'Lista por etapa'!C648</f>
        <v>m3</v>
      </c>
      <c r="D808" s="87">
        <f>'Lista por etapa'!D648</f>
        <v>0</v>
      </c>
      <c r="E808" s="107">
        <f>IFERROR(VLOOKUP(B808,'Lista por categoria'!B:F,4,0),0)</f>
        <v>0</v>
      </c>
      <c r="F808" s="107">
        <f t="shared" si="86"/>
        <v>0</v>
      </c>
    </row>
    <row r="809" spans="2:6" x14ac:dyDescent="0.25">
      <c r="B809" s="88" t="str">
        <f>'Lista por etapa'!B649</f>
        <v>Cal hidratada para construção civil</v>
      </c>
      <c r="C809" s="91" t="str">
        <f>'Lista por etapa'!C649</f>
        <v>Saco 20 kg</v>
      </c>
      <c r="D809" s="87">
        <f>'Lista por etapa'!D649</f>
        <v>0</v>
      </c>
      <c r="E809" s="107">
        <f>IFERROR(VLOOKUP(B809,'Lista por categoria'!B:F,4,0),0)</f>
        <v>0</v>
      </c>
      <c r="F809" s="107">
        <f t="shared" si="86"/>
        <v>0</v>
      </c>
    </row>
    <row r="810" spans="2:6" x14ac:dyDescent="0.25">
      <c r="B810" s="88" t="str">
        <f>'Lista por etapa'!B650</f>
        <v>Aditivo plastificante Bianco</v>
      </c>
      <c r="C810" s="91" t="str">
        <f>'Lista por etapa'!C650</f>
        <v>Litros</v>
      </c>
      <c r="D810" s="87">
        <f>'Lista por etapa'!D650</f>
        <v>0</v>
      </c>
      <c r="E810" s="107">
        <f>IFERROR(VLOOKUP(B810,'Lista por categoria'!B:F,4,0),0)</f>
        <v>0</v>
      </c>
      <c r="F810" s="107">
        <f t="shared" si="86"/>
        <v>0</v>
      </c>
    </row>
    <row r="811" spans="2:6" ht="15.75" x14ac:dyDescent="0.25">
      <c r="B811" s="134" t="str">
        <f>'20. Muro com Blocos'!B721:D721</f>
        <v>Pintura do muro</v>
      </c>
      <c r="C811" s="134"/>
      <c r="D811" s="134"/>
      <c r="E811" s="134"/>
      <c r="F811" s="134"/>
    </row>
    <row r="812" spans="2:6" x14ac:dyDescent="0.25">
      <c r="B812" s="108" t="s">
        <v>5</v>
      </c>
      <c r="C812" s="109" t="s">
        <v>46</v>
      </c>
      <c r="D812" s="122" t="s">
        <v>6</v>
      </c>
      <c r="E812" s="28" t="s">
        <v>1101</v>
      </c>
      <c r="F812" s="28" t="s">
        <v>1102</v>
      </c>
    </row>
    <row r="813" spans="2:6" x14ac:dyDescent="0.25">
      <c r="B813" s="88" t="str">
        <f>'Lista por etapa'!B653</f>
        <v xml:space="preserve">Tinta </v>
      </c>
      <c r="C813" s="91" t="str">
        <f>'Lista por etapa'!C653</f>
        <v>Litros</v>
      </c>
      <c r="D813" s="87">
        <f>'Lista por etapa'!D653</f>
        <v>0</v>
      </c>
      <c r="E813" s="107">
        <f>IFERROR(VLOOKUP(B813,'Lista por categoria'!B:F,4,0),0)</f>
        <v>0</v>
      </c>
      <c r="F813" s="107">
        <f t="shared" ref="F813:F818" si="87">D813*E813</f>
        <v>0</v>
      </c>
    </row>
    <row r="814" spans="2:6" x14ac:dyDescent="0.25">
      <c r="B814" s="88" t="str">
        <f>'Lista por etapa'!B654</f>
        <v>Fundo preparador</v>
      </c>
      <c r="C814" s="91" t="str">
        <f>'Lista por etapa'!C654</f>
        <v>Litros</v>
      </c>
      <c r="D814" s="87">
        <f>'Lista por etapa'!D654</f>
        <v>0</v>
      </c>
      <c r="E814" s="107">
        <f>IFERROR(VLOOKUP(B814,'Lista por categoria'!B:F,4,0),0)</f>
        <v>0</v>
      </c>
      <c r="F814" s="107">
        <f t="shared" si="87"/>
        <v>0</v>
      </c>
    </row>
    <row r="815" spans="2:6" x14ac:dyDescent="0.25">
      <c r="B815" s="88" t="str">
        <f>'Lista por etapa'!B655</f>
        <v>Rolo para pintura</v>
      </c>
      <c r="C815" s="91" t="str">
        <f>'Lista por etapa'!C655</f>
        <v>Peça</v>
      </c>
      <c r="D815" s="87">
        <f>'Lista por etapa'!D655</f>
        <v>0</v>
      </c>
      <c r="E815" s="107">
        <f>IFERROR(VLOOKUP(B815,'Lista por categoria'!B:F,4,0),0)</f>
        <v>0</v>
      </c>
      <c r="F815" s="107">
        <f t="shared" si="87"/>
        <v>0</v>
      </c>
    </row>
    <row r="816" spans="2:6" x14ac:dyDescent="0.25">
      <c r="B816" s="88" t="str">
        <f>'Lista por etapa'!B656</f>
        <v>Pincel para pintura</v>
      </c>
      <c r="C816" s="91" t="str">
        <f>'Lista por etapa'!C656</f>
        <v>Peça</v>
      </c>
      <c r="D816" s="87">
        <f>'Lista por etapa'!D656</f>
        <v>0</v>
      </c>
      <c r="E816" s="107">
        <f>IFERROR(VLOOKUP(B816,'Lista por categoria'!B:F,4,0),0)</f>
        <v>0</v>
      </c>
      <c r="F816" s="107">
        <f t="shared" si="87"/>
        <v>0</v>
      </c>
    </row>
    <row r="817" spans="2:6" x14ac:dyDescent="0.25">
      <c r="B817" s="88" t="str">
        <f>'Lista por etapa'!B657</f>
        <v>Fita crepe larga</v>
      </c>
      <c r="C817" s="91" t="str">
        <f>'Lista por etapa'!C657</f>
        <v>Peça</v>
      </c>
      <c r="D817" s="87">
        <f>'Lista por etapa'!D657</f>
        <v>0</v>
      </c>
      <c r="E817" s="107">
        <f>IFERROR(VLOOKUP(B817,'Lista por categoria'!B:F,4,0),0)</f>
        <v>0</v>
      </c>
      <c r="F817" s="107">
        <f t="shared" si="87"/>
        <v>0</v>
      </c>
    </row>
    <row r="818" spans="2:6" x14ac:dyDescent="0.25">
      <c r="B818" s="88" t="str">
        <f>'Lista por etapa'!B658</f>
        <v>Lixa para parede</v>
      </c>
      <c r="C818" s="91" t="str">
        <f>'Lista por etapa'!C658</f>
        <v>Peça</v>
      </c>
      <c r="D818" s="87">
        <f>'Lista por etapa'!D658</f>
        <v>0</v>
      </c>
      <c r="E818" s="107">
        <f>IFERROR(VLOOKUP(B818,'Lista por categoria'!B:F,4,0),0)</f>
        <v>0</v>
      </c>
      <c r="F818" s="107">
        <f t="shared" si="87"/>
        <v>0</v>
      </c>
    </row>
    <row r="819" spans="2:6" x14ac:dyDescent="0.25">
      <c r="B819" s="116" t="s">
        <v>1199</v>
      </c>
      <c r="C819" s="117" t="s">
        <v>46</v>
      </c>
      <c r="D819" s="120" t="s">
        <v>6</v>
      </c>
      <c r="E819" s="118" t="s">
        <v>1101</v>
      </c>
      <c r="F819" s="118" t="s">
        <v>1102</v>
      </c>
    </row>
    <row r="820" spans="2:6" x14ac:dyDescent="0.25">
      <c r="B820" s="88" t="s">
        <v>1205</v>
      </c>
      <c r="C820" s="91" t="s">
        <v>1204</v>
      </c>
      <c r="D820" s="87">
        <f>'Mão de Obra por etapa'!D189</f>
        <v>0</v>
      </c>
      <c r="E820" s="107">
        <f>'Mão de Obra por etapa'!E189</f>
        <v>0</v>
      </c>
      <c r="F820" s="107">
        <f>'Mão de Obra por etapa'!F189</f>
        <v>0</v>
      </c>
    </row>
    <row r="821" spans="2:6" x14ac:dyDescent="0.25">
      <c r="B821" s="88" t="s">
        <v>1200</v>
      </c>
      <c r="C821" s="91" t="s">
        <v>1204</v>
      </c>
      <c r="D821" s="87">
        <f>'Mão de Obra por etapa'!D190</f>
        <v>0</v>
      </c>
      <c r="E821" s="107">
        <f>'Mão de Obra por etapa'!E190</f>
        <v>0</v>
      </c>
      <c r="F821" s="107">
        <f>'Mão de Obra por etapa'!F190</f>
        <v>0</v>
      </c>
    </row>
    <row r="822" spans="2:6" x14ac:dyDescent="0.25">
      <c r="B822" s="88" t="s">
        <v>1206</v>
      </c>
      <c r="C822" s="91" t="s">
        <v>1204</v>
      </c>
      <c r="D822" s="87">
        <f>'Mão de Obra por etapa'!D191</f>
        <v>0</v>
      </c>
      <c r="E822" s="107">
        <f>'Mão de Obra por etapa'!E191</f>
        <v>0</v>
      </c>
      <c r="F822" s="107">
        <f>'Mão de Obra por etapa'!F191</f>
        <v>0</v>
      </c>
    </row>
    <row r="823" spans="2:6" x14ac:dyDescent="0.25">
      <c r="B823" s="88" t="s">
        <v>1201</v>
      </c>
      <c r="C823" s="91" t="s">
        <v>1204</v>
      </c>
      <c r="D823" s="87">
        <f>'Mão de Obra por etapa'!D192</f>
        <v>0</v>
      </c>
      <c r="E823" s="107">
        <f>'Mão de Obra por etapa'!E192</f>
        <v>0</v>
      </c>
      <c r="F823" s="107">
        <f>'Mão de Obra por etapa'!F192</f>
        <v>0</v>
      </c>
    </row>
    <row r="824" spans="2:6" x14ac:dyDescent="0.25">
      <c r="B824" s="88" t="s">
        <v>1202</v>
      </c>
      <c r="C824" s="91" t="s">
        <v>1204</v>
      </c>
      <c r="D824" s="87">
        <f>'Mão de Obra por etapa'!D193</f>
        <v>0</v>
      </c>
      <c r="E824" s="107">
        <f>'Mão de Obra por etapa'!E193</f>
        <v>0</v>
      </c>
      <c r="F824" s="107">
        <f>'Mão de Obra por etapa'!F193</f>
        <v>0</v>
      </c>
    </row>
    <row r="825" spans="2:6" x14ac:dyDescent="0.25">
      <c r="B825" s="88" t="s">
        <v>1203</v>
      </c>
      <c r="C825" s="91" t="s">
        <v>1204</v>
      </c>
      <c r="D825" s="87">
        <f>'Mão de Obra por etapa'!D194</f>
        <v>0</v>
      </c>
      <c r="E825" s="107">
        <f>'Mão de Obra por etapa'!E194</f>
        <v>0</v>
      </c>
      <c r="F825" s="107">
        <f>'Mão de Obra por etapa'!F194</f>
        <v>0</v>
      </c>
    </row>
    <row r="826" spans="2:6" x14ac:dyDescent="0.25">
      <c r="B826" s="142" t="s">
        <v>1207</v>
      </c>
      <c r="C826" s="143"/>
      <c r="D826" s="143"/>
      <c r="E826" s="144"/>
      <c r="F826" s="115">
        <f>SUM(F722:F729,F732:F735,F738:F740,F743:F746,F749:F750,F753:F755,F758:F761,F764:F770,F773:F783,F786:F790,F793:F796,F799:F803,F806:F810,F813:F818,F820:F825)</f>
        <v>0</v>
      </c>
    </row>
    <row r="827" spans="2:6" x14ac:dyDescent="0.25">
      <c r="B827" s="110"/>
      <c r="C827" s="110"/>
      <c r="D827" s="121"/>
      <c r="E827" s="110"/>
      <c r="F827" s="110"/>
    </row>
    <row r="828" spans="2:6" ht="18.75" x14ac:dyDescent="0.3">
      <c r="B828" s="137" t="str">
        <f>'21. Calçada'!B2</f>
        <v>Calçada</v>
      </c>
      <c r="C828" s="137"/>
      <c r="D828" s="137"/>
      <c r="E828" s="137"/>
      <c r="F828" s="137"/>
    </row>
    <row r="829" spans="2:6" ht="15.75" x14ac:dyDescent="0.25">
      <c r="B829" s="134" t="str">
        <f>'21. Calçada'!B5</f>
        <v>Calçada simples</v>
      </c>
      <c r="C829" s="134"/>
      <c r="D829" s="134"/>
      <c r="E829" s="134"/>
      <c r="F829" s="134"/>
    </row>
    <row r="830" spans="2:6" x14ac:dyDescent="0.25">
      <c r="B830" s="108" t="s">
        <v>5</v>
      </c>
      <c r="C830" s="109" t="s">
        <v>46</v>
      </c>
      <c r="D830" s="122" t="s">
        <v>6</v>
      </c>
      <c r="E830" s="28" t="s">
        <v>1101</v>
      </c>
      <c r="F830" s="28" t="s">
        <v>1102</v>
      </c>
    </row>
    <row r="831" spans="2:6" x14ac:dyDescent="0.25">
      <c r="B831" s="88" t="str">
        <f>'Lista por etapa'!B663</f>
        <v>Concreto usinado para contrapiso</v>
      </c>
      <c r="C831" s="91" t="str">
        <f>'Lista por etapa'!C663</f>
        <v>m3</v>
      </c>
      <c r="D831" s="87">
        <f>'Lista por etapa'!D663</f>
        <v>3.9375</v>
      </c>
      <c r="E831" s="107">
        <f>IFERROR(VLOOKUP(B831,'Lista por categoria'!B:F,4,0),0)</f>
        <v>0</v>
      </c>
      <c r="F831" s="107">
        <f t="shared" ref="F831:F835" si="88">D831*E831</f>
        <v>0</v>
      </c>
    </row>
    <row r="832" spans="2:6" x14ac:dyDescent="0.25">
      <c r="B832" s="88" t="str">
        <f>'Lista por etapa'!B664</f>
        <v>Cimento CP III</v>
      </c>
      <c r="C832" s="91" t="str">
        <f>'Lista por etapa'!C664</f>
        <v>Saco 50kg</v>
      </c>
      <c r="D832" s="87">
        <f>'Lista por etapa'!D664</f>
        <v>0</v>
      </c>
      <c r="E832" s="107">
        <f>IFERROR(VLOOKUP(B832,'Lista por categoria'!B:F,4,0),0)</f>
        <v>0</v>
      </c>
      <c r="F832" s="107">
        <f t="shared" si="88"/>
        <v>0</v>
      </c>
    </row>
    <row r="833" spans="2:6" x14ac:dyDescent="0.25">
      <c r="B833" s="88" t="str">
        <f>'Lista por etapa'!B665</f>
        <v>Areia média</v>
      </c>
      <c r="C833" s="91" t="str">
        <f>'Lista por etapa'!C665</f>
        <v>m3</v>
      </c>
      <c r="D833" s="87">
        <f>'Lista por etapa'!D665</f>
        <v>0</v>
      </c>
      <c r="E833" s="107">
        <f>IFERROR(VLOOKUP(B833,'Lista por categoria'!B:F,4,0),0)</f>
        <v>0</v>
      </c>
      <c r="F833" s="107">
        <f t="shared" si="88"/>
        <v>0</v>
      </c>
    </row>
    <row r="834" spans="2:6" x14ac:dyDescent="0.25">
      <c r="B834" s="88" t="str">
        <f>'Lista por etapa'!B666</f>
        <v>Pedra brita 1</v>
      </c>
      <c r="C834" s="91" t="str">
        <f>'Lista por etapa'!C666</f>
        <v>m3</v>
      </c>
      <c r="D834" s="87">
        <f>'Lista por etapa'!D666</f>
        <v>0</v>
      </c>
      <c r="E834" s="107">
        <f>IFERROR(VLOOKUP(B834,'Lista por categoria'!B:F,4,0),0)</f>
        <v>0</v>
      </c>
      <c r="F834" s="107">
        <f t="shared" si="88"/>
        <v>0</v>
      </c>
    </row>
    <row r="835" spans="2:6" x14ac:dyDescent="0.25">
      <c r="B835" s="88" t="str">
        <f>'Lista por etapa'!B667</f>
        <v>Sarrafo madeira 2,3 x 7 cm bruto</v>
      </c>
      <c r="C835" s="91" t="str">
        <f>'Lista por etapa'!C667</f>
        <v>Peça 3,0 m</v>
      </c>
      <c r="D835" s="87">
        <f>'Lista por etapa'!D667</f>
        <v>11.66666666666667</v>
      </c>
      <c r="E835" s="107">
        <f>IFERROR(VLOOKUP(B835,'Lista por categoria'!B:F,4,0),0)</f>
        <v>0</v>
      </c>
      <c r="F835" s="107">
        <f t="shared" si="88"/>
        <v>0</v>
      </c>
    </row>
    <row r="836" spans="2:6" ht="15.75" x14ac:dyDescent="0.25">
      <c r="B836" s="134" t="str">
        <f>'21. Calçada'!B49</f>
        <v>Calçada reforçada</v>
      </c>
      <c r="C836" s="134"/>
      <c r="D836" s="134"/>
      <c r="E836" s="134"/>
      <c r="F836" s="134"/>
    </row>
    <row r="837" spans="2:6" x14ac:dyDescent="0.25">
      <c r="B837" s="108" t="s">
        <v>5</v>
      </c>
      <c r="C837" s="109" t="s">
        <v>46</v>
      </c>
      <c r="D837" s="122" t="s">
        <v>6</v>
      </c>
      <c r="E837" s="28" t="s">
        <v>1101</v>
      </c>
      <c r="F837" s="28" t="s">
        <v>1102</v>
      </c>
    </row>
    <row r="838" spans="2:6" x14ac:dyDescent="0.25">
      <c r="B838" s="88" t="str">
        <f>'Lista por etapa'!B670</f>
        <v>Concreto usinado para contrapiso</v>
      </c>
      <c r="C838" s="91" t="str">
        <f>'Lista por etapa'!C670</f>
        <v>m3</v>
      </c>
      <c r="D838" s="87">
        <f>'Lista por etapa'!D670</f>
        <v>0</v>
      </c>
      <c r="E838" s="107">
        <f>IFERROR(VLOOKUP(B838,'Lista por categoria'!B:F,4,0),0)</f>
        <v>0</v>
      </c>
      <c r="F838" s="107">
        <f t="shared" ref="F838:F843" si="89">D838*E838</f>
        <v>0</v>
      </c>
    </row>
    <row r="839" spans="2:6" x14ac:dyDescent="0.25">
      <c r="B839" s="88" t="str">
        <f>'Lista por etapa'!B671</f>
        <v>Cimento CP III</v>
      </c>
      <c r="C839" s="91" t="str">
        <f>'Lista por etapa'!C671</f>
        <v>Saco 50kg</v>
      </c>
      <c r="D839" s="87">
        <f>'Lista por etapa'!D671</f>
        <v>0</v>
      </c>
      <c r="E839" s="107">
        <f>IFERROR(VLOOKUP(B839,'Lista por categoria'!B:F,4,0),0)</f>
        <v>0</v>
      </c>
      <c r="F839" s="107">
        <f t="shared" si="89"/>
        <v>0</v>
      </c>
    </row>
    <row r="840" spans="2:6" x14ac:dyDescent="0.25">
      <c r="B840" s="88" t="str">
        <f>'Lista por etapa'!B672</f>
        <v>Areia média</v>
      </c>
      <c r="C840" s="91" t="str">
        <f>'Lista por etapa'!C672</f>
        <v>m3</v>
      </c>
      <c r="D840" s="87">
        <f>'Lista por etapa'!D672</f>
        <v>0</v>
      </c>
      <c r="E840" s="107">
        <f>IFERROR(VLOOKUP(B840,'Lista por categoria'!B:F,4,0),0)</f>
        <v>0</v>
      </c>
      <c r="F840" s="107">
        <f t="shared" si="89"/>
        <v>0</v>
      </c>
    </row>
    <row r="841" spans="2:6" x14ac:dyDescent="0.25">
      <c r="B841" s="88" t="str">
        <f>'Lista por etapa'!B673</f>
        <v>Pedra brita 1</v>
      </c>
      <c r="C841" s="91" t="str">
        <f>'Lista por etapa'!C673</f>
        <v>m3</v>
      </c>
      <c r="D841" s="87">
        <f>'Lista por etapa'!D673</f>
        <v>0</v>
      </c>
      <c r="E841" s="107">
        <f>IFERROR(VLOOKUP(B841,'Lista por categoria'!B:F,4,0),0)</f>
        <v>0</v>
      </c>
      <c r="F841" s="107">
        <f t="shared" si="89"/>
        <v>0</v>
      </c>
    </row>
    <row r="842" spans="2:6" x14ac:dyDescent="0.25">
      <c r="B842" s="88" t="str">
        <f>'Lista por etapa'!B674</f>
        <v>Sarrafo madeira 2,3 x 7 cm bruto</v>
      </c>
      <c r="C842" s="91" t="str">
        <f>'Lista por etapa'!C674</f>
        <v>Peça 3,0 m</v>
      </c>
      <c r="D842" s="87">
        <f>'Lista por etapa'!D674</f>
        <v>0</v>
      </c>
      <c r="E842" s="107">
        <f>IFERROR(VLOOKUP(B842,'Lista por categoria'!B:F,4,0),0)</f>
        <v>0</v>
      </c>
      <c r="F842" s="107">
        <f t="shared" si="89"/>
        <v>0</v>
      </c>
    </row>
    <row r="843" spans="2:6" x14ac:dyDescent="0.25">
      <c r="B843" s="88" t="str">
        <f>'Lista por etapa'!B675</f>
        <v>Pedra brita 2 para lastro</v>
      </c>
      <c r="C843" s="91" t="str">
        <f>'Lista por etapa'!C675</f>
        <v>m3</v>
      </c>
      <c r="D843" s="87">
        <f>'Lista por etapa'!D675</f>
        <v>0</v>
      </c>
      <c r="E843" s="107">
        <f>IFERROR(VLOOKUP(B843,'Lista por categoria'!B:F,4,0),0)</f>
        <v>0</v>
      </c>
      <c r="F843" s="107">
        <f t="shared" si="89"/>
        <v>0</v>
      </c>
    </row>
    <row r="844" spans="2:6" x14ac:dyDescent="0.25">
      <c r="B844" s="88" t="str">
        <f>'Lista por etapa'!B676</f>
        <v/>
      </c>
      <c r="C844" s="91" t="str">
        <f>'Lista por etapa'!C676</f>
        <v/>
      </c>
      <c r="D844" s="87" t="str">
        <f>'Lista por etapa'!D676</f>
        <v/>
      </c>
      <c r="E844" s="107">
        <f>IFERROR(VLOOKUP(B844,'Lista por categoria'!B:F,4,0),0)</f>
        <v>0</v>
      </c>
      <c r="F844" s="107">
        <f>IFERROR(D844*E844,0)</f>
        <v>0</v>
      </c>
    </row>
    <row r="845" spans="2:6" x14ac:dyDescent="0.25">
      <c r="B845" s="116" t="s">
        <v>1199</v>
      </c>
      <c r="C845" s="117" t="s">
        <v>46</v>
      </c>
      <c r="D845" s="120" t="s">
        <v>6</v>
      </c>
      <c r="E845" s="118" t="s">
        <v>1101</v>
      </c>
      <c r="F845" s="118" t="s">
        <v>1102</v>
      </c>
    </row>
    <row r="846" spans="2:6" x14ac:dyDescent="0.25">
      <c r="B846" s="88" t="s">
        <v>1205</v>
      </c>
      <c r="C846" s="91" t="s">
        <v>1204</v>
      </c>
      <c r="D846" s="87">
        <f>'Mão de Obra por etapa'!D198</f>
        <v>0</v>
      </c>
      <c r="E846" s="107">
        <f>'Mão de Obra por etapa'!E198</f>
        <v>0</v>
      </c>
      <c r="F846" s="107">
        <f>'Mão de Obra por etapa'!F198</f>
        <v>0</v>
      </c>
    </row>
    <row r="847" spans="2:6" x14ac:dyDescent="0.25">
      <c r="B847" s="88" t="s">
        <v>1200</v>
      </c>
      <c r="C847" s="91" t="s">
        <v>1204</v>
      </c>
      <c r="D847" s="87">
        <f>'Mão de Obra por etapa'!D199</f>
        <v>0</v>
      </c>
      <c r="E847" s="107">
        <f>'Mão de Obra por etapa'!E199</f>
        <v>0</v>
      </c>
      <c r="F847" s="107">
        <f>'Mão de Obra por etapa'!F199</f>
        <v>0</v>
      </c>
    </row>
    <row r="848" spans="2:6" x14ac:dyDescent="0.25">
      <c r="B848" s="88" t="s">
        <v>1206</v>
      </c>
      <c r="C848" s="91" t="s">
        <v>1204</v>
      </c>
      <c r="D848" s="87">
        <f>'Mão de Obra por etapa'!D200</f>
        <v>0</v>
      </c>
      <c r="E848" s="107">
        <f>'Mão de Obra por etapa'!E200</f>
        <v>0</v>
      </c>
      <c r="F848" s="107">
        <f>'Mão de Obra por etapa'!F200</f>
        <v>0</v>
      </c>
    </row>
    <row r="849" spans="2:6" x14ac:dyDescent="0.25">
      <c r="B849" s="88" t="s">
        <v>1201</v>
      </c>
      <c r="C849" s="91" t="s">
        <v>1204</v>
      </c>
      <c r="D849" s="87">
        <f>'Mão de Obra por etapa'!D201</f>
        <v>0</v>
      </c>
      <c r="E849" s="107">
        <f>'Mão de Obra por etapa'!E201</f>
        <v>0</v>
      </c>
      <c r="F849" s="107">
        <f>'Mão de Obra por etapa'!F201</f>
        <v>0</v>
      </c>
    </row>
    <row r="850" spans="2:6" x14ac:dyDescent="0.25">
      <c r="B850" s="88" t="s">
        <v>1202</v>
      </c>
      <c r="C850" s="91" t="s">
        <v>1204</v>
      </c>
      <c r="D850" s="87">
        <f>'Mão de Obra por etapa'!D202</f>
        <v>0</v>
      </c>
      <c r="E850" s="107">
        <f>'Mão de Obra por etapa'!E202</f>
        <v>0</v>
      </c>
      <c r="F850" s="107">
        <f>'Mão de Obra por etapa'!F202</f>
        <v>0</v>
      </c>
    </row>
    <row r="851" spans="2:6" x14ac:dyDescent="0.25">
      <c r="B851" s="88" t="s">
        <v>1203</v>
      </c>
      <c r="C851" s="91" t="s">
        <v>1204</v>
      </c>
      <c r="D851" s="87">
        <f>'Mão de Obra por etapa'!D203</f>
        <v>0</v>
      </c>
      <c r="E851" s="107">
        <f>'Mão de Obra por etapa'!E203</f>
        <v>0</v>
      </c>
      <c r="F851" s="107">
        <f>'Mão de Obra por etapa'!F203</f>
        <v>0</v>
      </c>
    </row>
    <row r="852" spans="2:6" x14ac:dyDescent="0.25">
      <c r="B852" s="142" t="s">
        <v>1207</v>
      </c>
      <c r="C852" s="143"/>
      <c r="D852" s="143"/>
      <c r="E852" s="144"/>
      <c r="F852" s="115">
        <f>SUM(F831:F835,F838:F844,F846:F851)</f>
        <v>0</v>
      </c>
    </row>
  </sheetData>
  <mergeCells count="139">
    <mergeCell ref="B36:F36"/>
    <mergeCell ref="B42:F42"/>
    <mergeCell ref="B46:F46"/>
    <mergeCell ref="B51:F51"/>
    <mergeCell ref="B57:F57"/>
    <mergeCell ref="B72:F72"/>
    <mergeCell ref="B70:E70"/>
    <mergeCell ref="B105:E105"/>
    <mergeCell ref="B5:F5"/>
    <mergeCell ref="B7:F7"/>
    <mergeCell ref="B8:F8"/>
    <mergeCell ref="B24:F24"/>
    <mergeCell ref="B25:F25"/>
    <mergeCell ref="B31:F31"/>
    <mergeCell ref="B73:F73"/>
    <mergeCell ref="B79:F79"/>
    <mergeCell ref="B84:F84"/>
    <mergeCell ref="B22:E22"/>
    <mergeCell ref="B108:F108"/>
    <mergeCell ref="B115:F115"/>
    <mergeCell ref="B129:F129"/>
    <mergeCell ref="B130:F130"/>
    <mergeCell ref="B136:F136"/>
    <mergeCell ref="B139:F139"/>
    <mergeCell ref="B127:E127"/>
    <mergeCell ref="B160:E160"/>
    <mergeCell ref="B89:F89"/>
    <mergeCell ref="B93:F93"/>
    <mergeCell ref="B107:F107"/>
    <mergeCell ref="B188:F188"/>
    <mergeCell ref="B189:F189"/>
    <mergeCell ref="B192:F192"/>
    <mergeCell ref="B198:F198"/>
    <mergeCell ref="B214:F214"/>
    <mergeCell ref="B215:F215"/>
    <mergeCell ref="B144:F144"/>
    <mergeCell ref="B148:F148"/>
    <mergeCell ref="B162:F162"/>
    <mergeCell ref="B163:F163"/>
    <mergeCell ref="B166:F166"/>
    <mergeCell ref="B172:F172"/>
    <mergeCell ref="B186:E186"/>
    <mergeCell ref="B212:E212"/>
    <mergeCell ref="B268:F268"/>
    <mergeCell ref="B269:F269"/>
    <mergeCell ref="B278:F278"/>
    <mergeCell ref="B298:F298"/>
    <mergeCell ref="B299:F299"/>
    <mergeCell ref="B305:F305"/>
    <mergeCell ref="B221:F221"/>
    <mergeCell ref="B227:F227"/>
    <mergeCell ref="B241:F241"/>
    <mergeCell ref="B242:F242"/>
    <mergeCell ref="B248:F248"/>
    <mergeCell ref="B254:F254"/>
    <mergeCell ref="B239:E239"/>
    <mergeCell ref="B345:F345"/>
    <mergeCell ref="B352:F352"/>
    <mergeCell ref="B358:F358"/>
    <mergeCell ref="B365:F365"/>
    <mergeCell ref="B372:F372"/>
    <mergeCell ref="B378:F378"/>
    <mergeCell ref="B308:F308"/>
    <mergeCell ref="B313:F313"/>
    <mergeCell ref="B318:F318"/>
    <mergeCell ref="B331:F331"/>
    <mergeCell ref="B332:F332"/>
    <mergeCell ref="B338:F338"/>
    <mergeCell ref="B444:F444"/>
    <mergeCell ref="B445:F445"/>
    <mergeCell ref="B469:F469"/>
    <mergeCell ref="B470:F470"/>
    <mergeCell ref="B488:F488"/>
    <mergeCell ref="B489:F489"/>
    <mergeCell ref="B486:E486"/>
    <mergeCell ref="B385:F385"/>
    <mergeCell ref="B401:F401"/>
    <mergeCell ref="B402:F402"/>
    <mergeCell ref="B406:F406"/>
    <mergeCell ref="B419:F419"/>
    <mergeCell ref="B420:F420"/>
    <mergeCell ref="B567:F567"/>
    <mergeCell ref="B575:F575"/>
    <mergeCell ref="B584:F584"/>
    <mergeCell ref="B592:F592"/>
    <mergeCell ref="B564:E564"/>
    <mergeCell ref="B497:F497"/>
    <mergeCell ref="B505:F505"/>
    <mergeCell ref="B522:F522"/>
    <mergeCell ref="B523:F523"/>
    <mergeCell ref="B531:F531"/>
    <mergeCell ref="B540:F540"/>
    <mergeCell ref="B520:E520"/>
    <mergeCell ref="B647:F647"/>
    <mergeCell ref="B653:F653"/>
    <mergeCell ref="B608:E608"/>
    <mergeCell ref="B717:E717"/>
    <mergeCell ref="B627:F627"/>
    <mergeCell ref="B632:F632"/>
    <mergeCell ref="B638:F638"/>
    <mergeCell ref="B826:E826"/>
    <mergeCell ref="B771:F771"/>
    <mergeCell ref="B784:F784"/>
    <mergeCell ref="B736:F736"/>
    <mergeCell ref="B741:F741"/>
    <mergeCell ref="B747:F747"/>
    <mergeCell ref="B751:F751"/>
    <mergeCell ref="B756:F756"/>
    <mergeCell ref="B762:F762"/>
    <mergeCell ref="B688:F688"/>
    <mergeCell ref="B695:F695"/>
    <mergeCell ref="B702:F702"/>
    <mergeCell ref="B719:F719"/>
    <mergeCell ref="B720:F720"/>
    <mergeCell ref="B730:F730"/>
    <mergeCell ref="B852:E852"/>
    <mergeCell ref="B417:E417"/>
    <mergeCell ref="B266:E266"/>
    <mergeCell ref="B296:E296"/>
    <mergeCell ref="B329:E329"/>
    <mergeCell ref="B399:E399"/>
    <mergeCell ref="B442:E442"/>
    <mergeCell ref="B467:E467"/>
    <mergeCell ref="B828:F828"/>
    <mergeCell ref="B829:F829"/>
    <mergeCell ref="B836:F836"/>
    <mergeCell ref="B791:F791"/>
    <mergeCell ref="B797:F797"/>
    <mergeCell ref="B804:F804"/>
    <mergeCell ref="B811:F811"/>
    <mergeCell ref="B662:F662"/>
    <mergeCell ref="B675:F675"/>
    <mergeCell ref="B682:F682"/>
    <mergeCell ref="B610:F610"/>
    <mergeCell ref="B611:F611"/>
    <mergeCell ref="B621:F621"/>
    <mergeCell ref="B548:F548"/>
    <mergeCell ref="B566:F566"/>
    <mergeCell ref="B642:F64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9"/>
  <sheetViews>
    <sheetView showGridLines="0" zoomScale="130" zoomScaleNormal="130" workbookViewId="0">
      <selection activeCell="B5" sqref="B5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12</v>
      </c>
      <c r="C2" s="130"/>
      <c r="D2" s="131"/>
    </row>
    <row r="3" spans="1:8" ht="6" customHeight="1" x14ac:dyDescent="0.25"/>
    <row r="4" spans="1:8" ht="45.75" customHeight="1" x14ac:dyDescent="0.25">
      <c r="B4" s="128" t="s">
        <v>11</v>
      </c>
      <c r="C4" s="128"/>
      <c r="D4" s="128"/>
    </row>
    <row r="5" spans="1:8" ht="13.5" customHeight="1" x14ac:dyDescent="0.25"/>
    <row r="6" spans="1:8" s="5" customFormat="1" ht="18.75" x14ac:dyDescent="0.3">
      <c r="A6" s="7"/>
      <c r="B6" s="132" t="s">
        <v>538</v>
      </c>
      <c r="C6" s="132"/>
      <c r="D6" s="132"/>
      <c r="E6" s="7"/>
      <c r="F6" s="7"/>
      <c r="H6" s="22"/>
    </row>
    <row r="7" spans="1:8" s="5" customFormat="1" x14ac:dyDescent="0.25">
      <c r="A7" s="7"/>
      <c r="B7" s="7"/>
      <c r="C7" s="7"/>
      <c r="D7" s="7"/>
      <c r="E7" s="7"/>
      <c r="F7" s="7"/>
      <c r="H7" s="22"/>
    </row>
    <row r="8" spans="1:8" x14ac:dyDescent="0.25">
      <c r="B8" s="9" t="s">
        <v>2</v>
      </c>
    </row>
    <row r="10" spans="1:8" x14ac:dyDescent="0.25">
      <c r="B10" s="7" t="s">
        <v>65</v>
      </c>
      <c r="C10" s="23">
        <v>20</v>
      </c>
      <c r="D10" s="7" t="s">
        <v>56</v>
      </c>
    </row>
    <row r="11" spans="1:8" x14ac:dyDescent="0.25">
      <c r="B11" s="7" t="s">
        <v>66</v>
      </c>
      <c r="C11" s="23">
        <v>30</v>
      </c>
      <c r="D11" s="7" t="s">
        <v>56</v>
      </c>
      <c r="G11" s="24"/>
    </row>
    <row r="12" spans="1:8" x14ac:dyDescent="0.25">
      <c r="B12" s="7" t="s">
        <v>67</v>
      </c>
      <c r="C12" s="33">
        <v>150</v>
      </c>
      <c r="D12" s="7" t="s">
        <v>53</v>
      </c>
    </row>
    <row r="13" spans="1:8" x14ac:dyDescent="0.25">
      <c r="B13" s="7" t="s">
        <v>225</v>
      </c>
      <c r="C13" s="29" t="s">
        <v>1214</v>
      </c>
    </row>
    <row r="14" spans="1:8" x14ac:dyDescent="0.25">
      <c r="B14" s="7" t="s">
        <v>57</v>
      </c>
      <c r="C14" s="29" t="s">
        <v>1166</v>
      </c>
      <c r="D14" s="7" t="s">
        <v>1193</v>
      </c>
    </row>
    <row r="16" spans="1:8" s="20" customFormat="1" hidden="1" outlineLevel="1" x14ac:dyDescent="0.25">
      <c r="B16" s="19" t="s">
        <v>118</v>
      </c>
    </row>
    <row r="17" spans="2:7" s="20" customFormat="1" hidden="1" outlineLevel="1" x14ac:dyDescent="0.25"/>
    <row r="18" spans="2:7" s="20" customFormat="1" hidden="1" outlineLevel="1" x14ac:dyDescent="0.25">
      <c r="B18" s="20" t="s">
        <v>661</v>
      </c>
      <c r="C18" s="21">
        <f>(C10/100)*(C11/100)</f>
        <v>0.06</v>
      </c>
      <c r="D18" s="20" t="s">
        <v>643</v>
      </c>
    </row>
    <row r="19" spans="2:7" s="20" customFormat="1" hidden="1" outlineLevel="1" x14ac:dyDescent="0.25">
      <c r="B19" s="20" t="s">
        <v>662</v>
      </c>
      <c r="C19" s="21">
        <f>C18*C12</f>
        <v>9</v>
      </c>
      <c r="D19" s="20" t="s">
        <v>32</v>
      </c>
    </row>
    <row r="20" spans="2:7" s="20" customFormat="1" hidden="1" outlineLevel="1" x14ac:dyDescent="0.25">
      <c r="B20" s="20" t="s">
        <v>613</v>
      </c>
      <c r="C20" s="21">
        <f>C19*(1+'LEIA-ME'!$D$31)</f>
        <v>9.4500000000000011</v>
      </c>
      <c r="D20" s="20" t="s">
        <v>32</v>
      </c>
    </row>
    <row r="21" spans="2:7" s="20" customFormat="1" hidden="1" outlineLevel="1" x14ac:dyDescent="0.25"/>
    <row r="22" spans="2:7" s="20" customFormat="1" hidden="1" outlineLevel="1" x14ac:dyDescent="0.25">
      <c r="B22" s="19" t="s">
        <v>125</v>
      </c>
    </row>
    <row r="23" spans="2:7" s="20" customFormat="1" hidden="1" outlineLevel="1" x14ac:dyDescent="0.25"/>
    <row r="24" spans="2:7" s="20" customFormat="1" hidden="1" outlineLevel="1" x14ac:dyDescent="0.25">
      <c r="C24" s="133" t="s">
        <v>45</v>
      </c>
      <c r="D24" s="133"/>
      <c r="E24" s="133"/>
      <c r="F24" s="133"/>
    </row>
    <row r="25" spans="2:7" s="73" customFormat="1" ht="30" hidden="1" outlineLevel="1" x14ac:dyDescent="0.25">
      <c r="B25" s="72" t="s">
        <v>42</v>
      </c>
      <c r="C25" s="86" t="s">
        <v>41</v>
      </c>
      <c r="D25" s="86" t="s">
        <v>40</v>
      </c>
      <c r="E25" s="86" t="s">
        <v>39</v>
      </c>
      <c r="F25" s="86" t="s">
        <v>38</v>
      </c>
    </row>
    <row r="26" spans="2:7" s="20" customFormat="1" hidden="1" outlineLevel="1" x14ac:dyDescent="0.25">
      <c r="B26" s="30" t="s">
        <v>1166</v>
      </c>
      <c r="C26" s="21">
        <v>6.9</v>
      </c>
      <c r="D26" s="21">
        <v>0.62265036674816632</v>
      </c>
      <c r="E26" s="21">
        <v>0.72799999999999987</v>
      </c>
      <c r="F26" s="25">
        <v>210</v>
      </c>
      <c r="G26" s="20" t="s">
        <v>44</v>
      </c>
    </row>
    <row r="27" spans="2:7" s="20" customFormat="1" hidden="1" outlineLevel="1" x14ac:dyDescent="0.25">
      <c r="B27" s="30" t="s">
        <v>1167</v>
      </c>
      <c r="C27" s="21">
        <v>6.4</v>
      </c>
      <c r="D27" s="21">
        <v>0.72001955990220046</v>
      </c>
      <c r="E27" s="21">
        <v>0.67399999999999993</v>
      </c>
      <c r="F27" s="25">
        <v>207</v>
      </c>
    </row>
    <row r="28" spans="2:7" s="20" customFormat="1" hidden="1" outlineLevel="1" x14ac:dyDescent="0.25">
      <c r="B28" s="30" t="s">
        <v>1168</v>
      </c>
      <c r="C28" s="21">
        <v>5.94</v>
      </c>
      <c r="D28" s="21">
        <v>0.5380929095354523</v>
      </c>
      <c r="E28" s="21">
        <v>0.83999999999999986</v>
      </c>
      <c r="F28" s="25">
        <v>202</v>
      </c>
    </row>
    <row r="29" spans="2:7" s="20" customFormat="1" hidden="1" outlineLevel="1" x14ac:dyDescent="0.25">
      <c r="B29" s="30" t="s">
        <v>1169</v>
      </c>
      <c r="C29" s="21">
        <v>5.86</v>
      </c>
      <c r="D29" s="21">
        <v>0.66236674816625918</v>
      </c>
      <c r="E29" s="21">
        <v>0.72399999999999987</v>
      </c>
      <c r="F29" s="25">
        <v>208</v>
      </c>
    </row>
    <row r="30" spans="2:7" s="20" customFormat="1" hidden="1" outlineLevel="1" x14ac:dyDescent="0.25">
      <c r="B30" s="30" t="s">
        <v>1181</v>
      </c>
      <c r="C30" s="21">
        <v>5.5</v>
      </c>
      <c r="D30" s="21">
        <v>0.62393154034229825</v>
      </c>
      <c r="E30" s="21">
        <v>0.77999999999999992</v>
      </c>
      <c r="F30" s="25">
        <v>201</v>
      </c>
    </row>
    <row r="31" spans="2:7" s="20" customFormat="1" hidden="1" outlineLevel="1" x14ac:dyDescent="0.25">
      <c r="B31" s="30" t="s">
        <v>1182</v>
      </c>
      <c r="C31" s="21">
        <v>4.9000000000000004</v>
      </c>
      <c r="D31" s="21">
        <v>0.55731051344743276</v>
      </c>
      <c r="E31" s="21">
        <v>0.86999999999999988</v>
      </c>
      <c r="F31" s="25">
        <v>195</v>
      </c>
    </row>
    <row r="32" spans="2:7" s="20" customFormat="1" hidden="1" outlineLevel="1" x14ac:dyDescent="0.25"/>
    <row r="33" spans="2:7" s="20" customFormat="1" hidden="1" outlineLevel="1" x14ac:dyDescent="0.25">
      <c r="C33" s="133" t="s">
        <v>43</v>
      </c>
      <c r="D33" s="133"/>
      <c r="E33" s="133"/>
      <c r="F33" s="133"/>
    </row>
    <row r="34" spans="2:7" s="73" customFormat="1" ht="30" hidden="1" outlineLevel="1" x14ac:dyDescent="0.25">
      <c r="B34" s="72" t="s">
        <v>42</v>
      </c>
      <c r="C34" s="86" t="s">
        <v>41</v>
      </c>
      <c r="D34" s="86" t="s">
        <v>40</v>
      </c>
      <c r="E34" s="86" t="s">
        <v>39</v>
      </c>
      <c r="F34" s="86" t="s">
        <v>38</v>
      </c>
    </row>
    <row r="35" spans="2:7" s="20" customFormat="1" hidden="1" outlineLevel="1" x14ac:dyDescent="0.25">
      <c r="B35" s="30" t="str">
        <f>B26</f>
        <v>1 : 2 : 3</v>
      </c>
      <c r="C35" s="21">
        <f>C26*$C$20</f>
        <v>65.205000000000013</v>
      </c>
      <c r="D35" s="21">
        <f t="shared" ref="D35:F35" si="0">D26*$C$20</f>
        <v>5.8840459657701727</v>
      </c>
      <c r="E35" s="21">
        <f t="shared" si="0"/>
        <v>6.8795999999999999</v>
      </c>
      <c r="F35" s="25">
        <f t="shared" si="0"/>
        <v>1984.5000000000002</v>
      </c>
      <c r="G35" s="20" t="s">
        <v>37</v>
      </c>
    </row>
    <row r="36" spans="2:7" s="20" customFormat="1" hidden="1" outlineLevel="1" x14ac:dyDescent="0.25">
      <c r="B36" s="30" t="str">
        <f>B27</f>
        <v>1 : 2,5 : 3</v>
      </c>
      <c r="C36" s="21">
        <f t="shared" ref="C36:F36" si="1">C27*$C$20</f>
        <v>60.480000000000011</v>
      </c>
      <c r="D36" s="21">
        <f t="shared" si="1"/>
        <v>6.804184841075795</v>
      </c>
      <c r="E36" s="21">
        <f t="shared" si="1"/>
        <v>6.3693</v>
      </c>
      <c r="F36" s="25">
        <f t="shared" si="1"/>
        <v>1956.1500000000003</v>
      </c>
    </row>
    <row r="37" spans="2:7" s="20" customFormat="1" hidden="1" outlineLevel="1" x14ac:dyDescent="0.25">
      <c r="B37" s="30" t="str">
        <f>B28</f>
        <v>1 : 2 : 4</v>
      </c>
      <c r="C37" s="21">
        <f t="shared" ref="C37:F37" si="2">C28*$C$20</f>
        <v>56.13300000000001</v>
      </c>
      <c r="D37" s="21">
        <f t="shared" si="2"/>
        <v>5.0849779951100249</v>
      </c>
      <c r="E37" s="21">
        <f t="shared" si="2"/>
        <v>7.9379999999999997</v>
      </c>
      <c r="F37" s="25">
        <f t="shared" si="2"/>
        <v>1908.9000000000003</v>
      </c>
    </row>
    <row r="38" spans="2:7" s="20" customFormat="1" hidden="1" outlineLevel="1" x14ac:dyDescent="0.25">
      <c r="B38" s="30" t="str">
        <f t="shared" ref="B38:B40" si="3">B29</f>
        <v>1 : 2,5 : 3,5</v>
      </c>
      <c r="C38" s="21">
        <f t="shared" ref="C38:F38" si="4">C29*$C$20</f>
        <v>55.37700000000001</v>
      </c>
      <c r="D38" s="21">
        <f t="shared" si="4"/>
        <v>6.2593657701711498</v>
      </c>
      <c r="E38" s="21">
        <f t="shared" si="4"/>
        <v>6.8417999999999992</v>
      </c>
      <c r="F38" s="25">
        <f t="shared" si="4"/>
        <v>1965.6000000000001</v>
      </c>
    </row>
    <row r="39" spans="2:7" s="20" customFormat="1" hidden="1" outlineLevel="1" x14ac:dyDescent="0.25">
      <c r="B39" s="30" t="str">
        <f t="shared" si="3"/>
        <v>1 : 2,5 : 4</v>
      </c>
      <c r="C39" s="21">
        <f t="shared" ref="C39:F39" si="5">C30*$C$20</f>
        <v>51.975000000000009</v>
      </c>
      <c r="D39" s="21">
        <f t="shared" si="5"/>
        <v>5.8961530562347191</v>
      </c>
      <c r="E39" s="21">
        <f t="shared" si="5"/>
        <v>7.3710000000000004</v>
      </c>
      <c r="F39" s="25">
        <f t="shared" si="5"/>
        <v>1899.4500000000003</v>
      </c>
    </row>
    <row r="40" spans="2:7" s="20" customFormat="1" hidden="1" outlineLevel="1" x14ac:dyDescent="0.25">
      <c r="B40" s="30" t="str">
        <f t="shared" si="3"/>
        <v>1 : 2,5 : 5</v>
      </c>
      <c r="C40" s="21">
        <f t="shared" ref="C40:F40" si="6">C31*$C$20</f>
        <v>46.305000000000007</v>
      </c>
      <c r="D40" s="21">
        <f t="shared" si="6"/>
        <v>5.2665843520782403</v>
      </c>
      <c r="E40" s="21">
        <f t="shared" si="6"/>
        <v>8.2215000000000007</v>
      </c>
      <c r="F40" s="25">
        <f t="shared" si="6"/>
        <v>1842.7500000000002</v>
      </c>
    </row>
    <row r="41" spans="2:7" hidden="1" outlineLevel="1" x14ac:dyDescent="0.25"/>
    <row r="42" spans="2:7" collapsed="1" x14ac:dyDescent="0.25">
      <c r="B42" s="27" t="s">
        <v>5</v>
      </c>
      <c r="C42" s="28" t="s">
        <v>46</v>
      </c>
      <c r="D42" s="28" t="s">
        <v>6</v>
      </c>
    </row>
    <row r="43" spans="2:7" ht="17.25" x14ac:dyDescent="0.25">
      <c r="B43" s="88" t="s">
        <v>58</v>
      </c>
      <c r="C43" s="91" t="s">
        <v>80</v>
      </c>
      <c r="D43" s="87">
        <f>IF(C13="Usinado",C20,0)</f>
        <v>9.4500000000000011</v>
      </c>
    </row>
    <row r="44" spans="2:7" x14ac:dyDescent="0.25">
      <c r="B44" s="88" t="s">
        <v>36</v>
      </c>
      <c r="C44" s="91" t="s">
        <v>35</v>
      </c>
      <c r="D44" s="87">
        <f>IFERROR(IF(C13="feito na obra",VLOOKUP($C$14,$B$34:$F$40,2,0),0),0)</f>
        <v>0</v>
      </c>
    </row>
    <row r="45" spans="2:7" ht="17.25" x14ac:dyDescent="0.25">
      <c r="B45" s="88" t="s">
        <v>34</v>
      </c>
      <c r="C45" s="91" t="s">
        <v>80</v>
      </c>
      <c r="D45" s="87">
        <f>IFERROR(IF(C13="feito na obra",VLOOKUP($C$14,$B$34:$F$40,3,0),0),0)</f>
        <v>0</v>
      </c>
    </row>
    <row r="46" spans="2:7" ht="17.25" x14ac:dyDescent="0.25">
      <c r="B46" s="88" t="s">
        <v>33</v>
      </c>
      <c r="C46" s="91" t="s">
        <v>80</v>
      </c>
      <c r="D46" s="87">
        <f>IFERROR(IF(C13="feito na obra",VLOOKUP($C$14,$B$34:$F$40,4,0),0),0)</f>
        <v>0</v>
      </c>
    </row>
    <row r="49" spans="1:13" s="5" customFormat="1" ht="18.75" x14ac:dyDescent="0.3">
      <c r="A49" s="7"/>
      <c r="B49" s="132" t="s">
        <v>542</v>
      </c>
      <c r="C49" s="132"/>
      <c r="D49" s="132"/>
      <c r="E49" s="7"/>
      <c r="F49" s="7"/>
      <c r="H49" s="22"/>
    </row>
    <row r="50" spans="1:13" s="5" customFormat="1" x14ac:dyDescent="0.25">
      <c r="A50" s="7"/>
      <c r="B50" s="7"/>
      <c r="C50" s="7"/>
      <c r="D50" s="7"/>
      <c r="E50" s="7"/>
      <c r="F50" s="7"/>
      <c r="H50" s="22"/>
    </row>
    <row r="51" spans="1:13" x14ac:dyDescent="0.25">
      <c r="B51" s="9" t="s">
        <v>2</v>
      </c>
    </row>
    <row r="53" spans="1:13" x14ac:dyDescent="0.25">
      <c r="B53" s="7" t="s">
        <v>1152</v>
      </c>
      <c r="C53" s="29"/>
    </row>
    <row r="54" spans="1:13" s="5" customFormat="1" x14ac:dyDescent="0.25">
      <c r="A54" s="7"/>
      <c r="B54" s="7"/>
      <c r="C54" s="7"/>
      <c r="D54" s="7"/>
      <c r="E54" s="7"/>
      <c r="F54" s="7"/>
      <c r="H54" s="22"/>
    </row>
    <row r="55" spans="1:13" s="20" customFormat="1" hidden="1" outlineLevel="1" x14ac:dyDescent="0.25">
      <c r="B55" s="19" t="s">
        <v>124</v>
      </c>
      <c r="M55" s="31"/>
    </row>
    <row r="56" spans="1:13" s="20" customFormat="1" hidden="1" outlineLevel="1" x14ac:dyDescent="0.25">
      <c r="M56" s="31"/>
    </row>
    <row r="57" spans="1:13" s="20" customFormat="1" hidden="1" outlineLevel="1" x14ac:dyDescent="0.25">
      <c r="B57" s="20" t="s">
        <v>1211</v>
      </c>
      <c r="C57" s="21">
        <f>(C10/100)*C12</f>
        <v>30</v>
      </c>
      <c r="D57" s="20" t="s">
        <v>643</v>
      </c>
      <c r="M57" s="31"/>
    </row>
    <row r="58" spans="1:13" s="20" customFormat="1" hidden="1" outlineLevel="1" x14ac:dyDescent="0.25">
      <c r="B58" s="20" t="s">
        <v>1212</v>
      </c>
      <c r="C58" s="21">
        <f>C57*0.05</f>
        <v>1.5</v>
      </c>
      <c r="D58" s="20" t="s">
        <v>32</v>
      </c>
      <c r="M58" s="31"/>
    </row>
    <row r="59" spans="1:13" s="20" customFormat="1" hidden="1" outlineLevel="1" x14ac:dyDescent="0.25">
      <c r="B59" s="20" t="s">
        <v>1213</v>
      </c>
      <c r="C59" s="21">
        <f>C58*(1+'LEIA-ME'!$D$31)</f>
        <v>1.5750000000000002</v>
      </c>
      <c r="D59" s="20" t="s">
        <v>32</v>
      </c>
      <c r="M59" s="31"/>
    </row>
    <row r="60" spans="1:13" s="20" customFormat="1" hidden="1" outlineLevel="1" x14ac:dyDescent="0.25">
      <c r="M60" s="31"/>
    </row>
    <row r="61" spans="1:13" s="20" customFormat="1" hidden="1" outlineLevel="1" x14ac:dyDescent="0.25">
      <c r="C61" s="133" t="s">
        <v>45</v>
      </c>
      <c r="D61" s="133"/>
      <c r="E61" s="133"/>
      <c r="F61" s="133"/>
      <c r="M61" s="31"/>
    </row>
    <row r="62" spans="1:13" s="73" customFormat="1" ht="30" hidden="1" outlineLevel="1" x14ac:dyDescent="0.25">
      <c r="B62" s="72" t="s">
        <v>42</v>
      </c>
      <c r="C62" s="86" t="s">
        <v>41</v>
      </c>
      <c r="D62" s="86" t="s">
        <v>40</v>
      </c>
      <c r="E62" s="86" t="s">
        <v>39</v>
      </c>
      <c r="F62" s="86" t="s">
        <v>38</v>
      </c>
      <c r="M62" s="74"/>
    </row>
    <row r="63" spans="1:13" s="20" customFormat="1" hidden="1" outlineLevel="1" x14ac:dyDescent="0.25">
      <c r="B63" s="30" t="s">
        <v>1170</v>
      </c>
      <c r="C63" s="21">
        <v>3.22</v>
      </c>
      <c r="D63" s="21">
        <v>0.58399999999999996</v>
      </c>
      <c r="E63" s="21">
        <v>0.91200000000000003</v>
      </c>
      <c r="F63" s="25">
        <v>194</v>
      </c>
      <c r="G63" s="20" t="s">
        <v>44</v>
      </c>
      <c r="M63" s="31"/>
    </row>
    <row r="64" spans="1:13" s="20" customFormat="1" hidden="1" outlineLevel="1" x14ac:dyDescent="0.25">
      <c r="M64" s="31"/>
    </row>
    <row r="65" spans="1:13" s="20" customFormat="1" hidden="1" outlineLevel="1" x14ac:dyDescent="0.25">
      <c r="C65" s="133" t="s">
        <v>43</v>
      </c>
      <c r="D65" s="133"/>
      <c r="E65" s="133"/>
      <c r="F65" s="133"/>
      <c r="M65" s="31"/>
    </row>
    <row r="66" spans="1:13" s="73" customFormat="1" ht="30" hidden="1" outlineLevel="1" x14ac:dyDescent="0.25">
      <c r="B66" s="72" t="s">
        <v>42</v>
      </c>
      <c r="C66" s="86" t="s">
        <v>41</v>
      </c>
      <c r="D66" s="86" t="s">
        <v>40</v>
      </c>
      <c r="E66" s="86" t="s">
        <v>39</v>
      </c>
      <c r="F66" s="86" t="s">
        <v>38</v>
      </c>
      <c r="M66" s="74"/>
    </row>
    <row r="67" spans="1:13" s="20" customFormat="1" hidden="1" outlineLevel="1" x14ac:dyDescent="0.25">
      <c r="B67" s="30" t="str">
        <f>B63</f>
        <v>1 : 4 : 8</v>
      </c>
      <c r="C67" s="21">
        <f>C63*$C$59</f>
        <v>5.0715000000000012</v>
      </c>
      <c r="D67" s="21">
        <f>D63*$C$58</f>
        <v>0.87599999999999989</v>
      </c>
      <c r="E67" s="21">
        <f>E63*$C$58</f>
        <v>1.3680000000000001</v>
      </c>
      <c r="F67" s="25">
        <f>F63*$C$58</f>
        <v>291</v>
      </c>
      <c r="G67" s="20" t="s">
        <v>37</v>
      </c>
      <c r="M67" s="31"/>
    </row>
    <row r="68" spans="1:13" hidden="1" outlineLevel="1" x14ac:dyDescent="0.25">
      <c r="M68" s="4"/>
    </row>
    <row r="69" spans="1:13" collapsed="1" x14ac:dyDescent="0.25">
      <c r="B69" s="27" t="s">
        <v>5</v>
      </c>
      <c r="C69" s="28" t="s">
        <v>46</v>
      </c>
      <c r="D69" s="28" t="s">
        <v>6</v>
      </c>
    </row>
    <row r="70" spans="1:13" x14ac:dyDescent="0.25">
      <c r="B70" s="88" t="s">
        <v>36</v>
      </c>
      <c r="C70" s="91" t="s">
        <v>35</v>
      </c>
      <c r="D70" s="87">
        <f>IF(C53="Sim",C67,0)</f>
        <v>0</v>
      </c>
      <c r="M70" s="4"/>
    </row>
    <row r="71" spans="1:13" x14ac:dyDescent="0.25">
      <c r="B71" s="88" t="s">
        <v>34</v>
      </c>
      <c r="C71" s="91" t="s">
        <v>32</v>
      </c>
      <c r="D71" s="87">
        <f>IF(C53="Sim",D67,0)</f>
        <v>0</v>
      </c>
      <c r="M71" s="4"/>
    </row>
    <row r="72" spans="1:13" x14ac:dyDescent="0.25">
      <c r="B72" s="88" t="s">
        <v>33</v>
      </c>
      <c r="C72" s="91" t="s">
        <v>32</v>
      </c>
      <c r="D72" s="87">
        <f>IF(C53="Sim",E67,0)</f>
        <v>0</v>
      </c>
      <c r="M72" s="4"/>
    </row>
    <row r="75" spans="1:13" s="5" customFormat="1" ht="18.75" x14ac:dyDescent="0.3">
      <c r="A75" s="7"/>
      <c r="B75" s="132" t="s">
        <v>543</v>
      </c>
      <c r="C75" s="132"/>
      <c r="D75" s="132"/>
      <c r="E75" s="7"/>
      <c r="F75" s="7"/>
      <c r="H75" s="22"/>
    </row>
    <row r="76" spans="1:13" s="5" customFormat="1" x14ac:dyDescent="0.25">
      <c r="A76" s="7"/>
      <c r="B76" s="7"/>
      <c r="C76" s="7"/>
      <c r="D76" s="7"/>
      <c r="E76" s="7"/>
      <c r="F76" s="7"/>
      <c r="H76" s="22"/>
    </row>
    <row r="77" spans="1:13" x14ac:dyDescent="0.25">
      <c r="B77" s="9" t="s">
        <v>2</v>
      </c>
    </row>
    <row r="79" spans="1:13" x14ac:dyDescent="0.25">
      <c r="B79" s="7" t="s">
        <v>62</v>
      </c>
      <c r="C79" s="23"/>
      <c r="D79" s="7" t="s">
        <v>64</v>
      </c>
    </row>
    <row r="80" spans="1:13" x14ac:dyDescent="0.25">
      <c r="B80" s="7" t="s">
        <v>63</v>
      </c>
      <c r="C80" s="23"/>
      <c r="D80" s="7" t="s">
        <v>56</v>
      </c>
    </row>
    <row r="82" spans="2:7" s="20" customFormat="1" hidden="1" outlineLevel="1" x14ac:dyDescent="0.25">
      <c r="B82" s="19" t="s">
        <v>119</v>
      </c>
    </row>
    <row r="83" spans="2:7" s="20" customFormat="1" hidden="1" outlineLevel="1" x14ac:dyDescent="0.25"/>
    <row r="84" spans="2:7" s="20" customFormat="1" hidden="1" outlineLevel="1" x14ac:dyDescent="0.25">
      <c r="B84" s="20" t="s">
        <v>31</v>
      </c>
    </row>
    <row r="85" spans="2:7" s="20" customFormat="1" hidden="1" outlineLevel="1" x14ac:dyDescent="0.25">
      <c r="B85" s="34" t="s">
        <v>230</v>
      </c>
      <c r="C85" s="35" t="s">
        <v>15</v>
      </c>
      <c r="D85" s="20" t="s">
        <v>663</v>
      </c>
    </row>
    <row r="86" spans="2:7" s="20" customFormat="1" hidden="1" outlineLevel="1" x14ac:dyDescent="0.25">
      <c r="B86" s="34"/>
    </row>
    <row r="87" spans="2:7" s="20" customFormat="1" hidden="1" outlineLevel="1" x14ac:dyDescent="0.25">
      <c r="B87" s="20" t="s">
        <v>30</v>
      </c>
    </row>
    <row r="88" spans="2:7" s="20" customFormat="1" hidden="1" outlineLevel="1" x14ac:dyDescent="0.25">
      <c r="B88" s="34" t="s">
        <v>230</v>
      </c>
      <c r="C88" s="35" t="s">
        <v>21</v>
      </c>
      <c r="D88" s="20" t="s">
        <v>663</v>
      </c>
    </row>
    <row r="89" spans="2:7" s="20" customFormat="1" hidden="1" outlineLevel="1" x14ac:dyDescent="0.25">
      <c r="B89" s="34" t="s">
        <v>843</v>
      </c>
      <c r="C89" s="23">
        <v>6</v>
      </c>
      <c r="D89" s="20" t="s">
        <v>56</v>
      </c>
    </row>
    <row r="90" spans="2:7" s="20" customFormat="1" hidden="1" outlineLevel="1" x14ac:dyDescent="0.25">
      <c r="B90" s="34" t="s">
        <v>617</v>
      </c>
      <c r="C90" s="25">
        <f>C10-C89</f>
        <v>14</v>
      </c>
      <c r="D90" s="20" t="s">
        <v>56</v>
      </c>
      <c r="F90" s="36"/>
    </row>
    <row r="91" spans="2:7" s="20" customFormat="1" hidden="1" outlineLevel="1" x14ac:dyDescent="0.25">
      <c r="B91" s="34" t="s">
        <v>618</v>
      </c>
      <c r="C91" s="25">
        <f>C11-C89</f>
        <v>24</v>
      </c>
      <c r="D91" s="20" t="s">
        <v>56</v>
      </c>
      <c r="F91" s="36"/>
      <c r="G91" s="36"/>
    </row>
    <row r="92" spans="2:7" s="20" customFormat="1" hidden="1" outlineLevel="1" x14ac:dyDescent="0.25">
      <c r="B92" s="34"/>
    </row>
    <row r="93" spans="2:7" s="20" customFormat="1" hidden="1" outlineLevel="1" x14ac:dyDescent="0.25">
      <c r="B93" s="19" t="s">
        <v>27</v>
      </c>
    </row>
    <row r="94" spans="2:7" s="20" customFormat="1" hidden="1" outlineLevel="1" x14ac:dyDescent="0.25"/>
    <row r="95" spans="2:7" s="20" customFormat="1" hidden="1" outlineLevel="1" x14ac:dyDescent="0.25">
      <c r="B95" s="20" t="s">
        <v>26</v>
      </c>
      <c r="C95" s="37">
        <f>C79*($C$12)</f>
        <v>0</v>
      </c>
      <c r="D95" s="20" t="s">
        <v>53</v>
      </c>
    </row>
    <row r="96" spans="2:7" s="20" customFormat="1" hidden="1" outlineLevel="1" x14ac:dyDescent="0.25">
      <c r="B96" s="20" t="s">
        <v>621</v>
      </c>
      <c r="C96" s="37">
        <f>C95*(1+'LEIA-ME'!$D$31)</f>
        <v>0</v>
      </c>
      <c r="D96" s="20" t="s">
        <v>53</v>
      </c>
    </row>
    <row r="97" spans="2:4" s="20" customFormat="1" hidden="1" outlineLevel="1" x14ac:dyDescent="0.25">
      <c r="B97" s="20" t="s">
        <v>664</v>
      </c>
      <c r="C97" s="23">
        <v>12</v>
      </c>
      <c r="D97" s="20" t="s">
        <v>53</v>
      </c>
    </row>
    <row r="98" spans="2:4" s="20" customFormat="1" hidden="1" outlineLevel="1" x14ac:dyDescent="0.25">
      <c r="B98" s="20" t="s">
        <v>72</v>
      </c>
      <c r="C98" s="40">
        <f>C96/C97</f>
        <v>0</v>
      </c>
      <c r="D98" s="20" t="s">
        <v>64</v>
      </c>
    </row>
    <row r="99" spans="2:4" s="20" customFormat="1" hidden="1" outlineLevel="1" x14ac:dyDescent="0.25"/>
    <row r="100" spans="2:4" s="20" customFormat="1" hidden="1" outlineLevel="1" x14ac:dyDescent="0.25">
      <c r="B100" s="19" t="s">
        <v>25</v>
      </c>
    </row>
    <row r="101" spans="2:4" s="20" customFormat="1" hidden="1" outlineLevel="1" x14ac:dyDescent="0.25"/>
    <row r="102" spans="2:4" s="20" customFormat="1" hidden="1" outlineLevel="1" x14ac:dyDescent="0.25">
      <c r="B102" s="20" t="s">
        <v>669</v>
      </c>
      <c r="C102" s="23">
        <v>20</v>
      </c>
      <c r="D102" s="20" t="s">
        <v>56</v>
      </c>
    </row>
    <row r="103" spans="2:4" s="20" customFormat="1" hidden="1" outlineLevel="1" x14ac:dyDescent="0.25">
      <c r="B103" s="20" t="s">
        <v>24</v>
      </c>
      <c r="C103" s="38">
        <f>(((C90*2)+(C91*2))*(1+C102/100))/100</f>
        <v>0.91200000000000003</v>
      </c>
      <c r="D103" s="20" t="s">
        <v>53</v>
      </c>
    </row>
    <row r="104" spans="2:4" s="20" customFormat="1" hidden="1" outlineLevel="1" x14ac:dyDescent="0.25">
      <c r="B104" s="20" t="s">
        <v>23</v>
      </c>
      <c r="C104" s="37" t="e">
        <f>INT(($C$12)/(C80/100))</f>
        <v>#DIV/0!</v>
      </c>
      <c r="D104" s="20" t="s">
        <v>644</v>
      </c>
    </row>
    <row r="105" spans="2:4" s="20" customFormat="1" hidden="1" outlineLevel="1" x14ac:dyDescent="0.25">
      <c r="B105" s="20" t="s">
        <v>22</v>
      </c>
      <c r="C105" s="37" t="e">
        <f>C104*C103</f>
        <v>#DIV/0!</v>
      </c>
      <c r="D105" s="20" t="s">
        <v>53</v>
      </c>
    </row>
    <row r="106" spans="2:4" s="20" customFormat="1" hidden="1" outlineLevel="1" x14ac:dyDescent="0.25">
      <c r="B106" s="20" t="s">
        <v>665</v>
      </c>
      <c r="C106" s="37" t="e">
        <f>C105*(1+'LEIA-ME'!$D$31)</f>
        <v>#DIV/0!</v>
      </c>
      <c r="D106" s="20" t="s">
        <v>53</v>
      </c>
    </row>
    <row r="107" spans="2:4" s="20" customFormat="1" hidden="1" outlineLevel="1" x14ac:dyDescent="0.25">
      <c r="B107" s="20" t="s">
        <v>664</v>
      </c>
      <c r="C107" s="23">
        <v>12</v>
      </c>
      <c r="D107" s="20" t="s">
        <v>53</v>
      </c>
    </row>
    <row r="108" spans="2:4" s="20" customFormat="1" hidden="1" outlineLevel="1" x14ac:dyDescent="0.25">
      <c r="B108" s="20" t="s">
        <v>72</v>
      </c>
      <c r="C108" s="37" t="e">
        <f>C106/C107</f>
        <v>#DIV/0!</v>
      </c>
      <c r="D108" s="20" t="s">
        <v>64</v>
      </c>
    </row>
    <row r="109" spans="2:4" s="20" customFormat="1" hidden="1" outlineLevel="1" x14ac:dyDescent="0.25"/>
    <row r="110" spans="2:4" s="20" customFormat="1" hidden="1" outlineLevel="1" x14ac:dyDescent="0.25">
      <c r="B110" s="19" t="s">
        <v>73</v>
      </c>
    </row>
    <row r="111" spans="2:4" s="20" customFormat="1" hidden="1" outlineLevel="1" x14ac:dyDescent="0.25"/>
    <row r="112" spans="2:4" s="20" customFormat="1" hidden="1" outlineLevel="1" x14ac:dyDescent="0.25">
      <c r="B112" s="20" t="s">
        <v>666</v>
      </c>
      <c r="C112" s="85">
        <v>0.02</v>
      </c>
      <c r="D112" s="20" t="s">
        <v>650</v>
      </c>
    </row>
    <row r="113" spans="1:8" s="20" customFormat="1" hidden="1" outlineLevel="1" x14ac:dyDescent="0.25">
      <c r="B113" s="20" t="s">
        <v>615</v>
      </c>
      <c r="C113" s="21">
        <f>C95*C112*(1+'LEIA-ME'!$D$31)</f>
        <v>0</v>
      </c>
      <c r="D113" s="20" t="s">
        <v>49</v>
      </c>
    </row>
    <row r="114" spans="1:8" s="20" customFormat="1" hidden="1" outlineLevel="1" x14ac:dyDescent="0.25">
      <c r="B114" s="20" t="s">
        <v>668</v>
      </c>
      <c r="C114" s="23">
        <v>5</v>
      </c>
      <c r="D114" s="20" t="s">
        <v>667</v>
      </c>
    </row>
    <row r="115" spans="1:8" s="20" customFormat="1" hidden="1" outlineLevel="1" x14ac:dyDescent="0.25">
      <c r="B115" s="20" t="s">
        <v>622</v>
      </c>
      <c r="C115" s="25">
        <f>C95*C114*(1+'LEIA-ME'!$D$31)</f>
        <v>0</v>
      </c>
      <c r="D115" s="20" t="s">
        <v>644</v>
      </c>
    </row>
    <row r="116" spans="1:8" hidden="1" outlineLevel="1" x14ac:dyDescent="0.25">
      <c r="B116" s="4"/>
      <c r="D116" s="32"/>
    </row>
    <row r="117" spans="1:8" collapsed="1" x14ac:dyDescent="0.25">
      <c r="B117" s="27" t="s">
        <v>5</v>
      </c>
      <c r="C117" s="28" t="s">
        <v>46</v>
      </c>
      <c r="D117" s="28" t="s">
        <v>6</v>
      </c>
    </row>
    <row r="118" spans="1:8" x14ac:dyDescent="0.25">
      <c r="B118" s="88" t="s">
        <v>70</v>
      </c>
      <c r="C118" s="91" t="s">
        <v>642</v>
      </c>
      <c r="D118" s="87">
        <f>C98</f>
        <v>0</v>
      </c>
    </row>
    <row r="119" spans="1:8" x14ac:dyDescent="0.25">
      <c r="B119" s="88" t="s">
        <v>71</v>
      </c>
      <c r="C119" s="91" t="s">
        <v>642</v>
      </c>
      <c r="D119" s="87">
        <f>IFERROR(C108,0)</f>
        <v>0</v>
      </c>
    </row>
    <row r="120" spans="1:8" x14ac:dyDescent="0.25">
      <c r="B120" s="88" t="s">
        <v>74</v>
      </c>
      <c r="C120" s="91" t="s">
        <v>641</v>
      </c>
      <c r="D120" s="87">
        <f>C113</f>
        <v>0</v>
      </c>
    </row>
    <row r="121" spans="1:8" x14ac:dyDescent="0.25">
      <c r="B121" s="88" t="s">
        <v>231</v>
      </c>
      <c r="C121" s="91" t="s">
        <v>50</v>
      </c>
      <c r="D121" s="87">
        <f>C115</f>
        <v>0</v>
      </c>
    </row>
    <row r="124" spans="1:8" s="5" customFormat="1" ht="18.75" x14ac:dyDescent="0.3">
      <c r="A124" s="7"/>
      <c r="B124" s="132" t="s">
        <v>545</v>
      </c>
      <c r="C124" s="132"/>
      <c r="D124" s="132"/>
      <c r="E124" s="7"/>
      <c r="F124" s="7"/>
      <c r="H124" s="22"/>
    </row>
    <row r="125" spans="1:8" s="5" customFormat="1" x14ac:dyDescent="0.25">
      <c r="A125" s="7"/>
      <c r="B125" s="45" t="s">
        <v>534</v>
      </c>
      <c r="C125" s="7"/>
      <c r="D125" s="7"/>
      <c r="E125" s="7"/>
      <c r="F125" s="7"/>
      <c r="H125" s="22"/>
    </row>
    <row r="126" spans="1:8" s="5" customFormat="1" x14ac:dyDescent="0.25">
      <c r="A126" s="7"/>
      <c r="B126" s="7"/>
      <c r="C126" s="7"/>
      <c r="D126" s="7"/>
      <c r="E126" s="7"/>
      <c r="F126" s="7"/>
      <c r="H126" s="22"/>
    </row>
    <row r="127" spans="1:8" x14ac:dyDescent="0.25">
      <c r="B127" s="9" t="s">
        <v>2</v>
      </c>
    </row>
    <row r="129" spans="2:6" x14ac:dyDescent="0.25">
      <c r="B129" s="7" t="s">
        <v>62</v>
      </c>
      <c r="C129" s="23"/>
      <c r="D129" s="7" t="s">
        <v>64</v>
      </c>
    </row>
    <row r="130" spans="2:6" x14ac:dyDescent="0.25">
      <c r="B130" s="7" t="s">
        <v>63</v>
      </c>
      <c r="C130" s="23"/>
      <c r="D130" s="7" t="s">
        <v>56</v>
      </c>
    </row>
    <row r="131" spans="2:6" x14ac:dyDescent="0.25">
      <c r="B131" s="7" t="s">
        <v>154</v>
      </c>
      <c r="C131" s="23"/>
      <c r="D131" s="7" t="s">
        <v>92</v>
      </c>
    </row>
    <row r="133" spans="2:6" s="20" customFormat="1" hidden="1" outlineLevel="1" x14ac:dyDescent="0.25">
      <c r="B133" s="19" t="s">
        <v>596</v>
      </c>
    </row>
    <row r="134" spans="2:6" s="20" customFormat="1" hidden="1" outlineLevel="1" x14ac:dyDescent="0.25"/>
    <row r="135" spans="2:6" s="20" customFormat="1" hidden="1" outlineLevel="1" x14ac:dyDescent="0.25">
      <c r="B135" s="20" t="s">
        <v>101</v>
      </c>
    </row>
    <row r="136" spans="2:6" s="20" customFormat="1" hidden="1" outlineLevel="1" x14ac:dyDescent="0.25">
      <c r="B136" s="34" t="s">
        <v>230</v>
      </c>
      <c r="C136" s="35" t="s">
        <v>15</v>
      </c>
      <c r="D136" s="20" t="s">
        <v>663</v>
      </c>
    </row>
    <row r="137" spans="2:6" s="20" customFormat="1" hidden="1" outlineLevel="1" x14ac:dyDescent="0.25">
      <c r="B137" s="34"/>
    </row>
    <row r="138" spans="2:6" s="20" customFormat="1" hidden="1" outlineLevel="1" x14ac:dyDescent="0.25">
      <c r="B138" s="20" t="s">
        <v>30</v>
      </c>
    </row>
    <row r="139" spans="2:6" s="20" customFormat="1" hidden="1" outlineLevel="1" x14ac:dyDescent="0.25">
      <c r="B139" s="34" t="s">
        <v>230</v>
      </c>
      <c r="C139" s="35" t="s">
        <v>21</v>
      </c>
      <c r="D139" s="20" t="s">
        <v>663</v>
      </c>
    </row>
    <row r="140" spans="2:6" s="20" customFormat="1" hidden="1" outlineLevel="1" x14ac:dyDescent="0.25">
      <c r="B140" s="34" t="s">
        <v>617</v>
      </c>
      <c r="C140" s="25">
        <f>IF('7. Colunas ou Pilares'!$C$9="",10,'7. Colunas ou Pilares'!$C$65)</f>
        <v>10</v>
      </c>
      <c r="D140" s="20" t="s">
        <v>56</v>
      </c>
      <c r="F140" s="36"/>
    </row>
    <row r="141" spans="2:6" s="20" customFormat="1" hidden="1" outlineLevel="1" x14ac:dyDescent="0.25">
      <c r="B141" s="34" t="s">
        <v>618</v>
      </c>
      <c r="C141" s="25">
        <f>IF('7. Colunas ou Pilares'!$C$10="",20,'7. Colunas ou Pilares'!$C$66)</f>
        <v>20</v>
      </c>
      <c r="D141" s="20" t="s">
        <v>56</v>
      </c>
      <c r="F141" s="36"/>
    </row>
    <row r="142" spans="2:6" s="20" customFormat="1" hidden="1" outlineLevel="1" x14ac:dyDescent="0.25"/>
    <row r="143" spans="2:6" s="20" customFormat="1" hidden="1" outlineLevel="1" x14ac:dyDescent="0.25">
      <c r="B143" s="19" t="s">
        <v>100</v>
      </c>
    </row>
    <row r="144" spans="2:6" s="20" customFormat="1" hidden="1" outlineLevel="1" x14ac:dyDescent="0.25"/>
    <row r="145" spans="2:4" s="20" customFormat="1" hidden="1" outlineLevel="1" x14ac:dyDescent="0.25">
      <c r="B145" s="20" t="s">
        <v>671</v>
      </c>
      <c r="C145" s="23">
        <v>1</v>
      </c>
      <c r="D145" s="20" t="s">
        <v>53</v>
      </c>
    </row>
    <row r="146" spans="2:4" s="20" customFormat="1" hidden="1" outlineLevel="1" x14ac:dyDescent="0.25">
      <c r="B146" s="20" t="s">
        <v>99</v>
      </c>
      <c r="C146" s="37">
        <f>C129*C145</f>
        <v>0</v>
      </c>
      <c r="D146" s="20" t="s">
        <v>53</v>
      </c>
    </row>
    <row r="147" spans="2:4" s="20" customFormat="1" hidden="1" outlineLevel="1" x14ac:dyDescent="0.25">
      <c r="B147" s="20" t="s">
        <v>98</v>
      </c>
      <c r="C147" s="37">
        <f>C146*(C131)</f>
        <v>0</v>
      </c>
      <c r="D147" s="20" t="s">
        <v>53</v>
      </c>
    </row>
    <row r="148" spans="2:4" s="20" customFormat="1" hidden="1" outlineLevel="1" x14ac:dyDescent="0.25">
      <c r="B148" s="20" t="s">
        <v>623</v>
      </c>
      <c r="C148" s="37">
        <f>C147*(1+'LEIA-ME'!$D$31)</f>
        <v>0</v>
      </c>
      <c r="D148" s="20" t="s">
        <v>53</v>
      </c>
    </row>
    <row r="149" spans="2:4" s="20" customFormat="1" hidden="1" outlineLevel="1" x14ac:dyDescent="0.25">
      <c r="B149" s="20" t="s">
        <v>664</v>
      </c>
      <c r="C149" s="23">
        <v>12</v>
      </c>
      <c r="D149" s="20" t="s">
        <v>53</v>
      </c>
    </row>
    <row r="150" spans="2:4" s="20" customFormat="1" hidden="1" outlineLevel="1" x14ac:dyDescent="0.25">
      <c r="B150" s="20" t="s">
        <v>72</v>
      </c>
      <c r="C150" s="37">
        <f>C148/12</f>
        <v>0</v>
      </c>
      <c r="D150" s="20" t="s">
        <v>64</v>
      </c>
    </row>
    <row r="151" spans="2:4" s="20" customFormat="1" hidden="1" outlineLevel="1" x14ac:dyDescent="0.25"/>
    <row r="152" spans="2:4" s="20" customFormat="1" hidden="1" outlineLevel="1" x14ac:dyDescent="0.25">
      <c r="B152" s="19" t="s">
        <v>25</v>
      </c>
    </row>
    <row r="153" spans="2:4" s="20" customFormat="1" hidden="1" outlineLevel="1" x14ac:dyDescent="0.25"/>
    <row r="154" spans="2:4" s="20" customFormat="1" hidden="1" outlineLevel="1" x14ac:dyDescent="0.25">
      <c r="B154" s="20" t="s">
        <v>669</v>
      </c>
      <c r="C154" s="23">
        <v>20</v>
      </c>
      <c r="D154" s="20" t="s">
        <v>56</v>
      </c>
    </row>
    <row r="155" spans="2:4" s="20" customFormat="1" hidden="1" outlineLevel="1" x14ac:dyDescent="0.25">
      <c r="B155" s="20" t="s">
        <v>24</v>
      </c>
      <c r="C155" s="37">
        <f>(((C140*2)+(C141*2))*(1+C154/100))/100</f>
        <v>0.72</v>
      </c>
      <c r="D155" s="20" t="s">
        <v>53</v>
      </c>
    </row>
    <row r="156" spans="2:4" s="20" customFormat="1" hidden="1" outlineLevel="1" x14ac:dyDescent="0.25">
      <c r="B156" s="20" t="s">
        <v>97</v>
      </c>
      <c r="C156" s="37" t="e">
        <f>INT(1/(C130/100))</f>
        <v>#DIV/0!</v>
      </c>
      <c r="D156" s="20" t="s">
        <v>644</v>
      </c>
    </row>
    <row r="157" spans="2:4" s="20" customFormat="1" hidden="1" outlineLevel="1" x14ac:dyDescent="0.25">
      <c r="B157" s="20" t="s">
        <v>624</v>
      </c>
      <c r="C157" s="37" t="e">
        <f>C156*C155</f>
        <v>#DIV/0!</v>
      </c>
      <c r="D157" s="20" t="s">
        <v>53</v>
      </c>
    </row>
    <row r="158" spans="2:4" s="20" customFormat="1" hidden="1" outlineLevel="1" x14ac:dyDescent="0.25">
      <c r="B158" s="20" t="s">
        <v>95</v>
      </c>
      <c r="C158" s="37" t="e">
        <f>C157*(C131)</f>
        <v>#DIV/0!</v>
      </c>
      <c r="D158" s="20" t="s">
        <v>53</v>
      </c>
    </row>
    <row r="159" spans="2:4" s="20" customFormat="1" hidden="1" outlineLevel="1" x14ac:dyDescent="0.25">
      <c r="B159" s="20" t="s">
        <v>707</v>
      </c>
      <c r="C159" s="37" t="e">
        <f>C158*(1+'LEIA-ME'!$D$31)</f>
        <v>#DIV/0!</v>
      </c>
      <c r="D159" s="20" t="s">
        <v>53</v>
      </c>
    </row>
    <row r="160" spans="2:4" s="20" customFormat="1" hidden="1" outlineLevel="1" x14ac:dyDescent="0.25">
      <c r="B160" s="20" t="s">
        <v>664</v>
      </c>
      <c r="C160" s="23">
        <v>12</v>
      </c>
      <c r="D160" s="20" t="s">
        <v>53</v>
      </c>
    </row>
    <row r="161" spans="1:8" s="20" customFormat="1" hidden="1" outlineLevel="1" x14ac:dyDescent="0.25">
      <c r="B161" s="20" t="s">
        <v>72</v>
      </c>
      <c r="C161" s="37" t="e">
        <f>C159/12</f>
        <v>#DIV/0!</v>
      </c>
      <c r="D161" s="20" t="s">
        <v>64</v>
      </c>
    </row>
    <row r="162" spans="1:8" hidden="1" outlineLevel="1" x14ac:dyDescent="0.25">
      <c r="B162" s="4"/>
      <c r="D162" s="32"/>
    </row>
    <row r="163" spans="1:8" collapsed="1" x14ac:dyDescent="0.25">
      <c r="B163" s="27" t="s">
        <v>5</v>
      </c>
      <c r="C163" s="28" t="s">
        <v>46</v>
      </c>
      <c r="D163" s="28" t="s">
        <v>6</v>
      </c>
    </row>
    <row r="164" spans="1:8" x14ac:dyDescent="0.25">
      <c r="B164" s="88" t="s">
        <v>70</v>
      </c>
      <c r="C164" s="91" t="s">
        <v>642</v>
      </c>
      <c r="D164" s="87">
        <f>C150</f>
        <v>0</v>
      </c>
    </row>
    <row r="165" spans="1:8" x14ac:dyDescent="0.25">
      <c r="B165" s="88" t="s">
        <v>71</v>
      </c>
      <c r="C165" s="91" t="s">
        <v>642</v>
      </c>
      <c r="D165" s="87">
        <f>IFERROR(C161,0)</f>
        <v>0</v>
      </c>
    </row>
    <row r="166" spans="1:8" x14ac:dyDescent="0.25">
      <c r="B166" s="4"/>
      <c r="D166" s="32"/>
    </row>
    <row r="168" spans="1:8" s="5" customFormat="1" ht="18.75" x14ac:dyDescent="0.3">
      <c r="A168" s="7"/>
      <c r="B168" s="132" t="s">
        <v>546</v>
      </c>
      <c r="C168" s="132"/>
      <c r="D168" s="132"/>
      <c r="E168" s="7"/>
      <c r="F168" s="7"/>
      <c r="H168" s="22"/>
    </row>
    <row r="169" spans="1:8" s="5" customFormat="1" x14ac:dyDescent="0.25">
      <c r="A169" s="7"/>
      <c r="B169" s="7"/>
      <c r="C169" s="7"/>
      <c r="D169" s="7"/>
      <c r="E169" s="7"/>
      <c r="F169" s="7"/>
      <c r="H169" s="22"/>
    </row>
    <row r="170" spans="1:8" x14ac:dyDescent="0.25">
      <c r="B170" s="9" t="s">
        <v>2</v>
      </c>
    </row>
    <row r="172" spans="1:8" x14ac:dyDescent="0.25">
      <c r="B172" s="7" t="s">
        <v>1153</v>
      </c>
      <c r="C172" s="29"/>
    </row>
    <row r="174" spans="1:8" s="20" customFormat="1" hidden="1" outlineLevel="1" x14ac:dyDescent="0.25">
      <c r="B174" s="19" t="s">
        <v>120</v>
      </c>
    </row>
    <row r="175" spans="1:8" s="20" customFormat="1" hidden="1" outlineLevel="1" x14ac:dyDescent="0.25"/>
    <row r="176" spans="1:8" s="20" customFormat="1" hidden="1" outlineLevel="1" x14ac:dyDescent="0.25">
      <c r="B176" s="20" t="s">
        <v>649</v>
      </c>
      <c r="C176" s="33">
        <v>3</v>
      </c>
      <c r="D176" s="20" t="s">
        <v>53</v>
      </c>
    </row>
    <row r="177" spans="2:4" s="20" customFormat="1" hidden="1" outlineLevel="1" x14ac:dyDescent="0.25">
      <c r="B177" s="20" t="s">
        <v>20</v>
      </c>
      <c r="C177" s="21">
        <f>($C$12)/C176</f>
        <v>50</v>
      </c>
      <c r="D177" s="20" t="s">
        <v>644</v>
      </c>
    </row>
    <row r="178" spans="2:4" s="20" customFormat="1" hidden="1" outlineLevel="1" x14ac:dyDescent="0.25">
      <c r="B178" s="20" t="s">
        <v>19</v>
      </c>
      <c r="C178" s="21">
        <f>IF(C11&gt;25,2,1)</f>
        <v>2</v>
      </c>
      <c r="D178" s="20" t="s">
        <v>644</v>
      </c>
    </row>
    <row r="179" spans="2:4" s="20" customFormat="1" hidden="1" outlineLevel="1" x14ac:dyDescent="0.25">
      <c r="B179" s="20" t="s">
        <v>228</v>
      </c>
      <c r="C179" s="21">
        <f>C178*C177*2</f>
        <v>200</v>
      </c>
      <c r="D179" s="20" t="s">
        <v>644</v>
      </c>
    </row>
    <row r="180" spans="2:4" s="20" customFormat="1" hidden="1" outlineLevel="1" x14ac:dyDescent="0.25">
      <c r="B180" s="20" t="s">
        <v>672</v>
      </c>
      <c r="C180" s="21">
        <f>C179*(1+'LEIA-ME'!$D$31)</f>
        <v>210</v>
      </c>
      <c r="D180" s="20" t="s">
        <v>644</v>
      </c>
    </row>
    <row r="181" spans="2:4" s="20" customFormat="1" hidden="1" outlineLevel="1" x14ac:dyDescent="0.25">
      <c r="C181" s="21"/>
    </row>
    <row r="182" spans="2:4" s="20" customFormat="1" hidden="1" outlineLevel="1" x14ac:dyDescent="0.25">
      <c r="B182" s="19" t="s">
        <v>121</v>
      </c>
    </row>
    <row r="183" spans="2:4" s="20" customFormat="1" hidden="1" outlineLevel="1" x14ac:dyDescent="0.25"/>
    <row r="184" spans="2:4" s="20" customFormat="1" hidden="1" outlineLevel="1" x14ac:dyDescent="0.25">
      <c r="B184" s="20" t="s">
        <v>18</v>
      </c>
      <c r="C184" s="23">
        <v>40</v>
      </c>
      <c r="D184" s="39" t="s">
        <v>56</v>
      </c>
    </row>
    <row r="185" spans="2:4" s="20" customFormat="1" hidden="1" outlineLevel="1" x14ac:dyDescent="0.25">
      <c r="B185" s="20" t="s">
        <v>232</v>
      </c>
      <c r="C185" s="21">
        <f>($C$12)/(C184/100)*C178</f>
        <v>750</v>
      </c>
      <c r="D185" s="39" t="s">
        <v>644</v>
      </c>
    </row>
    <row r="186" spans="2:4" s="20" customFormat="1" hidden="1" outlineLevel="1" x14ac:dyDescent="0.25">
      <c r="B186" s="20" t="s">
        <v>17</v>
      </c>
      <c r="C186" s="21">
        <f>C185*(C10/100)</f>
        <v>150</v>
      </c>
      <c r="D186" s="20" t="s">
        <v>53</v>
      </c>
    </row>
    <row r="187" spans="2:4" s="20" customFormat="1" hidden="1" outlineLevel="1" x14ac:dyDescent="0.25">
      <c r="B187" s="20" t="s">
        <v>673</v>
      </c>
      <c r="C187" s="21">
        <f>C186*(1+'LEIA-ME'!$D$31)</f>
        <v>157.5</v>
      </c>
      <c r="D187" s="20" t="s">
        <v>53</v>
      </c>
    </row>
    <row r="188" spans="2:4" s="20" customFormat="1" hidden="1" outlineLevel="1" x14ac:dyDescent="0.25">
      <c r="B188" s="20" t="s">
        <v>674</v>
      </c>
      <c r="C188" s="33">
        <v>3</v>
      </c>
      <c r="D188" s="20" t="s">
        <v>53</v>
      </c>
    </row>
    <row r="189" spans="2:4" s="20" customFormat="1" hidden="1" outlineLevel="1" x14ac:dyDescent="0.25">
      <c r="B189" s="20" t="s">
        <v>232</v>
      </c>
      <c r="C189" s="21">
        <f>C187/C188</f>
        <v>52.5</v>
      </c>
      <c r="D189" s="20" t="s">
        <v>644</v>
      </c>
    </row>
    <row r="190" spans="2:4" s="20" customFormat="1" hidden="1" outlineLevel="1" x14ac:dyDescent="0.25"/>
    <row r="191" spans="2:4" s="20" customFormat="1" hidden="1" outlineLevel="1" x14ac:dyDescent="0.25">
      <c r="B191" s="19" t="s">
        <v>714</v>
      </c>
    </row>
    <row r="192" spans="2:4" s="20" customFormat="1" hidden="1" outlineLevel="1" x14ac:dyDescent="0.25"/>
    <row r="193" spans="1:8" s="20" customFormat="1" hidden="1" outlineLevel="1" x14ac:dyDescent="0.25">
      <c r="B193" s="20" t="s">
        <v>16</v>
      </c>
      <c r="C193" s="92">
        <v>3.0959999999999998E-2</v>
      </c>
      <c r="D193" s="39" t="s">
        <v>829</v>
      </c>
    </row>
    <row r="194" spans="1:8" s="20" customFormat="1" hidden="1" outlineLevel="1" x14ac:dyDescent="0.25">
      <c r="B194" s="20" t="s">
        <v>75</v>
      </c>
      <c r="C194" s="40">
        <f>$C$180*C193</f>
        <v>6.5015999999999998</v>
      </c>
      <c r="D194" s="20" t="s">
        <v>49</v>
      </c>
    </row>
    <row r="195" spans="1:8" hidden="1" outlineLevel="1" x14ac:dyDescent="0.25"/>
    <row r="196" spans="1:8" collapsed="1" x14ac:dyDescent="0.25">
      <c r="B196" s="27" t="s">
        <v>5</v>
      </c>
      <c r="C196" s="28" t="s">
        <v>46</v>
      </c>
      <c r="D196" s="28" t="s">
        <v>6</v>
      </c>
    </row>
    <row r="197" spans="1:8" x14ac:dyDescent="0.25">
      <c r="B197" s="88" t="s">
        <v>77</v>
      </c>
      <c r="C197" s="91" t="s">
        <v>612</v>
      </c>
      <c r="D197" s="87">
        <f>IF(C172="Sim",C180,0)</f>
        <v>0</v>
      </c>
    </row>
    <row r="198" spans="1:8" x14ac:dyDescent="0.25">
      <c r="B198" s="88" t="s">
        <v>76</v>
      </c>
      <c r="C198" s="91" t="s">
        <v>612</v>
      </c>
      <c r="D198" s="87">
        <f>IF(C172="Sim",C189,0)</f>
        <v>0</v>
      </c>
    </row>
    <row r="199" spans="1:8" x14ac:dyDescent="0.25">
      <c r="B199" s="90" t="s">
        <v>636</v>
      </c>
      <c r="C199" s="89" t="s">
        <v>49</v>
      </c>
      <c r="D199" s="87">
        <f>IF(C172="Sim",C194,0)</f>
        <v>0</v>
      </c>
    </row>
    <row r="202" spans="1:8" s="5" customFormat="1" ht="18.75" x14ac:dyDescent="0.3">
      <c r="A202" s="7"/>
      <c r="B202" s="132" t="s">
        <v>85</v>
      </c>
      <c r="C202" s="132"/>
      <c r="D202" s="132"/>
      <c r="E202" s="7"/>
      <c r="F202" s="7"/>
      <c r="H202" s="22"/>
    </row>
    <row r="204" spans="1:8" x14ac:dyDescent="0.25">
      <c r="B204" s="9" t="s">
        <v>2</v>
      </c>
    </row>
    <row r="206" spans="1:8" x14ac:dyDescent="0.25">
      <c r="B206" s="7" t="s">
        <v>227</v>
      </c>
      <c r="C206" s="41"/>
    </row>
    <row r="208" spans="1:8" s="20" customFormat="1" hidden="1" outlineLevel="1" x14ac:dyDescent="0.25">
      <c r="B208" s="19" t="s">
        <v>123</v>
      </c>
      <c r="G208" s="20" t="s">
        <v>676</v>
      </c>
    </row>
    <row r="209" spans="2:7" s="20" customFormat="1" hidden="1" outlineLevel="1" x14ac:dyDescent="0.25">
      <c r="G209" s="20" t="s">
        <v>82</v>
      </c>
    </row>
    <row r="210" spans="2:7" s="20" customFormat="1" hidden="1" outlineLevel="1" x14ac:dyDescent="0.25">
      <c r="B210" s="20" t="s">
        <v>675</v>
      </c>
      <c r="C210" s="92">
        <v>0.20739999999999997</v>
      </c>
      <c r="D210" s="20" t="s">
        <v>678</v>
      </c>
      <c r="G210" s="20" t="s">
        <v>83</v>
      </c>
    </row>
    <row r="211" spans="2:7" s="20" customFormat="1" hidden="1" outlineLevel="1" x14ac:dyDescent="0.25">
      <c r="B211" s="20" t="s">
        <v>78</v>
      </c>
      <c r="C211" s="21">
        <f>$C$12*C210</f>
        <v>31.109999999999996</v>
      </c>
      <c r="D211" s="20" t="s">
        <v>688</v>
      </c>
      <c r="E211" s="21"/>
      <c r="G211" s="20" t="s">
        <v>84</v>
      </c>
    </row>
    <row r="212" spans="2:7" s="20" customFormat="1" hidden="1" outlineLevel="1" x14ac:dyDescent="0.25">
      <c r="B212" s="20" t="s">
        <v>677</v>
      </c>
      <c r="C212" s="21">
        <f>C211*(1+'LEIA-ME'!$D$31)</f>
        <v>32.665499999999994</v>
      </c>
      <c r="D212" s="20" t="s">
        <v>688</v>
      </c>
    </row>
    <row r="213" spans="2:7" s="20" customFormat="1" hidden="1" outlineLevel="1" x14ac:dyDescent="0.25">
      <c r="B213" s="20" t="s">
        <v>679</v>
      </c>
      <c r="C213" s="92">
        <v>6.9300000000000004E-3</v>
      </c>
      <c r="D213" s="20" t="s">
        <v>682</v>
      </c>
    </row>
    <row r="214" spans="2:7" s="20" customFormat="1" hidden="1" outlineLevel="1" x14ac:dyDescent="0.25">
      <c r="B214" s="20" t="s">
        <v>693</v>
      </c>
      <c r="C214" s="21">
        <f>$C$12*C213</f>
        <v>1.0395000000000001</v>
      </c>
      <c r="D214" s="20" t="s">
        <v>32</v>
      </c>
      <c r="E214" s="21"/>
    </row>
    <row r="215" spans="2:7" s="20" customFormat="1" hidden="1" outlineLevel="1" x14ac:dyDescent="0.25">
      <c r="B215" s="20" t="s">
        <v>694</v>
      </c>
      <c r="C215" s="21">
        <f>C214*(1+'LEIA-ME'!$D$31)</f>
        <v>1.0914750000000002</v>
      </c>
      <c r="D215" s="20" t="s">
        <v>32</v>
      </c>
      <c r="E215" s="21"/>
    </row>
    <row r="216" spans="2:7" s="20" customFormat="1" hidden="1" outlineLevel="1" x14ac:dyDescent="0.25">
      <c r="B216" s="20" t="s">
        <v>681</v>
      </c>
      <c r="C216" s="92">
        <v>0.1</v>
      </c>
      <c r="D216" s="20" t="s">
        <v>686</v>
      </c>
      <c r="E216" s="21"/>
    </row>
    <row r="217" spans="2:7" s="20" customFormat="1" hidden="1" outlineLevel="1" x14ac:dyDescent="0.25">
      <c r="B217" s="20" t="s">
        <v>233</v>
      </c>
      <c r="C217" s="21">
        <f>C212*C216</f>
        <v>3.2665499999999996</v>
      </c>
      <c r="D217" s="20" t="s">
        <v>687</v>
      </c>
    </row>
    <row r="218" spans="2:7" s="20" customFormat="1" hidden="1" outlineLevel="1" x14ac:dyDescent="0.25">
      <c r="B218" s="20" t="s">
        <v>683</v>
      </c>
      <c r="C218" s="21">
        <f>C217*(1+'LEIA-ME'!$D$31)</f>
        <v>3.4298774999999999</v>
      </c>
      <c r="D218" s="20" t="s">
        <v>687</v>
      </c>
    </row>
    <row r="219" spans="2:7" s="20" customFormat="1" hidden="1" outlineLevel="1" x14ac:dyDescent="0.25">
      <c r="B219" s="20" t="s">
        <v>680</v>
      </c>
      <c r="C219" s="23">
        <v>20</v>
      </c>
      <c r="D219" s="20" t="s">
        <v>667</v>
      </c>
    </row>
    <row r="220" spans="2:7" s="20" customFormat="1" hidden="1" outlineLevel="1" x14ac:dyDescent="0.25">
      <c r="B220" s="20" t="s">
        <v>684</v>
      </c>
      <c r="C220" s="25">
        <f>($C$12)*C219</f>
        <v>3000</v>
      </c>
      <c r="D220" s="20" t="s">
        <v>644</v>
      </c>
    </row>
    <row r="221" spans="2:7" s="20" customFormat="1" hidden="1" outlineLevel="1" x14ac:dyDescent="0.25">
      <c r="B221" s="20" t="s">
        <v>685</v>
      </c>
      <c r="C221" s="25">
        <f>C220*(1+'LEIA-ME'!$D$31)</f>
        <v>3150</v>
      </c>
      <c r="D221" s="20" t="s">
        <v>644</v>
      </c>
    </row>
    <row r="222" spans="2:7" hidden="1" outlineLevel="1" x14ac:dyDescent="0.25"/>
    <row r="223" spans="2:7" collapsed="1" x14ac:dyDescent="0.25">
      <c r="B223" s="27" t="s">
        <v>5</v>
      </c>
      <c r="C223" s="28" t="s">
        <v>46</v>
      </c>
      <c r="D223" s="28" t="s">
        <v>6</v>
      </c>
    </row>
    <row r="224" spans="2:7" x14ac:dyDescent="0.25">
      <c r="B224" s="88" t="s">
        <v>36</v>
      </c>
      <c r="C224" s="91" t="s">
        <v>35</v>
      </c>
      <c r="D224" s="87">
        <f>IF(C206="",0,C212)</f>
        <v>0</v>
      </c>
    </row>
    <row r="225" spans="1:8" ht="17.25" x14ac:dyDescent="0.25">
      <c r="B225" s="88" t="s">
        <v>34</v>
      </c>
      <c r="C225" s="91" t="s">
        <v>80</v>
      </c>
      <c r="D225" s="87">
        <f>IF(C206="",0,C215)</f>
        <v>0</v>
      </c>
    </row>
    <row r="226" spans="1:8" x14ac:dyDescent="0.25">
      <c r="B226" s="90" t="s">
        <v>81</v>
      </c>
      <c r="C226" s="89" t="s">
        <v>79</v>
      </c>
      <c r="D226" s="87">
        <f>IF(C206="",0,C218)</f>
        <v>0</v>
      </c>
    </row>
    <row r="227" spans="1:8" x14ac:dyDescent="0.25">
      <c r="B227" s="90" t="str">
        <f>"Tijolo comum maciço "&amp;C206</f>
        <v xml:space="preserve">Tijolo comum maciço </v>
      </c>
      <c r="C227" s="89" t="s">
        <v>50</v>
      </c>
      <c r="D227" s="87">
        <f>IF(C206="",0,C221)</f>
        <v>0</v>
      </c>
    </row>
    <row r="230" spans="1:8" s="5" customFormat="1" ht="18.75" x14ac:dyDescent="0.3">
      <c r="A230" s="7"/>
      <c r="B230" s="132" t="s">
        <v>1154</v>
      </c>
      <c r="C230" s="132"/>
      <c r="D230" s="132"/>
      <c r="E230" s="7"/>
      <c r="F230" s="7"/>
      <c r="H230" s="22"/>
    </row>
    <row r="232" spans="1:8" s="20" customFormat="1" hidden="1" outlineLevel="1" x14ac:dyDescent="0.25">
      <c r="B232" s="19" t="s">
        <v>123</v>
      </c>
    </row>
    <row r="233" spans="1:8" s="20" customFormat="1" hidden="1" outlineLevel="1" x14ac:dyDescent="0.25"/>
    <row r="234" spans="1:8" s="20" customFormat="1" hidden="1" outlineLevel="1" x14ac:dyDescent="0.25">
      <c r="B234" s="20" t="s">
        <v>675</v>
      </c>
      <c r="C234" s="92">
        <v>0.1</v>
      </c>
      <c r="D234" s="20" t="s">
        <v>678</v>
      </c>
    </row>
    <row r="235" spans="1:8" s="20" customFormat="1" hidden="1" outlineLevel="1" x14ac:dyDescent="0.25">
      <c r="B235" s="20" t="s">
        <v>78</v>
      </c>
      <c r="C235" s="21">
        <f>$C$12*C234</f>
        <v>15</v>
      </c>
      <c r="D235" s="20" t="s">
        <v>688</v>
      </c>
      <c r="F235" s="21"/>
    </row>
    <row r="236" spans="1:8" s="20" customFormat="1" hidden="1" outlineLevel="1" x14ac:dyDescent="0.25">
      <c r="B236" s="20" t="s">
        <v>677</v>
      </c>
      <c r="C236" s="21">
        <f>C235*(1+'LEIA-ME'!$D$31)</f>
        <v>15.75</v>
      </c>
      <c r="D236" s="20" t="s">
        <v>688</v>
      </c>
    </row>
    <row r="237" spans="1:8" s="20" customFormat="1" hidden="1" outlineLevel="1" x14ac:dyDescent="0.25">
      <c r="B237" s="20" t="s">
        <v>679</v>
      </c>
      <c r="C237" s="92">
        <v>2.4299999999999999E-3</v>
      </c>
      <c r="D237" s="20" t="s">
        <v>682</v>
      </c>
    </row>
    <row r="238" spans="1:8" s="20" customFormat="1" hidden="1" outlineLevel="1" x14ac:dyDescent="0.25">
      <c r="B238" s="20" t="s">
        <v>693</v>
      </c>
      <c r="C238" s="21">
        <f>$C$12*C237</f>
        <v>0.36449999999999999</v>
      </c>
      <c r="D238" s="20" t="s">
        <v>32</v>
      </c>
      <c r="F238" s="21"/>
    </row>
    <row r="239" spans="1:8" s="20" customFormat="1" hidden="1" outlineLevel="1" x14ac:dyDescent="0.25">
      <c r="B239" s="20" t="s">
        <v>694</v>
      </c>
      <c r="C239" s="21">
        <f>C238*(1+'LEIA-ME'!$D$31)</f>
        <v>0.38272499999999998</v>
      </c>
      <c r="D239" s="20" t="s">
        <v>32</v>
      </c>
    </row>
    <row r="240" spans="1:8" s="20" customFormat="1" hidden="1" outlineLevel="1" x14ac:dyDescent="0.25">
      <c r="B240" s="20" t="s">
        <v>689</v>
      </c>
      <c r="C240" s="92">
        <v>9.0909090909090912E-2</v>
      </c>
      <c r="D240" s="20" t="s">
        <v>830</v>
      </c>
    </row>
    <row r="241" spans="2:6" s="20" customFormat="1" hidden="1" outlineLevel="1" x14ac:dyDescent="0.25">
      <c r="B241" s="20" t="s">
        <v>690</v>
      </c>
      <c r="C241" s="21">
        <f>$C$12*C240</f>
        <v>13.636363636363637</v>
      </c>
      <c r="D241" s="20" t="s">
        <v>691</v>
      </c>
      <c r="F241" s="21"/>
    </row>
    <row r="242" spans="2:6" s="20" customFormat="1" hidden="1" outlineLevel="1" x14ac:dyDescent="0.25">
      <c r="B242" s="20" t="s">
        <v>692</v>
      </c>
      <c r="C242" s="21">
        <f>C241*(1+'LEIA-ME'!$D$31)</f>
        <v>14.318181818181818</v>
      </c>
      <c r="D242" s="20" t="s">
        <v>691</v>
      </c>
    </row>
    <row r="243" spans="2:6" s="20" customFormat="1" hidden="1" outlineLevel="1" x14ac:dyDescent="0.25">
      <c r="B243" s="20" t="s">
        <v>695</v>
      </c>
      <c r="C243" s="25">
        <v>1</v>
      </c>
      <c r="D243" s="20" t="s">
        <v>803</v>
      </c>
    </row>
    <row r="244" spans="2:6" hidden="1" outlineLevel="1" x14ac:dyDescent="0.25"/>
    <row r="245" spans="2:6" collapsed="1" x14ac:dyDescent="0.25">
      <c r="B245" s="27" t="s">
        <v>5</v>
      </c>
      <c r="C245" s="28" t="s">
        <v>46</v>
      </c>
      <c r="D245" s="28" t="s">
        <v>6</v>
      </c>
    </row>
    <row r="246" spans="2:6" x14ac:dyDescent="0.25">
      <c r="B246" s="88" t="s">
        <v>36</v>
      </c>
      <c r="C246" s="91" t="s">
        <v>35</v>
      </c>
      <c r="D246" s="87">
        <f>C236</f>
        <v>15.75</v>
      </c>
    </row>
    <row r="247" spans="2:6" ht="17.25" x14ac:dyDescent="0.25">
      <c r="B247" s="88" t="s">
        <v>34</v>
      </c>
      <c r="C247" s="91" t="s">
        <v>80</v>
      </c>
      <c r="D247" s="87">
        <f>C239</f>
        <v>0.38272499999999998</v>
      </c>
    </row>
    <row r="248" spans="2:6" x14ac:dyDescent="0.25">
      <c r="B248" s="90" t="s">
        <v>87</v>
      </c>
      <c r="C248" s="89" t="s">
        <v>86</v>
      </c>
      <c r="D248" s="87">
        <f>C242</f>
        <v>14.318181818181818</v>
      </c>
    </row>
    <row r="249" spans="2:6" x14ac:dyDescent="0.25">
      <c r="B249" s="90" t="s">
        <v>88</v>
      </c>
      <c r="C249" s="89" t="s">
        <v>50</v>
      </c>
      <c r="D249" s="87">
        <f>IF(C12="",0,C243)</f>
        <v>1</v>
      </c>
    </row>
  </sheetData>
  <mergeCells count="13">
    <mergeCell ref="B75:D75"/>
    <mergeCell ref="B168:D168"/>
    <mergeCell ref="B202:D202"/>
    <mergeCell ref="B230:D230"/>
    <mergeCell ref="B2:D2"/>
    <mergeCell ref="B4:D4"/>
    <mergeCell ref="B6:D6"/>
    <mergeCell ref="C24:F24"/>
    <mergeCell ref="C33:F33"/>
    <mergeCell ref="B49:D49"/>
    <mergeCell ref="C61:F61"/>
    <mergeCell ref="C65:F65"/>
    <mergeCell ref="B124:D124"/>
  </mergeCells>
  <dataValidations disablePrompts="1" count="4">
    <dataValidation type="list" allowBlank="1" showInputMessage="1" showErrorMessage="1" sqref="C13" xr:uid="{00000000-0002-0000-0200-000000000000}">
      <formula1>"Usinado,Feito na obra"</formula1>
    </dataValidation>
    <dataValidation type="list" allowBlank="1" showInputMessage="1" showErrorMessage="1" sqref="C14" xr:uid="{00000000-0002-0000-0200-000001000000}">
      <formula1>$B$26:$B$31</formula1>
    </dataValidation>
    <dataValidation type="list" allowBlank="1" showInputMessage="1" showErrorMessage="1" sqref="C206" xr:uid="{00000000-0002-0000-0200-000002000000}">
      <formula1>$G$209:$G$211</formula1>
    </dataValidation>
    <dataValidation type="list" allowBlank="1" showInputMessage="1" showErrorMessage="1" sqref="C53 C172" xr:uid="{00000000-0002-0000-0200-000003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5"/>
  <sheetViews>
    <sheetView showGridLines="0" zoomScale="130" zoomScaleNormal="130" workbookViewId="0">
      <selection activeCell="C8" sqref="C8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89</v>
      </c>
      <c r="C2" s="130"/>
      <c r="D2" s="131"/>
    </row>
    <row r="4" spans="1:8" ht="29.25" customHeight="1" x14ac:dyDescent="0.25">
      <c r="B4" s="128" t="s">
        <v>90</v>
      </c>
      <c r="C4" s="128"/>
      <c r="D4" s="128"/>
    </row>
    <row r="6" spans="1:8" s="5" customFormat="1" ht="18.75" x14ac:dyDescent="0.3">
      <c r="A6" s="7"/>
      <c r="B6" s="132" t="s">
        <v>539</v>
      </c>
      <c r="C6" s="132"/>
      <c r="D6" s="132"/>
      <c r="E6" s="7"/>
      <c r="F6" s="7"/>
      <c r="H6" s="22"/>
    </row>
    <row r="7" spans="1:8" s="5" customFormat="1" x14ac:dyDescent="0.25">
      <c r="A7" s="7"/>
      <c r="B7" s="7"/>
      <c r="C7" s="7"/>
      <c r="D7" s="7"/>
      <c r="E7" s="7"/>
      <c r="F7" s="7"/>
      <c r="H7" s="22"/>
    </row>
    <row r="8" spans="1:8" x14ac:dyDescent="0.25">
      <c r="B8" s="9" t="s">
        <v>2</v>
      </c>
    </row>
    <row r="10" spans="1:8" x14ac:dyDescent="0.25">
      <c r="B10" s="7" t="s">
        <v>126</v>
      </c>
      <c r="C10" s="23"/>
      <c r="D10" s="7" t="s">
        <v>56</v>
      </c>
    </row>
    <row r="11" spans="1:8" x14ac:dyDescent="0.25">
      <c r="B11" s="7" t="s">
        <v>127</v>
      </c>
      <c r="C11" s="23"/>
      <c r="D11" s="7" t="s">
        <v>56</v>
      </c>
    </row>
    <row r="12" spans="1:8" x14ac:dyDescent="0.25">
      <c r="B12" s="7" t="s">
        <v>128</v>
      </c>
      <c r="C12" s="23"/>
      <c r="D12" s="7" t="s">
        <v>56</v>
      </c>
      <c r="G12" s="24"/>
    </row>
    <row r="13" spans="1:8" x14ac:dyDescent="0.25">
      <c r="B13" s="7" t="s">
        <v>129</v>
      </c>
      <c r="C13" s="23"/>
      <c r="D13" s="7" t="s">
        <v>92</v>
      </c>
    </row>
    <row r="14" spans="1:8" x14ac:dyDescent="0.25">
      <c r="B14" s="7" t="s">
        <v>225</v>
      </c>
      <c r="C14" s="29"/>
    </row>
    <row r="15" spans="1:8" x14ac:dyDescent="0.25">
      <c r="B15" s="7" t="s">
        <v>57</v>
      </c>
      <c r="C15" s="29"/>
      <c r="D15" s="7" t="s">
        <v>1193</v>
      </c>
    </row>
    <row r="17" spans="2:13" s="20" customFormat="1" hidden="1" outlineLevel="1" x14ac:dyDescent="0.25">
      <c r="B17" s="19" t="s">
        <v>118</v>
      </c>
    </row>
    <row r="18" spans="2:13" s="20" customFormat="1" hidden="1" outlineLevel="1" x14ac:dyDescent="0.25"/>
    <row r="19" spans="2:13" s="20" customFormat="1" hidden="1" outlineLevel="1" x14ac:dyDescent="0.25">
      <c r="B19" s="20" t="s">
        <v>116</v>
      </c>
      <c r="C19" s="29" t="s">
        <v>115</v>
      </c>
      <c r="L19" s="20" t="s">
        <v>696</v>
      </c>
    </row>
    <row r="20" spans="2:13" s="20" customFormat="1" hidden="1" outlineLevel="1" x14ac:dyDescent="0.25">
      <c r="B20" s="20" t="s">
        <v>697</v>
      </c>
      <c r="C20" s="21">
        <f>(C10/100)*(C11/100)</f>
        <v>0</v>
      </c>
      <c r="D20" s="20" t="s">
        <v>643</v>
      </c>
      <c r="K20" s="20" t="s">
        <v>115</v>
      </c>
      <c r="L20" s="26">
        <v>0</v>
      </c>
    </row>
    <row r="21" spans="2:13" s="20" customFormat="1" hidden="1" outlineLevel="1" x14ac:dyDescent="0.25">
      <c r="B21" s="20" t="s">
        <v>698</v>
      </c>
      <c r="C21" s="21">
        <f>C20*C12/100</f>
        <v>0</v>
      </c>
      <c r="D21" s="20" t="s">
        <v>32</v>
      </c>
      <c r="K21" s="20" t="s">
        <v>114</v>
      </c>
      <c r="L21" s="26">
        <f>0.0976*((C10/100)^2)-0.313*C10/100+0.0807</f>
        <v>8.0699999999999994E-2</v>
      </c>
      <c r="M21" s="20" t="s">
        <v>111</v>
      </c>
    </row>
    <row r="22" spans="2:13" s="20" customFormat="1" hidden="1" outlineLevel="1" x14ac:dyDescent="0.25">
      <c r="B22" s="20" t="s">
        <v>113</v>
      </c>
      <c r="C22" s="21">
        <f>C21*C13</f>
        <v>0</v>
      </c>
      <c r="D22" s="20" t="s">
        <v>32</v>
      </c>
      <c r="K22" s="20" t="s">
        <v>112</v>
      </c>
      <c r="L22" s="26">
        <f>0.1952*(C10/100)^2-0.626*C10/100 + 0.1614</f>
        <v>0.16139999999999999</v>
      </c>
      <c r="M22" s="20" t="s">
        <v>111</v>
      </c>
    </row>
    <row r="23" spans="2:13" s="20" customFormat="1" hidden="1" outlineLevel="1" x14ac:dyDescent="0.25">
      <c r="B23" s="20" t="s">
        <v>110</v>
      </c>
      <c r="C23" s="26">
        <f>VLOOKUP(C19,$K$20:$L$22,2,0)</f>
        <v>0</v>
      </c>
    </row>
    <row r="24" spans="2:13" s="20" customFormat="1" hidden="1" outlineLevel="1" x14ac:dyDescent="0.25">
      <c r="B24" s="20" t="s">
        <v>109</v>
      </c>
      <c r="C24" s="21">
        <f>C22*(1+C23)</f>
        <v>0</v>
      </c>
      <c r="D24" s="20" t="s">
        <v>32</v>
      </c>
    </row>
    <row r="25" spans="2:13" s="20" customFormat="1" hidden="1" outlineLevel="1" x14ac:dyDescent="0.25">
      <c r="B25" s="20" t="s">
        <v>699</v>
      </c>
      <c r="C25" s="21">
        <f>C24*(1+'LEIA-ME'!$D$31)</f>
        <v>0</v>
      </c>
      <c r="D25" s="20" t="s">
        <v>32</v>
      </c>
    </row>
    <row r="26" spans="2:13" s="20" customFormat="1" hidden="1" outlineLevel="1" x14ac:dyDescent="0.25"/>
    <row r="27" spans="2:13" s="20" customFormat="1" hidden="1" outlineLevel="1" x14ac:dyDescent="0.25">
      <c r="B27" s="19" t="s">
        <v>125</v>
      </c>
    </row>
    <row r="28" spans="2:13" s="20" customFormat="1" hidden="1" outlineLevel="1" x14ac:dyDescent="0.25"/>
    <row r="29" spans="2:13" s="20" customFormat="1" hidden="1" outlineLevel="1" x14ac:dyDescent="0.25">
      <c r="C29" s="133" t="s">
        <v>45</v>
      </c>
      <c r="D29" s="133"/>
      <c r="E29" s="133"/>
      <c r="F29" s="133"/>
    </row>
    <row r="30" spans="2:13" s="73" customFormat="1" ht="30" hidden="1" outlineLevel="1" x14ac:dyDescent="0.25">
      <c r="B30" s="72" t="s">
        <v>42</v>
      </c>
      <c r="C30" s="86" t="s">
        <v>41</v>
      </c>
      <c r="D30" s="86" t="s">
        <v>40</v>
      </c>
      <c r="E30" s="86" t="s">
        <v>39</v>
      </c>
      <c r="F30" s="86" t="s">
        <v>38</v>
      </c>
    </row>
    <row r="31" spans="2:13" s="20" customFormat="1" hidden="1" outlineLevel="1" x14ac:dyDescent="0.25">
      <c r="B31" s="30" t="s">
        <v>1166</v>
      </c>
      <c r="C31" s="21">
        <v>6.9</v>
      </c>
      <c r="D31" s="21">
        <v>0.62265036674816632</v>
      </c>
      <c r="E31" s="21">
        <v>0.72799999999999987</v>
      </c>
      <c r="F31" s="25">
        <v>210</v>
      </c>
      <c r="G31" s="20" t="s">
        <v>44</v>
      </c>
    </row>
    <row r="32" spans="2:13" s="20" customFormat="1" hidden="1" outlineLevel="1" x14ac:dyDescent="0.25">
      <c r="B32" s="30" t="s">
        <v>1167</v>
      </c>
      <c r="C32" s="21">
        <v>6.4</v>
      </c>
      <c r="D32" s="21">
        <v>0.72001955990220046</v>
      </c>
      <c r="E32" s="21">
        <v>0.67399999999999993</v>
      </c>
      <c r="F32" s="25">
        <v>207</v>
      </c>
    </row>
    <row r="33" spans="2:7" s="20" customFormat="1" hidden="1" outlineLevel="1" x14ac:dyDescent="0.25">
      <c r="B33" s="30" t="s">
        <v>1168</v>
      </c>
      <c r="C33" s="21">
        <v>5.94</v>
      </c>
      <c r="D33" s="21">
        <v>0.5380929095354523</v>
      </c>
      <c r="E33" s="21">
        <v>0.83999999999999986</v>
      </c>
      <c r="F33" s="25">
        <v>202</v>
      </c>
    </row>
    <row r="34" spans="2:7" s="20" customFormat="1" hidden="1" outlineLevel="1" x14ac:dyDescent="0.25">
      <c r="B34" s="30" t="s">
        <v>1169</v>
      </c>
      <c r="C34" s="21">
        <v>5.86</v>
      </c>
      <c r="D34" s="21">
        <v>0.66236674816625918</v>
      </c>
      <c r="E34" s="21">
        <v>0.72399999999999987</v>
      </c>
      <c r="F34" s="25">
        <v>208</v>
      </c>
    </row>
    <row r="35" spans="2:7" s="20" customFormat="1" hidden="1" outlineLevel="1" x14ac:dyDescent="0.25">
      <c r="B35" s="30" t="s">
        <v>1181</v>
      </c>
      <c r="C35" s="21">
        <v>5.5</v>
      </c>
      <c r="D35" s="21">
        <v>0.62393154034229825</v>
      </c>
      <c r="E35" s="21">
        <v>0.77999999999999992</v>
      </c>
      <c r="F35" s="25">
        <v>201</v>
      </c>
    </row>
    <row r="36" spans="2:7" s="20" customFormat="1" hidden="1" outlineLevel="1" x14ac:dyDescent="0.25">
      <c r="B36" s="30" t="s">
        <v>1182</v>
      </c>
      <c r="C36" s="21">
        <v>4.9000000000000004</v>
      </c>
      <c r="D36" s="21">
        <v>0.55731051344743276</v>
      </c>
      <c r="E36" s="21">
        <v>0.86999999999999988</v>
      </c>
      <c r="F36" s="25">
        <v>195</v>
      </c>
    </row>
    <row r="37" spans="2:7" s="20" customFormat="1" hidden="1" outlineLevel="1" x14ac:dyDescent="0.25"/>
    <row r="38" spans="2:7" s="20" customFormat="1" hidden="1" outlineLevel="1" x14ac:dyDescent="0.25">
      <c r="C38" s="133" t="s">
        <v>43</v>
      </c>
      <c r="D38" s="133"/>
      <c r="E38" s="133"/>
      <c r="F38" s="133"/>
    </row>
    <row r="39" spans="2:7" s="73" customFormat="1" ht="30" hidden="1" outlineLevel="1" x14ac:dyDescent="0.25">
      <c r="B39" s="72" t="s">
        <v>42</v>
      </c>
      <c r="C39" s="86" t="s">
        <v>41</v>
      </c>
      <c r="D39" s="86" t="s">
        <v>40</v>
      </c>
      <c r="E39" s="86" t="s">
        <v>39</v>
      </c>
      <c r="F39" s="86" t="s">
        <v>38</v>
      </c>
    </row>
    <row r="40" spans="2:7" s="20" customFormat="1" hidden="1" outlineLevel="1" x14ac:dyDescent="0.25">
      <c r="B40" s="30" t="str">
        <f>B31</f>
        <v>1 : 2 : 3</v>
      </c>
      <c r="C40" s="21">
        <f>C31*$C$25</f>
        <v>0</v>
      </c>
      <c r="D40" s="21">
        <f t="shared" ref="D40:F40" si="0">D31*$C$25</f>
        <v>0</v>
      </c>
      <c r="E40" s="21">
        <f t="shared" si="0"/>
        <v>0</v>
      </c>
      <c r="F40" s="25">
        <f t="shared" si="0"/>
        <v>0</v>
      </c>
      <c r="G40" s="20" t="s">
        <v>37</v>
      </c>
    </row>
    <row r="41" spans="2:7" s="20" customFormat="1" hidden="1" outlineLevel="1" x14ac:dyDescent="0.25">
      <c r="B41" s="30" t="str">
        <f t="shared" ref="B41:B45" si="1">B32</f>
        <v>1 : 2,5 : 3</v>
      </c>
      <c r="C41" s="21">
        <f t="shared" ref="C41:F41" si="2">C32*$C$25</f>
        <v>0</v>
      </c>
      <c r="D41" s="21">
        <f t="shared" si="2"/>
        <v>0</v>
      </c>
      <c r="E41" s="21">
        <f t="shared" si="2"/>
        <v>0</v>
      </c>
      <c r="F41" s="25">
        <f t="shared" si="2"/>
        <v>0</v>
      </c>
    </row>
    <row r="42" spans="2:7" s="20" customFormat="1" hidden="1" outlineLevel="1" x14ac:dyDescent="0.25">
      <c r="B42" s="30" t="str">
        <f t="shared" si="1"/>
        <v>1 : 2 : 4</v>
      </c>
      <c r="C42" s="21">
        <f t="shared" ref="C42:F42" si="3">C33*$C$25</f>
        <v>0</v>
      </c>
      <c r="D42" s="21">
        <f t="shared" si="3"/>
        <v>0</v>
      </c>
      <c r="E42" s="21">
        <f t="shared" si="3"/>
        <v>0</v>
      </c>
      <c r="F42" s="25">
        <f t="shared" si="3"/>
        <v>0</v>
      </c>
    </row>
    <row r="43" spans="2:7" s="20" customFormat="1" hidden="1" outlineLevel="1" x14ac:dyDescent="0.25">
      <c r="B43" s="30" t="str">
        <f t="shared" si="1"/>
        <v>1 : 2,5 : 3,5</v>
      </c>
      <c r="C43" s="21">
        <f t="shared" ref="C43:F43" si="4">C34*$C$25</f>
        <v>0</v>
      </c>
      <c r="D43" s="21">
        <f t="shared" si="4"/>
        <v>0</v>
      </c>
      <c r="E43" s="21">
        <f t="shared" si="4"/>
        <v>0</v>
      </c>
      <c r="F43" s="25">
        <f t="shared" si="4"/>
        <v>0</v>
      </c>
    </row>
    <row r="44" spans="2:7" s="20" customFormat="1" hidden="1" outlineLevel="1" x14ac:dyDescent="0.25">
      <c r="B44" s="30" t="str">
        <f t="shared" si="1"/>
        <v>1 : 2,5 : 4</v>
      </c>
      <c r="C44" s="21">
        <f t="shared" ref="C44:F44" si="5">C35*$C$25</f>
        <v>0</v>
      </c>
      <c r="D44" s="21">
        <f t="shared" si="5"/>
        <v>0</v>
      </c>
      <c r="E44" s="21">
        <f t="shared" si="5"/>
        <v>0</v>
      </c>
      <c r="F44" s="25">
        <f t="shared" si="5"/>
        <v>0</v>
      </c>
    </row>
    <row r="45" spans="2:7" s="20" customFormat="1" hidden="1" outlineLevel="1" x14ac:dyDescent="0.25">
      <c r="B45" s="30" t="str">
        <f t="shared" si="1"/>
        <v>1 : 2,5 : 5</v>
      </c>
      <c r="C45" s="21">
        <f t="shared" ref="C45:F45" si="6">C36*$C$25</f>
        <v>0</v>
      </c>
      <c r="D45" s="21">
        <f t="shared" si="6"/>
        <v>0</v>
      </c>
      <c r="E45" s="21">
        <f t="shared" si="6"/>
        <v>0</v>
      </c>
      <c r="F45" s="25">
        <f t="shared" si="6"/>
        <v>0</v>
      </c>
    </row>
    <row r="46" spans="2:7" hidden="1" outlineLevel="1" x14ac:dyDescent="0.25"/>
    <row r="47" spans="2:7" collapsed="1" x14ac:dyDescent="0.25">
      <c r="B47" s="27" t="s">
        <v>5</v>
      </c>
      <c r="C47" s="28" t="s">
        <v>46</v>
      </c>
      <c r="D47" s="28" t="s">
        <v>6</v>
      </c>
    </row>
    <row r="48" spans="2:7" ht="17.25" x14ac:dyDescent="0.25">
      <c r="B48" s="88" t="s">
        <v>130</v>
      </c>
      <c r="C48" s="91" t="s">
        <v>80</v>
      </c>
      <c r="D48" s="87">
        <f>IF(C14="Usinado",C25,0)</f>
        <v>0</v>
      </c>
    </row>
    <row r="49" spans="1:13" x14ac:dyDescent="0.25">
      <c r="B49" s="88" t="s">
        <v>36</v>
      </c>
      <c r="C49" s="91" t="s">
        <v>35</v>
      </c>
      <c r="D49" s="87">
        <f>IFERROR(IF(C14="Feito na obra",VLOOKUP($C$15,$B$39:$F$45,2,0),0),0)</f>
        <v>0</v>
      </c>
      <c r="G49" s="24"/>
    </row>
    <row r="50" spans="1:13" ht="17.25" x14ac:dyDescent="0.25">
      <c r="B50" s="88" t="s">
        <v>34</v>
      </c>
      <c r="C50" s="91" t="s">
        <v>80</v>
      </c>
      <c r="D50" s="87">
        <f>IFERROR(IF(C14="Feito na obra",VLOOKUP($C$15,$B$39:$F$45,3,0),0),0)</f>
        <v>0</v>
      </c>
    </row>
    <row r="51" spans="1:13" ht="17.25" x14ac:dyDescent="0.25">
      <c r="B51" s="88" t="s">
        <v>33</v>
      </c>
      <c r="C51" s="91" t="s">
        <v>80</v>
      </c>
      <c r="D51" s="87">
        <f>IFERROR(IF(C14="Feito na obra",VLOOKUP($C$15,$B$39:$F$45,4,0),0),0)</f>
        <v>0</v>
      </c>
    </row>
    <row r="54" spans="1:13" s="5" customFormat="1" ht="18.75" x14ac:dyDescent="0.3">
      <c r="A54" s="7"/>
      <c r="B54" s="132" t="s">
        <v>542</v>
      </c>
      <c r="C54" s="132"/>
      <c r="D54" s="132"/>
      <c r="E54" s="7"/>
      <c r="F54" s="7"/>
      <c r="H54" s="22"/>
    </row>
    <row r="55" spans="1:13" s="5" customFormat="1" x14ac:dyDescent="0.25">
      <c r="A55" s="7"/>
      <c r="B55" s="7"/>
      <c r="C55" s="7"/>
      <c r="D55" s="7"/>
      <c r="E55" s="7"/>
      <c r="F55" s="7"/>
      <c r="H55" s="22"/>
    </row>
    <row r="56" spans="1:13" x14ac:dyDescent="0.25">
      <c r="B56" s="9" t="s">
        <v>2</v>
      </c>
    </row>
    <row r="58" spans="1:13" x14ac:dyDescent="0.25">
      <c r="B58" s="7" t="s">
        <v>1152</v>
      </c>
      <c r="C58" s="29"/>
    </row>
    <row r="59" spans="1:13" s="5" customFormat="1" x14ac:dyDescent="0.25">
      <c r="A59" s="7"/>
      <c r="B59" s="7"/>
      <c r="C59" s="7"/>
      <c r="D59" s="7"/>
      <c r="E59" s="7"/>
      <c r="F59" s="7"/>
      <c r="H59" s="22"/>
    </row>
    <row r="60" spans="1:13" s="20" customFormat="1" hidden="1" outlineLevel="1" x14ac:dyDescent="0.25">
      <c r="B60" s="19" t="s">
        <v>124</v>
      </c>
      <c r="M60" s="31"/>
    </row>
    <row r="61" spans="1:13" s="20" customFormat="1" hidden="1" outlineLevel="1" x14ac:dyDescent="0.25">
      <c r="M61" s="31"/>
    </row>
    <row r="62" spans="1:13" s="20" customFormat="1" hidden="1" outlineLevel="1" x14ac:dyDescent="0.25">
      <c r="B62" s="20" t="s">
        <v>697</v>
      </c>
      <c r="C62" s="21">
        <f>(C10/100)*(C11/100)</f>
        <v>0</v>
      </c>
      <c r="D62" s="20" t="s">
        <v>643</v>
      </c>
      <c r="M62" s="31"/>
    </row>
    <row r="63" spans="1:13" s="20" customFormat="1" hidden="1" outlineLevel="1" x14ac:dyDescent="0.25">
      <c r="B63" s="20" t="s">
        <v>700</v>
      </c>
      <c r="C63" s="21">
        <f>C62*0.05</f>
        <v>0</v>
      </c>
      <c r="D63" s="20" t="s">
        <v>32</v>
      </c>
      <c r="M63" s="31"/>
    </row>
    <row r="64" spans="1:13" s="20" customFormat="1" hidden="1" outlineLevel="1" x14ac:dyDescent="0.25">
      <c r="B64" s="20" t="s">
        <v>701</v>
      </c>
      <c r="C64" s="21">
        <f>C63*C13</f>
        <v>0</v>
      </c>
      <c r="D64" s="20" t="s">
        <v>32</v>
      </c>
      <c r="M64" s="31"/>
    </row>
    <row r="65" spans="2:13" s="20" customFormat="1" hidden="1" outlineLevel="1" x14ac:dyDescent="0.25">
      <c r="B65" s="20" t="s">
        <v>702</v>
      </c>
      <c r="C65" s="21">
        <f>C64*(1+'LEIA-ME'!$D$31)</f>
        <v>0</v>
      </c>
      <c r="D65" s="20" t="s">
        <v>32</v>
      </c>
      <c r="M65" s="31"/>
    </row>
    <row r="66" spans="2:13" s="20" customFormat="1" hidden="1" outlineLevel="1" x14ac:dyDescent="0.25">
      <c r="M66" s="31"/>
    </row>
    <row r="67" spans="2:13" s="20" customFormat="1" hidden="1" outlineLevel="1" x14ac:dyDescent="0.25">
      <c r="C67" s="133" t="s">
        <v>45</v>
      </c>
      <c r="D67" s="133"/>
      <c r="E67" s="133"/>
      <c r="F67" s="133"/>
      <c r="M67" s="31"/>
    </row>
    <row r="68" spans="2:13" s="73" customFormat="1" ht="30" hidden="1" outlineLevel="1" x14ac:dyDescent="0.25">
      <c r="B68" s="72" t="s">
        <v>42</v>
      </c>
      <c r="C68" s="86" t="s">
        <v>41</v>
      </c>
      <c r="D68" s="86" t="s">
        <v>40</v>
      </c>
      <c r="E68" s="86" t="s">
        <v>39</v>
      </c>
      <c r="F68" s="86" t="s">
        <v>38</v>
      </c>
      <c r="M68" s="74"/>
    </row>
    <row r="69" spans="2:13" s="20" customFormat="1" hidden="1" outlineLevel="1" x14ac:dyDescent="0.25">
      <c r="B69" s="30" t="s">
        <v>1170</v>
      </c>
      <c r="C69" s="21">
        <v>3.22</v>
      </c>
      <c r="D69" s="21">
        <v>0.58399999999999996</v>
      </c>
      <c r="E69" s="21">
        <v>0.91200000000000003</v>
      </c>
      <c r="F69" s="25">
        <v>194</v>
      </c>
      <c r="G69" s="20" t="s">
        <v>44</v>
      </c>
      <c r="M69" s="31"/>
    </row>
    <row r="70" spans="2:13" s="20" customFormat="1" hidden="1" outlineLevel="1" x14ac:dyDescent="0.25">
      <c r="M70" s="31"/>
    </row>
    <row r="71" spans="2:13" s="20" customFormat="1" hidden="1" outlineLevel="1" x14ac:dyDescent="0.25">
      <c r="C71" s="133" t="s">
        <v>43</v>
      </c>
      <c r="D71" s="133"/>
      <c r="E71" s="133"/>
      <c r="F71" s="133"/>
      <c r="M71" s="31"/>
    </row>
    <row r="72" spans="2:13" s="73" customFormat="1" ht="30" hidden="1" outlineLevel="1" x14ac:dyDescent="0.25">
      <c r="B72" s="72" t="s">
        <v>42</v>
      </c>
      <c r="C72" s="86" t="s">
        <v>41</v>
      </c>
      <c r="D72" s="86" t="s">
        <v>40</v>
      </c>
      <c r="E72" s="86" t="s">
        <v>39</v>
      </c>
      <c r="F72" s="86" t="s">
        <v>38</v>
      </c>
      <c r="M72" s="74"/>
    </row>
    <row r="73" spans="2:13" s="20" customFormat="1" hidden="1" outlineLevel="1" x14ac:dyDescent="0.25">
      <c r="B73" s="30" t="str">
        <f>B69</f>
        <v>1 : 4 : 8</v>
      </c>
      <c r="C73" s="21">
        <f>C69*$C$65</f>
        <v>0</v>
      </c>
      <c r="D73" s="21">
        <f>D69*$C$65</f>
        <v>0</v>
      </c>
      <c r="E73" s="21">
        <f>E69*$C$65</f>
        <v>0</v>
      </c>
      <c r="F73" s="25">
        <f>F69*$C$65</f>
        <v>0</v>
      </c>
      <c r="G73" s="20" t="s">
        <v>37</v>
      </c>
      <c r="M73" s="31"/>
    </row>
    <row r="74" spans="2:13" hidden="1" outlineLevel="1" x14ac:dyDescent="0.25">
      <c r="M74" s="4"/>
    </row>
    <row r="75" spans="2:13" collapsed="1" x14ac:dyDescent="0.25">
      <c r="B75" s="27" t="s">
        <v>5</v>
      </c>
      <c r="C75" s="28" t="s">
        <v>46</v>
      </c>
      <c r="D75" s="28" t="s">
        <v>6</v>
      </c>
    </row>
    <row r="76" spans="2:13" x14ac:dyDescent="0.25">
      <c r="B76" s="88" t="s">
        <v>36</v>
      </c>
      <c r="C76" s="91" t="s">
        <v>35</v>
      </c>
      <c r="D76" s="87">
        <f>IF(C58="Sim",C73,0)</f>
        <v>0</v>
      </c>
      <c r="M76" s="4"/>
    </row>
    <row r="77" spans="2:13" x14ac:dyDescent="0.25">
      <c r="B77" s="88" t="s">
        <v>34</v>
      </c>
      <c r="C77" s="91" t="s">
        <v>32</v>
      </c>
      <c r="D77" s="87">
        <f>IF(C58="Sim",D73,0)</f>
        <v>0</v>
      </c>
      <c r="M77" s="4"/>
    </row>
    <row r="78" spans="2:13" x14ac:dyDescent="0.25">
      <c r="B78" s="88" t="s">
        <v>33</v>
      </c>
      <c r="C78" s="91" t="s">
        <v>32</v>
      </c>
      <c r="D78" s="87">
        <f>IF(C58="Sim",E73,0)</f>
        <v>0</v>
      </c>
      <c r="M78" s="4"/>
    </row>
    <row r="79" spans="2:13" x14ac:dyDescent="0.25">
      <c r="M79" s="4"/>
    </row>
    <row r="81" spans="1:9" s="5" customFormat="1" ht="18.75" x14ac:dyDescent="0.3">
      <c r="A81" s="7"/>
      <c r="B81" s="132" t="s">
        <v>548</v>
      </c>
      <c r="C81" s="132"/>
      <c r="D81" s="132"/>
      <c r="E81" s="7"/>
      <c r="F81" s="7"/>
      <c r="H81" s="22"/>
    </row>
    <row r="82" spans="1:9" x14ac:dyDescent="0.25">
      <c r="B82" s="9"/>
    </row>
    <row r="84" spans="1:9" x14ac:dyDescent="0.25">
      <c r="B84" s="9" t="s">
        <v>2</v>
      </c>
    </row>
    <row r="86" spans="1:9" x14ac:dyDescent="0.25">
      <c r="B86" s="7" t="s">
        <v>131</v>
      </c>
      <c r="C86" s="29"/>
    </row>
    <row r="87" spans="1:9" x14ac:dyDescent="0.25">
      <c r="B87" s="7" t="s">
        <v>841</v>
      </c>
      <c r="C87" s="29"/>
    </row>
    <row r="90" spans="1:9" s="20" customFormat="1" hidden="1" outlineLevel="1" x14ac:dyDescent="0.25">
      <c r="B90" s="19" t="s">
        <v>597</v>
      </c>
      <c r="H90" s="20" t="s">
        <v>704</v>
      </c>
      <c r="I90" s="20" t="s">
        <v>703</v>
      </c>
    </row>
    <row r="91" spans="1:9" s="20" customFormat="1" hidden="1" outlineLevel="1" x14ac:dyDescent="0.25">
      <c r="H91" s="20" t="s">
        <v>108</v>
      </c>
      <c r="I91" s="20" t="s">
        <v>132</v>
      </c>
    </row>
    <row r="92" spans="1:9" s="20" customFormat="1" hidden="1" outlineLevel="1" x14ac:dyDescent="0.25">
      <c r="B92" s="20" t="s">
        <v>107</v>
      </c>
      <c r="H92" s="20" t="s">
        <v>15</v>
      </c>
      <c r="I92" s="20" t="s">
        <v>133</v>
      </c>
    </row>
    <row r="93" spans="1:9" s="20" customFormat="1" hidden="1" outlineLevel="1" x14ac:dyDescent="0.25">
      <c r="B93" s="34" t="s">
        <v>705</v>
      </c>
      <c r="C93" s="23">
        <v>15</v>
      </c>
      <c r="D93" s="20" t="s">
        <v>56</v>
      </c>
    </row>
    <row r="94" spans="1:9" s="20" customFormat="1" hidden="1" outlineLevel="1" x14ac:dyDescent="0.25">
      <c r="B94" s="34" t="s">
        <v>843</v>
      </c>
      <c r="C94" s="23">
        <v>5</v>
      </c>
      <c r="D94" s="20" t="s">
        <v>56</v>
      </c>
    </row>
    <row r="95" spans="1:9" s="20" customFormat="1" hidden="1" outlineLevel="1" x14ac:dyDescent="0.25">
      <c r="B95" s="34" t="s">
        <v>14</v>
      </c>
      <c r="C95" s="25">
        <f>C10-C94</f>
        <v>-5</v>
      </c>
      <c r="D95" s="20" t="s">
        <v>56</v>
      </c>
    </row>
    <row r="96" spans="1:9" s="20" customFormat="1" hidden="1" outlineLevel="1" x14ac:dyDescent="0.25">
      <c r="B96" s="34" t="s">
        <v>55</v>
      </c>
      <c r="C96" s="25">
        <f>C11-C94</f>
        <v>-5</v>
      </c>
      <c r="D96" s="20" t="s">
        <v>56</v>
      </c>
    </row>
    <row r="97" spans="2:4" s="20" customFormat="1" hidden="1" outlineLevel="1" x14ac:dyDescent="0.25">
      <c r="B97" s="34"/>
    </row>
    <row r="98" spans="2:4" s="20" customFormat="1" hidden="1" outlineLevel="1" x14ac:dyDescent="0.25">
      <c r="B98" s="20" t="s">
        <v>106</v>
      </c>
      <c r="C98" s="37">
        <f>ROUND(C95/C93,0)</f>
        <v>0</v>
      </c>
      <c r="D98" s="20" t="s">
        <v>64</v>
      </c>
    </row>
    <row r="99" spans="2:4" s="20" customFormat="1" hidden="1" outlineLevel="1" x14ac:dyDescent="0.25">
      <c r="B99" s="20" t="s">
        <v>105</v>
      </c>
      <c r="C99" s="37">
        <f>C95/100*C98*1.2</f>
        <v>0</v>
      </c>
      <c r="D99" s="20" t="s">
        <v>53</v>
      </c>
    </row>
    <row r="100" spans="2:4" s="20" customFormat="1" hidden="1" outlineLevel="1" x14ac:dyDescent="0.25">
      <c r="B100" s="20" t="s">
        <v>104</v>
      </c>
      <c r="C100" s="37">
        <f>ROUND(C96/C93,0)</f>
        <v>0</v>
      </c>
      <c r="D100" s="20" t="s">
        <v>64</v>
      </c>
    </row>
    <row r="101" spans="2:4" s="20" customFormat="1" hidden="1" outlineLevel="1" x14ac:dyDescent="0.25">
      <c r="B101" s="20" t="s">
        <v>103</v>
      </c>
      <c r="C101" s="37">
        <f>C96/100*C100*1.2</f>
        <v>0</v>
      </c>
      <c r="D101" s="20" t="s">
        <v>53</v>
      </c>
    </row>
    <row r="102" spans="2:4" s="20" customFormat="1" hidden="1" outlineLevel="1" x14ac:dyDescent="0.25">
      <c r="B102" s="20" t="s">
        <v>102</v>
      </c>
      <c r="C102" s="37">
        <f>(C99+C101)*(C13)</f>
        <v>0</v>
      </c>
      <c r="D102" s="20" t="s">
        <v>53</v>
      </c>
    </row>
    <row r="103" spans="2:4" s="20" customFormat="1" hidden="1" outlineLevel="1" x14ac:dyDescent="0.25">
      <c r="B103" s="20" t="s">
        <v>706</v>
      </c>
      <c r="C103" s="37">
        <f>C102*(1+'LEIA-ME'!$D$31)</f>
        <v>0</v>
      </c>
      <c r="D103" s="20" t="s">
        <v>53</v>
      </c>
    </row>
    <row r="104" spans="2:4" s="20" customFormat="1" hidden="1" outlineLevel="1" x14ac:dyDescent="0.25">
      <c r="B104" s="20" t="s">
        <v>664</v>
      </c>
      <c r="C104" s="23">
        <v>12</v>
      </c>
      <c r="D104" s="20" t="s">
        <v>53</v>
      </c>
    </row>
    <row r="105" spans="2:4" s="20" customFormat="1" hidden="1" outlineLevel="1" x14ac:dyDescent="0.25">
      <c r="B105" s="20" t="s">
        <v>72</v>
      </c>
      <c r="C105" s="37">
        <f>C103/C104</f>
        <v>0</v>
      </c>
      <c r="D105" s="20" t="s">
        <v>64</v>
      </c>
    </row>
    <row r="106" spans="2:4" s="20" customFormat="1" hidden="1" outlineLevel="1" x14ac:dyDescent="0.25">
      <c r="C106" s="37"/>
    </row>
    <row r="107" spans="2:4" s="20" customFormat="1" hidden="1" outlineLevel="1" x14ac:dyDescent="0.25">
      <c r="B107" s="19" t="s">
        <v>598</v>
      </c>
    </row>
    <row r="108" spans="2:4" s="20" customFormat="1" hidden="1" outlineLevel="1" x14ac:dyDescent="0.25"/>
    <row r="109" spans="2:4" s="20" customFormat="1" hidden="1" outlineLevel="1" x14ac:dyDescent="0.25">
      <c r="B109" s="20" t="s">
        <v>107</v>
      </c>
    </row>
    <row r="110" spans="2:4" s="20" customFormat="1" hidden="1" outlineLevel="1" x14ac:dyDescent="0.25">
      <c r="B110" s="34" t="s">
        <v>705</v>
      </c>
      <c r="C110" s="23">
        <v>15</v>
      </c>
      <c r="D110" s="20" t="s">
        <v>56</v>
      </c>
    </row>
    <row r="111" spans="2:4" s="20" customFormat="1" hidden="1" outlineLevel="1" x14ac:dyDescent="0.25">
      <c r="B111" s="34" t="s">
        <v>843</v>
      </c>
      <c r="C111" s="23">
        <v>5</v>
      </c>
      <c r="D111" s="20" t="s">
        <v>56</v>
      </c>
    </row>
    <row r="112" spans="2:4" s="20" customFormat="1" hidden="1" outlineLevel="1" x14ac:dyDescent="0.25">
      <c r="B112" s="34" t="s">
        <v>14</v>
      </c>
      <c r="C112" s="25">
        <f>C10-C111</f>
        <v>-5</v>
      </c>
      <c r="D112" s="20" t="s">
        <v>56</v>
      </c>
    </row>
    <row r="113" spans="2:4" s="20" customFormat="1" hidden="1" outlineLevel="1" x14ac:dyDescent="0.25">
      <c r="B113" s="34" t="s">
        <v>55</v>
      </c>
      <c r="C113" s="25">
        <f>C11-C111</f>
        <v>-5</v>
      </c>
      <c r="D113" s="20" t="s">
        <v>56</v>
      </c>
    </row>
    <row r="114" spans="2:4" s="20" customFormat="1" hidden="1" outlineLevel="1" x14ac:dyDescent="0.25">
      <c r="B114" s="34" t="s">
        <v>13</v>
      </c>
      <c r="C114" s="25">
        <f>C12-C111</f>
        <v>-5</v>
      </c>
      <c r="D114" s="20" t="s">
        <v>56</v>
      </c>
    </row>
    <row r="115" spans="2:4" s="20" customFormat="1" hidden="1" outlineLevel="1" x14ac:dyDescent="0.25">
      <c r="B115" s="34"/>
    </row>
    <row r="116" spans="2:4" s="20" customFormat="1" hidden="1" outlineLevel="1" x14ac:dyDescent="0.25">
      <c r="B116" s="20" t="s">
        <v>106</v>
      </c>
      <c r="C116" s="37">
        <f>ROUND(C112/C110,0)</f>
        <v>0</v>
      </c>
      <c r="D116" s="20" t="s">
        <v>64</v>
      </c>
    </row>
    <row r="117" spans="2:4" s="20" customFormat="1" hidden="1" outlineLevel="1" x14ac:dyDescent="0.25">
      <c r="B117" s="20" t="s">
        <v>105</v>
      </c>
      <c r="C117" s="37">
        <f>(2*C112/100+2*C114/100)*C116*1.1</f>
        <v>0</v>
      </c>
      <c r="D117" s="20" t="s">
        <v>53</v>
      </c>
    </row>
    <row r="118" spans="2:4" s="20" customFormat="1" hidden="1" outlineLevel="1" x14ac:dyDescent="0.25">
      <c r="B118" s="20" t="s">
        <v>104</v>
      </c>
      <c r="C118" s="37">
        <f>ROUND(C113/C110,0)</f>
        <v>0</v>
      </c>
      <c r="D118" s="20" t="s">
        <v>64</v>
      </c>
    </row>
    <row r="119" spans="2:4" s="20" customFormat="1" hidden="1" outlineLevel="1" x14ac:dyDescent="0.25">
      <c r="B119" s="20" t="s">
        <v>103</v>
      </c>
      <c r="C119" s="37">
        <f>(2*C113/100+2*C114/100)*C118*1.1</f>
        <v>0</v>
      </c>
      <c r="D119" s="20" t="s">
        <v>53</v>
      </c>
    </row>
    <row r="120" spans="2:4" s="20" customFormat="1" hidden="1" outlineLevel="1" x14ac:dyDescent="0.25">
      <c r="B120" s="20" t="s">
        <v>102</v>
      </c>
      <c r="C120" s="37">
        <f>(C117+C119)*(C13)</f>
        <v>0</v>
      </c>
      <c r="D120" s="20" t="s">
        <v>53</v>
      </c>
    </row>
    <row r="121" spans="2:4" s="20" customFormat="1" hidden="1" outlineLevel="1" x14ac:dyDescent="0.25">
      <c r="B121" s="20" t="s">
        <v>706</v>
      </c>
      <c r="C121" s="37">
        <f>C120*(1+'LEIA-ME'!$D$31)</f>
        <v>0</v>
      </c>
      <c r="D121" s="20" t="s">
        <v>53</v>
      </c>
    </row>
    <row r="122" spans="2:4" s="20" customFormat="1" hidden="1" outlineLevel="1" x14ac:dyDescent="0.25">
      <c r="B122" s="20" t="s">
        <v>664</v>
      </c>
      <c r="C122" s="23">
        <v>12</v>
      </c>
      <c r="D122" s="20" t="s">
        <v>53</v>
      </c>
    </row>
    <row r="123" spans="2:4" s="20" customFormat="1" hidden="1" outlineLevel="1" x14ac:dyDescent="0.25">
      <c r="B123" s="20" t="s">
        <v>72</v>
      </c>
      <c r="C123" s="37">
        <f>C121/C122</f>
        <v>0</v>
      </c>
      <c r="D123" s="20" t="s">
        <v>64</v>
      </c>
    </row>
    <row r="124" spans="2:4" s="20" customFormat="1" hidden="1" outlineLevel="1" x14ac:dyDescent="0.25">
      <c r="C124" s="37"/>
    </row>
    <row r="125" spans="2:4" s="20" customFormat="1" hidden="1" outlineLevel="1" x14ac:dyDescent="0.25">
      <c r="B125" s="20" t="s">
        <v>134</v>
      </c>
      <c r="C125" s="37">
        <f>IF(C86="Radier",C105,C123)</f>
        <v>0</v>
      </c>
    </row>
    <row r="126" spans="2:4" s="20" customFormat="1" hidden="1" outlineLevel="1" x14ac:dyDescent="0.25"/>
    <row r="127" spans="2:4" s="20" customFormat="1" hidden="1" outlineLevel="1" x14ac:dyDescent="0.25">
      <c r="B127" s="19" t="s">
        <v>73</v>
      </c>
    </row>
    <row r="128" spans="2:4" s="20" customFormat="1" hidden="1" outlineLevel="1" x14ac:dyDescent="0.25"/>
    <row r="129" spans="1:8" s="20" customFormat="1" hidden="1" outlineLevel="1" x14ac:dyDescent="0.25">
      <c r="B129" s="20" t="s">
        <v>666</v>
      </c>
      <c r="C129" s="85">
        <v>0.02</v>
      </c>
      <c r="D129" s="20" t="s">
        <v>650</v>
      </c>
    </row>
    <row r="130" spans="1:8" s="20" customFormat="1" hidden="1" outlineLevel="1" x14ac:dyDescent="0.25">
      <c r="B130" s="20" t="s">
        <v>615</v>
      </c>
      <c r="C130" s="21">
        <f>IF(C86="Radier",C103,C121)*C129*(1+'LEIA-ME'!$D$31)</f>
        <v>0</v>
      </c>
      <c r="D130" s="20" t="s">
        <v>49</v>
      </c>
    </row>
    <row r="131" spans="1:8" s="20" customFormat="1" hidden="1" outlineLevel="1" x14ac:dyDescent="0.25">
      <c r="B131" s="20" t="s">
        <v>668</v>
      </c>
      <c r="C131" s="23">
        <v>5</v>
      </c>
      <c r="D131" s="20" t="s">
        <v>667</v>
      </c>
    </row>
    <row r="132" spans="1:8" s="20" customFormat="1" hidden="1" outlineLevel="1" x14ac:dyDescent="0.25">
      <c r="B132" s="20" t="s">
        <v>622</v>
      </c>
      <c r="C132" s="25">
        <f>IF(C86="Radier",C103,C121)*C131*(1+'LEIA-ME'!$D$31)</f>
        <v>0</v>
      </c>
      <c r="D132" s="20" t="s">
        <v>644</v>
      </c>
    </row>
    <row r="133" spans="1:8" hidden="1" outlineLevel="1" x14ac:dyDescent="0.25"/>
    <row r="134" spans="1:8" collapsed="1" x14ac:dyDescent="0.25">
      <c r="B134" s="27" t="s">
        <v>5</v>
      </c>
      <c r="C134" s="28" t="s">
        <v>46</v>
      </c>
      <c r="D134" s="28" t="s">
        <v>6</v>
      </c>
    </row>
    <row r="135" spans="1:8" x14ac:dyDescent="0.25">
      <c r="B135" s="88" t="str">
        <f>"Barra de aço CA-25, "&amp;C87</f>
        <v xml:space="preserve">Barra de aço CA-25, </v>
      </c>
      <c r="C135" s="91" t="s">
        <v>642</v>
      </c>
      <c r="D135" s="87">
        <f>C125</f>
        <v>0</v>
      </c>
    </row>
    <row r="136" spans="1:8" x14ac:dyDescent="0.25">
      <c r="B136" s="88" t="s">
        <v>74</v>
      </c>
      <c r="C136" s="91" t="s">
        <v>641</v>
      </c>
      <c r="D136" s="87">
        <f>C130</f>
        <v>0</v>
      </c>
    </row>
    <row r="137" spans="1:8" x14ac:dyDescent="0.25">
      <c r="B137" s="88" t="s">
        <v>231</v>
      </c>
      <c r="C137" s="91" t="s">
        <v>50</v>
      </c>
      <c r="D137" s="87">
        <f>C132</f>
        <v>0</v>
      </c>
    </row>
    <row r="139" spans="1:8" x14ac:dyDescent="0.25">
      <c r="B139" s="4"/>
      <c r="D139" s="32"/>
    </row>
    <row r="140" spans="1:8" s="5" customFormat="1" ht="18.75" x14ac:dyDescent="0.3">
      <c r="A140" s="7"/>
      <c r="B140" s="132" t="s">
        <v>545</v>
      </c>
      <c r="C140" s="132"/>
      <c r="D140" s="132"/>
      <c r="E140" s="7"/>
      <c r="F140" s="7"/>
      <c r="H140" s="22"/>
    </row>
    <row r="141" spans="1:8" s="5" customFormat="1" x14ac:dyDescent="0.25">
      <c r="A141" s="7"/>
      <c r="B141" s="45" t="s">
        <v>534</v>
      </c>
      <c r="C141" s="7"/>
      <c r="D141" s="7"/>
      <c r="E141" s="7"/>
      <c r="F141" s="7"/>
      <c r="H141" s="22"/>
    </row>
    <row r="142" spans="1:8" s="5" customFormat="1" x14ac:dyDescent="0.25">
      <c r="A142" s="7"/>
      <c r="B142" s="7"/>
      <c r="C142" s="7"/>
      <c r="D142" s="7"/>
      <c r="E142" s="7"/>
      <c r="F142" s="7"/>
      <c r="H142" s="22"/>
    </row>
    <row r="143" spans="1:8" x14ac:dyDescent="0.25">
      <c r="B143" s="9" t="s">
        <v>2</v>
      </c>
    </row>
    <row r="145" spans="2:6" x14ac:dyDescent="0.25">
      <c r="B145" s="7" t="s">
        <v>62</v>
      </c>
      <c r="C145" s="23"/>
      <c r="D145" s="7" t="s">
        <v>64</v>
      </c>
    </row>
    <row r="146" spans="2:6" x14ac:dyDescent="0.25">
      <c r="B146" s="7" t="s">
        <v>63</v>
      </c>
      <c r="C146" s="23"/>
      <c r="D146" s="7" t="s">
        <v>56</v>
      </c>
    </row>
    <row r="148" spans="2:6" s="20" customFormat="1" hidden="1" outlineLevel="1" x14ac:dyDescent="0.25">
      <c r="B148" s="19" t="s">
        <v>596</v>
      </c>
    </row>
    <row r="149" spans="2:6" s="20" customFormat="1" hidden="1" outlineLevel="1" x14ac:dyDescent="0.25"/>
    <row r="150" spans="2:6" s="20" customFormat="1" hidden="1" outlineLevel="1" x14ac:dyDescent="0.25">
      <c r="B150" s="20" t="s">
        <v>101</v>
      </c>
    </row>
    <row r="151" spans="2:6" s="20" customFormat="1" hidden="1" outlineLevel="1" x14ac:dyDescent="0.25">
      <c r="B151" s="34" t="s">
        <v>620</v>
      </c>
      <c r="C151" s="35" t="s">
        <v>15</v>
      </c>
      <c r="D151" s="20" t="s">
        <v>0</v>
      </c>
    </row>
    <row r="152" spans="2:6" s="20" customFormat="1" hidden="1" outlineLevel="1" x14ac:dyDescent="0.25">
      <c r="B152" s="34"/>
    </row>
    <row r="153" spans="2:6" s="20" customFormat="1" hidden="1" outlineLevel="1" x14ac:dyDescent="0.25">
      <c r="B153" s="20" t="s">
        <v>30</v>
      </c>
    </row>
    <row r="154" spans="2:6" s="20" customFormat="1" hidden="1" outlineLevel="1" x14ac:dyDescent="0.25">
      <c r="B154" s="34" t="s">
        <v>620</v>
      </c>
      <c r="C154" s="35" t="s">
        <v>21</v>
      </c>
      <c r="D154" s="20" t="s">
        <v>0</v>
      </c>
    </row>
    <row r="155" spans="2:6" s="20" customFormat="1" hidden="1" outlineLevel="1" x14ac:dyDescent="0.25">
      <c r="B155" s="34" t="s">
        <v>617</v>
      </c>
      <c r="C155" s="25">
        <f>IF('7. Colunas ou Pilares'!$C$9="",10,'7. Colunas ou Pilares'!$C$65)</f>
        <v>10</v>
      </c>
      <c r="D155" s="20" t="s">
        <v>0</v>
      </c>
      <c r="F155" s="36"/>
    </row>
    <row r="156" spans="2:6" s="20" customFormat="1" hidden="1" outlineLevel="1" x14ac:dyDescent="0.25">
      <c r="B156" s="34" t="s">
        <v>619</v>
      </c>
      <c r="C156" s="25">
        <f>IF('7. Colunas ou Pilares'!$C$10="",20,'7. Colunas ou Pilares'!$C$66)</f>
        <v>20</v>
      </c>
      <c r="D156" s="20" t="s">
        <v>0</v>
      </c>
      <c r="F156" s="36"/>
    </row>
    <row r="157" spans="2:6" s="20" customFormat="1" hidden="1" outlineLevel="1" x14ac:dyDescent="0.25"/>
    <row r="158" spans="2:6" s="20" customFormat="1" hidden="1" outlineLevel="1" x14ac:dyDescent="0.25">
      <c r="B158" s="19" t="s">
        <v>100</v>
      </c>
    </row>
    <row r="159" spans="2:6" s="20" customFormat="1" hidden="1" outlineLevel="1" x14ac:dyDescent="0.25"/>
    <row r="160" spans="2:6" s="20" customFormat="1" hidden="1" outlineLevel="1" x14ac:dyDescent="0.25">
      <c r="B160" s="20" t="s">
        <v>671</v>
      </c>
      <c r="C160" s="23">
        <v>1</v>
      </c>
      <c r="D160" s="20" t="s">
        <v>53</v>
      </c>
    </row>
    <row r="161" spans="2:4" s="20" customFormat="1" hidden="1" outlineLevel="1" x14ac:dyDescent="0.25">
      <c r="B161" s="20" t="s">
        <v>99</v>
      </c>
      <c r="C161" s="37">
        <f>C145*C160</f>
        <v>0</v>
      </c>
      <c r="D161" s="20" t="s">
        <v>53</v>
      </c>
    </row>
    <row r="162" spans="2:4" s="20" customFormat="1" hidden="1" outlineLevel="1" x14ac:dyDescent="0.25">
      <c r="B162" s="20" t="s">
        <v>98</v>
      </c>
      <c r="C162" s="37">
        <f>C161*(C13)</f>
        <v>0</v>
      </c>
      <c r="D162" s="20" t="s">
        <v>53</v>
      </c>
    </row>
    <row r="163" spans="2:4" s="20" customFormat="1" hidden="1" outlineLevel="1" x14ac:dyDescent="0.25">
      <c r="B163" s="20" t="s">
        <v>623</v>
      </c>
      <c r="C163" s="37">
        <f>C162*(1+'LEIA-ME'!$D$31)</f>
        <v>0</v>
      </c>
      <c r="D163" s="20" t="s">
        <v>53</v>
      </c>
    </row>
    <row r="164" spans="2:4" s="20" customFormat="1" hidden="1" outlineLevel="1" x14ac:dyDescent="0.25">
      <c r="B164" s="20" t="s">
        <v>664</v>
      </c>
      <c r="C164" s="23">
        <v>12</v>
      </c>
      <c r="D164" s="20" t="s">
        <v>53</v>
      </c>
    </row>
    <row r="165" spans="2:4" s="20" customFormat="1" hidden="1" outlineLevel="1" x14ac:dyDescent="0.25">
      <c r="B165" s="20" t="s">
        <v>72</v>
      </c>
      <c r="C165" s="37">
        <f>C163/12</f>
        <v>0</v>
      </c>
      <c r="D165" s="20" t="s">
        <v>64</v>
      </c>
    </row>
    <row r="166" spans="2:4" s="20" customFormat="1" hidden="1" outlineLevel="1" x14ac:dyDescent="0.25"/>
    <row r="167" spans="2:4" s="20" customFormat="1" hidden="1" outlineLevel="1" x14ac:dyDescent="0.25">
      <c r="B167" s="19" t="s">
        <v>25</v>
      </c>
    </row>
    <row r="168" spans="2:4" s="20" customFormat="1" hidden="1" outlineLevel="1" x14ac:dyDescent="0.25"/>
    <row r="169" spans="2:4" s="20" customFormat="1" hidden="1" outlineLevel="1" x14ac:dyDescent="0.25">
      <c r="B169" s="20" t="s">
        <v>669</v>
      </c>
      <c r="C169" s="23">
        <v>20</v>
      </c>
      <c r="D169" s="20" t="s">
        <v>56</v>
      </c>
    </row>
    <row r="170" spans="2:4" s="20" customFormat="1" hidden="1" outlineLevel="1" x14ac:dyDescent="0.25">
      <c r="B170" s="20" t="s">
        <v>24</v>
      </c>
      <c r="C170" s="37">
        <f>(((C155*2)+(C156*2))*(1+C169/100))/100</f>
        <v>0.72</v>
      </c>
      <c r="D170" s="20" t="s">
        <v>53</v>
      </c>
    </row>
    <row r="171" spans="2:4" s="20" customFormat="1" hidden="1" outlineLevel="1" x14ac:dyDescent="0.25">
      <c r="B171" s="20" t="s">
        <v>97</v>
      </c>
      <c r="C171" s="37" t="e">
        <f>INT(C160/(C146/100))</f>
        <v>#DIV/0!</v>
      </c>
      <c r="D171" s="20" t="s">
        <v>644</v>
      </c>
    </row>
    <row r="172" spans="2:4" s="20" customFormat="1" hidden="1" outlineLevel="1" x14ac:dyDescent="0.25">
      <c r="B172" s="20" t="s">
        <v>624</v>
      </c>
      <c r="C172" s="37" t="e">
        <f>C171*C170</f>
        <v>#DIV/0!</v>
      </c>
      <c r="D172" s="20" t="s">
        <v>53</v>
      </c>
    </row>
    <row r="173" spans="2:4" s="20" customFormat="1" hidden="1" outlineLevel="1" x14ac:dyDescent="0.25">
      <c r="B173" s="20" t="s">
        <v>95</v>
      </c>
      <c r="C173" s="37" t="e">
        <f>C172*(C13)</f>
        <v>#DIV/0!</v>
      </c>
      <c r="D173" s="20" t="s">
        <v>53</v>
      </c>
    </row>
    <row r="174" spans="2:4" s="20" customFormat="1" hidden="1" outlineLevel="1" x14ac:dyDescent="0.25">
      <c r="B174" s="20" t="s">
        <v>707</v>
      </c>
      <c r="C174" s="37" t="e">
        <f>C173*(1+'LEIA-ME'!$D$31)</f>
        <v>#DIV/0!</v>
      </c>
      <c r="D174" s="20" t="s">
        <v>53</v>
      </c>
    </row>
    <row r="175" spans="2:4" s="20" customFormat="1" hidden="1" outlineLevel="1" x14ac:dyDescent="0.25">
      <c r="B175" s="20" t="s">
        <v>664</v>
      </c>
      <c r="C175" s="23">
        <v>12</v>
      </c>
      <c r="D175" s="20" t="s">
        <v>53</v>
      </c>
    </row>
    <row r="176" spans="2:4" s="20" customFormat="1" hidden="1" outlineLevel="1" x14ac:dyDescent="0.25">
      <c r="B176" s="20" t="s">
        <v>72</v>
      </c>
      <c r="C176" s="37" t="e">
        <f>C174/C175</f>
        <v>#DIV/0!</v>
      </c>
      <c r="D176" s="20" t="s">
        <v>64</v>
      </c>
    </row>
    <row r="177" spans="1:8" hidden="1" outlineLevel="1" x14ac:dyDescent="0.25">
      <c r="B177" s="4"/>
      <c r="D177" s="32"/>
    </row>
    <row r="178" spans="1:8" collapsed="1" x14ac:dyDescent="0.25">
      <c r="B178" s="27" t="s">
        <v>5</v>
      </c>
      <c r="C178" s="28" t="s">
        <v>46</v>
      </c>
      <c r="D178" s="28" t="s">
        <v>6</v>
      </c>
    </row>
    <row r="179" spans="1:8" x14ac:dyDescent="0.25">
      <c r="B179" s="88" t="s">
        <v>70</v>
      </c>
      <c r="C179" s="91" t="s">
        <v>642</v>
      </c>
      <c r="D179" s="87">
        <f>C165</f>
        <v>0</v>
      </c>
    </row>
    <row r="180" spans="1:8" x14ac:dyDescent="0.25">
      <c r="B180" s="88" t="s">
        <v>71</v>
      </c>
      <c r="C180" s="91" t="s">
        <v>642</v>
      </c>
      <c r="D180" s="87">
        <f>IFERROR(C176,0)</f>
        <v>0</v>
      </c>
    </row>
    <row r="181" spans="1:8" x14ac:dyDescent="0.25">
      <c r="B181" s="4"/>
      <c r="D181" s="32"/>
    </row>
    <row r="183" spans="1:8" s="5" customFormat="1" ht="18.75" x14ac:dyDescent="0.3">
      <c r="A183" s="7"/>
      <c r="B183" s="132" t="s">
        <v>547</v>
      </c>
      <c r="C183" s="132"/>
      <c r="D183" s="132"/>
      <c r="E183" s="7"/>
      <c r="F183" s="7"/>
      <c r="H183" s="22"/>
    </row>
    <row r="184" spans="1:8" s="5" customFormat="1" x14ac:dyDescent="0.25">
      <c r="A184" s="7"/>
      <c r="B184" s="7"/>
      <c r="C184" s="7"/>
      <c r="D184" s="7"/>
      <c r="E184" s="7"/>
      <c r="F184" s="7"/>
      <c r="H184" s="22"/>
    </row>
    <row r="185" spans="1:8" x14ac:dyDescent="0.25">
      <c r="B185" s="9" t="s">
        <v>2</v>
      </c>
    </row>
    <row r="187" spans="1:8" x14ac:dyDescent="0.25">
      <c r="B187" s="7" t="s">
        <v>1153</v>
      </c>
      <c r="C187" s="29"/>
    </row>
    <row r="188" spans="1:8" s="5" customFormat="1" x14ac:dyDescent="0.25">
      <c r="A188" s="7"/>
      <c r="B188" s="7"/>
      <c r="C188" s="7"/>
      <c r="D188" s="7"/>
      <c r="E188" s="7"/>
      <c r="F188" s="7"/>
      <c r="H188" s="22"/>
    </row>
    <row r="189" spans="1:8" s="20" customFormat="1" hidden="1" outlineLevel="1" x14ac:dyDescent="0.25">
      <c r="B189" s="19" t="s">
        <v>94</v>
      </c>
    </row>
    <row r="190" spans="1:8" s="20" customFormat="1" hidden="1" outlineLevel="1" x14ac:dyDescent="0.25"/>
    <row r="191" spans="1:8" s="20" customFormat="1" hidden="1" outlineLevel="1" x14ac:dyDescent="0.25">
      <c r="B191" s="20" t="s">
        <v>14</v>
      </c>
      <c r="C191" s="25">
        <f>C10</f>
        <v>0</v>
      </c>
      <c r="D191" s="20" t="s">
        <v>56</v>
      </c>
    </row>
    <row r="192" spans="1:8" s="20" customFormat="1" hidden="1" outlineLevel="1" x14ac:dyDescent="0.25">
      <c r="B192" s="20" t="s">
        <v>55</v>
      </c>
      <c r="C192" s="25">
        <f>C11</f>
        <v>0</v>
      </c>
      <c r="D192" s="20" t="s">
        <v>56</v>
      </c>
    </row>
    <row r="193" spans="2:4" s="20" customFormat="1" hidden="1" outlineLevel="1" x14ac:dyDescent="0.25">
      <c r="B193" s="20" t="s">
        <v>13</v>
      </c>
      <c r="C193" s="25">
        <f>C12</f>
        <v>0</v>
      </c>
      <c r="D193" s="20" t="s">
        <v>56</v>
      </c>
    </row>
    <row r="194" spans="2:4" s="20" customFormat="1" hidden="1" outlineLevel="1" x14ac:dyDescent="0.25">
      <c r="B194" s="20" t="s">
        <v>93</v>
      </c>
      <c r="C194" s="25">
        <f>C13</f>
        <v>0</v>
      </c>
      <c r="D194" s="20" t="s">
        <v>644</v>
      </c>
    </row>
    <row r="195" spans="2:4" s="20" customFormat="1" hidden="1" outlineLevel="1" x14ac:dyDescent="0.25"/>
    <row r="196" spans="2:4" s="20" customFormat="1" hidden="1" outlineLevel="1" x14ac:dyDescent="0.25">
      <c r="B196" s="19" t="s">
        <v>120</v>
      </c>
    </row>
    <row r="197" spans="2:4" s="20" customFormat="1" hidden="1" outlineLevel="1" x14ac:dyDescent="0.25"/>
    <row r="198" spans="2:4" s="20" customFormat="1" hidden="1" outlineLevel="1" x14ac:dyDescent="0.25">
      <c r="B198" s="20" t="s">
        <v>708</v>
      </c>
      <c r="C198" s="21">
        <f>(C191/100+C192/100)*C193/100</f>
        <v>0</v>
      </c>
      <c r="D198" s="20" t="s">
        <v>643</v>
      </c>
    </row>
    <row r="199" spans="2:4" s="20" customFormat="1" hidden="1" outlineLevel="1" x14ac:dyDescent="0.25">
      <c r="B199" s="20" t="s">
        <v>709</v>
      </c>
      <c r="C199" s="21">
        <f>C198*C194*2</f>
        <v>0</v>
      </c>
      <c r="D199" s="20" t="s">
        <v>643</v>
      </c>
    </row>
    <row r="200" spans="2:4" s="20" customFormat="1" hidden="1" outlineLevel="1" x14ac:dyDescent="0.25">
      <c r="B200" s="20" t="s">
        <v>710</v>
      </c>
      <c r="C200" s="21">
        <f>C199*(1+'LEIA-ME'!$D$31)</f>
        <v>0</v>
      </c>
      <c r="D200" s="20" t="s">
        <v>643</v>
      </c>
    </row>
    <row r="201" spans="2:4" s="20" customFormat="1" hidden="1" outlineLevel="1" x14ac:dyDescent="0.25">
      <c r="B201" s="20" t="s">
        <v>711</v>
      </c>
      <c r="C201" s="85">
        <v>1.1111111111111112</v>
      </c>
      <c r="D201" s="20" t="s">
        <v>837</v>
      </c>
    </row>
    <row r="202" spans="2:4" s="20" customFormat="1" hidden="1" outlineLevel="1" x14ac:dyDescent="0.25">
      <c r="B202" s="20" t="s">
        <v>229</v>
      </c>
      <c r="C202" s="21">
        <f>C200*C201</f>
        <v>0</v>
      </c>
      <c r="D202" s="20" t="s">
        <v>644</v>
      </c>
    </row>
    <row r="203" spans="2:4" s="20" customFormat="1" hidden="1" outlineLevel="1" x14ac:dyDescent="0.25">
      <c r="C203" s="21"/>
    </row>
    <row r="204" spans="2:4" s="20" customFormat="1" hidden="1" outlineLevel="1" x14ac:dyDescent="0.25">
      <c r="B204" s="19" t="s">
        <v>121</v>
      </c>
    </row>
    <row r="205" spans="2:4" s="20" customFormat="1" hidden="1" outlineLevel="1" x14ac:dyDescent="0.25"/>
    <row r="206" spans="2:4" s="20" customFormat="1" hidden="1" outlineLevel="1" x14ac:dyDescent="0.25">
      <c r="B206" s="20" t="s">
        <v>91</v>
      </c>
      <c r="C206" s="21">
        <f>C202</f>
        <v>0</v>
      </c>
      <c r="D206" s="39" t="s">
        <v>644</v>
      </c>
    </row>
    <row r="207" spans="2:4" s="20" customFormat="1" hidden="1" outlineLevel="1" x14ac:dyDescent="0.25">
      <c r="B207" s="20" t="s">
        <v>18</v>
      </c>
      <c r="C207" s="23">
        <v>40</v>
      </c>
      <c r="D207" s="39" t="s">
        <v>56</v>
      </c>
    </row>
    <row r="208" spans="2:4" s="20" customFormat="1" hidden="1" outlineLevel="1" x14ac:dyDescent="0.25">
      <c r="B208" s="20" t="s">
        <v>674</v>
      </c>
      <c r="C208" s="33">
        <v>3</v>
      </c>
      <c r="D208" s="20" t="s">
        <v>53</v>
      </c>
    </row>
    <row r="209" spans="2:4" s="20" customFormat="1" hidden="1" outlineLevel="1" x14ac:dyDescent="0.25">
      <c r="B209" s="20" t="s">
        <v>712</v>
      </c>
      <c r="C209" s="21">
        <f>C208/(C207/100)</f>
        <v>7.5</v>
      </c>
      <c r="D209" s="39" t="s">
        <v>644</v>
      </c>
    </row>
    <row r="210" spans="2:4" s="20" customFormat="1" hidden="1" outlineLevel="1" x14ac:dyDescent="0.25">
      <c r="B210" s="20" t="s">
        <v>232</v>
      </c>
      <c r="C210" s="21">
        <f>C206*C209</f>
        <v>0</v>
      </c>
      <c r="D210" s="39" t="s">
        <v>644</v>
      </c>
    </row>
    <row r="211" spans="2:4" s="20" customFormat="1" hidden="1" outlineLevel="1" x14ac:dyDescent="0.25">
      <c r="B211" s="20" t="s">
        <v>713</v>
      </c>
      <c r="C211" s="23">
        <v>20</v>
      </c>
      <c r="D211" s="39" t="s">
        <v>56</v>
      </c>
    </row>
    <row r="212" spans="2:4" s="20" customFormat="1" hidden="1" outlineLevel="1" x14ac:dyDescent="0.25">
      <c r="B212" s="20" t="s">
        <v>17</v>
      </c>
      <c r="C212" s="21">
        <f>C210*(C211/100)</f>
        <v>0</v>
      </c>
      <c r="D212" s="20" t="s">
        <v>53</v>
      </c>
    </row>
    <row r="213" spans="2:4" s="20" customFormat="1" hidden="1" outlineLevel="1" x14ac:dyDescent="0.25">
      <c r="B213" s="20" t="s">
        <v>673</v>
      </c>
      <c r="C213" s="21">
        <f>C212*(1+'LEIA-ME'!$D$31)</f>
        <v>0</v>
      </c>
      <c r="D213" s="20" t="s">
        <v>53</v>
      </c>
    </row>
    <row r="214" spans="2:4" s="20" customFormat="1" hidden="1" outlineLevel="1" x14ac:dyDescent="0.25">
      <c r="B214" s="20" t="s">
        <v>674</v>
      </c>
      <c r="C214" s="33">
        <v>3</v>
      </c>
      <c r="D214" s="20" t="s">
        <v>53</v>
      </c>
    </row>
    <row r="215" spans="2:4" s="20" customFormat="1" hidden="1" outlineLevel="1" x14ac:dyDescent="0.25">
      <c r="B215" s="20" t="s">
        <v>232</v>
      </c>
      <c r="C215" s="21">
        <f>C213/C214</f>
        <v>0</v>
      </c>
      <c r="D215" s="20" t="s">
        <v>644</v>
      </c>
    </row>
    <row r="216" spans="2:4" s="20" customFormat="1" hidden="1" outlineLevel="1" x14ac:dyDescent="0.25"/>
    <row r="217" spans="2:4" s="20" customFormat="1" hidden="1" outlineLevel="1" x14ac:dyDescent="0.25">
      <c r="B217" s="19" t="s">
        <v>714</v>
      </c>
    </row>
    <row r="218" spans="2:4" s="20" customFormat="1" hidden="1" outlineLevel="1" x14ac:dyDescent="0.25"/>
    <row r="219" spans="2:4" s="20" customFormat="1" hidden="1" outlineLevel="1" x14ac:dyDescent="0.25">
      <c r="B219" s="20" t="s">
        <v>16</v>
      </c>
      <c r="C219" s="92">
        <v>3.44E-2</v>
      </c>
      <c r="D219" s="39" t="s">
        <v>720</v>
      </c>
    </row>
    <row r="220" spans="2:4" s="20" customFormat="1" hidden="1" outlineLevel="1" x14ac:dyDescent="0.25">
      <c r="B220" s="20" t="s">
        <v>75</v>
      </c>
      <c r="C220" s="40">
        <f>$C$200*C219</f>
        <v>0</v>
      </c>
      <c r="D220" s="20" t="s">
        <v>49</v>
      </c>
    </row>
    <row r="221" spans="2:4" hidden="1" outlineLevel="1" x14ac:dyDescent="0.25"/>
    <row r="222" spans="2:4" collapsed="1" x14ac:dyDescent="0.25">
      <c r="B222" s="27" t="s">
        <v>5</v>
      </c>
      <c r="C222" s="28" t="s">
        <v>46</v>
      </c>
      <c r="D222" s="28" t="s">
        <v>6</v>
      </c>
    </row>
    <row r="223" spans="2:4" x14ac:dyDescent="0.25">
      <c r="B223" s="88" t="s">
        <v>77</v>
      </c>
      <c r="C223" s="91" t="s">
        <v>612</v>
      </c>
      <c r="D223" s="87">
        <f>IF(C187="Sim",C202,0)</f>
        <v>0</v>
      </c>
    </row>
    <row r="224" spans="2:4" x14ac:dyDescent="0.25">
      <c r="B224" s="88" t="s">
        <v>76</v>
      </c>
      <c r="C224" s="91" t="s">
        <v>612</v>
      </c>
      <c r="D224" s="87">
        <f>IF(C187="Sim",C215,0)</f>
        <v>0</v>
      </c>
    </row>
    <row r="225" spans="2:4" x14ac:dyDescent="0.25">
      <c r="B225" s="90" t="s">
        <v>636</v>
      </c>
      <c r="C225" s="89" t="s">
        <v>49</v>
      </c>
      <c r="D225" s="87">
        <f>IF(C187="Sim",C220,0)</f>
        <v>0</v>
      </c>
    </row>
  </sheetData>
  <mergeCells count="11">
    <mergeCell ref="C38:F38"/>
    <mergeCell ref="C29:F29"/>
    <mergeCell ref="B2:D2"/>
    <mergeCell ref="B4:D4"/>
    <mergeCell ref="B6:D6"/>
    <mergeCell ref="B54:D54"/>
    <mergeCell ref="B81:D81"/>
    <mergeCell ref="B140:D140"/>
    <mergeCell ref="B183:D183"/>
    <mergeCell ref="C67:F67"/>
    <mergeCell ref="C71:F71"/>
  </mergeCells>
  <dataValidations disablePrompts="1" count="6">
    <dataValidation type="list" allowBlank="1" showInputMessage="1" showErrorMessage="1" sqref="C19" xr:uid="{00000000-0002-0000-0300-000000000000}">
      <formula1>$K$20:$K$22</formula1>
    </dataValidation>
    <dataValidation type="list" allowBlank="1" showInputMessage="1" showErrorMessage="1" sqref="C14" xr:uid="{00000000-0002-0000-0300-000001000000}">
      <formula1>"Usinado,Feito na obra"</formula1>
    </dataValidation>
    <dataValidation type="list" allowBlank="1" showInputMessage="1" showErrorMessage="1" sqref="C15" xr:uid="{00000000-0002-0000-0300-000002000000}">
      <formula1>$B$31:$B$36</formula1>
    </dataValidation>
    <dataValidation type="list" allowBlank="1" showInputMessage="1" showErrorMessage="1" sqref="C86" xr:uid="{00000000-0002-0000-0300-000003000000}">
      <formula1>$I$91:$I$92</formula1>
    </dataValidation>
    <dataValidation type="list" allowBlank="1" showInputMessage="1" showErrorMessage="1" sqref="C87" xr:uid="{00000000-0002-0000-0300-000004000000}">
      <formula1>$H$91:$H$92</formula1>
    </dataValidation>
    <dataValidation type="list" allowBlank="1" showInputMessage="1" showErrorMessage="1" sqref="C58 C187" xr:uid="{00000000-0002-0000-0300-000005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2"/>
  <sheetViews>
    <sheetView showGridLines="0" tabSelected="1" zoomScale="130" zoomScaleNormal="130" workbookViewId="0">
      <selection activeCell="C13" sqref="C13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7</v>
      </c>
      <c r="C2" s="130"/>
      <c r="D2" s="131"/>
    </row>
    <row r="4" spans="1:8" ht="45.75" customHeight="1" x14ac:dyDescent="0.25">
      <c r="B4" s="128" t="s">
        <v>117</v>
      </c>
      <c r="C4" s="128"/>
      <c r="D4" s="128"/>
    </row>
    <row r="5" spans="1:8" s="5" customFormat="1" ht="18.75" x14ac:dyDescent="0.3">
      <c r="A5" s="7"/>
      <c r="B5" s="132" t="s">
        <v>540</v>
      </c>
      <c r="C5" s="132"/>
      <c r="D5" s="132"/>
      <c r="E5" s="7"/>
      <c r="F5" s="7"/>
      <c r="H5" s="22"/>
    </row>
    <row r="6" spans="1:8" s="5" customFormat="1" x14ac:dyDescent="0.25">
      <c r="A6" s="7"/>
      <c r="B6" s="7"/>
      <c r="C6" s="7"/>
      <c r="D6" s="7"/>
      <c r="E6" s="7"/>
      <c r="F6" s="7"/>
      <c r="H6" s="22"/>
    </row>
    <row r="7" spans="1:8" x14ac:dyDescent="0.25">
      <c r="B7" s="9" t="s">
        <v>2</v>
      </c>
    </row>
    <row r="9" spans="1:8" x14ac:dyDescent="0.25">
      <c r="B9" s="7" t="s">
        <v>136</v>
      </c>
      <c r="C9" s="33">
        <v>25</v>
      </c>
      <c r="D9" s="7" t="s">
        <v>56</v>
      </c>
    </row>
    <row r="10" spans="1:8" x14ac:dyDescent="0.25">
      <c r="B10" s="7" t="s">
        <v>137</v>
      </c>
      <c r="C10" s="33">
        <v>6</v>
      </c>
      <c r="D10" s="7" t="s">
        <v>53</v>
      </c>
    </row>
    <row r="11" spans="1:8" x14ac:dyDescent="0.25">
      <c r="B11" s="7" t="s">
        <v>135</v>
      </c>
      <c r="C11" s="23">
        <v>50</v>
      </c>
      <c r="D11" s="7" t="s">
        <v>92</v>
      </c>
    </row>
    <row r="12" spans="1:8" x14ac:dyDescent="0.25">
      <c r="B12" s="7" t="s">
        <v>225</v>
      </c>
      <c r="C12" s="29" t="s">
        <v>1214</v>
      </c>
    </row>
    <row r="13" spans="1:8" x14ac:dyDescent="0.25">
      <c r="B13" s="7" t="s">
        <v>57</v>
      </c>
      <c r="C13" s="41" t="s">
        <v>1168</v>
      </c>
      <c r="D13" s="7" t="s">
        <v>1193</v>
      </c>
    </row>
    <row r="15" spans="1:8" s="20" customFormat="1" hidden="1" outlineLevel="1" x14ac:dyDescent="0.25">
      <c r="B15" s="19" t="s">
        <v>118</v>
      </c>
    </row>
    <row r="16" spans="1:8" s="20" customFormat="1" hidden="1" outlineLevel="1" x14ac:dyDescent="0.25"/>
    <row r="17" spans="2:7" s="20" customFormat="1" hidden="1" outlineLevel="1" x14ac:dyDescent="0.25">
      <c r="B17" s="20" t="s">
        <v>715</v>
      </c>
      <c r="C17" s="38">
        <f>3.14159*(((C9/2)/100)^2)</f>
        <v>4.9087343749999998E-2</v>
      </c>
      <c r="D17" s="20" t="s">
        <v>643</v>
      </c>
    </row>
    <row r="18" spans="2:7" s="20" customFormat="1" hidden="1" outlineLevel="1" x14ac:dyDescent="0.25">
      <c r="B18" s="20" t="s">
        <v>716</v>
      </c>
      <c r="C18" s="38">
        <f>C17*C10</f>
        <v>0.29452406249999996</v>
      </c>
      <c r="D18" s="20" t="s">
        <v>32</v>
      </c>
    </row>
    <row r="19" spans="2:7" s="20" customFormat="1" hidden="1" outlineLevel="1" x14ac:dyDescent="0.25">
      <c r="B19" s="20" t="s">
        <v>138</v>
      </c>
      <c r="C19" s="21">
        <f>C18*C11</f>
        <v>14.726203124999998</v>
      </c>
      <c r="D19" s="20" t="s">
        <v>32</v>
      </c>
    </row>
    <row r="20" spans="2:7" s="20" customFormat="1" hidden="1" outlineLevel="1" x14ac:dyDescent="0.25">
      <c r="B20" s="20" t="s">
        <v>717</v>
      </c>
      <c r="C20" s="21">
        <f>C19*(1+'LEIA-ME'!$D$31)</f>
        <v>15.462513281249999</v>
      </c>
      <c r="D20" s="20" t="s">
        <v>32</v>
      </c>
    </row>
    <row r="21" spans="2:7" s="20" customFormat="1" hidden="1" outlineLevel="1" x14ac:dyDescent="0.25"/>
    <row r="22" spans="2:7" s="20" customFormat="1" hidden="1" outlineLevel="1" x14ac:dyDescent="0.25">
      <c r="B22" s="19" t="s">
        <v>125</v>
      </c>
    </row>
    <row r="23" spans="2:7" s="20" customFormat="1" hidden="1" outlineLevel="1" x14ac:dyDescent="0.25"/>
    <row r="24" spans="2:7" s="20" customFormat="1" hidden="1" outlineLevel="1" x14ac:dyDescent="0.25">
      <c r="C24" s="133" t="s">
        <v>45</v>
      </c>
      <c r="D24" s="133"/>
      <c r="E24" s="133"/>
      <c r="F24" s="133"/>
    </row>
    <row r="25" spans="2:7" s="73" customFormat="1" ht="30" hidden="1" outlineLevel="1" x14ac:dyDescent="0.25">
      <c r="B25" s="72" t="s">
        <v>42</v>
      </c>
      <c r="C25" s="86" t="s">
        <v>41</v>
      </c>
      <c r="D25" s="86" t="s">
        <v>40</v>
      </c>
      <c r="E25" s="86" t="s">
        <v>39</v>
      </c>
      <c r="F25" s="86" t="s">
        <v>38</v>
      </c>
    </row>
    <row r="26" spans="2:7" s="20" customFormat="1" hidden="1" outlineLevel="1" x14ac:dyDescent="0.25">
      <c r="B26" s="30" t="s">
        <v>1166</v>
      </c>
      <c r="C26" s="21">
        <v>6.9</v>
      </c>
      <c r="D26" s="21">
        <v>0.62265036674816632</v>
      </c>
      <c r="E26" s="21">
        <v>0.72799999999999987</v>
      </c>
      <c r="F26" s="25">
        <v>210</v>
      </c>
      <c r="G26" s="20" t="s">
        <v>44</v>
      </c>
    </row>
    <row r="27" spans="2:7" s="20" customFormat="1" hidden="1" outlineLevel="1" x14ac:dyDescent="0.25">
      <c r="B27" s="30" t="s">
        <v>1167</v>
      </c>
      <c r="C27" s="21">
        <v>6.4</v>
      </c>
      <c r="D27" s="21">
        <v>0.72001955990220046</v>
      </c>
      <c r="E27" s="21">
        <v>0.67399999999999993</v>
      </c>
      <c r="F27" s="25">
        <v>207</v>
      </c>
    </row>
    <row r="28" spans="2:7" s="20" customFormat="1" hidden="1" outlineLevel="1" x14ac:dyDescent="0.25">
      <c r="B28" s="30" t="s">
        <v>1168</v>
      </c>
      <c r="C28" s="21">
        <v>5.94</v>
      </c>
      <c r="D28" s="21">
        <v>0.5380929095354523</v>
      </c>
      <c r="E28" s="21">
        <v>0.83999999999999986</v>
      </c>
      <c r="F28" s="25">
        <v>202</v>
      </c>
    </row>
    <row r="29" spans="2:7" s="20" customFormat="1" hidden="1" outlineLevel="1" x14ac:dyDescent="0.25">
      <c r="B29" s="30" t="s">
        <v>1169</v>
      </c>
      <c r="C29" s="21">
        <v>5.86</v>
      </c>
      <c r="D29" s="21">
        <v>0.66236674816625918</v>
      </c>
      <c r="E29" s="21">
        <v>0.72399999999999987</v>
      </c>
      <c r="F29" s="25">
        <v>208</v>
      </c>
    </row>
    <row r="30" spans="2:7" s="20" customFormat="1" hidden="1" outlineLevel="1" x14ac:dyDescent="0.25">
      <c r="B30" s="30" t="s">
        <v>1181</v>
      </c>
      <c r="C30" s="21">
        <v>5.5</v>
      </c>
      <c r="D30" s="21">
        <v>0.62393154034229825</v>
      </c>
      <c r="E30" s="21">
        <v>0.77999999999999992</v>
      </c>
      <c r="F30" s="25">
        <v>201</v>
      </c>
    </row>
    <row r="31" spans="2:7" s="20" customFormat="1" hidden="1" outlineLevel="1" x14ac:dyDescent="0.25">
      <c r="B31" s="30" t="s">
        <v>1182</v>
      </c>
      <c r="C31" s="21">
        <v>4.9000000000000004</v>
      </c>
      <c r="D31" s="21">
        <v>0.55731051344743276</v>
      </c>
      <c r="E31" s="21">
        <v>0.86999999999999988</v>
      </c>
      <c r="F31" s="25">
        <v>195</v>
      </c>
    </row>
    <row r="32" spans="2:7" s="20" customFormat="1" hidden="1" outlineLevel="1" x14ac:dyDescent="0.25"/>
    <row r="33" spans="2:7" s="20" customFormat="1" hidden="1" outlineLevel="1" x14ac:dyDescent="0.25">
      <c r="C33" s="133" t="s">
        <v>43</v>
      </c>
      <c r="D33" s="133"/>
      <c r="E33" s="133"/>
      <c r="F33" s="133"/>
    </row>
    <row r="34" spans="2:7" s="73" customFormat="1" ht="30" hidden="1" outlineLevel="1" x14ac:dyDescent="0.25">
      <c r="B34" s="72" t="s">
        <v>42</v>
      </c>
      <c r="C34" s="86" t="s">
        <v>41</v>
      </c>
      <c r="D34" s="86" t="s">
        <v>40</v>
      </c>
      <c r="E34" s="86" t="s">
        <v>39</v>
      </c>
      <c r="F34" s="86" t="s">
        <v>38</v>
      </c>
    </row>
    <row r="35" spans="2:7" s="20" customFormat="1" hidden="1" outlineLevel="1" x14ac:dyDescent="0.25">
      <c r="B35" s="30" t="str">
        <f>B26</f>
        <v>1 : 2 : 3</v>
      </c>
      <c r="C35" s="21">
        <f>C26*$C$20</f>
        <v>106.691341640625</v>
      </c>
      <c r="D35" s="21">
        <f t="shared" ref="D35:F35" si="0">D26*$C$20</f>
        <v>9.6277395654187039</v>
      </c>
      <c r="E35" s="21">
        <f t="shared" si="0"/>
        <v>11.256709668749997</v>
      </c>
      <c r="F35" s="25">
        <f t="shared" si="0"/>
        <v>3247.1277890624997</v>
      </c>
      <c r="G35" s="20" t="s">
        <v>37</v>
      </c>
    </row>
    <row r="36" spans="2:7" s="20" customFormat="1" hidden="1" outlineLevel="1" x14ac:dyDescent="0.25">
      <c r="B36" s="30" t="str">
        <f>B27</f>
        <v>1 : 2,5 : 3</v>
      </c>
      <c r="C36" s="21">
        <f t="shared" ref="C36:F36" si="1">C27*$C$20</f>
        <v>98.960084999999992</v>
      </c>
      <c r="D36" s="21">
        <f t="shared" si="1"/>
        <v>11.133312007747554</v>
      </c>
      <c r="E36" s="21">
        <f t="shared" si="1"/>
        <v>10.421733951562498</v>
      </c>
      <c r="F36" s="25">
        <f t="shared" si="1"/>
        <v>3200.7402492187498</v>
      </c>
    </row>
    <row r="37" spans="2:7" s="20" customFormat="1" hidden="1" outlineLevel="1" x14ac:dyDescent="0.25">
      <c r="B37" s="30" t="str">
        <f t="shared" ref="B37:B40" si="2">B28</f>
        <v>1 : 2 : 4</v>
      </c>
      <c r="C37" s="21">
        <f t="shared" ref="C37:F37" si="3">C28*$C$20</f>
        <v>91.847328890624993</v>
      </c>
      <c r="D37" s="21">
        <f t="shared" si="3"/>
        <v>8.3202687602383847</v>
      </c>
      <c r="E37" s="21">
        <f t="shared" si="3"/>
        <v>12.988511156249997</v>
      </c>
      <c r="F37" s="25">
        <f t="shared" si="3"/>
        <v>3123.4276828124998</v>
      </c>
    </row>
    <row r="38" spans="2:7" s="20" customFormat="1" hidden="1" outlineLevel="1" x14ac:dyDescent="0.25">
      <c r="B38" s="30" t="str">
        <f t="shared" si="2"/>
        <v>1 : 2,5 : 3,5</v>
      </c>
      <c r="C38" s="21">
        <f t="shared" ref="C38:F38" si="4">C29*$C$20</f>
        <v>90.610327828124994</v>
      </c>
      <c r="D38" s="21">
        <f t="shared" si="4"/>
        <v>10.241854640579156</v>
      </c>
      <c r="E38" s="21">
        <f t="shared" si="4"/>
        <v>11.194859615624997</v>
      </c>
      <c r="F38" s="25">
        <f t="shared" si="4"/>
        <v>3216.2027624999996</v>
      </c>
    </row>
    <row r="39" spans="2:7" s="20" customFormat="1" hidden="1" outlineLevel="1" x14ac:dyDescent="0.25">
      <c r="B39" s="30" t="str">
        <f t="shared" si="2"/>
        <v>1 : 2,5 : 4</v>
      </c>
      <c r="C39" s="21">
        <f t="shared" ref="C39:F39" si="5">C30*$C$20</f>
        <v>85.043823046874991</v>
      </c>
      <c r="D39" s="21">
        <f t="shared" si="5"/>
        <v>9.6475497291335568</v>
      </c>
      <c r="E39" s="21">
        <f t="shared" si="5"/>
        <v>12.060760359374997</v>
      </c>
      <c r="F39" s="25">
        <f t="shared" si="5"/>
        <v>3107.9651695312496</v>
      </c>
    </row>
    <row r="40" spans="2:7" s="20" customFormat="1" hidden="1" outlineLevel="1" x14ac:dyDescent="0.25">
      <c r="B40" s="30" t="str">
        <f t="shared" si="2"/>
        <v>1 : 2,5 : 5</v>
      </c>
      <c r="C40" s="21">
        <f t="shared" ref="C40:F40" si="6">C31*$C$20</f>
        <v>75.766315078125004</v>
      </c>
      <c r="D40" s="21">
        <f t="shared" si="6"/>
        <v>8.6174212159611852</v>
      </c>
      <c r="E40" s="21">
        <f t="shared" si="6"/>
        <v>13.452386554687497</v>
      </c>
      <c r="F40" s="25">
        <f t="shared" si="6"/>
        <v>3015.1900898437498</v>
      </c>
    </row>
    <row r="41" spans="2:7" s="20" customFormat="1" hidden="1" outlineLevel="1" x14ac:dyDescent="0.25">
      <c r="B41" s="30"/>
      <c r="C41" s="21"/>
      <c r="D41" s="21"/>
      <c r="E41" s="21"/>
      <c r="F41" s="25"/>
    </row>
    <row r="42" spans="2:7" s="20" customFormat="1" hidden="1" outlineLevel="1" x14ac:dyDescent="0.25">
      <c r="B42" s="19" t="s">
        <v>226</v>
      </c>
    </row>
    <row r="43" spans="2:7" s="20" customFormat="1" hidden="1" outlineLevel="1" x14ac:dyDescent="0.25">
      <c r="C43" s="21"/>
    </row>
    <row r="44" spans="2:7" s="20" customFormat="1" hidden="1" outlineLevel="1" x14ac:dyDescent="0.25">
      <c r="B44" s="20" t="s">
        <v>60</v>
      </c>
      <c r="C44" s="85">
        <v>5</v>
      </c>
      <c r="D44" s="20" t="s">
        <v>56</v>
      </c>
    </row>
    <row r="45" spans="2:7" s="20" customFormat="1" hidden="1" outlineLevel="1" x14ac:dyDescent="0.25">
      <c r="B45" s="20" t="s">
        <v>59</v>
      </c>
      <c r="C45" s="21">
        <f>C17*((C44/100))*C11</f>
        <v>0.122718359375</v>
      </c>
      <c r="D45" s="20" t="s">
        <v>32</v>
      </c>
    </row>
    <row r="46" spans="2:7" s="20" customFormat="1" hidden="1" outlineLevel="1" x14ac:dyDescent="0.25">
      <c r="B46" s="20" t="s">
        <v>718</v>
      </c>
      <c r="C46" s="21">
        <f>C45*(1+'LEIA-ME'!$D$31)</f>
        <v>0.12885427734375002</v>
      </c>
      <c r="D46" s="20" t="s">
        <v>32</v>
      </c>
    </row>
    <row r="47" spans="2:7" hidden="1" outlineLevel="1" x14ac:dyDescent="0.25"/>
    <row r="48" spans="2:7" collapsed="1" x14ac:dyDescent="0.25">
      <c r="B48" s="27" t="s">
        <v>5</v>
      </c>
      <c r="C48" s="28" t="s">
        <v>46</v>
      </c>
      <c r="D48" s="28" t="s">
        <v>6</v>
      </c>
    </row>
    <row r="49" spans="1:11" ht="17.25" x14ac:dyDescent="0.25">
      <c r="B49" s="88" t="s">
        <v>591</v>
      </c>
      <c r="C49" s="91" t="s">
        <v>80</v>
      </c>
      <c r="D49" s="87">
        <f>IF(C12="Usinado",C20,0)</f>
        <v>15.462513281249999</v>
      </c>
    </row>
    <row r="50" spans="1:11" x14ac:dyDescent="0.25">
      <c r="B50" s="88" t="s">
        <v>36</v>
      </c>
      <c r="C50" s="91" t="s">
        <v>35</v>
      </c>
      <c r="D50" s="87">
        <f>IFERROR(IF(C12="Feito na obra",VLOOKUP($C$13,B$34:$F$40,2,0),0),0)</f>
        <v>0</v>
      </c>
      <c r="G50" s="24"/>
    </row>
    <row r="51" spans="1:11" ht="17.25" x14ac:dyDescent="0.25">
      <c r="B51" s="88" t="s">
        <v>34</v>
      </c>
      <c r="C51" s="91" t="s">
        <v>80</v>
      </c>
      <c r="D51" s="87">
        <f>IFERROR(IF(C12="Feito na obra",VLOOKUP($C$13,B$34:$F$40,3,0),0),0)</f>
        <v>0</v>
      </c>
    </row>
    <row r="52" spans="1:11" ht="17.25" x14ac:dyDescent="0.25">
      <c r="B52" s="88" t="s">
        <v>33</v>
      </c>
      <c r="C52" s="91" t="s">
        <v>80</v>
      </c>
      <c r="D52" s="87">
        <f>IFERROR(IF(C12="Feito na obra",VLOOKUP($C$13,B$34:$F$40,4,0),0),0)</f>
        <v>0</v>
      </c>
    </row>
    <row r="53" spans="1:11" ht="17.25" x14ac:dyDescent="0.25">
      <c r="B53" s="88" t="s">
        <v>61</v>
      </c>
      <c r="C53" s="91" t="s">
        <v>80</v>
      </c>
      <c r="D53" s="87">
        <f>IF(C9="",0,C46)</f>
        <v>0.12885427734375002</v>
      </c>
    </row>
    <row r="56" spans="1:11" s="5" customFormat="1" ht="18.75" x14ac:dyDescent="0.3">
      <c r="A56" s="7"/>
      <c r="B56" s="132" t="s">
        <v>544</v>
      </c>
      <c r="C56" s="132"/>
      <c r="D56" s="132"/>
      <c r="E56" s="7"/>
      <c r="F56" s="7"/>
      <c r="H56" s="22"/>
    </row>
    <row r="57" spans="1:11" s="5" customFormat="1" x14ac:dyDescent="0.25">
      <c r="A57" s="7"/>
      <c r="B57" s="7"/>
      <c r="C57" s="7"/>
      <c r="D57" s="7"/>
      <c r="E57" s="7"/>
      <c r="F57" s="7"/>
      <c r="H57" s="22"/>
    </row>
    <row r="58" spans="1:11" x14ac:dyDescent="0.25">
      <c r="B58" s="9" t="s">
        <v>2</v>
      </c>
    </row>
    <row r="60" spans="1:11" x14ac:dyDescent="0.25">
      <c r="B60" s="7" t="s">
        <v>62</v>
      </c>
      <c r="C60" s="23"/>
      <c r="D60" s="7" t="s">
        <v>64</v>
      </c>
    </row>
    <row r="61" spans="1:11" x14ac:dyDescent="0.25">
      <c r="B61" s="7" t="s">
        <v>841</v>
      </c>
      <c r="C61" s="29"/>
    </row>
    <row r="63" spans="1:11" s="20" customFormat="1" hidden="1" outlineLevel="1" x14ac:dyDescent="0.25">
      <c r="B63" s="19" t="s">
        <v>600</v>
      </c>
      <c r="K63" s="20" t="s">
        <v>704</v>
      </c>
    </row>
    <row r="64" spans="1:11" s="20" customFormat="1" hidden="1" outlineLevel="1" x14ac:dyDescent="0.25">
      <c r="K64" s="20" t="s">
        <v>108</v>
      </c>
    </row>
    <row r="65" spans="2:11" s="20" customFormat="1" hidden="1" outlineLevel="1" x14ac:dyDescent="0.25">
      <c r="B65" s="20" t="s">
        <v>671</v>
      </c>
      <c r="C65" s="33">
        <v>1</v>
      </c>
      <c r="D65" s="20" t="s">
        <v>53</v>
      </c>
      <c r="K65" s="20" t="s">
        <v>15</v>
      </c>
    </row>
    <row r="66" spans="2:11" s="20" customFormat="1" hidden="1" outlineLevel="1" x14ac:dyDescent="0.25">
      <c r="B66" s="20" t="s">
        <v>140</v>
      </c>
      <c r="C66" s="37">
        <f>C60*(C10+C65)</f>
        <v>0</v>
      </c>
      <c r="D66" s="20" t="s">
        <v>53</v>
      </c>
    </row>
    <row r="67" spans="2:11" s="20" customFormat="1" hidden="1" outlineLevel="1" x14ac:dyDescent="0.25">
      <c r="B67" s="20" t="s">
        <v>141</v>
      </c>
      <c r="C67" s="37">
        <f>C66*C11</f>
        <v>0</v>
      </c>
      <c r="D67" s="20" t="s">
        <v>53</v>
      </c>
    </row>
    <row r="68" spans="2:11" s="20" customFormat="1" hidden="1" outlineLevel="1" x14ac:dyDescent="0.25">
      <c r="B68" s="20" t="s">
        <v>719</v>
      </c>
      <c r="C68" s="37">
        <f>C67*(1+'LEIA-ME'!$D$31)</f>
        <v>0</v>
      </c>
      <c r="D68" s="20" t="s">
        <v>53</v>
      </c>
    </row>
    <row r="69" spans="2:11" s="20" customFormat="1" hidden="1" outlineLevel="1" x14ac:dyDescent="0.25">
      <c r="B69" s="20" t="s">
        <v>664</v>
      </c>
      <c r="C69" s="23">
        <v>12</v>
      </c>
      <c r="D69" s="20" t="s">
        <v>53</v>
      </c>
    </row>
    <row r="70" spans="2:11" s="20" customFormat="1" hidden="1" outlineLevel="1" x14ac:dyDescent="0.25">
      <c r="B70" s="20" t="s">
        <v>72</v>
      </c>
      <c r="C70" s="37">
        <f>C68/12</f>
        <v>0</v>
      </c>
      <c r="D70" s="20" t="s">
        <v>64</v>
      </c>
    </row>
    <row r="71" spans="2:11" s="20" customFormat="1" hidden="1" outlineLevel="1" x14ac:dyDescent="0.25"/>
    <row r="72" spans="2:11" s="20" customFormat="1" hidden="1" outlineLevel="1" x14ac:dyDescent="0.25">
      <c r="B72" s="19" t="s">
        <v>73</v>
      </c>
    </row>
    <row r="73" spans="2:11" s="20" customFormat="1" hidden="1" outlineLevel="1" x14ac:dyDescent="0.25"/>
    <row r="74" spans="2:11" s="20" customFormat="1" hidden="1" outlineLevel="1" x14ac:dyDescent="0.25">
      <c r="B74" s="20" t="s">
        <v>666</v>
      </c>
      <c r="C74" s="85">
        <v>0.02</v>
      </c>
      <c r="D74" s="20" t="s">
        <v>650</v>
      </c>
    </row>
    <row r="75" spans="2:11" s="20" customFormat="1" hidden="1" outlineLevel="1" x14ac:dyDescent="0.25">
      <c r="B75" s="20" t="s">
        <v>615</v>
      </c>
      <c r="C75" s="21">
        <f>C67*C74*(1+'LEIA-ME'!$D$31)</f>
        <v>0</v>
      </c>
      <c r="D75" s="20" t="s">
        <v>49</v>
      </c>
    </row>
    <row r="76" spans="2:11" s="20" customFormat="1" hidden="1" outlineLevel="1" x14ac:dyDescent="0.25">
      <c r="B76" s="20" t="s">
        <v>668</v>
      </c>
      <c r="C76" s="23">
        <v>5</v>
      </c>
      <c r="D76" s="20" t="s">
        <v>667</v>
      </c>
    </row>
    <row r="77" spans="2:11" s="20" customFormat="1" hidden="1" outlineLevel="1" x14ac:dyDescent="0.25">
      <c r="B77" s="20" t="s">
        <v>622</v>
      </c>
      <c r="C77" s="25">
        <f>C67*C76*(1+'LEIA-ME'!$D$31)</f>
        <v>0</v>
      </c>
      <c r="D77" s="20" t="s">
        <v>644</v>
      </c>
    </row>
    <row r="78" spans="2:11" hidden="1" outlineLevel="1" x14ac:dyDescent="0.25"/>
    <row r="79" spans="2:11" collapsed="1" x14ac:dyDescent="0.25">
      <c r="B79" s="27" t="s">
        <v>5</v>
      </c>
      <c r="C79" s="28" t="s">
        <v>46</v>
      </c>
      <c r="D79" s="28" t="s">
        <v>6</v>
      </c>
    </row>
    <row r="80" spans="2:11" x14ac:dyDescent="0.25">
      <c r="B80" s="88" t="str">
        <f>"Barra de aço CA-25, "&amp;C61</f>
        <v xml:space="preserve">Barra de aço CA-25, </v>
      </c>
      <c r="C80" s="91" t="s">
        <v>642</v>
      </c>
      <c r="D80" s="87">
        <f>C70</f>
        <v>0</v>
      </c>
    </row>
    <row r="81" spans="2:4" x14ac:dyDescent="0.25">
      <c r="B81" s="88" t="s">
        <v>74</v>
      </c>
      <c r="C81" s="91" t="s">
        <v>641</v>
      </c>
      <c r="D81" s="87">
        <f>C75</f>
        <v>0</v>
      </c>
    </row>
    <row r="82" spans="2:4" x14ac:dyDescent="0.25">
      <c r="B82" s="88" t="s">
        <v>231</v>
      </c>
      <c r="C82" s="91" t="s">
        <v>50</v>
      </c>
      <c r="D82" s="87">
        <f>C77</f>
        <v>0</v>
      </c>
    </row>
  </sheetData>
  <mergeCells count="6">
    <mergeCell ref="C24:F24"/>
    <mergeCell ref="C33:F33"/>
    <mergeCell ref="B56:D56"/>
    <mergeCell ref="B2:D2"/>
    <mergeCell ref="B4:D4"/>
    <mergeCell ref="B5:D5"/>
  </mergeCells>
  <dataValidations count="3">
    <dataValidation type="list" allowBlank="1" showInputMessage="1" showErrorMessage="1" sqref="C12" xr:uid="{00000000-0002-0000-0400-000000000000}">
      <formula1>"Usinado,Feito na obra"</formula1>
    </dataValidation>
    <dataValidation type="list" allowBlank="1" showInputMessage="1" showErrorMessage="1" sqref="C13" xr:uid="{00000000-0002-0000-0400-000001000000}">
      <formula1>$B$26:$B$31</formula1>
    </dataValidation>
    <dataValidation type="list" allowBlank="1" showInputMessage="1" showErrorMessage="1" sqref="C61" xr:uid="{00000000-0002-0000-0400-000002000000}">
      <formula1>$K$64:$K$65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6"/>
  <sheetViews>
    <sheetView showGridLines="0" zoomScale="130" zoomScaleNormal="130" workbookViewId="0">
      <selection activeCell="F8" sqref="F8"/>
    </sheetView>
  </sheetViews>
  <sheetFormatPr defaultColWidth="8.85546875" defaultRowHeight="15" outlineLevelRow="1" x14ac:dyDescent="0.25"/>
  <cols>
    <col min="1" max="1" width="2" style="7" customWidth="1"/>
    <col min="2" max="2" width="41.28515625" style="7" customWidth="1"/>
    <col min="3" max="3" width="18" style="7" customWidth="1"/>
    <col min="4" max="4" width="12.5703125" style="7" customWidth="1"/>
    <col min="5" max="5" width="11.42578125" style="7" customWidth="1"/>
    <col min="6" max="6" width="13.85546875" style="7" customWidth="1"/>
    <col min="7" max="16384" width="8.85546875" style="7"/>
  </cols>
  <sheetData>
    <row r="1" spans="1:8" ht="15.75" thickBot="1" x14ac:dyDescent="0.3"/>
    <row r="2" spans="1:8" ht="21.75" thickBot="1" x14ac:dyDescent="0.4">
      <c r="B2" s="129" t="s">
        <v>207</v>
      </c>
      <c r="C2" s="130"/>
      <c r="D2" s="131"/>
    </row>
    <row r="3" spans="1:8" ht="8.25" customHeight="1" x14ac:dyDescent="0.25"/>
    <row r="4" spans="1:8" ht="42" customHeight="1" x14ac:dyDescent="0.25">
      <c r="B4" s="128" t="s">
        <v>187</v>
      </c>
      <c r="C4" s="128"/>
      <c r="D4" s="128"/>
    </row>
    <row r="5" spans="1:8" s="5" customFormat="1" ht="18.75" x14ac:dyDescent="0.3">
      <c r="A5" s="7"/>
      <c r="B5" s="132" t="s">
        <v>588</v>
      </c>
      <c r="C5" s="132"/>
      <c r="D5" s="132"/>
      <c r="E5" s="7"/>
      <c r="F5" s="7"/>
      <c r="H5" s="22"/>
    </row>
    <row r="6" spans="1:8" s="5" customFormat="1" x14ac:dyDescent="0.25">
      <c r="A6" s="7"/>
      <c r="B6" s="45" t="s">
        <v>203</v>
      </c>
      <c r="C6" s="7"/>
      <c r="D6" s="7"/>
      <c r="E6" s="7"/>
      <c r="F6" s="7"/>
      <c r="H6" s="22"/>
    </row>
    <row r="7" spans="1:8" s="5" customFormat="1" x14ac:dyDescent="0.25">
      <c r="A7" s="7"/>
      <c r="B7" s="7"/>
      <c r="C7" s="7"/>
      <c r="D7" s="7"/>
      <c r="E7" s="7"/>
      <c r="F7" s="7"/>
      <c r="H7" s="22"/>
    </row>
    <row r="8" spans="1:8" x14ac:dyDescent="0.25">
      <c r="B8" s="9" t="s">
        <v>2</v>
      </c>
    </row>
    <row r="10" spans="1:8" x14ac:dyDescent="0.25">
      <c r="B10" s="7" t="s">
        <v>278</v>
      </c>
      <c r="C10" s="33"/>
      <c r="D10" s="7" t="s">
        <v>53</v>
      </c>
    </row>
    <row r="11" spans="1:8" x14ac:dyDescent="0.25">
      <c r="B11" s="7" t="s">
        <v>197</v>
      </c>
      <c r="C11" s="33"/>
      <c r="D11" s="7" t="s">
        <v>53</v>
      </c>
      <c r="G11" s="24"/>
    </row>
    <row r="12" spans="1:8" x14ac:dyDescent="0.25">
      <c r="B12" s="7" t="s">
        <v>202</v>
      </c>
      <c r="C12" s="41"/>
    </row>
    <row r="14" spans="1:8" s="20" customFormat="1" hidden="1" outlineLevel="1" x14ac:dyDescent="0.25">
      <c r="B14" s="19" t="s">
        <v>188</v>
      </c>
    </row>
    <row r="15" spans="1:8" s="20" customFormat="1" hidden="1" outlineLevel="1" x14ac:dyDescent="0.25"/>
    <row r="16" spans="1:8" s="20" customFormat="1" hidden="1" outlineLevel="1" x14ac:dyDescent="0.25">
      <c r="B16" s="20" t="s">
        <v>722</v>
      </c>
      <c r="C16" s="21">
        <f>'5. Paredes com Tijolos'!C10*'5. Paredes com Tijolos'!C11</f>
        <v>0</v>
      </c>
      <c r="D16" s="20" t="s">
        <v>643</v>
      </c>
    </row>
    <row r="17" spans="2:6" s="20" customFormat="1" hidden="1" outlineLevel="1" x14ac:dyDescent="0.25">
      <c r="B17" s="20" t="s">
        <v>180</v>
      </c>
      <c r="C17" s="21">
        <f>SUM('13. Portas'!$G$26:$G$191)</f>
        <v>0</v>
      </c>
      <c r="D17" s="20" t="s">
        <v>643</v>
      </c>
    </row>
    <row r="18" spans="2:6" s="20" customFormat="1" hidden="1" outlineLevel="1" x14ac:dyDescent="0.25">
      <c r="B18" s="20" t="s">
        <v>179</v>
      </c>
      <c r="C18" s="21">
        <f>SUM('14. Janelas'!$G$24:$G$161)</f>
        <v>0</v>
      </c>
      <c r="D18" s="20" t="s">
        <v>643</v>
      </c>
    </row>
    <row r="19" spans="2:6" s="20" customFormat="1" hidden="1" outlineLevel="1" x14ac:dyDescent="0.25">
      <c r="B19" s="20" t="s">
        <v>178</v>
      </c>
      <c r="C19" s="21">
        <f>C16-C17-C18</f>
        <v>0</v>
      </c>
      <c r="D19" s="20" t="s">
        <v>643</v>
      </c>
    </row>
    <row r="20" spans="2:6" s="20" customFormat="1" hidden="1" outlineLevel="1" x14ac:dyDescent="0.25">
      <c r="B20" s="20" t="s">
        <v>723</v>
      </c>
      <c r="C20" s="21">
        <f>C19*(1+'LEIA-ME'!$D$31)</f>
        <v>0</v>
      </c>
      <c r="D20" s="20" t="s">
        <v>643</v>
      </c>
    </row>
    <row r="21" spans="2:6" s="20" customFormat="1" hidden="1" outlineLevel="1" x14ac:dyDescent="0.25"/>
    <row r="22" spans="2:6" s="20" customFormat="1" hidden="1" outlineLevel="1" x14ac:dyDescent="0.25">
      <c r="B22" s="19" t="s">
        <v>210</v>
      </c>
    </row>
    <row r="23" spans="2:6" s="20" customFormat="1" hidden="1" outlineLevel="1" x14ac:dyDescent="0.25"/>
    <row r="24" spans="2:6" s="20" customFormat="1" hidden="1" outlineLevel="1" x14ac:dyDescent="0.25">
      <c r="B24" s="20" t="s">
        <v>196</v>
      </c>
      <c r="C24" s="20" t="s">
        <v>177</v>
      </c>
      <c r="D24" s="20" t="s">
        <v>176</v>
      </c>
    </row>
    <row r="25" spans="2:6" s="20" customFormat="1" hidden="1" outlineLevel="1" x14ac:dyDescent="0.25">
      <c r="B25" s="20" t="s">
        <v>1179</v>
      </c>
      <c r="C25" s="37">
        <f>1/(0.15*0.2)</f>
        <v>33.333333333333336</v>
      </c>
      <c r="D25" s="25">
        <f t="shared" ref="D25:D35" si="0">$C$20*C25</f>
        <v>0</v>
      </c>
      <c r="E25" s="21"/>
      <c r="F25" s="62"/>
    </row>
    <row r="26" spans="2:6" s="20" customFormat="1" hidden="1" outlineLevel="1" x14ac:dyDescent="0.25">
      <c r="B26" s="20" t="s">
        <v>1209</v>
      </c>
      <c r="C26" s="37">
        <f>1/(0.15*0.25)</f>
        <v>26.666666666666668</v>
      </c>
      <c r="D26" s="25">
        <f t="shared" ref="D26" si="1">$C$20*C26</f>
        <v>0</v>
      </c>
      <c r="E26" s="21"/>
      <c r="F26" s="62"/>
    </row>
    <row r="27" spans="2:6" s="20" customFormat="1" hidden="1" outlineLevel="1" x14ac:dyDescent="0.25">
      <c r="B27" s="20" t="s">
        <v>1197</v>
      </c>
      <c r="C27" s="37">
        <f>1/(0.15*0.3)</f>
        <v>22.222222222222221</v>
      </c>
      <c r="D27" s="25">
        <f t="shared" ref="D27" si="2">$C$20*C27</f>
        <v>0</v>
      </c>
      <c r="E27" s="21"/>
      <c r="F27" s="62"/>
    </row>
    <row r="28" spans="2:6" s="20" customFormat="1" hidden="1" outlineLevel="1" x14ac:dyDescent="0.25">
      <c r="B28" s="20" t="s">
        <v>189</v>
      </c>
      <c r="C28" s="37">
        <f>1/(0.2*0.2)</f>
        <v>24.999999999999996</v>
      </c>
      <c r="D28" s="25">
        <f t="shared" ref="D28:D29" si="3">$C$20*C28</f>
        <v>0</v>
      </c>
      <c r="E28" s="21"/>
      <c r="F28" s="62"/>
    </row>
    <row r="29" spans="2:6" s="20" customFormat="1" hidden="1" outlineLevel="1" x14ac:dyDescent="0.25">
      <c r="B29" s="20" t="s">
        <v>1180</v>
      </c>
      <c r="C29" s="37">
        <f>1/(0.2*0.25)</f>
        <v>20</v>
      </c>
      <c r="D29" s="25">
        <f t="shared" si="3"/>
        <v>0</v>
      </c>
      <c r="E29" s="21"/>
      <c r="F29" s="62"/>
    </row>
    <row r="30" spans="2:6" s="20" customFormat="1" hidden="1" outlineLevel="1" x14ac:dyDescent="0.25">
      <c r="B30" s="20" t="s">
        <v>190</v>
      </c>
      <c r="C30" s="37">
        <f>1/(0.2*0.3)</f>
        <v>16.666666666666668</v>
      </c>
      <c r="D30" s="25">
        <f t="shared" si="0"/>
        <v>0</v>
      </c>
      <c r="E30" s="21"/>
      <c r="F30" s="62"/>
    </row>
    <row r="31" spans="2:6" s="20" customFormat="1" hidden="1" outlineLevel="1" x14ac:dyDescent="0.25">
      <c r="B31" s="20" t="s">
        <v>191</v>
      </c>
      <c r="C31" s="37">
        <f>1/(0.15*0.25)</f>
        <v>26.666666666666668</v>
      </c>
      <c r="D31" s="25">
        <f t="shared" si="0"/>
        <v>0</v>
      </c>
      <c r="E31" s="21"/>
      <c r="F31" s="62"/>
    </row>
    <row r="32" spans="2:6" s="20" customFormat="1" hidden="1" outlineLevel="1" x14ac:dyDescent="0.25">
      <c r="B32" s="20" t="s">
        <v>192</v>
      </c>
      <c r="C32" s="37">
        <f>1/(0.2*0.2)</f>
        <v>24.999999999999996</v>
      </c>
      <c r="D32" s="25">
        <f t="shared" si="0"/>
        <v>0</v>
      </c>
      <c r="E32" s="21"/>
      <c r="F32" s="62"/>
    </row>
    <row r="33" spans="1:8" s="20" customFormat="1" hidden="1" outlineLevel="1" x14ac:dyDescent="0.25">
      <c r="B33" s="20" t="s">
        <v>193</v>
      </c>
      <c r="C33" s="37">
        <f>1/(0.2*0.3)</f>
        <v>16.666666666666668</v>
      </c>
      <c r="D33" s="25">
        <f t="shared" si="0"/>
        <v>0</v>
      </c>
      <c r="E33" s="21"/>
      <c r="F33" s="62"/>
    </row>
    <row r="34" spans="1:8" s="20" customFormat="1" hidden="1" outlineLevel="1" x14ac:dyDescent="0.25">
      <c r="B34" s="20" t="s">
        <v>194</v>
      </c>
      <c r="C34" s="37">
        <f>1/(0.2*0.2)</f>
        <v>24.999999999999996</v>
      </c>
      <c r="D34" s="25">
        <f t="shared" si="0"/>
        <v>0</v>
      </c>
      <c r="E34" s="21"/>
      <c r="F34" s="62"/>
    </row>
    <row r="35" spans="1:8" s="20" customFormat="1" hidden="1" outlineLevel="1" x14ac:dyDescent="0.25">
      <c r="B35" s="20" t="s">
        <v>195</v>
      </c>
      <c r="C35" s="37">
        <f>1/(0.2*0.3)</f>
        <v>16.666666666666668</v>
      </c>
      <c r="D35" s="25">
        <f t="shared" si="0"/>
        <v>0</v>
      </c>
      <c r="E35" s="21"/>
      <c r="F35" s="62"/>
    </row>
    <row r="36" spans="1:8" hidden="1" outlineLevel="1" x14ac:dyDescent="0.25">
      <c r="C36" s="8"/>
    </row>
    <row r="37" spans="1:8" collapsed="1" x14ac:dyDescent="0.25">
      <c r="B37" s="27" t="s">
        <v>5</v>
      </c>
      <c r="C37" s="28" t="s">
        <v>46</v>
      </c>
      <c r="D37" s="28" t="s">
        <v>6</v>
      </c>
    </row>
    <row r="38" spans="1:8" x14ac:dyDescent="0.25">
      <c r="B38" s="11" t="str">
        <f>"Bloco cerâmico de vedação, "&amp;C12</f>
        <v xml:space="preserve">Bloco cerâmico de vedação, </v>
      </c>
      <c r="C38" s="12" t="s">
        <v>50</v>
      </c>
      <c r="D38" s="10">
        <f>IFERROR(VLOOKUP(C12,B25:D35,3,0),0)</f>
        <v>0</v>
      </c>
    </row>
    <row r="41" spans="1:8" s="5" customFormat="1" ht="18.75" x14ac:dyDescent="0.3">
      <c r="A41" s="7"/>
      <c r="B41" s="132" t="s">
        <v>589</v>
      </c>
      <c r="C41" s="132"/>
      <c r="D41" s="132"/>
      <c r="E41" s="7"/>
      <c r="F41" s="7"/>
    </row>
    <row r="42" spans="1:8" s="5" customFormat="1" x14ac:dyDescent="0.25">
      <c r="A42" s="7"/>
      <c r="B42" s="45" t="s">
        <v>203</v>
      </c>
      <c r="C42" s="7"/>
      <c r="D42" s="7"/>
      <c r="E42" s="7"/>
      <c r="F42" s="7"/>
      <c r="H42" s="22"/>
    </row>
    <row r="43" spans="1:8" s="5" customFormat="1" x14ac:dyDescent="0.25">
      <c r="A43" s="7"/>
      <c r="B43" s="7"/>
      <c r="C43" s="7"/>
      <c r="D43" s="7"/>
      <c r="E43" s="7"/>
      <c r="F43" s="7"/>
    </row>
    <row r="44" spans="1:8" x14ac:dyDescent="0.25">
      <c r="B44" s="9" t="s">
        <v>2</v>
      </c>
    </row>
    <row r="46" spans="1:8" x14ac:dyDescent="0.25">
      <c r="B46" s="7" t="s">
        <v>287</v>
      </c>
      <c r="C46" s="29"/>
    </row>
    <row r="47" spans="1:8" x14ac:dyDescent="0.25">
      <c r="B47" s="4"/>
      <c r="D47" s="32"/>
    </row>
    <row r="48" spans="1:8" s="20" customFormat="1" hidden="1" outlineLevel="1" x14ac:dyDescent="0.25">
      <c r="B48" s="19" t="s">
        <v>173</v>
      </c>
    </row>
    <row r="49" spans="2:4" s="20" customFormat="1" hidden="1" outlineLevel="1" x14ac:dyDescent="0.25"/>
    <row r="50" spans="2:4" s="20" customFormat="1" hidden="1" outlineLevel="1" x14ac:dyDescent="0.25">
      <c r="C50" s="20" t="s">
        <v>174</v>
      </c>
    </row>
    <row r="51" spans="2:4" s="20" customFormat="1" hidden="1" outlineLevel="1" x14ac:dyDescent="0.25">
      <c r="B51" s="20" t="s">
        <v>1179</v>
      </c>
      <c r="C51" s="44">
        <f>(0.01*0.15+0.01*0.19)*0.09*C25</f>
        <v>1.0200000000000001E-2</v>
      </c>
      <c r="D51" s="113"/>
    </row>
    <row r="52" spans="2:4" s="20" customFormat="1" hidden="1" outlineLevel="1" x14ac:dyDescent="0.25">
      <c r="B52" s="20" t="s">
        <v>1209</v>
      </c>
      <c r="C52" s="44">
        <f>(0.01*0.15+0.01*0.24)*0.09*C26</f>
        <v>9.3600000000000003E-3</v>
      </c>
      <c r="D52" s="113"/>
    </row>
    <row r="53" spans="2:4" s="20" customFormat="1" hidden="1" outlineLevel="1" x14ac:dyDescent="0.25">
      <c r="B53" s="20" t="s">
        <v>1197</v>
      </c>
      <c r="C53" s="44">
        <f>(0.01*0.15+0.01*0.29)*0.09*C27</f>
        <v>8.7999999999999988E-3</v>
      </c>
      <c r="D53" s="113"/>
    </row>
    <row r="54" spans="2:4" s="20" customFormat="1" hidden="1" outlineLevel="1" x14ac:dyDescent="0.25">
      <c r="B54" s="20" t="s">
        <v>189</v>
      </c>
      <c r="C54" s="44">
        <f>(0.01*0.2+0.01*0.19)*0.09*C28</f>
        <v>8.7749999999999981E-3</v>
      </c>
      <c r="D54" s="113"/>
    </row>
    <row r="55" spans="2:4" s="20" customFormat="1" hidden="1" outlineLevel="1" x14ac:dyDescent="0.25">
      <c r="B55" s="20" t="s">
        <v>1180</v>
      </c>
      <c r="C55" s="44">
        <f>(0.01*0.2+0.01*0.24)*0.09*C29</f>
        <v>7.9199999999999982E-3</v>
      </c>
      <c r="D55" s="113"/>
    </row>
    <row r="56" spans="2:4" s="20" customFormat="1" hidden="1" outlineLevel="1" x14ac:dyDescent="0.25">
      <c r="B56" s="20" t="s">
        <v>190</v>
      </c>
      <c r="C56" s="44">
        <f>(0.01*0.2+0.01*0.29)*0.09*C30</f>
        <v>7.3500000000000006E-3</v>
      </c>
      <c r="D56" s="113"/>
    </row>
    <row r="57" spans="2:4" s="20" customFormat="1" hidden="1" outlineLevel="1" x14ac:dyDescent="0.25">
      <c r="B57" s="20" t="s">
        <v>191</v>
      </c>
      <c r="C57" s="44">
        <f>(0.01*0.15+0.01*0.24)*0.115*C31</f>
        <v>1.196E-2</v>
      </c>
      <c r="D57" s="113"/>
    </row>
    <row r="58" spans="2:4" s="20" customFormat="1" hidden="1" outlineLevel="1" x14ac:dyDescent="0.25">
      <c r="B58" s="20" t="s">
        <v>192</v>
      </c>
      <c r="C58" s="44">
        <f>(0.01*0.2+0.01*0.19)*0.115*C32</f>
        <v>1.1212499999999999E-2</v>
      </c>
      <c r="D58" s="113"/>
    </row>
    <row r="59" spans="2:4" s="20" customFormat="1" hidden="1" outlineLevel="1" x14ac:dyDescent="0.25">
      <c r="B59" s="20" t="s">
        <v>193</v>
      </c>
      <c r="C59" s="44">
        <f>(0.01*0.2+0.01*0.29)*0.115*C33</f>
        <v>9.3916666666666662E-3</v>
      </c>
      <c r="D59" s="113"/>
    </row>
    <row r="60" spans="2:4" s="20" customFormat="1" hidden="1" outlineLevel="1" x14ac:dyDescent="0.25">
      <c r="B60" s="20" t="s">
        <v>194</v>
      </c>
      <c r="C60" s="44">
        <f>(0.01*0.2+0.01*0.19)*0.14*C34</f>
        <v>1.3649999999999999E-2</v>
      </c>
      <c r="D60" s="113"/>
    </row>
    <row r="61" spans="2:4" s="20" customFormat="1" hidden="1" outlineLevel="1" x14ac:dyDescent="0.25">
      <c r="B61" s="20" t="s">
        <v>195</v>
      </c>
      <c r="C61" s="44">
        <f>(0.01*0.2+0.01*0.29)*0.14*C35</f>
        <v>1.1433333333333335E-2</v>
      </c>
      <c r="D61" s="113"/>
    </row>
    <row r="62" spans="2:4" s="20" customFormat="1" hidden="1" outlineLevel="1" x14ac:dyDescent="0.25"/>
    <row r="63" spans="2:4" s="20" customFormat="1" hidden="1" outlineLevel="1" x14ac:dyDescent="0.25">
      <c r="B63" s="20" t="s">
        <v>730</v>
      </c>
      <c r="C63" s="21" t="e">
        <f>VLOOKUP(C12,B51:C61,2,0)</f>
        <v>#N/A</v>
      </c>
      <c r="D63" s="20" t="s">
        <v>831</v>
      </c>
    </row>
    <row r="64" spans="2:4" s="20" customFormat="1" hidden="1" outlineLevel="1" x14ac:dyDescent="0.25">
      <c r="B64" s="20" t="s">
        <v>173</v>
      </c>
      <c r="C64" s="21" t="e">
        <f>C63*C20</f>
        <v>#N/A</v>
      </c>
      <c r="D64" s="20" t="s">
        <v>32</v>
      </c>
    </row>
    <row r="65" spans="2:6" s="20" customFormat="1" hidden="1" outlineLevel="1" x14ac:dyDescent="0.25"/>
    <row r="66" spans="2:6" s="20" customFormat="1" hidden="1" outlineLevel="1" x14ac:dyDescent="0.25">
      <c r="B66" s="19" t="s">
        <v>172</v>
      </c>
    </row>
    <row r="67" spans="2:6" s="20" customFormat="1" hidden="1" outlineLevel="1" x14ac:dyDescent="0.25"/>
    <row r="68" spans="2:6" s="20" customFormat="1" hidden="1" outlineLevel="1" x14ac:dyDescent="0.25">
      <c r="C68" s="133" t="s">
        <v>168</v>
      </c>
      <c r="D68" s="133"/>
      <c r="E68" s="133"/>
      <c r="F68" s="133"/>
    </row>
    <row r="69" spans="2:6" s="73" customFormat="1" hidden="1" outlineLevel="1" x14ac:dyDescent="0.25">
      <c r="B69" s="72" t="s">
        <v>42</v>
      </c>
      <c r="C69" s="86" t="s">
        <v>41</v>
      </c>
      <c r="D69" s="86" t="s">
        <v>170</v>
      </c>
      <c r="E69" s="86" t="s">
        <v>40</v>
      </c>
      <c r="F69" s="72"/>
    </row>
    <row r="70" spans="2:6" s="20" customFormat="1" hidden="1" outlineLevel="1" x14ac:dyDescent="0.25">
      <c r="B70" s="30" t="s">
        <v>1172</v>
      </c>
      <c r="C70" s="21">
        <v>3.65</v>
      </c>
      <c r="D70" s="21">
        <v>9</v>
      </c>
      <c r="E70" s="21">
        <v>1.4</v>
      </c>
      <c r="F70" s="20" t="s">
        <v>167</v>
      </c>
    </row>
    <row r="71" spans="2:6" s="20" customFormat="1" hidden="1" outlineLevel="1" x14ac:dyDescent="0.25"/>
    <row r="72" spans="2:6" s="20" customFormat="1" hidden="1" outlineLevel="1" x14ac:dyDescent="0.25">
      <c r="C72" s="133" t="s">
        <v>43</v>
      </c>
      <c r="D72" s="133"/>
      <c r="E72" s="133"/>
      <c r="F72" s="133"/>
    </row>
    <row r="73" spans="2:6" s="73" customFormat="1" hidden="1" outlineLevel="1" x14ac:dyDescent="0.25">
      <c r="B73" s="72" t="s">
        <v>42</v>
      </c>
      <c r="C73" s="86" t="s">
        <v>41</v>
      </c>
      <c r="D73" s="86" t="s">
        <v>170</v>
      </c>
      <c r="E73" s="86" t="s">
        <v>40</v>
      </c>
      <c r="F73" s="72"/>
    </row>
    <row r="74" spans="2:6" s="20" customFormat="1" hidden="1" outlineLevel="1" x14ac:dyDescent="0.25">
      <c r="B74" s="30" t="str">
        <f>B70</f>
        <v>1 : 4 : 16</v>
      </c>
      <c r="C74" s="21" t="e">
        <f>C70*$C$64</f>
        <v>#N/A</v>
      </c>
      <c r="D74" s="21" t="e">
        <f>D70*$C$64</f>
        <v>#N/A</v>
      </c>
      <c r="E74" s="21" t="e">
        <f>E70*$C$64</f>
        <v>#N/A</v>
      </c>
      <c r="F74" s="20" t="s">
        <v>37</v>
      </c>
    </row>
    <row r="75" spans="2:6" s="20" customFormat="1" hidden="1" outlineLevel="1" x14ac:dyDescent="0.25">
      <c r="B75" s="31"/>
      <c r="D75" s="47"/>
    </row>
    <row r="76" spans="2:6" s="20" customFormat="1" hidden="1" outlineLevel="1" x14ac:dyDescent="0.25">
      <c r="B76" s="19" t="s">
        <v>169</v>
      </c>
    </row>
    <row r="77" spans="2:6" s="20" customFormat="1" hidden="1" outlineLevel="1" x14ac:dyDescent="0.25"/>
    <row r="78" spans="2:6" s="20" customFormat="1" hidden="1" outlineLevel="1" x14ac:dyDescent="0.25">
      <c r="C78" s="133" t="s">
        <v>168</v>
      </c>
      <c r="D78" s="133"/>
      <c r="E78" s="133"/>
      <c r="F78" s="133"/>
    </row>
    <row r="79" spans="2:6" s="73" customFormat="1" ht="30" hidden="1" outlineLevel="1" x14ac:dyDescent="0.25">
      <c r="B79" s="72" t="s">
        <v>42</v>
      </c>
      <c r="C79" s="86" t="s">
        <v>41</v>
      </c>
      <c r="D79" s="86" t="s">
        <v>166</v>
      </c>
      <c r="E79" s="86" t="s">
        <v>40</v>
      </c>
      <c r="F79" s="72"/>
    </row>
    <row r="80" spans="2:6" s="20" customFormat="1" hidden="1" outlineLevel="1" x14ac:dyDescent="0.25">
      <c r="B80" s="30" t="s">
        <v>1173</v>
      </c>
      <c r="C80" s="21">
        <v>4.8</v>
      </c>
      <c r="D80" s="21">
        <f>C80*0.2</f>
        <v>0.96</v>
      </c>
      <c r="E80" s="21">
        <v>1.2</v>
      </c>
      <c r="F80" s="20" t="s">
        <v>167</v>
      </c>
    </row>
    <row r="81" spans="1:8" s="20" customFormat="1" hidden="1" outlineLevel="1" x14ac:dyDescent="0.25"/>
    <row r="82" spans="1:8" s="20" customFormat="1" hidden="1" outlineLevel="1" x14ac:dyDescent="0.25">
      <c r="C82" s="133" t="s">
        <v>43</v>
      </c>
      <c r="D82" s="133"/>
      <c r="E82" s="133"/>
      <c r="F82" s="133"/>
    </row>
    <row r="83" spans="1:8" s="73" customFormat="1" ht="30" hidden="1" outlineLevel="1" x14ac:dyDescent="0.25">
      <c r="B83" s="72" t="s">
        <v>42</v>
      </c>
      <c r="C83" s="86" t="s">
        <v>41</v>
      </c>
      <c r="D83" s="86" t="s">
        <v>166</v>
      </c>
      <c r="E83" s="86" t="s">
        <v>40</v>
      </c>
      <c r="F83" s="72"/>
    </row>
    <row r="84" spans="1:8" s="20" customFormat="1" hidden="1" outlineLevel="1" x14ac:dyDescent="0.25">
      <c r="B84" s="30" t="str">
        <f>B80</f>
        <v>1 : 12</v>
      </c>
      <c r="C84" s="21" t="e">
        <f>C80*$C$64</f>
        <v>#N/A</v>
      </c>
      <c r="D84" s="21" t="e">
        <f>C84*0.2</f>
        <v>#N/A</v>
      </c>
      <c r="E84" s="21" t="e">
        <f>E80*$C$64</f>
        <v>#N/A</v>
      </c>
      <c r="F84" s="20" t="s">
        <v>37</v>
      </c>
    </row>
    <row r="85" spans="1:8" hidden="1" outlineLevel="1" x14ac:dyDescent="0.25"/>
    <row r="86" spans="1:8" collapsed="1" x14ac:dyDescent="0.25">
      <c r="B86" s="27" t="s">
        <v>5</v>
      </c>
      <c r="C86" s="28" t="s">
        <v>46</v>
      </c>
      <c r="D86" s="28" t="s">
        <v>6</v>
      </c>
    </row>
    <row r="87" spans="1:8" x14ac:dyDescent="0.25">
      <c r="B87" s="88" t="s">
        <v>165</v>
      </c>
      <c r="C87" s="91" t="s">
        <v>35</v>
      </c>
      <c r="D87" s="87">
        <f>IF(C46="",0,IF(C46="Não",C74,C84))</f>
        <v>0</v>
      </c>
      <c r="E87" s="42"/>
    </row>
    <row r="88" spans="1:8" ht="17.25" x14ac:dyDescent="0.25">
      <c r="B88" s="88" t="s">
        <v>34</v>
      </c>
      <c r="C88" s="91" t="s">
        <v>80</v>
      </c>
      <c r="D88" s="87">
        <f>IF(C46="",0,IF(C46="Não",E74,E84))</f>
        <v>0</v>
      </c>
      <c r="E88" s="42"/>
    </row>
    <row r="89" spans="1:8" x14ac:dyDescent="0.25">
      <c r="B89" s="88" t="s">
        <v>205</v>
      </c>
      <c r="C89" s="91" t="s">
        <v>290</v>
      </c>
      <c r="D89" s="87">
        <f>IF(C46="",0,IF(C46="Não",D74,0))</f>
        <v>0</v>
      </c>
      <c r="E89" s="42"/>
    </row>
    <row r="90" spans="1:8" x14ac:dyDescent="0.25">
      <c r="B90" s="88" t="s">
        <v>164</v>
      </c>
      <c r="C90" s="91" t="s">
        <v>79</v>
      </c>
      <c r="D90" s="87">
        <f>IF(C46="",0,IF(C46="Sim",D84,0))</f>
        <v>0</v>
      </c>
    </row>
    <row r="93" spans="1:8" s="5" customFormat="1" ht="18.75" x14ac:dyDescent="0.3">
      <c r="A93" s="7"/>
      <c r="B93" s="132" t="s">
        <v>549</v>
      </c>
      <c r="C93" s="132"/>
      <c r="D93" s="132"/>
      <c r="E93" s="7"/>
      <c r="F93" s="7"/>
      <c r="H93" s="22"/>
    </row>
    <row r="94" spans="1:8" s="5" customFormat="1" x14ac:dyDescent="0.25">
      <c r="A94" s="7"/>
      <c r="B94" s="45" t="s">
        <v>203</v>
      </c>
      <c r="C94" s="7"/>
      <c r="D94" s="7"/>
      <c r="E94" s="7"/>
      <c r="F94" s="7"/>
      <c r="H94" s="22"/>
    </row>
    <row r="96" spans="1:8" s="20" customFormat="1" hidden="1" outlineLevel="1" x14ac:dyDescent="0.25">
      <c r="B96" s="19" t="s">
        <v>601</v>
      </c>
    </row>
    <row r="97" spans="2:6" s="20" customFormat="1" hidden="1" outlineLevel="1" x14ac:dyDescent="0.25"/>
    <row r="98" spans="2:6" s="20" customFormat="1" hidden="1" outlineLevel="1" x14ac:dyDescent="0.25">
      <c r="B98" s="20" t="s">
        <v>163</v>
      </c>
      <c r="C98" s="21">
        <f>SUM('13. Portas'!$H$26:$H$191)</f>
        <v>0</v>
      </c>
      <c r="D98" s="20" t="s">
        <v>53</v>
      </c>
    </row>
    <row r="99" spans="2:6" s="20" customFormat="1" hidden="1" outlineLevel="1" x14ac:dyDescent="0.25">
      <c r="B99" s="20" t="s">
        <v>162</v>
      </c>
      <c r="C99" s="21">
        <f>SUM('14. Janelas'!$H$24:$H$161)</f>
        <v>0</v>
      </c>
      <c r="D99" s="20" t="s">
        <v>53</v>
      </c>
    </row>
    <row r="100" spans="2:6" s="20" customFormat="1" hidden="1" outlineLevel="1" x14ac:dyDescent="0.25">
      <c r="B100" s="20" t="s">
        <v>161</v>
      </c>
      <c r="C100" s="21">
        <f>C98+C99*2</f>
        <v>0</v>
      </c>
      <c r="D100" s="20" t="s">
        <v>53</v>
      </c>
    </row>
    <row r="101" spans="2:6" s="20" customFormat="1" hidden="1" outlineLevel="1" x14ac:dyDescent="0.25">
      <c r="B101" s="20" t="s">
        <v>842</v>
      </c>
      <c r="C101" s="81">
        <v>0.4</v>
      </c>
    </row>
    <row r="102" spans="2:6" s="20" customFormat="1" hidden="1" outlineLevel="1" x14ac:dyDescent="0.25">
      <c r="B102" s="20" t="s">
        <v>724</v>
      </c>
      <c r="C102" s="21">
        <f>C100*(1+C101)</f>
        <v>0</v>
      </c>
      <c r="D102" s="20" t="s">
        <v>53</v>
      </c>
    </row>
    <row r="103" spans="2:6" s="20" customFormat="1" hidden="1" outlineLevel="1" x14ac:dyDescent="0.25">
      <c r="B103" s="20" t="s">
        <v>725</v>
      </c>
      <c r="C103" s="21">
        <f>C102*(1+'LEIA-ME'!$D$31)</f>
        <v>0</v>
      </c>
      <c r="D103" s="20" t="s">
        <v>53</v>
      </c>
    </row>
    <row r="104" spans="2:6" s="20" customFormat="1" hidden="1" outlineLevel="1" x14ac:dyDescent="0.25">
      <c r="C104" s="21"/>
    </row>
    <row r="105" spans="2:6" s="73" customFormat="1" ht="30" hidden="1" outlineLevel="1" x14ac:dyDescent="0.25">
      <c r="B105" s="73" t="s">
        <v>160</v>
      </c>
      <c r="C105" s="96" t="s">
        <v>159</v>
      </c>
      <c r="D105" s="97" t="s">
        <v>158</v>
      </c>
      <c r="E105" s="97" t="s">
        <v>204</v>
      </c>
      <c r="F105" s="97" t="s">
        <v>726</v>
      </c>
    </row>
    <row r="106" spans="2:6" s="20" customFormat="1" hidden="1" outlineLevel="1" x14ac:dyDescent="0.25">
      <c r="B106" s="20" t="s">
        <v>1179</v>
      </c>
      <c r="C106" s="25">
        <v>1</v>
      </c>
      <c r="D106" s="44">
        <f t="shared" ref="D106:D111" si="4">1/0.19</f>
        <v>5.2631578947368425</v>
      </c>
      <c r="E106" s="44">
        <f t="shared" ref="E106:E111" si="5">0.09*0.19*0.19</f>
        <v>3.2490000000000002E-3</v>
      </c>
      <c r="F106" s="20" t="s">
        <v>189</v>
      </c>
    </row>
    <row r="107" spans="2:6" s="20" customFormat="1" hidden="1" outlineLevel="1" x14ac:dyDescent="0.25">
      <c r="B107" s="20" t="s">
        <v>1209</v>
      </c>
      <c r="C107" s="25">
        <v>1</v>
      </c>
      <c r="D107" s="44">
        <f t="shared" si="4"/>
        <v>5.2631578947368425</v>
      </c>
      <c r="E107" s="44">
        <f t="shared" si="5"/>
        <v>3.2490000000000002E-3</v>
      </c>
      <c r="F107" s="20" t="s">
        <v>189</v>
      </c>
    </row>
    <row r="108" spans="2:6" s="20" customFormat="1" hidden="1" outlineLevel="1" x14ac:dyDescent="0.25">
      <c r="B108" s="20" t="s">
        <v>1197</v>
      </c>
      <c r="C108" s="25">
        <v>1</v>
      </c>
      <c r="D108" s="44">
        <f t="shared" si="4"/>
        <v>5.2631578947368425</v>
      </c>
      <c r="E108" s="44">
        <f t="shared" si="5"/>
        <v>3.2490000000000002E-3</v>
      </c>
      <c r="F108" s="20" t="s">
        <v>189</v>
      </c>
    </row>
    <row r="109" spans="2:6" s="20" customFormat="1" hidden="1" outlineLevel="1" x14ac:dyDescent="0.25">
      <c r="B109" s="20" t="s">
        <v>189</v>
      </c>
      <c r="C109" s="25">
        <v>1</v>
      </c>
      <c r="D109" s="44">
        <f t="shared" si="4"/>
        <v>5.2631578947368425</v>
      </c>
      <c r="E109" s="44">
        <f t="shared" si="5"/>
        <v>3.2490000000000002E-3</v>
      </c>
      <c r="F109" s="20" t="s">
        <v>189</v>
      </c>
    </row>
    <row r="110" spans="2:6" s="20" customFormat="1" hidden="1" outlineLevel="1" x14ac:dyDescent="0.25">
      <c r="B110" s="20" t="s">
        <v>1180</v>
      </c>
      <c r="C110" s="25">
        <v>1</v>
      </c>
      <c r="D110" s="44">
        <f t="shared" si="4"/>
        <v>5.2631578947368425</v>
      </c>
      <c r="E110" s="44">
        <f t="shared" si="5"/>
        <v>3.2490000000000002E-3</v>
      </c>
      <c r="F110" s="20" t="s">
        <v>189</v>
      </c>
    </row>
    <row r="111" spans="2:6" s="20" customFormat="1" hidden="1" outlineLevel="1" x14ac:dyDescent="0.25">
      <c r="B111" s="20" t="s">
        <v>190</v>
      </c>
      <c r="C111" s="25">
        <v>1</v>
      </c>
      <c r="D111" s="44">
        <f t="shared" si="4"/>
        <v>5.2631578947368425</v>
      </c>
      <c r="E111" s="44">
        <f t="shared" si="5"/>
        <v>3.2490000000000002E-3</v>
      </c>
      <c r="F111" s="20" t="s">
        <v>189</v>
      </c>
    </row>
    <row r="112" spans="2:6" s="20" customFormat="1" hidden="1" outlineLevel="1" x14ac:dyDescent="0.25">
      <c r="B112" s="20" t="s">
        <v>191</v>
      </c>
      <c r="C112" s="25">
        <v>2</v>
      </c>
      <c r="D112" s="44">
        <f>1/0.29</f>
        <v>3.4482758620689657</v>
      </c>
      <c r="E112" s="44">
        <f>0.115*0.14*0.29</f>
        <v>4.6690000000000004E-3</v>
      </c>
      <c r="F112" s="20" t="s">
        <v>206</v>
      </c>
    </row>
    <row r="113" spans="2:6" s="20" customFormat="1" hidden="1" outlineLevel="1" x14ac:dyDescent="0.25">
      <c r="B113" s="20" t="s">
        <v>192</v>
      </c>
      <c r="C113" s="25">
        <v>2</v>
      </c>
      <c r="D113" s="44">
        <f t="shared" ref="D113:D116" si="6">1/0.29</f>
        <v>3.4482758620689657</v>
      </c>
      <c r="E113" s="44">
        <f t="shared" ref="E113:E114" si="7">0.115*0.14*0.29</f>
        <v>4.6690000000000004E-3</v>
      </c>
      <c r="F113" s="20" t="s">
        <v>206</v>
      </c>
    </row>
    <row r="114" spans="2:6" s="20" customFormat="1" hidden="1" outlineLevel="1" x14ac:dyDescent="0.25">
      <c r="B114" s="20" t="s">
        <v>193</v>
      </c>
      <c r="C114" s="25">
        <v>2</v>
      </c>
      <c r="D114" s="44">
        <f t="shared" si="6"/>
        <v>3.4482758620689657</v>
      </c>
      <c r="E114" s="44">
        <f t="shared" si="7"/>
        <v>4.6690000000000004E-3</v>
      </c>
      <c r="F114" s="20" t="s">
        <v>206</v>
      </c>
    </row>
    <row r="115" spans="2:6" s="20" customFormat="1" hidden="1" outlineLevel="1" x14ac:dyDescent="0.25">
      <c r="B115" s="20" t="s">
        <v>194</v>
      </c>
      <c r="C115" s="25">
        <v>3</v>
      </c>
      <c r="D115" s="44">
        <f t="shared" si="6"/>
        <v>3.4482758620689657</v>
      </c>
      <c r="E115" s="44">
        <f>0.14*0.19*0.29</f>
        <v>7.7140000000000004E-3</v>
      </c>
      <c r="F115" s="20" t="s">
        <v>195</v>
      </c>
    </row>
    <row r="116" spans="2:6" s="20" customFormat="1" hidden="1" outlineLevel="1" x14ac:dyDescent="0.25">
      <c r="B116" s="20" t="s">
        <v>195</v>
      </c>
      <c r="C116" s="25">
        <v>3</v>
      </c>
      <c r="D116" s="44">
        <f t="shared" si="6"/>
        <v>3.4482758620689657</v>
      </c>
      <c r="E116" s="44">
        <f>0.14*0.19*0.29</f>
        <v>7.7140000000000004E-3</v>
      </c>
      <c r="F116" s="20" t="s">
        <v>195</v>
      </c>
    </row>
    <row r="117" spans="2:6" s="20" customFormat="1" hidden="1" outlineLevel="1" x14ac:dyDescent="0.25">
      <c r="C117" s="21"/>
    </row>
    <row r="118" spans="2:6" s="20" customFormat="1" hidden="1" outlineLevel="1" x14ac:dyDescent="0.25">
      <c r="B118" s="20" t="s">
        <v>727</v>
      </c>
      <c r="C118" s="21" t="e">
        <f>VLOOKUP(C12,B106:D116,3,0)</f>
        <v>#N/A</v>
      </c>
      <c r="D118" s="20" t="s">
        <v>667</v>
      </c>
    </row>
    <row r="119" spans="2:6" s="20" customFormat="1" hidden="1" outlineLevel="1" x14ac:dyDescent="0.25">
      <c r="B119" s="20" t="s">
        <v>157</v>
      </c>
      <c r="C119" s="21" t="e">
        <f>C118*C103</f>
        <v>#N/A</v>
      </c>
      <c r="D119" s="20" t="s">
        <v>644</v>
      </c>
    </row>
    <row r="120" spans="2:6" s="20" customFormat="1" hidden="1" outlineLevel="1" x14ac:dyDescent="0.25">
      <c r="C120" s="21"/>
    </row>
    <row r="121" spans="2:6" s="20" customFormat="1" hidden="1" outlineLevel="1" x14ac:dyDescent="0.25">
      <c r="B121" s="20" t="s">
        <v>729</v>
      </c>
      <c r="C121" s="23">
        <v>4</v>
      </c>
      <c r="D121" s="20" t="s">
        <v>64</v>
      </c>
    </row>
    <row r="122" spans="2:6" s="20" customFormat="1" hidden="1" outlineLevel="1" x14ac:dyDescent="0.25">
      <c r="B122" s="20" t="s">
        <v>664</v>
      </c>
      <c r="C122" s="23">
        <v>12</v>
      </c>
      <c r="D122" s="20" t="s">
        <v>53</v>
      </c>
    </row>
    <row r="123" spans="2:6" s="20" customFormat="1" hidden="1" outlineLevel="1" x14ac:dyDescent="0.25">
      <c r="B123" s="20" t="s">
        <v>728</v>
      </c>
      <c r="C123" s="21">
        <f>C103/C122*C121</f>
        <v>0</v>
      </c>
      <c r="D123" s="20" t="s">
        <v>64</v>
      </c>
    </row>
    <row r="124" spans="2:6" s="20" customFormat="1" hidden="1" outlineLevel="1" x14ac:dyDescent="0.25">
      <c r="C124" s="21"/>
    </row>
    <row r="125" spans="2:6" s="20" customFormat="1" hidden="1" outlineLevel="1" x14ac:dyDescent="0.25">
      <c r="B125" s="20" t="s">
        <v>156</v>
      </c>
      <c r="C125" s="44" t="e">
        <f>VLOOKUP(C12,B106:E116,4,0)</f>
        <v>#N/A</v>
      </c>
      <c r="D125" s="20" t="s">
        <v>32</v>
      </c>
    </row>
    <row r="126" spans="2:6" s="20" customFormat="1" hidden="1" outlineLevel="1" x14ac:dyDescent="0.25">
      <c r="B126" s="20" t="s">
        <v>155</v>
      </c>
      <c r="C126" s="21" t="e">
        <f>C125*C119</f>
        <v>#N/A</v>
      </c>
      <c r="D126" s="20" t="s">
        <v>32</v>
      </c>
    </row>
    <row r="127" spans="2:6" s="20" customFormat="1" hidden="1" outlineLevel="1" x14ac:dyDescent="0.25">
      <c r="C127" s="21"/>
    </row>
    <row r="128" spans="2:6" s="73" customFormat="1" hidden="1" outlineLevel="1" x14ac:dyDescent="0.25">
      <c r="B128" s="72" t="s">
        <v>45</v>
      </c>
      <c r="C128" s="86" t="s">
        <v>41</v>
      </c>
      <c r="D128" s="86" t="s">
        <v>40</v>
      </c>
      <c r="E128" s="86" t="s">
        <v>39</v>
      </c>
      <c r="F128" s="86" t="s">
        <v>38</v>
      </c>
    </row>
    <row r="129" spans="2:6" s="20" customFormat="1" hidden="1" outlineLevel="1" x14ac:dyDescent="0.25">
      <c r="B129" s="30" t="s">
        <v>1183</v>
      </c>
      <c r="C129" s="21">
        <v>4.5999999999999996</v>
      </c>
      <c r="D129" s="21">
        <v>0.62265036674816632</v>
      </c>
      <c r="E129" s="21">
        <v>0.80999999999999994</v>
      </c>
      <c r="F129" s="20">
        <v>202</v>
      </c>
    </row>
    <row r="130" spans="2:6" hidden="1" outlineLevel="1" x14ac:dyDescent="0.25"/>
    <row r="131" spans="2:6" collapsed="1" x14ac:dyDescent="0.25">
      <c r="B131" s="27" t="s">
        <v>5</v>
      </c>
      <c r="C131" s="28" t="s">
        <v>46</v>
      </c>
      <c r="D131" s="28" t="s">
        <v>6</v>
      </c>
    </row>
    <row r="132" spans="2:6" x14ac:dyDescent="0.25">
      <c r="B132" s="88" t="str">
        <f>IFERROR("Canaleta cerâmica, "&amp;VLOOKUP(C12,B106:F116,5,0),"")</f>
        <v/>
      </c>
      <c r="C132" s="91" t="s">
        <v>50</v>
      </c>
      <c r="D132" s="87">
        <f>IF(OR(C10="",C11=""),0,IFERROR(C119,0))</f>
        <v>0</v>
      </c>
    </row>
    <row r="133" spans="2:6" x14ac:dyDescent="0.25">
      <c r="B133" s="88" t="s">
        <v>70</v>
      </c>
      <c r="C133" s="91" t="s">
        <v>642</v>
      </c>
      <c r="D133" s="87">
        <f>IF(OR(C10="",C11=""),0,C123)</f>
        <v>0</v>
      </c>
    </row>
    <row r="134" spans="2:6" x14ac:dyDescent="0.25">
      <c r="B134" s="88" t="s">
        <v>36</v>
      </c>
      <c r="C134" s="91" t="s">
        <v>35</v>
      </c>
      <c r="D134" s="87">
        <f>IF(OR(C10="",C11=""),0,IFERROR(C129*C126,0))</f>
        <v>0</v>
      </c>
    </row>
    <row r="135" spans="2:6" ht="17.25" x14ac:dyDescent="0.25">
      <c r="B135" s="88" t="s">
        <v>34</v>
      </c>
      <c r="C135" s="91" t="s">
        <v>80</v>
      </c>
      <c r="D135" s="87">
        <f>IF(OR(C10="",C11=""),0,IFERROR(D129*C126,0))</f>
        <v>0</v>
      </c>
    </row>
    <row r="136" spans="2:6" ht="17.25" x14ac:dyDescent="0.25">
      <c r="B136" s="88" t="s">
        <v>33</v>
      </c>
      <c r="C136" s="91" t="s">
        <v>80</v>
      </c>
      <c r="D136" s="87">
        <f>IF(OR(C10="",C11=""),0,IFERROR(E129*C126,0))</f>
        <v>0</v>
      </c>
    </row>
  </sheetData>
  <sortState xmlns:xlrd2="http://schemas.microsoft.com/office/spreadsheetml/2017/richdata2" ref="H118:H131">
    <sortCondition ref="H118"/>
  </sortState>
  <mergeCells count="9">
    <mergeCell ref="B2:D2"/>
    <mergeCell ref="B4:D4"/>
    <mergeCell ref="B5:D5"/>
    <mergeCell ref="B93:D93"/>
    <mergeCell ref="C82:F82"/>
    <mergeCell ref="B41:D41"/>
    <mergeCell ref="C72:F72"/>
    <mergeCell ref="C68:F68"/>
    <mergeCell ref="C78:F78"/>
  </mergeCells>
  <dataValidations count="2">
    <dataValidation type="list" allowBlank="1" showInputMessage="1" showErrorMessage="1" sqref="C12" xr:uid="{00000000-0002-0000-0600-000000000000}">
      <formula1>$B$25:$B$35</formula1>
    </dataValidation>
    <dataValidation type="list" allowBlank="1" showInputMessage="1" showErrorMessage="1" sqref="C46" xr:uid="{00000000-0002-0000-0600-000001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3" unlocked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3"/>
  <sheetViews>
    <sheetView showGridLines="0" zoomScale="130" zoomScaleNormal="130" workbookViewId="0">
      <selection activeCell="G13" sqref="G13"/>
    </sheetView>
  </sheetViews>
  <sheetFormatPr defaultColWidth="8.85546875" defaultRowHeight="15" outlineLevelRow="1" x14ac:dyDescent="0.25"/>
  <cols>
    <col min="1" max="1" width="2" style="7" customWidth="1"/>
    <col min="2" max="2" width="41.28515625" style="7" customWidth="1"/>
    <col min="3" max="3" width="18" style="7" customWidth="1"/>
    <col min="4" max="4" width="12.5703125" style="7" customWidth="1"/>
    <col min="5" max="5" width="12.42578125" style="7" customWidth="1"/>
    <col min="6" max="6" width="9.85546875" style="7" customWidth="1"/>
    <col min="7" max="16384" width="8.85546875" style="7"/>
  </cols>
  <sheetData>
    <row r="1" spans="1:8" ht="15.75" thickBot="1" x14ac:dyDescent="0.3"/>
    <row r="2" spans="1:8" ht="21.75" thickBot="1" x14ac:dyDescent="0.4">
      <c r="B2" s="129" t="s">
        <v>208</v>
      </c>
      <c r="C2" s="130"/>
      <c r="D2" s="131"/>
    </row>
    <row r="3" spans="1:8" ht="10.5" customHeight="1" x14ac:dyDescent="0.25"/>
    <row r="4" spans="1:8" ht="45.75" customHeight="1" x14ac:dyDescent="0.25">
      <c r="B4" s="128" t="s">
        <v>187</v>
      </c>
      <c r="C4" s="128"/>
      <c r="D4" s="128"/>
    </row>
    <row r="6" spans="1:8" s="5" customFormat="1" ht="18.75" x14ac:dyDescent="0.3">
      <c r="A6" s="7"/>
      <c r="B6" s="132" t="s">
        <v>397</v>
      </c>
      <c r="C6" s="132"/>
      <c r="D6" s="132"/>
      <c r="E6" s="7"/>
      <c r="F6" s="7"/>
      <c r="H6" s="22"/>
    </row>
    <row r="7" spans="1:8" s="5" customFormat="1" x14ac:dyDescent="0.25">
      <c r="A7" s="7"/>
      <c r="B7" s="45" t="s">
        <v>203</v>
      </c>
      <c r="C7" s="7"/>
      <c r="D7" s="7"/>
      <c r="E7" s="7"/>
      <c r="F7" s="7"/>
      <c r="H7" s="22"/>
    </row>
    <row r="8" spans="1:8" s="5" customFormat="1" x14ac:dyDescent="0.25">
      <c r="A8" s="7"/>
      <c r="B8" s="7"/>
      <c r="C8" s="7"/>
      <c r="D8" s="7"/>
      <c r="E8" s="7"/>
      <c r="F8" s="7"/>
      <c r="H8" s="22"/>
    </row>
    <row r="9" spans="1:8" x14ac:dyDescent="0.25">
      <c r="B9" s="9" t="s">
        <v>2</v>
      </c>
    </row>
    <row r="11" spans="1:8" x14ac:dyDescent="0.25">
      <c r="B11" s="7" t="s">
        <v>278</v>
      </c>
      <c r="C11" s="33"/>
      <c r="D11" s="7" t="s">
        <v>53</v>
      </c>
    </row>
    <row r="12" spans="1:8" x14ac:dyDescent="0.25">
      <c r="B12" s="7" t="s">
        <v>197</v>
      </c>
      <c r="C12" s="33"/>
      <c r="D12" s="7" t="s">
        <v>53</v>
      </c>
      <c r="G12" s="24"/>
    </row>
    <row r="13" spans="1:8" x14ac:dyDescent="0.25">
      <c r="B13" s="7" t="s">
        <v>484</v>
      </c>
      <c r="C13" s="41"/>
    </row>
    <row r="15" spans="1:8" s="20" customFormat="1" hidden="1" outlineLevel="1" x14ac:dyDescent="0.25">
      <c r="B15" s="19" t="s">
        <v>188</v>
      </c>
    </row>
    <row r="16" spans="1:8" s="20" customFormat="1" hidden="1" outlineLevel="1" x14ac:dyDescent="0.25"/>
    <row r="17" spans="2:4" s="20" customFormat="1" hidden="1" outlineLevel="1" x14ac:dyDescent="0.25">
      <c r="B17" s="20" t="s">
        <v>722</v>
      </c>
      <c r="C17" s="21">
        <f>'6. Paredes com Blocos'!C11*'6. Paredes com Blocos'!C12</f>
        <v>0</v>
      </c>
      <c r="D17" s="20" t="s">
        <v>643</v>
      </c>
    </row>
    <row r="18" spans="2:4" s="20" customFormat="1" hidden="1" outlineLevel="1" x14ac:dyDescent="0.25">
      <c r="B18" s="20" t="s">
        <v>180</v>
      </c>
      <c r="C18" s="21">
        <f>SUM('13. Portas'!$G$26:$G$191)</f>
        <v>0</v>
      </c>
      <c r="D18" s="20" t="s">
        <v>643</v>
      </c>
    </row>
    <row r="19" spans="2:4" s="20" customFormat="1" hidden="1" outlineLevel="1" x14ac:dyDescent="0.25">
      <c r="B19" s="20" t="s">
        <v>179</v>
      </c>
      <c r="C19" s="21">
        <f>SUM('14. Janelas'!$G$24:$G$161)</f>
        <v>0</v>
      </c>
      <c r="D19" s="20" t="s">
        <v>643</v>
      </c>
    </row>
    <row r="20" spans="2:4" s="20" customFormat="1" hidden="1" outlineLevel="1" x14ac:dyDescent="0.25">
      <c r="B20" s="20" t="s">
        <v>178</v>
      </c>
      <c r="C20" s="21">
        <f>C17-C18-C19</f>
        <v>0</v>
      </c>
      <c r="D20" s="20" t="s">
        <v>643</v>
      </c>
    </row>
    <row r="21" spans="2:4" s="20" customFormat="1" hidden="1" outlineLevel="1" x14ac:dyDescent="0.25">
      <c r="B21" s="20" t="s">
        <v>723</v>
      </c>
      <c r="C21" s="21">
        <f>C20*(1+'LEIA-ME'!$D$31)</f>
        <v>0</v>
      </c>
      <c r="D21" s="20" t="s">
        <v>643</v>
      </c>
    </row>
    <row r="22" spans="2:4" s="20" customFormat="1" hidden="1" outlineLevel="1" x14ac:dyDescent="0.25"/>
    <row r="23" spans="2:4" s="20" customFormat="1" hidden="1" outlineLevel="1" x14ac:dyDescent="0.25">
      <c r="B23" s="19" t="s">
        <v>209</v>
      </c>
    </row>
    <row r="24" spans="2:4" s="20" customFormat="1" hidden="1" outlineLevel="1" x14ac:dyDescent="0.25"/>
    <row r="25" spans="2:4" s="20" customFormat="1" hidden="1" outlineLevel="1" x14ac:dyDescent="0.25">
      <c r="B25" s="20" t="s">
        <v>201</v>
      </c>
      <c r="C25" s="20" t="s">
        <v>177</v>
      </c>
      <c r="D25" s="20" t="s">
        <v>176</v>
      </c>
    </row>
    <row r="26" spans="2:4" s="20" customFormat="1" hidden="1" outlineLevel="1" x14ac:dyDescent="0.25">
      <c r="B26" s="20" t="s">
        <v>198</v>
      </c>
      <c r="C26" s="37">
        <v>13.5</v>
      </c>
      <c r="D26" s="25">
        <f t="shared" ref="D26:D28" si="0">$C$21*C26</f>
        <v>0</v>
      </c>
    </row>
    <row r="27" spans="2:4" s="20" customFormat="1" hidden="1" outlineLevel="1" x14ac:dyDescent="0.25">
      <c r="B27" s="20" t="s">
        <v>199</v>
      </c>
      <c r="C27" s="37">
        <v>13.5</v>
      </c>
      <c r="D27" s="25">
        <f t="shared" si="0"/>
        <v>0</v>
      </c>
    </row>
    <row r="28" spans="2:4" s="20" customFormat="1" hidden="1" outlineLevel="1" x14ac:dyDescent="0.25">
      <c r="B28" s="20" t="s">
        <v>200</v>
      </c>
      <c r="C28" s="37">
        <v>13.5</v>
      </c>
      <c r="D28" s="25">
        <f t="shared" si="0"/>
        <v>0</v>
      </c>
    </row>
    <row r="29" spans="2:4" hidden="1" outlineLevel="1" x14ac:dyDescent="0.25">
      <c r="C29" s="8"/>
    </row>
    <row r="30" spans="2:4" collapsed="1" x14ac:dyDescent="0.25">
      <c r="B30" s="27" t="s">
        <v>5</v>
      </c>
      <c r="C30" s="28" t="s">
        <v>46</v>
      </c>
      <c r="D30" s="28" t="s">
        <v>6</v>
      </c>
    </row>
    <row r="31" spans="2:4" x14ac:dyDescent="0.25">
      <c r="B31" s="88" t="str">
        <f>"Bloco de concreto vedação, "&amp;C13</f>
        <v xml:space="preserve">Bloco de concreto vedação, </v>
      </c>
      <c r="C31" s="91" t="s">
        <v>50</v>
      </c>
      <c r="D31" s="87">
        <f>IFERROR(VLOOKUP(C13,B26:D28,3,0),0)</f>
        <v>0</v>
      </c>
    </row>
    <row r="34" spans="1:8" s="5" customFormat="1" ht="18.75" x14ac:dyDescent="0.3">
      <c r="A34" s="7"/>
      <c r="B34" s="132" t="s">
        <v>589</v>
      </c>
      <c r="C34" s="132"/>
      <c r="D34" s="132"/>
      <c r="E34" s="7"/>
      <c r="F34" s="7"/>
      <c r="H34" s="22"/>
    </row>
    <row r="35" spans="1:8" s="5" customFormat="1" x14ac:dyDescent="0.25">
      <c r="A35" s="7"/>
      <c r="B35" s="45" t="s">
        <v>203</v>
      </c>
      <c r="C35" s="7"/>
      <c r="D35" s="7"/>
      <c r="E35" s="7"/>
      <c r="F35" s="7"/>
      <c r="H35" s="22"/>
    </row>
    <row r="36" spans="1:8" s="5" customFormat="1" x14ac:dyDescent="0.25">
      <c r="A36" s="7"/>
      <c r="B36" s="7"/>
      <c r="C36" s="7"/>
      <c r="D36" s="7"/>
      <c r="E36" s="7"/>
      <c r="F36" s="7"/>
      <c r="H36" s="22"/>
    </row>
    <row r="37" spans="1:8" x14ac:dyDescent="0.25">
      <c r="B37" s="9" t="s">
        <v>2</v>
      </c>
    </row>
    <row r="39" spans="1:8" x14ac:dyDescent="0.25">
      <c r="B39" s="7" t="s">
        <v>287</v>
      </c>
      <c r="C39" s="29"/>
    </row>
    <row r="40" spans="1:8" x14ac:dyDescent="0.25">
      <c r="B40" s="4"/>
      <c r="D40" s="32"/>
    </row>
    <row r="41" spans="1:8" s="20" customFormat="1" hidden="1" outlineLevel="1" x14ac:dyDescent="0.25">
      <c r="B41" s="19" t="s">
        <v>173</v>
      </c>
    </row>
    <row r="42" spans="1:8" s="20" customFormat="1" hidden="1" outlineLevel="1" x14ac:dyDescent="0.25"/>
    <row r="43" spans="1:8" s="20" customFormat="1" hidden="1" outlineLevel="1" x14ac:dyDescent="0.25">
      <c r="C43" s="20" t="s">
        <v>174</v>
      </c>
    </row>
    <row r="44" spans="1:8" s="20" customFormat="1" hidden="1" outlineLevel="1" x14ac:dyDescent="0.25">
      <c r="B44" s="20" t="s">
        <v>198</v>
      </c>
      <c r="C44" s="44">
        <v>6.6374999999999906E-3</v>
      </c>
    </row>
    <row r="45" spans="1:8" s="20" customFormat="1" hidden="1" outlineLevel="1" x14ac:dyDescent="0.25">
      <c r="B45" s="20" t="s">
        <v>199</v>
      </c>
      <c r="C45" s="44">
        <v>1.0325000000000001E-2</v>
      </c>
    </row>
    <row r="46" spans="1:8" s="20" customFormat="1" hidden="1" outlineLevel="1" x14ac:dyDescent="0.25">
      <c r="B46" s="20" t="s">
        <v>200</v>
      </c>
      <c r="C46" s="44">
        <v>1.4012500000000011E-2</v>
      </c>
    </row>
    <row r="47" spans="1:8" s="20" customFormat="1" hidden="1" outlineLevel="1" x14ac:dyDescent="0.25"/>
    <row r="48" spans="1:8" s="20" customFormat="1" hidden="1" outlineLevel="1" x14ac:dyDescent="0.25">
      <c r="B48" s="20" t="s">
        <v>730</v>
      </c>
      <c r="C48" s="21" t="e">
        <f>VLOOKUP(C13,B44:C46,2,0)</f>
        <v>#N/A</v>
      </c>
      <c r="D48" s="20" t="s">
        <v>831</v>
      </c>
    </row>
    <row r="49" spans="2:6" s="20" customFormat="1" hidden="1" outlineLevel="1" x14ac:dyDescent="0.25">
      <c r="B49" s="20" t="s">
        <v>173</v>
      </c>
      <c r="C49" s="21" t="e">
        <f>C48*C21</f>
        <v>#N/A</v>
      </c>
      <c r="D49" s="20" t="s">
        <v>32</v>
      </c>
    </row>
    <row r="50" spans="2:6" s="20" customFormat="1" hidden="1" outlineLevel="1" x14ac:dyDescent="0.25"/>
    <row r="51" spans="2:6" s="20" customFormat="1" hidden="1" outlineLevel="1" x14ac:dyDescent="0.25">
      <c r="B51" s="19" t="s">
        <v>171</v>
      </c>
    </row>
    <row r="52" spans="2:6" s="20" customFormat="1" hidden="1" outlineLevel="1" x14ac:dyDescent="0.25"/>
    <row r="53" spans="2:6" s="20" customFormat="1" hidden="1" outlineLevel="1" x14ac:dyDescent="0.25">
      <c r="C53" s="133" t="s">
        <v>168</v>
      </c>
      <c r="D53" s="133"/>
      <c r="E53" s="133"/>
      <c r="F53" s="133"/>
    </row>
    <row r="54" spans="2:6" s="73" customFormat="1" hidden="1" outlineLevel="1" x14ac:dyDescent="0.25">
      <c r="B54" s="72" t="s">
        <v>42</v>
      </c>
      <c r="C54" s="86" t="s">
        <v>41</v>
      </c>
      <c r="D54" s="86" t="s">
        <v>170</v>
      </c>
      <c r="E54" s="86" t="s">
        <v>40</v>
      </c>
      <c r="F54" s="72"/>
    </row>
    <row r="55" spans="2:6" s="20" customFormat="1" hidden="1" outlineLevel="1" x14ac:dyDescent="0.25">
      <c r="B55" s="30" t="s">
        <v>1174</v>
      </c>
      <c r="C55" s="21">
        <v>4.8</v>
      </c>
      <c r="D55" s="21">
        <v>2.95</v>
      </c>
      <c r="E55" s="21">
        <v>1.2</v>
      </c>
      <c r="F55" s="20" t="s">
        <v>167</v>
      </c>
    </row>
    <row r="56" spans="2:6" s="20" customFormat="1" hidden="1" outlineLevel="1" x14ac:dyDescent="0.25"/>
    <row r="57" spans="2:6" s="20" customFormat="1" hidden="1" outlineLevel="1" x14ac:dyDescent="0.25">
      <c r="C57" s="133" t="s">
        <v>43</v>
      </c>
      <c r="D57" s="133"/>
      <c r="E57" s="133"/>
      <c r="F57" s="133"/>
    </row>
    <row r="58" spans="2:6" s="73" customFormat="1" hidden="1" outlineLevel="1" x14ac:dyDescent="0.25">
      <c r="B58" s="72" t="s">
        <v>42</v>
      </c>
      <c r="C58" s="86" t="s">
        <v>41</v>
      </c>
      <c r="D58" s="86" t="s">
        <v>170</v>
      </c>
      <c r="E58" s="86" t="s">
        <v>40</v>
      </c>
      <c r="F58" s="72"/>
    </row>
    <row r="59" spans="2:6" s="20" customFormat="1" hidden="1" outlineLevel="1" x14ac:dyDescent="0.25">
      <c r="B59" s="30" t="str">
        <f>B55</f>
        <v>1 : 1 : 12</v>
      </c>
      <c r="C59" s="21" t="e">
        <f>C55*$C$49</f>
        <v>#N/A</v>
      </c>
      <c r="D59" s="21" t="e">
        <f>D55*$C$49</f>
        <v>#N/A</v>
      </c>
      <c r="E59" s="21" t="e">
        <f>E55*$C$49</f>
        <v>#N/A</v>
      </c>
      <c r="F59" s="20" t="s">
        <v>37</v>
      </c>
    </row>
    <row r="60" spans="2:6" s="20" customFormat="1" hidden="1" outlineLevel="1" x14ac:dyDescent="0.25">
      <c r="B60" s="31"/>
      <c r="D60" s="47"/>
    </row>
    <row r="61" spans="2:6" s="20" customFormat="1" hidden="1" outlineLevel="1" x14ac:dyDescent="0.25">
      <c r="B61" s="19" t="s">
        <v>169</v>
      </c>
    </row>
    <row r="62" spans="2:6" s="20" customFormat="1" hidden="1" outlineLevel="1" x14ac:dyDescent="0.25"/>
    <row r="63" spans="2:6" s="20" customFormat="1" hidden="1" outlineLevel="1" x14ac:dyDescent="0.25">
      <c r="C63" s="133" t="s">
        <v>168</v>
      </c>
      <c r="D63" s="133"/>
      <c r="E63" s="133"/>
      <c r="F63" s="133"/>
    </row>
    <row r="64" spans="2:6" s="73" customFormat="1" ht="30" hidden="1" outlineLevel="1" x14ac:dyDescent="0.25">
      <c r="B64" s="72" t="s">
        <v>42</v>
      </c>
      <c r="C64" s="86" t="s">
        <v>41</v>
      </c>
      <c r="D64" s="86" t="s">
        <v>166</v>
      </c>
      <c r="E64" s="86" t="s">
        <v>40</v>
      </c>
      <c r="F64" s="72"/>
    </row>
    <row r="65" spans="1:8" s="20" customFormat="1" hidden="1" outlineLevel="1" x14ac:dyDescent="0.25">
      <c r="B65" s="30" t="s">
        <v>1173</v>
      </c>
      <c r="C65" s="21">
        <v>4.8</v>
      </c>
      <c r="D65" s="21">
        <f>C65*0.2</f>
        <v>0.96</v>
      </c>
      <c r="E65" s="21">
        <v>1.2</v>
      </c>
      <c r="F65" s="20" t="s">
        <v>167</v>
      </c>
    </row>
    <row r="66" spans="1:8" s="20" customFormat="1" hidden="1" outlineLevel="1" x14ac:dyDescent="0.25"/>
    <row r="67" spans="1:8" s="20" customFormat="1" hidden="1" outlineLevel="1" x14ac:dyDescent="0.25">
      <c r="C67" s="133" t="s">
        <v>43</v>
      </c>
      <c r="D67" s="133"/>
      <c r="E67" s="133"/>
      <c r="F67" s="133"/>
    </row>
    <row r="68" spans="1:8" s="73" customFormat="1" ht="30" hidden="1" outlineLevel="1" x14ac:dyDescent="0.25">
      <c r="B68" s="72" t="s">
        <v>42</v>
      </c>
      <c r="C68" s="86" t="s">
        <v>41</v>
      </c>
      <c r="D68" s="86" t="s">
        <v>166</v>
      </c>
      <c r="E68" s="86" t="s">
        <v>40</v>
      </c>
      <c r="F68" s="72"/>
    </row>
    <row r="69" spans="1:8" s="20" customFormat="1" hidden="1" outlineLevel="1" x14ac:dyDescent="0.25">
      <c r="B69" s="30" t="str">
        <f>B65</f>
        <v>1 : 12</v>
      </c>
      <c r="C69" s="21" t="e">
        <f>C65*$C$49</f>
        <v>#N/A</v>
      </c>
      <c r="D69" s="21" t="e">
        <f>C69*0.2</f>
        <v>#N/A</v>
      </c>
      <c r="E69" s="21" t="e">
        <f>E65*$C$49</f>
        <v>#N/A</v>
      </c>
      <c r="F69" s="20" t="s">
        <v>37</v>
      </c>
    </row>
    <row r="70" spans="1:8" hidden="1" outlineLevel="1" x14ac:dyDescent="0.25"/>
    <row r="71" spans="1:8" collapsed="1" x14ac:dyDescent="0.25">
      <c r="B71" s="27" t="s">
        <v>5</v>
      </c>
      <c r="C71" s="28" t="s">
        <v>46</v>
      </c>
      <c r="D71" s="28" t="s">
        <v>6</v>
      </c>
    </row>
    <row r="72" spans="1:8" x14ac:dyDescent="0.25">
      <c r="B72" s="88" t="s">
        <v>165</v>
      </c>
      <c r="C72" s="91" t="s">
        <v>35</v>
      </c>
      <c r="D72" s="87">
        <f>IF(C39="",0,IF(C39="Não",C59,C69))</f>
        <v>0</v>
      </c>
      <c r="E72" s="42"/>
    </row>
    <row r="73" spans="1:8" ht="17.25" x14ac:dyDescent="0.25">
      <c r="B73" s="88" t="s">
        <v>34</v>
      </c>
      <c r="C73" s="91" t="s">
        <v>80</v>
      </c>
      <c r="D73" s="87">
        <f>IF(C39="",0,IF(C39="Não",E59,E69))</f>
        <v>0</v>
      </c>
      <c r="E73" s="42"/>
    </row>
    <row r="74" spans="1:8" x14ac:dyDescent="0.25">
      <c r="B74" s="88" t="s">
        <v>205</v>
      </c>
      <c r="C74" s="91" t="s">
        <v>290</v>
      </c>
      <c r="D74" s="87">
        <f>IF(C39="",0,IF(C39="Não",D59,0))</f>
        <v>0</v>
      </c>
      <c r="E74" s="42"/>
    </row>
    <row r="75" spans="1:8" x14ac:dyDescent="0.25">
      <c r="B75" s="88" t="s">
        <v>164</v>
      </c>
      <c r="C75" s="91" t="s">
        <v>79</v>
      </c>
      <c r="D75" s="87">
        <f>IF(C39="",0,IF(C39="Sim",D69,0))</f>
        <v>0</v>
      </c>
    </row>
    <row r="78" spans="1:8" s="5" customFormat="1" ht="18.75" x14ac:dyDescent="0.3">
      <c r="A78" s="7"/>
      <c r="B78" s="132" t="s">
        <v>549</v>
      </c>
      <c r="C78" s="132"/>
      <c r="D78" s="132"/>
      <c r="E78" s="7"/>
      <c r="F78" s="7"/>
      <c r="H78" s="22"/>
    </row>
    <row r="79" spans="1:8" s="5" customFormat="1" x14ac:dyDescent="0.25">
      <c r="A79" s="7"/>
      <c r="B79" s="45" t="s">
        <v>203</v>
      </c>
      <c r="C79" s="7"/>
      <c r="D79" s="7"/>
      <c r="E79" s="7"/>
      <c r="F79" s="7"/>
      <c r="H79" s="22"/>
    </row>
    <row r="81" spans="2:6" s="20" customFormat="1" hidden="1" outlineLevel="1" x14ac:dyDescent="0.25">
      <c r="B81" s="19" t="s">
        <v>601</v>
      </c>
    </row>
    <row r="82" spans="2:6" s="20" customFormat="1" hidden="1" outlineLevel="1" x14ac:dyDescent="0.25"/>
    <row r="83" spans="2:6" s="20" customFormat="1" hidden="1" outlineLevel="1" x14ac:dyDescent="0.25">
      <c r="B83" s="20" t="s">
        <v>163</v>
      </c>
      <c r="C83" s="21">
        <f>SUM('13. Portas'!$H$26:$H$191)</f>
        <v>0</v>
      </c>
      <c r="D83" s="20" t="s">
        <v>53</v>
      </c>
    </row>
    <row r="84" spans="2:6" s="20" customFormat="1" hidden="1" outlineLevel="1" x14ac:dyDescent="0.25">
      <c r="B84" s="20" t="s">
        <v>162</v>
      </c>
      <c r="C84" s="21">
        <f>SUM('14. Janelas'!$H$24:$H$161)</f>
        <v>0</v>
      </c>
      <c r="D84" s="20" t="s">
        <v>53</v>
      </c>
    </row>
    <row r="85" spans="2:6" s="20" customFormat="1" hidden="1" outlineLevel="1" x14ac:dyDescent="0.25">
      <c r="B85" s="20" t="s">
        <v>161</v>
      </c>
      <c r="C85" s="21">
        <f>C83+C84*2</f>
        <v>0</v>
      </c>
      <c r="D85" s="20" t="s">
        <v>53</v>
      </c>
    </row>
    <row r="86" spans="2:6" s="20" customFormat="1" hidden="1" outlineLevel="1" x14ac:dyDescent="0.25">
      <c r="B86" s="20" t="s">
        <v>842</v>
      </c>
      <c r="C86" s="81">
        <v>0.4</v>
      </c>
    </row>
    <row r="87" spans="2:6" s="20" customFormat="1" hidden="1" outlineLevel="1" x14ac:dyDescent="0.25">
      <c r="B87" s="20" t="s">
        <v>724</v>
      </c>
      <c r="C87" s="21">
        <f>C85*(1+C86)</f>
        <v>0</v>
      </c>
      <c r="D87" s="20" t="s">
        <v>53</v>
      </c>
    </row>
    <row r="88" spans="2:6" s="20" customFormat="1" hidden="1" outlineLevel="1" x14ac:dyDescent="0.25">
      <c r="B88" s="20" t="s">
        <v>725</v>
      </c>
      <c r="C88" s="21">
        <f>C87*(1+'LEIA-ME'!$D$31)</f>
        <v>0</v>
      </c>
      <c r="D88" s="20" t="s">
        <v>53</v>
      </c>
    </row>
    <row r="89" spans="2:6" s="20" customFormat="1" hidden="1" outlineLevel="1" x14ac:dyDescent="0.25">
      <c r="C89" s="21"/>
    </row>
    <row r="90" spans="2:6" s="73" customFormat="1" ht="45" hidden="1" outlineLevel="1" x14ac:dyDescent="0.25">
      <c r="B90" s="73" t="s">
        <v>160</v>
      </c>
      <c r="C90" s="96" t="s">
        <v>159</v>
      </c>
      <c r="D90" s="97" t="s">
        <v>158</v>
      </c>
      <c r="E90" s="97" t="s">
        <v>204</v>
      </c>
      <c r="F90" s="97" t="s">
        <v>726</v>
      </c>
    </row>
    <row r="91" spans="2:6" s="20" customFormat="1" hidden="1" outlineLevel="1" x14ac:dyDescent="0.25">
      <c r="B91" s="20" t="s">
        <v>198</v>
      </c>
      <c r="C91" s="25">
        <v>4</v>
      </c>
      <c r="D91" s="44">
        <v>2.5641025641025639</v>
      </c>
      <c r="E91" s="44">
        <v>6.6690000000000004E-3</v>
      </c>
      <c r="F91" s="20" t="s">
        <v>198</v>
      </c>
    </row>
    <row r="92" spans="2:6" s="20" customFormat="1" hidden="1" outlineLevel="1" x14ac:dyDescent="0.25">
      <c r="B92" s="20" t="s">
        <v>199</v>
      </c>
      <c r="C92" s="25">
        <v>5</v>
      </c>
      <c r="D92" s="44">
        <v>2.5641025641025639</v>
      </c>
      <c r="E92" s="44">
        <v>1.0374000000000001E-2</v>
      </c>
      <c r="F92" s="20" t="s">
        <v>199</v>
      </c>
    </row>
    <row r="93" spans="2:6" s="20" customFormat="1" hidden="1" outlineLevel="1" x14ac:dyDescent="0.25">
      <c r="B93" s="20" t="s">
        <v>200</v>
      </c>
      <c r="C93" s="25">
        <v>6</v>
      </c>
      <c r="D93" s="44">
        <v>2.5641025641025639</v>
      </c>
      <c r="E93" s="44">
        <v>1.4079E-2</v>
      </c>
      <c r="F93" s="20" t="s">
        <v>200</v>
      </c>
    </row>
    <row r="94" spans="2:6" s="20" customFormat="1" hidden="1" outlineLevel="1" x14ac:dyDescent="0.25">
      <c r="C94" s="21"/>
    </row>
    <row r="95" spans="2:6" s="20" customFormat="1" hidden="1" outlineLevel="1" x14ac:dyDescent="0.25">
      <c r="B95" s="20" t="s">
        <v>727</v>
      </c>
      <c r="C95" s="21" t="e">
        <f>VLOOKUP(C13,B91:D93,3,0)</f>
        <v>#N/A</v>
      </c>
      <c r="D95" s="20" t="s">
        <v>667</v>
      </c>
    </row>
    <row r="96" spans="2:6" s="20" customFormat="1" hidden="1" outlineLevel="1" x14ac:dyDescent="0.25">
      <c r="B96" s="20" t="s">
        <v>157</v>
      </c>
      <c r="C96" s="21" t="e">
        <f>C95*C88</f>
        <v>#N/A</v>
      </c>
      <c r="D96" s="20" t="s">
        <v>644</v>
      </c>
    </row>
    <row r="97" spans="2:6" s="20" customFormat="1" hidden="1" outlineLevel="1" x14ac:dyDescent="0.25">
      <c r="C97" s="21"/>
    </row>
    <row r="98" spans="2:6" s="20" customFormat="1" hidden="1" outlineLevel="1" x14ac:dyDescent="0.25">
      <c r="B98" s="20" t="s">
        <v>729</v>
      </c>
      <c r="C98" s="23">
        <v>4</v>
      </c>
      <c r="D98" s="20" t="s">
        <v>64</v>
      </c>
    </row>
    <row r="99" spans="2:6" s="20" customFormat="1" hidden="1" outlineLevel="1" x14ac:dyDescent="0.25">
      <c r="B99" s="20" t="s">
        <v>664</v>
      </c>
      <c r="C99" s="23">
        <v>12</v>
      </c>
      <c r="D99" s="20" t="s">
        <v>53</v>
      </c>
    </row>
    <row r="100" spans="2:6" s="20" customFormat="1" hidden="1" outlineLevel="1" x14ac:dyDescent="0.25">
      <c r="B100" s="20" t="s">
        <v>728</v>
      </c>
      <c r="C100" s="21">
        <f>C88/C99*C98</f>
        <v>0</v>
      </c>
      <c r="D100" s="20" t="s">
        <v>64</v>
      </c>
    </row>
    <row r="101" spans="2:6" s="20" customFormat="1" hidden="1" outlineLevel="1" x14ac:dyDescent="0.25">
      <c r="C101" s="21"/>
    </row>
    <row r="102" spans="2:6" s="20" customFormat="1" hidden="1" outlineLevel="1" x14ac:dyDescent="0.25">
      <c r="B102" s="20" t="s">
        <v>156</v>
      </c>
      <c r="C102" s="44" t="e">
        <f>VLOOKUP(C13,B91:E93,4,0)</f>
        <v>#N/A</v>
      </c>
      <c r="D102" s="20" t="s">
        <v>32</v>
      </c>
    </row>
    <row r="103" spans="2:6" s="20" customFormat="1" hidden="1" outlineLevel="1" x14ac:dyDescent="0.25">
      <c r="B103" s="20" t="s">
        <v>155</v>
      </c>
      <c r="C103" s="21" t="e">
        <f>C102*C96</f>
        <v>#N/A</v>
      </c>
      <c r="D103" s="20" t="s">
        <v>32</v>
      </c>
    </row>
    <row r="104" spans="2:6" s="20" customFormat="1" hidden="1" outlineLevel="1" x14ac:dyDescent="0.25">
      <c r="C104" s="21"/>
    </row>
    <row r="105" spans="2:6" s="73" customFormat="1" ht="30" hidden="1" outlineLevel="1" x14ac:dyDescent="0.25">
      <c r="B105" s="72" t="s">
        <v>45</v>
      </c>
      <c r="C105" s="86" t="s">
        <v>41</v>
      </c>
      <c r="D105" s="86" t="s">
        <v>40</v>
      </c>
      <c r="E105" s="86" t="s">
        <v>39</v>
      </c>
      <c r="F105" s="86" t="s">
        <v>38</v>
      </c>
    </row>
    <row r="106" spans="2:6" s="20" customFormat="1" hidden="1" outlineLevel="1" x14ac:dyDescent="0.25">
      <c r="B106" s="30" t="s">
        <v>1183</v>
      </c>
      <c r="C106" s="21">
        <v>4.5999999999999996</v>
      </c>
      <c r="D106" s="21">
        <v>0.62265036674816632</v>
      </c>
      <c r="E106" s="21">
        <v>0.80999999999999994</v>
      </c>
      <c r="F106" s="20">
        <v>202</v>
      </c>
    </row>
    <row r="107" spans="2:6" hidden="1" outlineLevel="1" x14ac:dyDescent="0.25"/>
    <row r="108" spans="2:6" collapsed="1" x14ac:dyDescent="0.25">
      <c r="B108" s="27" t="s">
        <v>5</v>
      </c>
      <c r="C108" s="28" t="s">
        <v>46</v>
      </c>
      <c r="D108" s="28" t="s">
        <v>6</v>
      </c>
    </row>
    <row r="109" spans="2:6" x14ac:dyDescent="0.25">
      <c r="B109" s="88" t="str">
        <f>IFERROR("Canaleta concreto vedação, "&amp;VLOOKUP(C13,B91:F93,5,0),"")</f>
        <v/>
      </c>
      <c r="C109" s="91" t="s">
        <v>50</v>
      </c>
      <c r="D109" s="87">
        <f>IF(OR(C11="",C12=""),0,IFERROR(C96,0))</f>
        <v>0</v>
      </c>
    </row>
    <row r="110" spans="2:6" x14ac:dyDescent="0.25">
      <c r="B110" s="88" t="s">
        <v>70</v>
      </c>
      <c r="C110" s="91" t="s">
        <v>642</v>
      </c>
      <c r="D110" s="87">
        <f>IF(OR(C11="",C12=""),0,C100)</f>
        <v>0</v>
      </c>
    </row>
    <row r="111" spans="2:6" x14ac:dyDescent="0.25">
      <c r="B111" s="88" t="s">
        <v>36</v>
      </c>
      <c r="C111" s="91" t="s">
        <v>35</v>
      </c>
      <c r="D111" s="87">
        <f>IF(OR(C11="",C12=""),0,IFERROR(C106*C103,0))</f>
        <v>0</v>
      </c>
    </row>
    <row r="112" spans="2:6" ht="17.25" x14ac:dyDescent="0.25">
      <c r="B112" s="88" t="s">
        <v>34</v>
      </c>
      <c r="C112" s="91" t="s">
        <v>80</v>
      </c>
      <c r="D112" s="87">
        <f>IF(OR(C11="",C12=""),0,IFERROR(D106*C103,0))</f>
        <v>0</v>
      </c>
    </row>
    <row r="113" spans="2:4" ht="17.25" x14ac:dyDescent="0.25">
      <c r="B113" s="88" t="s">
        <v>33</v>
      </c>
      <c r="C113" s="91" t="s">
        <v>80</v>
      </c>
      <c r="D113" s="87">
        <f>IF(OR(C11="",C12=""),0,IFERROR(E106*C103,0))</f>
        <v>0</v>
      </c>
    </row>
  </sheetData>
  <sortState xmlns:xlrd2="http://schemas.microsoft.com/office/spreadsheetml/2017/richdata2" ref="I107:I112">
    <sortCondition ref="I107"/>
  </sortState>
  <mergeCells count="9">
    <mergeCell ref="C63:F63"/>
    <mergeCell ref="C67:F67"/>
    <mergeCell ref="B78:D78"/>
    <mergeCell ref="B2:D2"/>
    <mergeCell ref="B4:D4"/>
    <mergeCell ref="B6:D6"/>
    <mergeCell ref="B34:D34"/>
    <mergeCell ref="C53:F53"/>
    <mergeCell ref="C57:F57"/>
  </mergeCells>
  <dataValidations disablePrompts="1" count="2">
    <dataValidation type="list" allowBlank="1" showInputMessage="1" showErrorMessage="1" sqref="C13" xr:uid="{00000000-0002-0000-0700-000000000000}">
      <formula1>$B$26:$B$28</formula1>
    </dataValidation>
    <dataValidation type="list" allowBlank="1" showInputMessage="1" showErrorMessage="1" sqref="C39" xr:uid="{00000000-0002-0000-0700-000001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0"/>
  <sheetViews>
    <sheetView showGridLines="0" topLeftCell="A2" zoomScale="130" zoomScaleNormal="130" workbookViewId="0">
      <selection activeCell="F9" sqref="F9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11" ht="15.75" thickBot="1" x14ac:dyDescent="0.3"/>
    <row r="2" spans="1:11" ht="21.75" thickBot="1" x14ac:dyDescent="0.4">
      <c r="B2" s="129" t="s">
        <v>211</v>
      </c>
      <c r="C2" s="130"/>
      <c r="D2" s="131"/>
    </row>
    <row r="3" spans="1:11" ht="8.25" customHeight="1" x14ac:dyDescent="0.25"/>
    <row r="4" spans="1:11" ht="45.75" customHeight="1" x14ac:dyDescent="0.25">
      <c r="B4" s="128" t="s">
        <v>212</v>
      </c>
      <c r="C4" s="128"/>
      <c r="D4" s="128"/>
    </row>
    <row r="5" spans="1:11" s="5" customFormat="1" ht="18.75" x14ac:dyDescent="0.3">
      <c r="A5" s="7"/>
      <c r="B5" s="132" t="s">
        <v>550</v>
      </c>
      <c r="C5" s="132"/>
      <c r="D5" s="132"/>
      <c r="E5" s="7"/>
      <c r="F5" s="7"/>
      <c r="H5" s="22"/>
    </row>
    <row r="6" spans="1:11" s="5" customFormat="1" x14ac:dyDescent="0.25">
      <c r="A6" s="7"/>
      <c r="B6" s="7"/>
      <c r="C6" s="7"/>
      <c r="D6" s="7"/>
      <c r="E6" s="7"/>
      <c r="F6" s="7"/>
      <c r="H6" s="22"/>
    </row>
    <row r="7" spans="1:11" x14ac:dyDescent="0.25">
      <c r="B7" s="9" t="s">
        <v>2</v>
      </c>
    </row>
    <row r="9" spans="1:11" x14ac:dyDescent="0.25">
      <c r="B9" s="7" t="s">
        <v>222</v>
      </c>
      <c r="C9" s="23"/>
      <c r="D9" s="7" t="s">
        <v>56</v>
      </c>
      <c r="K9" s="1"/>
    </row>
    <row r="10" spans="1:11" x14ac:dyDescent="0.25">
      <c r="B10" s="7" t="s">
        <v>223</v>
      </c>
      <c r="C10" s="23"/>
      <c r="D10" s="7" t="s">
        <v>56</v>
      </c>
      <c r="K10" s="1"/>
    </row>
    <row r="11" spans="1:11" x14ac:dyDescent="0.25">
      <c r="B11" s="7" t="s">
        <v>224</v>
      </c>
      <c r="C11" s="33"/>
      <c r="D11" s="7" t="s">
        <v>53</v>
      </c>
      <c r="G11" s="24"/>
      <c r="K11" s="1"/>
    </row>
    <row r="12" spans="1:11" x14ac:dyDescent="0.25">
      <c r="B12" s="7" t="s">
        <v>221</v>
      </c>
      <c r="C12" s="23"/>
      <c r="D12" s="7" t="s">
        <v>92</v>
      </c>
      <c r="K12" s="1"/>
    </row>
    <row r="13" spans="1:11" x14ac:dyDescent="0.25">
      <c r="B13" s="7" t="s">
        <v>225</v>
      </c>
      <c r="C13" s="29"/>
    </row>
    <row r="14" spans="1:11" x14ac:dyDescent="0.25">
      <c r="B14" s="7" t="s">
        <v>57</v>
      </c>
      <c r="C14" s="29"/>
      <c r="D14" s="7" t="s">
        <v>1193</v>
      </c>
      <c r="K14" s="1"/>
    </row>
    <row r="15" spans="1:11" x14ac:dyDescent="0.25">
      <c r="K15" s="1"/>
    </row>
    <row r="16" spans="1:11" s="20" customFormat="1" hidden="1" outlineLevel="1" x14ac:dyDescent="0.25">
      <c r="B16" s="19" t="s">
        <v>599</v>
      </c>
      <c r="K16" s="46"/>
    </row>
    <row r="17" spans="2:11" s="20" customFormat="1" hidden="1" outlineLevel="1" x14ac:dyDescent="0.25">
      <c r="K17" s="46"/>
    </row>
    <row r="18" spans="2:11" s="20" customFormat="1" hidden="1" outlineLevel="1" x14ac:dyDescent="0.25">
      <c r="B18" s="20" t="s">
        <v>731</v>
      </c>
      <c r="C18" s="21">
        <f>(C9/100)*(C10/100)</f>
        <v>0</v>
      </c>
      <c r="D18" s="20" t="s">
        <v>643</v>
      </c>
      <c r="K18" s="46"/>
    </row>
    <row r="19" spans="2:11" s="20" customFormat="1" hidden="1" outlineLevel="1" x14ac:dyDescent="0.25">
      <c r="B19" s="20" t="s">
        <v>732</v>
      </c>
      <c r="C19" s="21">
        <f>C18*C11</f>
        <v>0</v>
      </c>
      <c r="D19" s="20" t="s">
        <v>32</v>
      </c>
      <c r="K19" s="46"/>
    </row>
    <row r="20" spans="2:11" s="20" customFormat="1" hidden="1" outlineLevel="1" x14ac:dyDescent="0.25">
      <c r="B20" s="20" t="s">
        <v>220</v>
      </c>
      <c r="C20" s="21">
        <f>C19*C12</f>
        <v>0</v>
      </c>
      <c r="D20" s="20" t="s">
        <v>32</v>
      </c>
      <c r="K20" s="46"/>
    </row>
    <row r="21" spans="2:11" s="20" customFormat="1" hidden="1" outlineLevel="1" x14ac:dyDescent="0.25">
      <c r="B21" s="20" t="s">
        <v>733</v>
      </c>
      <c r="C21" s="21">
        <f>C20*(1+'LEIA-ME'!$D$31)</f>
        <v>0</v>
      </c>
      <c r="D21" s="20" t="s">
        <v>32</v>
      </c>
      <c r="K21" s="46"/>
    </row>
    <row r="22" spans="2:11" s="20" customFormat="1" hidden="1" outlineLevel="1" x14ac:dyDescent="0.25">
      <c r="K22" s="46"/>
    </row>
    <row r="23" spans="2:11" s="20" customFormat="1" hidden="1" outlineLevel="1" x14ac:dyDescent="0.25">
      <c r="B23" s="19" t="s">
        <v>125</v>
      </c>
      <c r="K23" s="46"/>
    </row>
    <row r="24" spans="2:11" s="20" customFormat="1" hidden="1" outlineLevel="1" x14ac:dyDescent="0.25">
      <c r="K24" s="46"/>
    </row>
    <row r="25" spans="2:11" s="20" customFormat="1" hidden="1" outlineLevel="1" x14ac:dyDescent="0.25">
      <c r="C25" s="133" t="s">
        <v>45</v>
      </c>
      <c r="D25" s="133"/>
      <c r="E25" s="133"/>
      <c r="F25" s="133"/>
      <c r="K25" s="46"/>
    </row>
    <row r="26" spans="2:11" s="73" customFormat="1" ht="30" hidden="1" outlineLevel="1" x14ac:dyDescent="0.25">
      <c r="B26" s="72" t="s">
        <v>42</v>
      </c>
      <c r="C26" s="86" t="s">
        <v>41</v>
      </c>
      <c r="D26" s="86" t="s">
        <v>40</v>
      </c>
      <c r="E26" s="86" t="s">
        <v>39</v>
      </c>
      <c r="F26" s="86" t="s">
        <v>38</v>
      </c>
      <c r="K26" s="98"/>
    </row>
    <row r="27" spans="2:11" s="20" customFormat="1" hidden="1" outlineLevel="1" x14ac:dyDescent="0.25">
      <c r="B27" s="30" t="s">
        <v>1166</v>
      </c>
      <c r="C27" s="21">
        <v>6.9</v>
      </c>
      <c r="D27" s="21">
        <v>0.62265036674816632</v>
      </c>
      <c r="E27" s="21">
        <v>0.72799999999999987</v>
      </c>
      <c r="F27" s="25">
        <v>210</v>
      </c>
      <c r="K27" s="46"/>
    </row>
    <row r="28" spans="2:11" s="20" customFormat="1" hidden="1" outlineLevel="1" x14ac:dyDescent="0.25">
      <c r="B28" s="30" t="s">
        <v>1167</v>
      </c>
      <c r="C28" s="21">
        <v>6.4</v>
      </c>
      <c r="D28" s="21">
        <v>0.72001955990220046</v>
      </c>
      <c r="E28" s="21">
        <v>0.67399999999999993</v>
      </c>
      <c r="F28" s="25">
        <v>207</v>
      </c>
      <c r="K28" s="46"/>
    </row>
    <row r="29" spans="2:11" s="20" customFormat="1" hidden="1" outlineLevel="1" x14ac:dyDescent="0.25">
      <c r="B29" s="30" t="s">
        <v>1168</v>
      </c>
      <c r="C29" s="21">
        <v>5.94</v>
      </c>
      <c r="D29" s="21">
        <v>0.5380929095354523</v>
      </c>
      <c r="E29" s="21">
        <v>0.83999999999999986</v>
      </c>
      <c r="F29" s="25">
        <v>202</v>
      </c>
      <c r="K29" s="46"/>
    </row>
    <row r="30" spans="2:11" s="20" customFormat="1" hidden="1" outlineLevel="1" x14ac:dyDescent="0.25">
      <c r="B30" s="30" t="s">
        <v>1169</v>
      </c>
      <c r="C30" s="21">
        <v>5.86</v>
      </c>
      <c r="D30" s="21">
        <v>0.66236674816625918</v>
      </c>
      <c r="E30" s="21">
        <v>0.72399999999999987</v>
      </c>
      <c r="F30" s="25">
        <v>208</v>
      </c>
      <c r="K30" s="46"/>
    </row>
    <row r="31" spans="2:11" s="20" customFormat="1" hidden="1" outlineLevel="1" x14ac:dyDescent="0.25">
      <c r="B31" s="30" t="s">
        <v>1181</v>
      </c>
      <c r="C31" s="21">
        <v>5.5</v>
      </c>
      <c r="D31" s="21">
        <v>0.62393154034229825</v>
      </c>
      <c r="E31" s="21">
        <v>0.77999999999999992</v>
      </c>
      <c r="F31" s="25">
        <v>201</v>
      </c>
      <c r="K31" s="46"/>
    </row>
    <row r="32" spans="2:11" s="20" customFormat="1" hidden="1" outlineLevel="1" x14ac:dyDescent="0.25">
      <c r="B32" s="30" t="s">
        <v>1182</v>
      </c>
      <c r="C32" s="21">
        <v>4.9000000000000004</v>
      </c>
      <c r="D32" s="21">
        <v>0.55731051344743276</v>
      </c>
      <c r="E32" s="21">
        <v>0.86999999999999988</v>
      </c>
      <c r="F32" s="25">
        <v>195</v>
      </c>
      <c r="K32" s="46"/>
    </row>
    <row r="33" spans="2:11" s="20" customFormat="1" hidden="1" outlineLevel="1" x14ac:dyDescent="0.25">
      <c r="K33" s="46"/>
    </row>
    <row r="34" spans="2:11" s="20" customFormat="1" hidden="1" outlineLevel="1" x14ac:dyDescent="0.25">
      <c r="C34" s="133" t="s">
        <v>43</v>
      </c>
      <c r="D34" s="133"/>
      <c r="E34" s="133"/>
      <c r="F34" s="133"/>
      <c r="K34" s="46"/>
    </row>
    <row r="35" spans="2:11" s="73" customFormat="1" ht="30" hidden="1" outlineLevel="1" x14ac:dyDescent="0.25">
      <c r="B35" s="72" t="s">
        <v>42</v>
      </c>
      <c r="C35" s="86" t="s">
        <v>41</v>
      </c>
      <c r="D35" s="86" t="s">
        <v>40</v>
      </c>
      <c r="E35" s="86" t="s">
        <v>39</v>
      </c>
      <c r="F35" s="86" t="s">
        <v>38</v>
      </c>
      <c r="K35" s="98"/>
    </row>
    <row r="36" spans="2:11" s="20" customFormat="1" hidden="1" outlineLevel="1" x14ac:dyDescent="0.25">
      <c r="B36" s="30" t="str">
        <f>B27</f>
        <v>1 : 2 : 3</v>
      </c>
      <c r="C36" s="21">
        <f>C27*$C$21</f>
        <v>0</v>
      </c>
      <c r="D36" s="21">
        <f t="shared" ref="D36:F36" si="0">D27*$C$21</f>
        <v>0</v>
      </c>
      <c r="E36" s="21">
        <f t="shared" si="0"/>
        <v>0</v>
      </c>
      <c r="F36" s="25">
        <f t="shared" si="0"/>
        <v>0</v>
      </c>
      <c r="K36" s="46"/>
    </row>
    <row r="37" spans="2:11" s="20" customFormat="1" hidden="1" outlineLevel="1" x14ac:dyDescent="0.25">
      <c r="B37" s="30" t="str">
        <f>B28</f>
        <v>1 : 2,5 : 3</v>
      </c>
      <c r="C37" s="21">
        <f t="shared" ref="C37:F37" si="1">C28*$C$21</f>
        <v>0</v>
      </c>
      <c r="D37" s="21">
        <f t="shared" si="1"/>
        <v>0</v>
      </c>
      <c r="E37" s="21">
        <f t="shared" si="1"/>
        <v>0</v>
      </c>
      <c r="F37" s="25">
        <f t="shared" si="1"/>
        <v>0</v>
      </c>
      <c r="K37" s="46"/>
    </row>
    <row r="38" spans="2:11" s="20" customFormat="1" hidden="1" outlineLevel="1" x14ac:dyDescent="0.25">
      <c r="B38" s="30" t="str">
        <f>B29</f>
        <v>1 : 2 : 4</v>
      </c>
      <c r="C38" s="21">
        <f t="shared" ref="C38:F38" si="2">C29*$C$21</f>
        <v>0</v>
      </c>
      <c r="D38" s="21">
        <f t="shared" si="2"/>
        <v>0</v>
      </c>
      <c r="E38" s="21">
        <f t="shared" si="2"/>
        <v>0</v>
      </c>
      <c r="F38" s="25">
        <f t="shared" si="2"/>
        <v>0</v>
      </c>
      <c r="K38" s="46"/>
    </row>
    <row r="39" spans="2:11" s="20" customFormat="1" hidden="1" outlineLevel="1" x14ac:dyDescent="0.25">
      <c r="B39" s="30" t="str">
        <f t="shared" ref="B39:B41" si="3">B30</f>
        <v>1 : 2,5 : 3,5</v>
      </c>
      <c r="C39" s="21">
        <f t="shared" ref="C39:F39" si="4">C30*$C$21</f>
        <v>0</v>
      </c>
      <c r="D39" s="21">
        <f t="shared" si="4"/>
        <v>0</v>
      </c>
      <c r="E39" s="21">
        <f t="shared" si="4"/>
        <v>0</v>
      </c>
      <c r="F39" s="25">
        <f t="shared" si="4"/>
        <v>0</v>
      </c>
      <c r="K39" s="46"/>
    </row>
    <row r="40" spans="2:11" s="20" customFormat="1" hidden="1" outlineLevel="1" x14ac:dyDescent="0.25">
      <c r="B40" s="30" t="str">
        <f t="shared" si="3"/>
        <v>1 : 2,5 : 4</v>
      </c>
      <c r="C40" s="21">
        <f t="shared" ref="C40:F40" si="5">C31*$C$21</f>
        <v>0</v>
      </c>
      <c r="D40" s="21">
        <f t="shared" si="5"/>
        <v>0</v>
      </c>
      <c r="E40" s="21">
        <f t="shared" si="5"/>
        <v>0</v>
      </c>
      <c r="F40" s="25">
        <f t="shared" si="5"/>
        <v>0</v>
      </c>
      <c r="K40" s="46"/>
    </row>
    <row r="41" spans="2:11" s="20" customFormat="1" hidden="1" outlineLevel="1" x14ac:dyDescent="0.25">
      <c r="B41" s="30" t="str">
        <f t="shared" si="3"/>
        <v>1 : 2,5 : 5</v>
      </c>
      <c r="C41" s="21">
        <f t="shared" ref="C41:F41" si="6">C32*$C$21</f>
        <v>0</v>
      </c>
      <c r="D41" s="21">
        <f t="shared" si="6"/>
        <v>0</v>
      </c>
      <c r="E41" s="21">
        <f t="shared" si="6"/>
        <v>0</v>
      </c>
      <c r="F41" s="25">
        <f t="shared" si="6"/>
        <v>0</v>
      </c>
      <c r="K41" s="46"/>
    </row>
    <row r="42" spans="2:11" hidden="1" outlineLevel="1" x14ac:dyDescent="0.25">
      <c r="C42" s="8"/>
      <c r="K42" s="1"/>
    </row>
    <row r="43" spans="2:11" collapsed="1" x14ac:dyDescent="0.25">
      <c r="B43" s="27" t="s">
        <v>5</v>
      </c>
      <c r="C43" s="28" t="s">
        <v>46</v>
      </c>
      <c r="D43" s="28" t="s">
        <v>6</v>
      </c>
    </row>
    <row r="44" spans="2:11" ht="17.25" x14ac:dyDescent="0.25">
      <c r="B44" s="88" t="s">
        <v>593</v>
      </c>
      <c r="C44" s="91" t="s">
        <v>80</v>
      </c>
      <c r="D44" s="87">
        <f>IF(C13="Usinado",C21,0)</f>
        <v>0</v>
      </c>
      <c r="K44" s="1"/>
    </row>
    <row r="45" spans="2:11" x14ac:dyDescent="0.25">
      <c r="B45" s="88" t="s">
        <v>36</v>
      </c>
      <c r="C45" s="91" t="s">
        <v>35</v>
      </c>
      <c r="D45" s="87">
        <f>IFERROR(IF(C13="Feito na obra",VLOOKUP($C$14,$B$35:$F$41,2,0),0),0)</f>
        <v>0</v>
      </c>
      <c r="K45" s="1"/>
    </row>
    <row r="46" spans="2:11" ht="17.25" x14ac:dyDescent="0.25">
      <c r="B46" s="88" t="s">
        <v>34</v>
      </c>
      <c r="C46" s="91" t="s">
        <v>80</v>
      </c>
      <c r="D46" s="87">
        <f>IFERROR(IF(C13="Feito na obra",VLOOKUP($C$14,$B$35:$F$41,3,0),0),0)</f>
        <v>0</v>
      </c>
      <c r="K46" s="1"/>
    </row>
    <row r="47" spans="2:11" ht="17.25" x14ac:dyDescent="0.25">
      <c r="B47" s="88" t="s">
        <v>33</v>
      </c>
      <c r="C47" s="91" t="s">
        <v>80</v>
      </c>
      <c r="D47" s="87">
        <f>IFERROR(IF(C13="Feito na obra",VLOOKUP($C$14,$B$35:$F$41,4,0),0),0)</f>
        <v>0</v>
      </c>
      <c r="K47" s="1"/>
    </row>
    <row r="48" spans="2:11" x14ac:dyDescent="0.25">
      <c r="B48" s="14"/>
      <c r="C48" s="15"/>
      <c r="D48" s="16"/>
      <c r="K48" s="1"/>
    </row>
    <row r="49" spans="1:11" x14ac:dyDescent="0.25">
      <c r="K49" s="1"/>
    </row>
    <row r="50" spans="1:11" s="5" customFormat="1" ht="18.75" x14ac:dyDescent="0.3">
      <c r="A50" s="7"/>
      <c r="B50" s="132" t="s">
        <v>551</v>
      </c>
      <c r="C50" s="132"/>
      <c r="D50" s="132"/>
      <c r="E50" s="7"/>
      <c r="F50" s="7"/>
      <c r="H50" s="22"/>
    </row>
    <row r="51" spans="1:11" s="5" customFormat="1" x14ac:dyDescent="0.25">
      <c r="A51" s="7"/>
      <c r="B51" s="7"/>
      <c r="C51" s="7"/>
      <c r="D51" s="7"/>
      <c r="E51" s="7"/>
      <c r="F51" s="7"/>
      <c r="H51" s="22"/>
    </row>
    <row r="52" spans="1:11" x14ac:dyDescent="0.25">
      <c r="B52" s="9" t="s">
        <v>2</v>
      </c>
    </row>
    <row r="54" spans="1:11" x14ac:dyDescent="0.25">
      <c r="B54" s="7" t="s">
        <v>62</v>
      </c>
      <c r="C54" s="23"/>
      <c r="D54" s="7" t="s">
        <v>64</v>
      </c>
      <c r="K54" s="1"/>
    </row>
    <row r="55" spans="1:11" x14ac:dyDescent="0.25">
      <c r="B55" s="7" t="s">
        <v>63</v>
      </c>
      <c r="C55" s="23"/>
      <c r="D55" s="7" t="s">
        <v>56</v>
      </c>
      <c r="K55" s="1"/>
    </row>
    <row r="56" spans="1:11" x14ac:dyDescent="0.25">
      <c r="K56" s="1"/>
    </row>
    <row r="57" spans="1:11" s="20" customFormat="1" hidden="1" outlineLevel="1" x14ac:dyDescent="0.25">
      <c r="B57" s="19" t="s">
        <v>219</v>
      </c>
      <c r="K57" s="46"/>
    </row>
    <row r="58" spans="1:11" s="20" customFormat="1" hidden="1" outlineLevel="1" x14ac:dyDescent="0.25">
      <c r="K58" s="46"/>
    </row>
    <row r="59" spans="1:11" s="20" customFormat="1" hidden="1" outlineLevel="1" x14ac:dyDescent="0.25">
      <c r="B59" s="20" t="s">
        <v>101</v>
      </c>
      <c r="K59" s="46"/>
    </row>
    <row r="60" spans="1:11" s="20" customFormat="1" hidden="1" outlineLevel="1" x14ac:dyDescent="0.25">
      <c r="B60" s="34" t="s">
        <v>230</v>
      </c>
      <c r="C60" s="35" t="s">
        <v>15</v>
      </c>
      <c r="D60" s="20" t="s">
        <v>663</v>
      </c>
      <c r="K60" s="46"/>
    </row>
    <row r="61" spans="1:11" s="20" customFormat="1" hidden="1" outlineLevel="1" x14ac:dyDescent="0.25">
      <c r="B61" s="34"/>
      <c r="K61" s="46"/>
    </row>
    <row r="62" spans="1:11" s="20" customFormat="1" hidden="1" outlineLevel="1" x14ac:dyDescent="0.25">
      <c r="B62" s="20" t="s">
        <v>30</v>
      </c>
      <c r="K62" s="46"/>
    </row>
    <row r="63" spans="1:11" s="20" customFormat="1" hidden="1" outlineLevel="1" x14ac:dyDescent="0.25">
      <c r="B63" s="34" t="s">
        <v>230</v>
      </c>
      <c r="C63" s="35" t="s">
        <v>21</v>
      </c>
      <c r="D63" s="20" t="s">
        <v>663</v>
      </c>
      <c r="K63" s="46"/>
    </row>
    <row r="64" spans="1:11" s="20" customFormat="1" hidden="1" outlineLevel="1" x14ac:dyDescent="0.25">
      <c r="B64" s="34" t="s">
        <v>843</v>
      </c>
      <c r="C64" s="23">
        <v>6</v>
      </c>
      <c r="D64" s="20" t="s">
        <v>56</v>
      </c>
      <c r="K64" s="46"/>
    </row>
    <row r="65" spans="2:11" s="20" customFormat="1" hidden="1" outlineLevel="1" x14ac:dyDescent="0.25">
      <c r="B65" s="34" t="s">
        <v>14</v>
      </c>
      <c r="C65" s="25">
        <f>C9-C64</f>
        <v>-6</v>
      </c>
      <c r="D65" s="20" t="s">
        <v>56</v>
      </c>
      <c r="F65" s="36"/>
      <c r="K65" s="46"/>
    </row>
    <row r="66" spans="2:11" s="20" customFormat="1" hidden="1" outlineLevel="1" x14ac:dyDescent="0.25">
      <c r="B66" s="34" t="s">
        <v>55</v>
      </c>
      <c r="C66" s="25">
        <f>C10-C64</f>
        <v>-6</v>
      </c>
      <c r="D66" s="20" t="s">
        <v>56</v>
      </c>
      <c r="F66" s="36"/>
      <c r="K66" s="46"/>
    </row>
    <row r="67" spans="2:11" s="20" customFormat="1" hidden="1" outlineLevel="1" x14ac:dyDescent="0.25">
      <c r="B67" s="34"/>
      <c r="K67" s="46"/>
    </row>
    <row r="68" spans="2:11" s="20" customFormat="1" hidden="1" outlineLevel="1" x14ac:dyDescent="0.25">
      <c r="B68" s="19" t="s">
        <v>100</v>
      </c>
      <c r="K68" s="46"/>
    </row>
    <row r="69" spans="2:11" s="20" customFormat="1" hidden="1" outlineLevel="1" x14ac:dyDescent="0.25">
      <c r="K69" s="46"/>
    </row>
    <row r="70" spans="2:11" s="20" customFormat="1" hidden="1" outlineLevel="1" x14ac:dyDescent="0.25">
      <c r="B70" s="20" t="s">
        <v>99</v>
      </c>
      <c r="C70" s="37">
        <f>C54*C11</f>
        <v>0</v>
      </c>
      <c r="D70" s="20" t="s">
        <v>53</v>
      </c>
      <c r="K70" s="46"/>
    </row>
    <row r="71" spans="2:11" s="20" customFormat="1" hidden="1" outlineLevel="1" x14ac:dyDescent="0.25">
      <c r="B71" s="20" t="s">
        <v>98</v>
      </c>
      <c r="C71" s="37">
        <f>C70*C12</f>
        <v>0</v>
      </c>
      <c r="D71" s="20" t="s">
        <v>53</v>
      </c>
      <c r="K71" s="46"/>
    </row>
    <row r="72" spans="2:11" s="20" customFormat="1" hidden="1" outlineLevel="1" x14ac:dyDescent="0.25">
      <c r="B72" s="20" t="s">
        <v>706</v>
      </c>
      <c r="C72" s="37">
        <f>C71*(1+'LEIA-ME'!$D$31)</f>
        <v>0</v>
      </c>
      <c r="D72" s="20" t="s">
        <v>53</v>
      </c>
      <c r="K72" s="46"/>
    </row>
    <row r="73" spans="2:11" s="20" customFormat="1" hidden="1" outlineLevel="1" x14ac:dyDescent="0.25">
      <c r="B73" s="20" t="s">
        <v>664</v>
      </c>
      <c r="C73" s="23">
        <v>12</v>
      </c>
      <c r="D73" s="20" t="s">
        <v>53</v>
      </c>
      <c r="K73" s="46"/>
    </row>
    <row r="74" spans="2:11" s="20" customFormat="1" hidden="1" outlineLevel="1" x14ac:dyDescent="0.25">
      <c r="B74" s="20" t="s">
        <v>72</v>
      </c>
      <c r="C74" s="37">
        <f>C72/C73</f>
        <v>0</v>
      </c>
      <c r="D74" s="20" t="s">
        <v>64</v>
      </c>
      <c r="K74" s="46"/>
    </row>
    <row r="75" spans="2:11" s="20" customFormat="1" hidden="1" outlineLevel="1" x14ac:dyDescent="0.25">
      <c r="B75" s="31"/>
      <c r="D75" s="47"/>
      <c r="K75" s="46"/>
    </row>
    <row r="76" spans="2:11" s="20" customFormat="1" hidden="1" outlineLevel="1" x14ac:dyDescent="0.25">
      <c r="B76" s="19" t="s">
        <v>25</v>
      </c>
      <c r="K76" s="46"/>
    </row>
    <row r="77" spans="2:11" s="20" customFormat="1" hidden="1" outlineLevel="1" x14ac:dyDescent="0.25">
      <c r="K77" s="46"/>
    </row>
    <row r="78" spans="2:11" s="20" customFormat="1" hidden="1" outlineLevel="1" x14ac:dyDescent="0.25">
      <c r="B78" s="20" t="s">
        <v>669</v>
      </c>
      <c r="C78" s="23">
        <v>20</v>
      </c>
      <c r="D78" s="20" t="s">
        <v>56</v>
      </c>
      <c r="K78" s="46"/>
    </row>
    <row r="79" spans="2:11" s="20" customFormat="1" hidden="1" outlineLevel="1" x14ac:dyDescent="0.25">
      <c r="B79" s="20" t="s">
        <v>24</v>
      </c>
      <c r="C79" s="37">
        <f>(((C65*2)+(C66*2))*(1+C78/100))/100</f>
        <v>-0.28799999999999998</v>
      </c>
      <c r="D79" s="20" t="s">
        <v>53</v>
      </c>
      <c r="K79" s="46"/>
    </row>
    <row r="80" spans="2:11" s="20" customFormat="1" hidden="1" outlineLevel="1" x14ac:dyDescent="0.25">
      <c r="B80" s="20" t="s">
        <v>97</v>
      </c>
      <c r="C80" s="37" t="e">
        <f>INT(C11/(C55/100))</f>
        <v>#DIV/0!</v>
      </c>
      <c r="D80" s="20" t="s">
        <v>644</v>
      </c>
      <c r="K80" s="46"/>
    </row>
    <row r="81" spans="2:11" s="20" customFormat="1" hidden="1" outlineLevel="1" x14ac:dyDescent="0.25">
      <c r="B81" s="20" t="s">
        <v>96</v>
      </c>
      <c r="C81" s="37" t="e">
        <f>C80*C79</f>
        <v>#DIV/0!</v>
      </c>
      <c r="D81" s="20" t="s">
        <v>53</v>
      </c>
      <c r="K81" s="46"/>
    </row>
    <row r="82" spans="2:11" s="20" customFormat="1" hidden="1" outlineLevel="1" x14ac:dyDescent="0.25">
      <c r="B82" s="20" t="s">
        <v>95</v>
      </c>
      <c r="C82" s="37" t="e">
        <f>C81*C12</f>
        <v>#DIV/0!</v>
      </c>
      <c r="D82" s="20" t="s">
        <v>53</v>
      </c>
      <c r="K82" s="46"/>
    </row>
    <row r="83" spans="2:11" s="20" customFormat="1" hidden="1" outlineLevel="1" x14ac:dyDescent="0.25">
      <c r="B83" s="20" t="s">
        <v>734</v>
      </c>
      <c r="C83" s="37" t="e">
        <f>C82*(1+'LEIA-ME'!$D$31)</f>
        <v>#DIV/0!</v>
      </c>
      <c r="D83" s="20" t="s">
        <v>53</v>
      </c>
      <c r="K83" s="46"/>
    </row>
    <row r="84" spans="2:11" s="20" customFormat="1" hidden="1" outlineLevel="1" x14ac:dyDescent="0.25">
      <c r="B84" s="20" t="s">
        <v>664</v>
      </c>
      <c r="C84" s="23">
        <v>12</v>
      </c>
      <c r="D84" s="20" t="s">
        <v>53</v>
      </c>
      <c r="K84" s="46"/>
    </row>
    <row r="85" spans="2:11" s="20" customFormat="1" hidden="1" outlineLevel="1" x14ac:dyDescent="0.25">
      <c r="B85" s="20" t="s">
        <v>72</v>
      </c>
      <c r="C85" s="37" t="e">
        <f>C83/C84</f>
        <v>#DIV/0!</v>
      </c>
      <c r="D85" s="20" t="s">
        <v>64</v>
      </c>
      <c r="K85" s="46"/>
    </row>
    <row r="86" spans="2:11" s="20" customFormat="1" hidden="1" outlineLevel="1" x14ac:dyDescent="0.25"/>
    <row r="87" spans="2:11" s="20" customFormat="1" hidden="1" outlineLevel="1" x14ac:dyDescent="0.25">
      <c r="B87" s="19" t="s">
        <v>73</v>
      </c>
    </row>
    <row r="88" spans="2:11" s="20" customFormat="1" hidden="1" outlineLevel="1" x14ac:dyDescent="0.25"/>
    <row r="89" spans="2:11" s="20" customFormat="1" hidden="1" outlineLevel="1" x14ac:dyDescent="0.25">
      <c r="B89" s="20" t="s">
        <v>666</v>
      </c>
      <c r="C89" s="85">
        <v>0.02</v>
      </c>
      <c r="D89" s="20" t="s">
        <v>650</v>
      </c>
    </row>
    <row r="90" spans="2:11" s="20" customFormat="1" hidden="1" outlineLevel="1" x14ac:dyDescent="0.25">
      <c r="B90" s="20" t="s">
        <v>615</v>
      </c>
      <c r="C90" s="21">
        <f>C71*C89*(1+'LEIA-ME'!$D$31)</f>
        <v>0</v>
      </c>
      <c r="D90" s="20" t="s">
        <v>49</v>
      </c>
    </row>
    <row r="91" spans="2:11" s="20" customFormat="1" hidden="1" outlineLevel="1" x14ac:dyDescent="0.25">
      <c r="B91" s="20" t="s">
        <v>668</v>
      </c>
      <c r="C91" s="23">
        <v>5</v>
      </c>
      <c r="D91" s="20" t="s">
        <v>667</v>
      </c>
    </row>
    <row r="92" spans="2:11" s="20" customFormat="1" hidden="1" outlineLevel="1" x14ac:dyDescent="0.25">
      <c r="B92" s="20" t="s">
        <v>622</v>
      </c>
      <c r="C92" s="25">
        <f>C71*C91*(1+'LEIA-ME'!$D$31)</f>
        <v>0</v>
      </c>
      <c r="D92" s="20" t="s">
        <v>644</v>
      </c>
    </row>
    <row r="93" spans="2:11" hidden="1" outlineLevel="1" x14ac:dyDescent="0.25">
      <c r="K93" s="1"/>
    </row>
    <row r="94" spans="2:11" collapsed="1" x14ac:dyDescent="0.25">
      <c r="B94" s="27" t="s">
        <v>5</v>
      </c>
      <c r="C94" s="28" t="s">
        <v>46</v>
      </c>
      <c r="D94" s="28" t="s">
        <v>6</v>
      </c>
    </row>
    <row r="95" spans="2:11" x14ac:dyDescent="0.25">
      <c r="B95" s="88" t="s">
        <v>70</v>
      </c>
      <c r="C95" s="91" t="s">
        <v>642</v>
      </c>
      <c r="D95" s="87">
        <f>C74</f>
        <v>0</v>
      </c>
    </row>
    <row r="96" spans="2:11" x14ac:dyDescent="0.25">
      <c r="B96" s="88" t="s">
        <v>71</v>
      </c>
      <c r="C96" s="91" t="s">
        <v>642</v>
      </c>
      <c r="D96" s="87">
        <f>IFERROR(C85,0)</f>
        <v>0</v>
      </c>
    </row>
    <row r="97" spans="1:11" x14ac:dyDescent="0.25">
      <c r="B97" s="88" t="s">
        <v>74</v>
      </c>
      <c r="C97" s="91" t="s">
        <v>641</v>
      </c>
      <c r="D97" s="87">
        <f>C90</f>
        <v>0</v>
      </c>
    </row>
    <row r="98" spans="1:11" x14ac:dyDescent="0.25">
      <c r="B98" s="88" t="s">
        <v>231</v>
      </c>
      <c r="C98" s="91" t="s">
        <v>50</v>
      </c>
      <c r="D98" s="87">
        <f>C92</f>
        <v>0</v>
      </c>
    </row>
    <row r="99" spans="1:11" x14ac:dyDescent="0.25">
      <c r="B99" s="4"/>
      <c r="D99" s="32"/>
      <c r="K99" s="1"/>
    </row>
    <row r="100" spans="1:11" x14ac:dyDescent="0.25">
      <c r="K100" s="1"/>
    </row>
    <row r="101" spans="1:11" s="5" customFormat="1" ht="18.75" x14ac:dyDescent="0.3">
      <c r="A101" s="7"/>
      <c r="B101" s="132" t="s">
        <v>552</v>
      </c>
      <c r="C101" s="132"/>
      <c r="D101" s="132"/>
      <c r="E101" s="7"/>
      <c r="F101" s="7"/>
      <c r="H101" s="22"/>
    </row>
    <row r="102" spans="1:11" x14ac:dyDescent="0.25">
      <c r="K102" s="1"/>
    </row>
    <row r="103" spans="1:11" s="20" customFormat="1" hidden="1" outlineLevel="1" x14ac:dyDescent="0.25">
      <c r="B103" s="19" t="s">
        <v>120</v>
      </c>
      <c r="K103" s="46"/>
    </row>
    <row r="104" spans="1:11" s="20" customFormat="1" hidden="1" outlineLevel="1" x14ac:dyDescent="0.25">
      <c r="K104" s="46"/>
    </row>
    <row r="105" spans="1:11" s="20" customFormat="1" hidden="1" outlineLevel="1" x14ac:dyDescent="0.25">
      <c r="B105" s="20" t="s">
        <v>736</v>
      </c>
      <c r="C105" s="21" t="e">
        <f>(C10/100)*VLOOKUP(C11,B112:E124,2,0)</f>
        <v>#N/A</v>
      </c>
      <c r="D105" s="20" t="s">
        <v>643</v>
      </c>
      <c r="K105" s="46"/>
    </row>
    <row r="106" spans="1:11" s="20" customFormat="1" hidden="1" outlineLevel="1" x14ac:dyDescent="0.25">
      <c r="B106" s="20" t="s">
        <v>737</v>
      </c>
      <c r="C106" s="23">
        <v>2</v>
      </c>
      <c r="D106" s="20" t="s">
        <v>644</v>
      </c>
      <c r="K106" s="46"/>
    </row>
    <row r="107" spans="1:11" s="20" customFormat="1" hidden="1" outlineLevel="1" x14ac:dyDescent="0.25">
      <c r="B107" s="20" t="s">
        <v>738</v>
      </c>
      <c r="C107" s="21" t="e">
        <f>C105*C106*C12</f>
        <v>#N/A</v>
      </c>
      <c r="D107" s="20" t="s">
        <v>643</v>
      </c>
      <c r="K107" s="46"/>
    </row>
    <row r="108" spans="1:11" s="20" customFormat="1" hidden="1" outlineLevel="1" x14ac:dyDescent="0.25">
      <c r="B108" s="20" t="s">
        <v>739</v>
      </c>
      <c r="C108" s="21" t="e">
        <f>C107*(1+'LEIA-ME'!$D$31)</f>
        <v>#N/A</v>
      </c>
      <c r="D108" s="20" t="s">
        <v>643</v>
      </c>
      <c r="K108" s="46"/>
    </row>
    <row r="109" spans="1:11" s="20" customFormat="1" hidden="1" outlineLevel="1" x14ac:dyDescent="0.25">
      <c r="B109" s="20" t="s">
        <v>218</v>
      </c>
      <c r="C109" s="21" t="e">
        <f>VLOOKUP(C11,B112:E124,4,0)</f>
        <v>#N/A</v>
      </c>
      <c r="D109" s="20" t="s">
        <v>643</v>
      </c>
      <c r="K109" s="46"/>
    </row>
    <row r="110" spans="1:11" s="20" customFormat="1" hidden="1" outlineLevel="1" x14ac:dyDescent="0.25">
      <c r="B110" s="20" t="s">
        <v>229</v>
      </c>
      <c r="C110" s="21" t="e">
        <f>C108/C109</f>
        <v>#N/A</v>
      </c>
      <c r="D110" s="20" t="s">
        <v>644</v>
      </c>
      <c r="K110" s="46"/>
    </row>
    <row r="111" spans="1:11" s="20" customFormat="1" hidden="1" outlineLevel="1" x14ac:dyDescent="0.25">
      <c r="C111" s="21"/>
      <c r="K111" s="46"/>
    </row>
    <row r="112" spans="1:11" s="73" customFormat="1" ht="30" hidden="1" outlineLevel="1" x14ac:dyDescent="0.25">
      <c r="B112" s="97" t="s">
        <v>217</v>
      </c>
      <c r="C112" s="96" t="s">
        <v>216</v>
      </c>
      <c r="D112" s="97" t="s">
        <v>735</v>
      </c>
      <c r="E112" s="97" t="s">
        <v>215</v>
      </c>
      <c r="F112" s="97"/>
      <c r="K112" s="98"/>
    </row>
    <row r="113" spans="2:11" s="20" customFormat="1" hidden="1" outlineLevel="1" x14ac:dyDescent="0.25">
      <c r="B113" s="48">
        <v>2.6</v>
      </c>
      <c r="C113" s="21">
        <v>3</v>
      </c>
      <c r="D113" s="20" t="s">
        <v>612</v>
      </c>
      <c r="E113" s="20">
        <v>0.89999999999999991</v>
      </c>
      <c r="K113" s="46"/>
    </row>
    <row r="114" spans="2:11" s="20" customFormat="1" hidden="1" outlineLevel="1" x14ac:dyDescent="0.25">
      <c r="B114" s="48">
        <v>2.65</v>
      </c>
      <c r="C114" s="21">
        <v>3</v>
      </c>
      <c r="D114" s="20" t="s">
        <v>612</v>
      </c>
      <c r="E114" s="20">
        <v>0.89999999999999991</v>
      </c>
      <c r="K114" s="46"/>
    </row>
    <row r="115" spans="2:11" s="20" customFormat="1" hidden="1" outlineLevel="1" x14ac:dyDescent="0.25">
      <c r="B115" s="48">
        <v>2.7</v>
      </c>
      <c r="C115" s="21">
        <v>3</v>
      </c>
      <c r="D115" s="20" t="s">
        <v>612</v>
      </c>
      <c r="E115" s="20">
        <v>0.89999999999999991</v>
      </c>
      <c r="K115" s="46"/>
    </row>
    <row r="116" spans="2:11" s="20" customFormat="1" hidden="1" outlineLevel="1" x14ac:dyDescent="0.25">
      <c r="B116" s="48">
        <v>2.75</v>
      </c>
      <c r="C116" s="21">
        <v>3</v>
      </c>
      <c r="D116" s="20" t="s">
        <v>612</v>
      </c>
      <c r="E116" s="20">
        <v>0.89999999999999991</v>
      </c>
      <c r="K116" s="46"/>
    </row>
    <row r="117" spans="2:11" s="20" customFormat="1" hidden="1" outlineLevel="1" x14ac:dyDescent="0.25">
      <c r="B117" s="48">
        <v>2.8</v>
      </c>
      <c r="C117" s="21">
        <v>3</v>
      </c>
      <c r="D117" s="20" t="s">
        <v>612</v>
      </c>
      <c r="E117" s="20">
        <v>0.89999999999999991</v>
      </c>
      <c r="K117" s="46"/>
    </row>
    <row r="118" spans="2:11" s="20" customFormat="1" hidden="1" outlineLevel="1" x14ac:dyDescent="0.25">
      <c r="B118" s="48">
        <v>2.85</v>
      </c>
      <c r="C118" s="21">
        <v>3</v>
      </c>
      <c r="D118" s="20" t="s">
        <v>612</v>
      </c>
      <c r="E118" s="20">
        <v>0.89999999999999991</v>
      </c>
      <c r="K118" s="46"/>
    </row>
    <row r="119" spans="2:11" s="20" customFormat="1" hidden="1" outlineLevel="1" x14ac:dyDescent="0.25">
      <c r="B119" s="48">
        <v>2.9</v>
      </c>
      <c r="C119" s="21">
        <v>3.5</v>
      </c>
      <c r="D119" s="20" t="s">
        <v>214</v>
      </c>
      <c r="E119" s="20">
        <v>1.05</v>
      </c>
      <c r="K119" s="46"/>
    </row>
    <row r="120" spans="2:11" s="20" customFormat="1" hidden="1" outlineLevel="1" x14ac:dyDescent="0.25">
      <c r="B120" s="48">
        <v>2.95</v>
      </c>
      <c r="C120" s="21">
        <v>3.5</v>
      </c>
      <c r="D120" s="20" t="s">
        <v>214</v>
      </c>
      <c r="E120" s="20">
        <v>1.05</v>
      </c>
      <c r="K120" s="46"/>
    </row>
    <row r="121" spans="2:11" s="20" customFormat="1" hidden="1" outlineLevel="1" x14ac:dyDescent="0.25">
      <c r="B121" s="48">
        <v>3</v>
      </c>
      <c r="C121" s="21">
        <v>3.5</v>
      </c>
      <c r="D121" s="20" t="s">
        <v>214</v>
      </c>
      <c r="E121" s="20">
        <v>1.05</v>
      </c>
      <c r="K121" s="46"/>
    </row>
    <row r="122" spans="2:11" s="20" customFormat="1" hidden="1" outlineLevel="1" x14ac:dyDescent="0.25">
      <c r="B122" s="48">
        <v>3.2</v>
      </c>
      <c r="C122" s="21">
        <v>3.5</v>
      </c>
      <c r="D122" s="20" t="s">
        <v>214</v>
      </c>
      <c r="E122" s="20">
        <v>1.05</v>
      </c>
      <c r="K122" s="46"/>
    </row>
    <row r="123" spans="2:11" s="20" customFormat="1" hidden="1" outlineLevel="1" x14ac:dyDescent="0.25">
      <c r="B123" s="48">
        <v>3.4</v>
      </c>
      <c r="C123" s="21">
        <v>3.5</v>
      </c>
      <c r="D123" s="20" t="s">
        <v>214</v>
      </c>
      <c r="E123" s="20">
        <v>1.05</v>
      </c>
      <c r="K123" s="46"/>
    </row>
    <row r="124" spans="2:11" s="20" customFormat="1" hidden="1" outlineLevel="1" x14ac:dyDescent="0.25">
      <c r="B124" s="48">
        <v>3.6</v>
      </c>
      <c r="C124" s="21">
        <v>4</v>
      </c>
      <c r="D124" s="20" t="s">
        <v>213</v>
      </c>
      <c r="E124" s="20">
        <v>1.2</v>
      </c>
      <c r="K124" s="46"/>
    </row>
    <row r="125" spans="2:11" s="20" customFormat="1" hidden="1" outlineLevel="1" x14ac:dyDescent="0.25">
      <c r="K125" s="46"/>
    </row>
    <row r="126" spans="2:11" s="20" customFormat="1" hidden="1" outlineLevel="1" x14ac:dyDescent="0.25">
      <c r="K126" s="46"/>
    </row>
    <row r="127" spans="2:11" s="20" customFormat="1" hidden="1" outlineLevel="1" x14ac:dyDescent="0.25">
      <c r="B127" s="19" t="s">
        <v>121</v>
      </c>
      <c r="K127" s="46"/>
    </row>
    <row r="128" spans="2:11" s="20" customFormat="1" hidden="1" outlineLevel="1" x14ac:dyDescent="0.25">
      <c r="K128" s="46"/>
    </row>
    <row r="129" spans="2:11" s="20" customFormat="1" hidden="1" outlineLevel="1" x14ac:dyDescent="0.25">
      <c r="B129" s="20" t="s">
        <v>229</v>
      </c>
      <c r="C129" s="21" t="e">
        <f>C110</f>
        <v>#N/A</v>
      </c>
      <c r="D129" s="39" t="s">
        <v>644</v>
      </c>
      <c r="K129" s="46"/>
    </row>
    <row r="130" spans="2:11" s="20" customFormat="1" hidden="1" outlineLevel="1" x14ac:dyDescent="0.25">
      <c r="B130" s="20" t="s">
        <v>18</v>
      </c>
      <c r="C130" s="23">
        <v>40</v>
      </c>
      <c r="D130" s="39" t="s">
        <v>56</v>
      </c>
      <c r="K130" s="46"/>
    </row>
    <row r="131" spans="2:11" s="20" customFormat="1" hidden="1" outlineLevel="1" x14ac:dyDescent="0.25">
      <c r="B131" s="20" t="s">
        <v>740</v>
      </c>
      <c r="C131" s="21" t="e">
        <f>VLOOKUP(C11,B112:E124,2,0)/(C130/100)</f>
        <v>#N/A</v>
      </c>
      <c r="D131" s="39" t="s">
        <v>644</v>
      </c>
      <c r="K131" s="46"/>
    </row>
    <row r="132" spans="2:11" s="20" customFormat="1" hidden="1" outlineLevel="1" x14ac:dyDescent="0.25">
      <c r="B132" s="20" t="s">
        <v>741</v>
      </c>
      <c r="C132" s="21" t="e">
        <f>C129*C131</f>
        <v>#N/A</v>
      </c>
      <c r="D132" s="39" t="s">
        <v>644</v>
      </c>
      <c r="K132" s="46"/>
    </row>
    <row r="133" spans="2:11" s="20" customFormat="1" hidden="1" outlineLevel="1" x14ac:dyDescent="0.25">
      <c r="B133" s="20" t="s">
        <v>713</v>
      </c>
      <c r="C133" s="23">
        <v>20</v>
      </c>
      <c r="D133" s="39" t="s">
        <v>56</v>
      </c>
      <c r="K133" s="46"/>
    </row>
    <row r="134" spans="2:11" s="20" customFormat="1" hidden="1" outlineLevel="1" x14ac:dyDescent="0.25">
      <c r="B134" s="20" t="s">
        <v>17</v>
      </c>
      <c r="C134" s="21" t="e">
        <f>C132*(C133/100)</f>
        <v>#N/A</v>
      </c>
      <c r="D134" s="20" t="s">
        <v>53</v>
      </c>
      <c r="K134" s="46"/>
    </row>
    <row r="135" spans="2:11" s="20" customFormat="1" hidden="1" outlineLevel="1" x14ac:dyDescent="0.25">
      <c r="B135" s="20" t="s">
        <v>673</v>
      </c>
      <c r="C135" s="21" t="e">
        <f>C134*(1+'LEIA-ME'!$D$31)</f>
        <v>#N/A</v>
      </c>
      <c r="D135" s="20" t="s">
        <v>53</v>
      </c>
      <c r="K135" s="46"/>
    </row>
    <row r="136" spans="2:11" s="20" customFormat="1" hidden="1" outlineLevel="1" x14ac:dyDescent="0.25">
      <c r="B136" s="20" t="s">
        <v>674</v>
      </c>
      <c r="C136" s="33">
        <v>3</v>
      </c>
      <c r="D136" s="20" t="s">
        <v>53</v>
      </c>
      <c r="K136" s="46"/>
    </row>
    <row r="137" spans="2:11" s="20" customFormat="1" hidden="1" outlineLevel="1" x14ac:dyDescent="0.25">
      <c r="B137" s="20" t="s">
        <v>229</v>
      </c>
      <c r="C137" s="21" t="e">
        <f>C135/C136</f>
        <v>#N/A</v>
      </c>
      <c r="D137" s="20" t="s">
        <v>644</v>
      </c>
      <c r="K137" s="46"/>
    </row>
    <row r="138" spans="2:11" s="20" customFormat="1" hidden="1" outlineLevel="1" x14ac:dyDescent="0.25">
      <c r="K138" s="46"/>
    </row>
    <row r="139" spans="2:11" s="20" customFormat="1" hidden="1" outlineLevel="1" x14ac:dyDescent="0.25">
      <c r="B139" s="19" t="s">
        <v>122</v>
      </c>
      <c r="K139" s="46"/>
    </row>
    <row r="140" spans="2:11" s="20" customFormat="1" hidden="1" outlineLevel="1" x14ac:dyDescent="0.25">
      <c r="K140" s="46"/>
    </row>
    <row r="141" spans="2:11" s="20" customFormat="1" hidden="1" outlineLevel="1" x14ac:dyDescent="0.25">
      <c r="B141" s="20" t="s">
        <v>16</v>
      </c>
      <c r="C141" s="92">
        <v>3.44E-2</v>
      </c>
      <c r="D141" s="39" t="s">
        <v>829</v>
      </c>
      <c r="E141" s="38"/>
      <c r="K141" s="46"/>
    </row>
    <row r="142" spans="2:11" s="20" customFormat="1" hidden="1" outlineLevel="1" x14ac:dyDescent="0.25">
      <c r="B142" s="20" t="s">
        <v>75</v>
      </c>
      <c r="C142" s="40" t="e">
        <f>$C$108*C141</f>
        <v>#N/A</v>
      </c>
      <c r="D142" s="20" t="s">
        <v>49</v>
      </c>
      <c r="K142" s="46"/>
    </row>
    <row r="143" spans="2:11" hidden="1" outlineLevel="1" x14ac:dyDescent="0.25">
      <c r="K143" s="1"/>
    </row>
    <row r="144" spans="2:11" collapsed="1" x14ac:dyDescent="0.25">
      <c r="B144" s="27" t="s">
        <v>5</v>
      </c>
      <c r="C144" s="28" t="s">
        <v>46</v>
      </c>
      <c r="D144" s="28" t="s">
        <v>6</v>
      </c>
    </row>
    <row r="145" spans="2:11" x14ac:dyDescent="0.25">
      <c r="B145" s="88" t="s">
        <v>77</v>
      </c>
      <c r="C145" s="91" t="str">
        <f>IFERROR(VLOOKUP($C$11,B112:E124,3,0),"")</f>
        <v/>
      </c>
      <c r="D145" s="87">
        <f>IFERROR(C110,0)</f>
        <v>0</v>
      </c>
      <c r="K145" s="1"/>
    </row>
    <row r="146" spans="2:11" x14ac:dyDescent="0.25">
      <c r="B146" s="88" t="s">
        <v>76</v>
      </c>
      <c r="C146" s="91" t="s">
        <v>612</v>
      </c>
      <c r="D146" s="87">
        <f>IFERROR(C137,0)</f>
        <v>0</v>
      </c>
      <c r="K146" s="1"/>
    </row>
    <row r="147" spans="2:11" x14ac:dyDescent="0.25">
      <c r="B147" s="88" t="s">
        <v>636</v>
      </c>
      <c r="C147" s="89" t="s">
        <v>49</v>
      </c>
      <c r="D147" s="87">
        <f>IFERROR(C142,0)</f>
        <v>0</v>
      </c>
      <c r="K147" s="1"/>
    </row>
    <row r="148" spans="2:11" x14ac:dyDescent="0.25">
      <c r="K148" s="1"/>
    </row>
    <row r="149" spans="2:11" x14ac:dyDescent="0.25">
      <c r="K149" s="1"/>
    </row>
    <row r="150" spans="2:11" x14ac:dyDescent="0.25">
      <c r="K150" s="1"/>
    </row>
  </sheetData>
  <mergeCells count="7">
    <mergeCell ref="B50:D50"/>
    <mergeCell ref="B101:D101"/>
    <mergeCell ref="C34:F34"/>
    <mergeCell ref="C25:F25"/>
    <mergeCell ref="B2:D2"/>
    <mergeCell ref="B4:D4"/>
    <mergeCell ref="B5:D5"/>
  </mergeCells>
  <dataValidations count="3">
    <dataValidation type="list" allowBlank="1" showInputMessage="1" showErrorMessage="1" sqref="C13" xr:uid="{00000000-0002-0000-0800-000000000000}">
      <formula1>"Usinado,Feito na obra"</formula1>
    </dataValidation>
    <dataValidation type="list" allowBlank="1" showInputMessage="1" showErrorMessage="1" sqref="C14" xr:uid="{00000000-0002-0000-0800-000001000000}">
      <formula1>$B$27:$B$32</formula1>
    </dataValidation>
    <dataValidation type="list" allowBlank="1" showInputMessage="1" showErrorMessage="1" sqref="C11" xr:uid="{00000000-0002-0000-0800-000002000000}">
      <formula1>$B$113:$B$124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showGridLines="0" topLeftCell="A95" zoomScale="130" zoomScaleNormal="130" workbookViewId="0">
      <selection activeCell="F10" sqref="F10"/>
    </sheetView>
  </sheetViews>
  <sheetFormatPr defaultColWidth="8.85546875" defaultRowHeight="15" outlineLevelRow="1" x14ac:dyDescent="0.25"/>
  <cols>
    <col min="1" max="1" width="2" style="7" customWidth="1"/>
    <col min="2" max="2" width="35.42578125" style="7" customWidth="1"/>
    <col min="3" max="3" width="18" style="7" customWidth="1"/>
    <col min="4" max="4" width="12.5703125" style="7" customWidth="1"/>
    <col min="5" max="16384" width="8.85546875" style="7"/>
  </cols>
  <sheetData>
    <row r="1" spans="1:8" ht="15.75" thickBot="1" x14ac:dyDescent="0.3"/>
    <row r="2" spans="1:8" ht="21.75" thickBot="1" x14ac:dyDescent="0.4">
      <c r="B2" s="129" t="s">
        <v>1216</v>
      </c>
      <c r="C2" s="130"/>
      <c r="D2" s="131"/>
    </row>
    <row r="4" spans="1:8" ht="45.75" customHeight="1" x14ac:dyDescent="0.25">
      <c r="B4" s="128" t="s">
        <v>234</v>
      </c>
      <c r="C4" s="128"/>
      <c r="D4" s="128"/>
    </row>
    <row r="6" spans="1:8" s="5" customFormat="1" ht="18.75" x14ac:dyDescent="0.3">
      <c r="A6" s="7"/>
      <c r="B6" s="132" t="s">
        <v>553</v>
      </c>
      <c r="C6" s="132"/>
      <c r="D6" s="132"/>
      <c r="E6" s="7"/>
      <c r="F6" s="7"/>
      <c r="H6" s="22"/>
    </row>
    <row r="7" spans="1:8" s="5" customFormat="1" x14ac:dyDescent="0.25">
      <c r="A7" s="7"/>
      <c r="B7" s="7"/>
      <c r="C7" s="7"/>
      <c r="D7" s="7"/>
      <c r="E7" s="7"/>
      <c r="F7" s="7"/>
      <c r="H7" s="22"/>
    </row>
    <row r="8" spans="1:8" x14ac:dyDescent="0.25">
      <c r="B8" s="9" t="s">
        <v>2</v>
      </c>
    </row>
    <row r="10" spans="1:8" x14ac:dyDescent="0.25">
      <c r="B10" s="7" t="s">
        <v>235</v>
      </c>
      <c r="C10" s="23"/>
      <c r="D10" s="7" t="s">
        <v>56</v>
      </c>
    </row>
    <row r="11" spans="1:8" x14ac:dyDescent="0.25">
      <c r="B11" s="7" t="s">
        <v>236</v>
      </c>
      <c r="C11" s="23"/>
      <c r="D11" s="7" t="s">
        <v>56</v>
      </c>
      <c r="G11" s="24"/>
    </row>
    <row r="12" spans="1:8" x14ac:dyDescent="0.25">
      <c r="B12" s="7" t="s">
        <v>237</v>
      </c>
      <c r="C12" s="33"/>
      <c r="D12" s="7" t="s">
        <v>53</v>
      </c>
    </row>
    <row r="13" spans="1:8" x14ac:dyDescent="0.25">
      <c r="B13" s="7" t="s">
        <v>225</v>
      </c>
      <c r="C13" s="29"/>
    </row>
    <row r="14" spans="1:8" x14ac:dyDescent="0.25">
      <c r="B14" s="7" t="s">
        <v>57</v>
      </c>
      <c r="C14" s="29"/>
      <c r="D14" s="7" t="s">
        <v>1193</v>
      </c>
    </row>
    <row r="16" spans="1:8" s="20" customFormat="1" hidden="1" outlineLevel="1" x14ac:dyDescent="0.25">
      <c r="B16" s="19" t="s">
        <v>118</v>
      </c>
    </row>
    <row r="17" spans="2:7" s="20" customFormat="1" hidden="1" outlineLevel="1" x14ac:dyDescent="0.25"/>
    <row r="18" spans="2:7" s="20" customFormat="1" hidden="1" outlineLevel="1" x14ac:dyDescent="0.25">
      <c r="B18" s="20" t="s">
        <v>742</v>
      </c>
      <c r="C18" s="21">
        <f>(C10/100)*(C11/100)</f>
        <v>0</v>
      </c>
      <c r="D18" s="20" t="s">
        <v>643</v>
      </c>
    </row>
    <row r="19" spans="2:7" s="20" customFormat="1" hidden="1" outlineLevel="1" x14ac:dyDescent="0.25">
      <c r="B19" s="20" t="s">
        <v>660</v>
      </c>
      <c r="C19" s="21">
        <f>C18*C12</f>
        <v>0</v>
      </c>
      <c r="D19" s="20" t="s">
        <v>32</v>
      </c>
    </row>
    <row r="20" spans="2:7" s="20" customFormat="1" hidden="1" outlineLevel="1" x14ac:dyDescent="0.25">
      <c r="B20" s="20" t="s">
        <v>613</v>
      </c>
      <c r="C20" s="21">
        <f>C19*(1+'LEIA-ME'!$D$31)</f>
        <v>0</v>
      </c>
      <c r="D20" s="20" t="s">
        <v>32</v>
      </c>
    </row>
    <row r="21" spans="2:7" s="20" customFormat="1" hidden="1" outlineLevel="1" x14ac:dyDescent="0.25"/>
    <row r="22" spans="2:7" s="20" customFormat="1" hidden="1" outlineLevel="1" x14ac:dyDescent="0.25">
      <c r="B22" s="19" t="s">
        <v>125</v>
      </c>
    </row>
    <row r="23" spans="2:7" s="20" customFormat="1" hidden="1" outlineLevel="1" x14ac:dyDescent="0.25"/>
    <row r="24" spans="2:7" s="20" customFormat="1" hidden="1" outlineLevel="1" x14ac:dyDescent="0.25">
      <c r="C24" s="133" t="s">
        <v>45</v>
      </c>
      <c r="D24" s="133"/>
      <c r="E24" s="133"/>
      <c r="F24" s="133"/>
    </row>
    <row r="25" spans="2:7" s="73" customFormat="1" ht="30" hidden="1" outlineLevel="1" x14ac:dyDescent="0.25">
      <c r="B25" s="72" t="s">
        <v>42</v>
      </c>
      <c r="C25" s="86" t="s">
        <v>41</v>
      </c>
      <c r="D25" s="86" t="s">
        <v>40</v>
      </c>
      <c r="E25" s="86" t="s">
        <v>39</v>
      </c>
      <c r="F25" s="86" t="s">
        <v>38</v>
      </c>
    </row>
    <row r="26" spans="2:7" s="20" customFormat="1" hidden="1" outlineLevel="1" x14ac:dyDescent="0.25">
      <c r="B26" s="30" t="s">
        <v>1166</v>
      </c>
      <c r="C26" s="21">
        <v>6.9</v>
      </c>
      <c r="D26" s="21">
        <v>0.62265036674816632</v>
      </c>
      <c r="E26" s="21">
        <v>0.72799999999999987</v>
      </c>
      <c r="F26" s="25">
        <v>210</v>
      </c>
      <c r="G26" s="20" t="s">
        <v>44</v>
      </c>
    </row>
    <row r="27" spans="2:7" s="20" customFormat="1" hidden="1" outlineLevel="1" x14ac:dyDescent="0.25">
      <c r="B27" s="30" t="s">
        <v>1167</v>
      </c>
      <c r="C27" s="21">
        <v>6.4</v>
      </c>
      <c r="D27" s="21">
        <v>0.72001955990220046</v>
      </c>
      <c r="E27" s="21">
        <v>0.67399999999999993</v>
      </c>
      <c r="F27" s="25">
        <v>207</v>
      </c>
    </row>
    <row r="28" spans="2:7" s="20" customFormat="1" hidden="1" outlineLevel="1" x14ac:dyDescent="0.25">
      <c r="B28" s="30" t="s">
        <v>1168</v>
      </c>
      <c r="C28" s="21">
        <v>5.94</v>
      </c>
      <c r="D28" s="21">
        <v>0.5380929095354523</v>
      </c>
      <c r="E28" s="21">
        <v>0.83999999999999986</v>
      </c>
      <c r="F28" s="25">
        <v>202</v>
      </c>
    </row>
    <row r="29" spans="2:7" s="20" customFormat="1" hidden="1" outlineLevel="1" x14ac:dyDescent="0.25">
      <c r="B29" s="30" t="s">
        <v>1169</v>
      </c>
      <c r="C29" s="21">
        <v>5.86</v>
      </c>
      <c r="D29" s="21">
        <v>0.66236674816625918</v>
      </c>
      <c r="E29" s="21">
        <v>0.72399999999999987</v>
      </c>
      <c r="F29" s="25">
        <v>208</v>
      </c>
    </row>
    <row r="30" spans="2:7" s="20" customFormat="1" hidden="1" outlineLevel="1" x14ac:dyDescent="0.25">
      <c r="B30" s="30" t="s">
        <v>1181</v>
      </c>
      <c r="C30" s="21">
        <v>5.5</v>
      </c>
      <c r="D30" s="21">
        <v>0.62393154034229825</v>
      </c>
      <c r="E30" s="21">
        <v>0.77999999999999992</v>
      </c>
      <c r="F30" s="25">
        <v>201</v>
      </c>
    </row>
    <row r="31" spans="2:7" s="20" customFormat="1" hidden="1" outlineLevel="1" x14ac:dyDescent="0.25">
      <c r="B31" s="30" t="s">
        <v>1182</v>
      </c>
      <c r="C31" s="21">
        <v>4.9000000000000004</v>
      </c>
      <c r="D31" s="21">
        <v>0.55731051344743276</v>
      </c>
      <c r="E31" s="21">
        <v>0.86999999999999988</v>
      </c>
      <c r="F31" s="25">
        <v>195</v>
      </c>
    </row>
    <row r="32" spans="2:7" s="20" customFormat="1" hidden="1" outlineLevel="1" x14ac:dyDescent="0.25"/>
    <row r="33" spans="2:7" s="20" customFormat="1" hidden="1" outlineLevel="1" x14ac:dyDescent="0.25">
      <c r="C33" s="133" t="s">
        <v>43</v>
      </c>
      <c r="D33" s="133"/>
      <c r="E33" s="133"/>
      <c r="F33" s="133"/>
    </row>
    <row r="34" spans="2:7" s="73" customFormat="1" ht="30" hidden="1" outlineLevel="1" x14ac:dyDescent="0.25">
      <c r="B34" s="72" t="s">
        <v>42</v>
      </c>
      <c r="C34" s="86" t="s">
        <v>41</v>
      </c>
      <c r="D34" s="86" t="s">
        <v>40</v>
      </c>
      <c r="E34" s="86" t="s">
        <v>39</v>
      </c>
      <c r="F34" s="86" t="s">
        <v>38</v>
      </c>
    </row>
    <row r="35" spans="2:7" s="20" customFormat="1" hidden="1" outlineLevel="1" x14ac:dyDescent="0.25">
      <c r="B35" s="30" t="str">
        <f>B26</f>
        <v>1 : 2 : 3</v>
      </c>
      <c r="C35" s="21">
        <f>C26*$C$20</f>
        <v>0</v>
      </c>
      <c r="D35" s="21">
        <f t="shared" ref="D35:F35" si="0">D26*$C$20</f>
        <v>0</v>
      </c>
      <c r="E35" s="21">
        <f t="shared" si="0"/>
        <v>0</v>
      </c>
      <c r="F35" s="25">
        <f t="shared" si="0"/>
        <v>0</v>
      </c>
      <c r="G35" s="20" t="s">
        <v>37</v>
      </c>
    </row>
    <row r="36" spans="2:7" s="20" customFormat="1" hidden="1" outlineLevel="1" x14ac:dyDescent="0.25">
      <c r="B36" s="30" t="str">
        <f>B27</f>
        <v>1 : 2,5 : 3</v>
      </c>
      <c r="C36" s="21">
        <f>C27*$C$20</f>
        <v>0</v>
      </c>
      <c r="D36" s="21">
        <f t="shared" ref="D36:F37" si="1">D27*$C$20</f>
        <v>0</v>
      </c>
      <c r="E36" s="21">
        <f t="shared" si="1"/>
        <v>0</v>
      </c>
      <c r="F36" s="25">
        <f t="shared" si="1"/>
        <v>0</v>
      </c>
    </row>
    <row r="37" spans="2:7" s="20" customFormat="1" hidden="1" outlineLevel="1" x14ac:dyDescent="0.25">
      <c r="B37" s="30" t="str">
        <f>B28</f>
        <v>1 : 2 : 4</v>
      </c>
      <c r="C37" s="21">
        <f>C28*$C$20</f>
        <v>0</v>
      </c>
      <c r="D37" s="21">
        <f t="shared" si="1"/>
        <v>0</v>
      </c>
      <c r="E37" s="21">
        <f t="shared" si="1"/>
        <v>0</v>
      </c>
      <c r="F37" s="25">
        <f t="shared" si="1"/>
        <v>0</v>
      </c>
    </row>
    <row r="38" spans="2:7" s="20" customFormat="1" hidden="1" outlineLevel="1" x14ac:dyDescent="0.25">
      <c r="B38" s="30" t="str">
        <f t="shared" ref="B38:B40" si="2">B29</f>
        <v>1 : 2,5 : 3,5</v>
      </c>
      <c r="C38" s="21">
        <f t="shared" ref="C38:F38" si="3">C29*$C$20</f>
        <v>0</v>
      </c>
      <c r="D38" s="21">
        <f t="shared" si="3"/>
        <v>0</v>
      </c>
      <c r="E38" s="21">
        <f t="shared" si="3"/>
        <v>0</v>
      </c>
      <c r="F38" s="25">
        <f t="shared" si="3"/>
        <v>0</v>
      </c>
    </row>
    <row r="39" spans="2:7" s="20" customFormat="1" hidden="1" outlineLevel="1" x14ac:dyDescent="0.25">
      <c r="B39" s="30" t="str">
        <f t="shared" si="2"/>
        <v>1 : 2,5 : 4</v>
      </c>
      <c r="C39" s="21">
        <f t="shared" ref="C39:F39" si="4">C30*$C$20</f>
        <v>0</v>
      </c>
      <c r="D39" s="21">
        <f t="shared" si="4"/>
        <v>0</v>
      </c>
      <c r="E39" s="21">
        <f t="shared" si="4"/>
        <v>0</v>
      </c>
      <c r="F39" s="25">
        <f t="shared" si="4"/>
        <v>0</v>
      </c>
    </row>
    <row r="40" spans="2:7" s="20" customFormat="1" hidden="1" outlineLevel="1" x14ac:dyDescent="0.25">
      <c r="B40" s="30" t="str">
        <f t="shared" si="2"/>
        <v>1 : 2,5 : 5</v>
      </c>
      <c r="C40" s="21">
        <f t="shared" ref="C40:F40" si="5">C31*$C$20</f>
        <v>0</v>
      </c>
      <c r="D40" s="21">
        <f t="shared" si="5"/>
        <v>0</v>
      </c>
      <c r="E40" s="21">
        <f t="shared" si="5"/>
        <v>0</v>
      </c>
      <c r="F40" s="25">
        <f t="shared" si="5"/>
        <v>0</v>
      </c>
    </row>
    <row r="41" spans="2:7" hidden="1" outlineLevel="1" x14ac:dyDescent="0.25"/>
    <row r="42" spans="2:7" collapsed="1" x14ac:dyDescent="0.25">
      <c r="B42" s="27" t="s">
        <v>5</v>
      </c>
      <c r="C42" s="28" t="s">
        <v>46</v>
      </c>
      <c r="D42" s="28" t="s">
        <v>6</v>
      </c>
    </row>
    <row r="43" spans="2:7" ht="17.25" x14ac:dyDescent="0.25">
      <c r="B43" s="88" t="s">
        <v>238</v>
      </c>
      <c r="C43" s="91" t="s">
        <v>80</v>
      </c>
      <c r="D43" s="87">
        <f>IF(C13="Usinado",C20,0)</f>
        <v>0</v>
      </c>
    </row>
    <row r="44" spans="2:7" x14ac:dyDescent="0.25">
      <c r="B44" s="88" t="s">
        <v>36</v>
      </c>
      <c r="C44" s="91" t="s">
        <v>35</v>
      </c>
      <c r="D44" s="87">
        <f>IFERROR(IF(C13="feito na obra",VLOOKUP($C$14,$B$34:$F$40,2,0),0),0)</f>
        <v>0</v>
      </c>
    </row>
    <row r="45" spans="2:7" ht="17.25" x14ac:dyDescent="0.25">
      <c r="B45" s="88" t="s">
        <v>34</v>
      </c>
      <c r="C45" s="91" t="s">
        <v>80</v>
      </c>
      <c r="D45" s="87">
        <f>IFERROR(IF(C13="feito na obra",VLOOKUP($C$14,$B$34:$F$40,3,0),0),0)</f>
        <v>0</v>
      </c>
    </row>
    <row r="46" spans="2:7" ht="17.25" x14ac:dyDescent="0.25">
      <c r="B46" s="88" t="s">
        <v>33</v>
      </c>
      <c r="C46" s="91" t="s">
        <v>80</v>
      </c>
      <c r="D46" s="87">
        <f>IFERROR(IF(C13="feito na obra",VLOOKUP($C$14,$B$34:$F$40,4,0),0),0)</f>
        <v>0</v>
      </c>
    </row>
    <row r="49" spans="1:8" s="5" customFormat="1" ht="18.75" x14ac:dyDescent="0.3">
      <c r="A49" s="7"/>
      <c r="B49" s="132" t="s">
        <v>555</v>
      </c>
      <c r="C49" s="132"/>
      <c r="D49" s="132"/>
      <c r="E49" s="7"/>
      <c r="F49" s="7"/>
      <c r="H49" s="22"/>
    </row>
    <row r="50" spans="1:8" s="5" customFormat="1" x14ac:dyDescent="0.25">
      <c r="A50" s="7"/>
      <c r="B50" s="7"/>
      <c r="C50" s="7"/>
      <c r="D50" s="7"/>
      <c r="E50" s="7"/>
      <c r="F50" s="7"/>
      <c r="H50" s="22"/>
    </row>
    <row r="51" spans="1:8" x14ac:dyDescent="0.25">
      <c r="B51" s="9" t="s">
        <v>2</v>
      </c>
    </row>
    <row r="53" spans="1:8" x14ac:dyDescent="0.25">
      <c r="B53" s="7" t="s">
        <v>62</v>
      </c>
      <c r="C53" s="23"/>
      <c r="D53" s="7" t="s">
        <v>64</v>
      </c>
    </row>
    <row r="54" spans="1:8" x14ac:dyDescent="0.25">
      <c r="B54" s="7" t="s">
        <v>63</v>
      </c>
      <c r="C54" s="23"/>
      <c r="D54" s="7" t="s">
        <v>56</v>
      </c>
    </row>
    <row r="56" spans="1:8" s="20" customFormat="1" hidden="1" outlineLevel="1" x14ac:dyDescent="0.25">
      <c r="B56" s="19" t="s">
        <v>119</v>
      </c>
    </row>
    <row r="57" spans="1:8" s="20" customFormat="1" hidden="1" outlineLevel="1" x14ac:dyDescent="0.25"/>
    <row r="58" spans="1:8" s="20" customFormat="1" hidden="1" outlineLevel="1" x14ac:dyDescent="0.25">
      <c r="B58" s="20" t="s">
        <v>31</v>
      </c>
    </row>
    <row r="59" spans="1:8" s="20" customFormat="1" hidden="1" outlineLevel="1" x14ac:dyDescent="0.25">
      <c r="B59" s="34" t="s">
        <v>230</v>
      </c>
      <c r="C59" s="35" t="s">
        <v>15</v>
      </c>
      <c r="D59" s="20" t="s">
        <v>663</v>
      </c>
    </row>
    <row r="60" spans="1:8" s="20" customFormat="1" hidden="1" outlineLevel="1" x14ac:dyDescent="0.25">
      <c r="B60" s="34"/>
    </row>
    <row r="61" spans="1:8" s="20" customFormat="1" hidden="1" outlineLevel="1" x14ac:dyDescent="0.25">
      <c r="B61" s="20" t="s">
        <v>30</v>
      </c>
    </row>
    <row r="62" spans="1:8" s="20" customFormat="1" hidden="1" outlineLevel="1" x14ac:dyDescent="0.25">
      <c r="B62" s="34" t="s">
        <v>230</v>
      </c>
      <c r="C62" s="35" t="s">
        <v>21</v>
      </c>
      <c r="D62" s="20" t="s">
        <v>663</v>
      </c>
    </row>
    <row r="63" spans="1:8" s="20" customFormat="1" hidden="1" outlineLevel="1" x14ac:dyDescent="0.25">
      <c r="B63" s="34" t="s">
        <v>843</v>
      </c>
      <c r="C63" s="23">
        <v>6</v>
      </c>
      <c r="D63" s="20" t="s">
        <v>56</v>
      </c>
    </row>
    <row r="64" spans="1:8" s="20" customFormat="1" hidden="1" outlineLevel="1" x14ac:dyDescent="0.25">
      <c r="B64" s="34" t="s">
        <v>14</v>
      </c>
      <c r="C64" s="25">
        <f>C10-C63</f>
        <v>-6</v>
      </c>
      <c r="D64" s="20" t="s">
        <v>56</v>
      </c>
      <c r="F64" s="36"/>
    </row>
    <row r="65" spans="2:7" s="20" customFormat="1" hidden="1" outlineLevel="1" x14ac:dyDescent="0.25">
      <c r="B65" s="34" t="s">
        <v>13</v>
      </c>
      <c r="C65" s="25">
        <f>C11-C63</f>
        <v>-6</v>
      </c>
      <c r="D65" s="20" t="s">
        <v>56</v>
      </c>
      <c r="F65" s="36"/>
      <c r="G65" s="36"/>
    </row>
    <row r="66" spans="2:7" s="20" customFormat="1" hidden="1" outlineLevel="1" x14ac:dyDescent="0.25">
      <c r="B66" s="34"/>
    </row>
    <row r="67" spans="2:7" s="20" customFormat="1" hidden="1" outlineLevel="1" x14ac:dyDescent="0.25">
      <c r="B67" s="19" t="s">
        <v>27</v>
      </c>
    </row>
    <row r="68" spans="2:7" s="20" customFormat="1" hidden="1" outlineLevel="1" x14ac:dyDescent="0.25"/>
    <row r="69" spans="2:7" s="20" customFormat="1" hidden="1" outlineLevel="1" x14ac:dyDescent="0.25">
      <c r="B69" s="20" t="s">
        <v>26</v>
      </c>
      <c r="C69" s="37">
        <f>C53*($C$12)</f>
        <v>0</v>
      </c>
      <c r="D69" s="20" t="s">
        <v>53</v>
      </c>
    </row>
    <row r="70" spans="2:7" s="20" customFormat="1" hidden="1" outlineLevel="1" x14ac:dyDescent="0.25">
      <c r="B70" s="20" t="s">
        <v>621</v>
      </c>
      <c r="C70" s="37">
        <f>C69*(1+'LEIA-ME'!$D$31)</f>
        <v>0</v>
      </c>
      <c r="D70" s="20" t="s">
        <v>53</v>
      </c>
    </row>
    <row r="71" spans="2:7" s="20" customFormat="1" hidden="1" outlineLevel="1" x14ac:dyDescent="0.25">
      <c r="B71" s="20" t="s">
        <v>664</v>
      </c>
      <c r="C71" s="23">
        <v>12</v>
      </c>
      <c r="D71" s="20" t="s">
        <v>53</v>
      </c>
    </row>
    <row r="72" spans="2:7" s="20" customFormat="1" hidden="1" outlineLevel="1" x14ac:dyDescent="0.25">
      <c r="B72" s="20" t="s">
        <v>72</v>
      </c>
      <c r="C72" s="40">
        <f>C70/C71</f>
        <v>0</v>
      </c>
      <c r="D72" s="20" t="s">
        <v>64</v>
      </c>
    </row>
    <row r="73" spans="2:7" s="20" customFormat="1" hidden="1" outlineLevel="1" x14ac:dyDescent="0.25"/>
    <row r="74" spans="2:7" s="20" customFormat="1" hidden="1" outlineLevel="1" x14ac:dyDescent="0.25">
      <c r="B74" s="19" t="s">
        <v>25</v>
      </c>
    </row>
    <row r="75" spans="2:7" s="20" customFormat="1" hidden="1" outlineLevel="1" x14ac:dyDescent="0.25"/>
    <row r="76" spans="2:7" s="20" customFormat="1" hidden="1" outlineLevel="1" x14ac:dyDescent="0.25">
      <c r="B76" s="20" t="s">
        <v>669</v>
      </c>
      <c r="C76" s="23">
        <v>20</v>
      </c>
      <c r="D76" s="20" t="s">
        <v>56</v>
      </c>
    </row>
    <row r="77" spans="2:7" s="20" customFormat="1" hidden="1" outlineLevel="1" x14ac:dyDescent="0.25">
      <c r="B77" s="20" t="s">
        <v>24</v>
      </c>
      <c r="C77" s="38">
        <f>(((C64*2)+(C65*2))*(1+C76/100))/100</f>
        <v>-0.28799999999999998</v>
      </c>
      <c r="D77" s="20" t="s">
        <v>53</v>
      </c>
    </row>
    <row r="78" spans="2:7" s="20" customFormat="1" hidden="1" outlineLevel="1" x14ac:dyDescent="0.25">
      <c r="B78" s="20" t="s">
        <v>23</v>
      </c>
      <c r="C78" s="37" t="e">
        <f>INT(($C$12)/(C54/100))</f>
        <v>#DIV/0!</v>
      </c>
      <c r="D78" s="20" t="s">
        <v>644</v>
      </c>
    </row>
    <row r="79" spans="2:7" s="20" customFormat="1" hidden="1" outlineLevel="1" x14ac:dyDescent="0.25">
      <c r="B79" s="20" t="s">
        <v>22</v>
      </c>
      <c r="C79" s="37" t="e">
        <f>C78*C77</f>
        <v>#DIV/0!</v>
      </c>
      <c r="D79" s="20" t="s">
        <v>53</v>
      </c>
    </row>
    <row r="80" spans="2:7" s="20" customFormat="1" hidden="1" outlineLevel="1" x14ac:dyDescent="0.25">
      <c r="B80" s="20" t="s">
        <v>665</v>
      </c>
      <c r="C80" s="37" t="e">
        <f>C79*(1+'LEIA-ME'!$D$31)</f>
        <v>#DIV/0!</v>
      </c>
      <c r="D80" s="20" t="s">
        <v>53</v>
      </c>
    </row>
    <row r="81" spans="2:4" s="20" customFormat="1" hidden="1" outlineLevel="1" x14ac:dyDescent="0.25">
      <c r="B81" s="20" t="s">
        <v>664</v>
      </c>
      <c r="C81" s="23">
        <v>12</v>
      </c>
      <c r="D81" s="20" t="s">
        <v>53</v>
      </c>
    </row>
    <row r="82" spans="2:4" s="20" customFormat="1" hidden="1" outlineLevel="1" x14ac:dyDescent="0.25">
      <c r="B82" s="20" t="s">
        <v>72</v>
      </c>
      <c r="C82" s="37" t="e">
        <f>C80/C81</f>
        <v>#DIV/0!</v>
      </c>
      <c r="D82" s="20" t="s">
        <v>64</v>
      </c>
    </row>
    <row r="83" spans="2:4" s="20" customFormat="1" hidden="1" outlineLevel="1" x14ac:dyDescent="0.25"/>
    <row r="84" spans="2:4" s="20" customFormat="1" hidden="1" outlineLevel="1" x14ac:dyDescent="0.25">
      <c r="B84" s="19" t="s">
        <v>73</v>
      </c>
    </row>
    <row r="85" spans="2:4" s="20" customFormat="1" hidden="1" outlineLevel="1" x14ac:dyDescent="0.25"/>
    <row r="86" spans="2:4" s="20" customFormat="1" hidden="1" outlineLevel="1" x14ac:dyDescent="0.25">
      <c r="B86" s="20" t="s">
        <v>666</v>
      </c>
      <c r="C86" s="85">
        <v>0.02</v>
      </c>
      <c r="D86" s="20" t="s">
        <v>650</v>
      </c>
    </row>
    <row r="87" spans="2:4" s="20" customFormat="1" hidden="1" outlineLevel="1" x14ac:dyDescent="0.25">
      <c r="B87" s="20" t="s">
        <v>615</v>
      </c>
      <c r="C87" s="21" t="e">
        <f>(C69+C79)*C86*(1+'LEIA-ME'!$D$31)</f>
        <v>#DIV/0!</v>
      </c>
      <c r="D87" s="20" t="s">
        <v>49</v>
      </c>
    </row>
    <row r="88" spans="2:4" s="20" customFormat="1" hidden="1" outlineLevel="1" x14ac:dyDescent="0.25">
      <c r="B88" s="20" t="s">
        <v>668</v>
      </c>
      <c r="C88" s="23">
        <v>5</v>
      </c>
      <c r="D88" s="20" t="s">
        <v>667</v>
      </c>
    </row>
    <row r="89" spans="2:4" s="20" customFormat="1" hidden="1" outlineLevel="1" x14ac:dyDescent="0.25">
      <c r="B89" s="20" t="s">
        <v>622</v>
      </c>
      <c r="C89" s="25">
        <f>C69*C88*(1+'LEIA-ME'!$D$31)</f>
        <v>0</v>
      </c>
      <c r="D89" s="20" t="s">
        <v>644</v>
      </c>
    </row>
    <row r="90" spans="2:4" hidden="1" outlineLevel="1" x14ac:dyDescent="0.25">
      <c r="B90" s="4"/>
      <c r="D90" s="32"/>
    </row>
    <row r="91" spans="2:4" collapsed="1" x14ac:dyDescent="0.25">
      <c r="B91" s="27" t="s">
        <v>5</v>
      </c>
      <c r="C91" s="28" t="s">
        <v>46</v>
      </c>
      <c r="D91" s="28" t="s">
        <v>6</v>
      </c>
    </row>
    <row r="92" spans="2:4" x14ac:dyDescent="0.25">
      <c r="B92" s="88" t="s">
        <v>70</v>
      </c>
      <c r="C92" s="91" t="s">
        <v>642</v>
      </c>
      <c r="D92" s="87">
        <f>C72</f>
        <v>0</v>
      </c>
    </row>
    <row r="93" spans="2:4" x14ac:dyDescent="0.25">
      <c r="B93" s="88" t="s">
        <v>71</v>
      </c>
      <c r="C93" s="91" t="s">
        <v>642</v>
      </c>
      <c r="D93" s="87">
        <f>IFERROR(C82,0)</f>
        <v>0</v>
      </c>
    </row>
    <row r="94" spans="2:4" x14ac:dyDescent="0.25">
      <c r="B94" s="88" t="s">
        <v>74</v>
      </c>
      <c r="C94" s="91" t="s">
        <v>641</v>
      </c>
      <c r="D94" s="87">
        <f>IFERROR(C87,0)</f>
        <v>0</v>
      </c>
    </row>
    <row r="95" spans="2:4" x14ac:dyDescent="0.25">
      <c r="B95" s="88" t="s">
        <v>231</v>
      </c>
      <c r="C95" s="91" t="s">
        <v>50</v>
      </c>
      <c r="D95" s="87">
        <f>C89</f>
        <v>0</v>
      </c>
    </row>
    <row r="98" spans="1:8" s="5" customFormat="1" ht="18.75" x14ac:dyDescent="0.3">
      <c r="A98" s="7"/>
      <c r="B98" s="132" t="s">
        <v>554</v>
      </c>
      <c r="C98" s="132"/>
      <c r="D98" s="132"/>
      <c r="E98" s="7"/>
      <c r="F98" s="7"/>
      <c r="H98" s="22"/>
    </row>
    <row r="100" spans="1:8" s="20" customFormat="1" hidden="1" outlineLevel="1" x14ac:dyDescent="0.25">
      <c r="B100" s="19" t="s">
        <v>120</v>
      </c>
    </row>
    <row r="101" spans="1:8" s="20" customFormat="1" hidden="1" outlineLevel="1" x14ac:dyDescent="0.25"/>
    <row r="102" spans="1:8" s="20" customFormat="1" hidden="1" outlineLevel="1" x14ac:dyDescent="0.25">
      <c r="B102" s="20" t="s">
        <v>649</v>
      </c>
      <c r="C102" s="33">
        <v>3</v>
      </c>
      <c r="D102" s="20" t="s">
        <v>53</v>
      </c>
    </row>
    <row r="103" spans="1:8" s="20" customFormat="1" hidden="1" outlineLevel="1" x14ac:dyDescent="0.25">
      <c r="B103" s="20" t="s">
        <v>20</v>
      </c>
      <c r="C103" s="21">
        <f>($C$12)/C102</f>
        <v>0</v>
      </c>
      <c r="D103" s="20" t="s">
        <v>644</v>
      </c>
    </row>
    <row r="104" spans="1:8" s="20" customFormat="1" hidden="1" outlineLevel="1" x14ac:dyDescent="0.25">
      <c r="B104" s="20" t="s">
        <v>19</v>
      </c>
      <c r="C104" s="21">
        <f>IF(15&gt;25,2,1)</f>
        <v>1</v>
      </c>
      <c r="D104" s="20" t="s">
        <v>644</v>
      </c>
    </row>
    <row r="105" spans="1:8" s="20" customFormat="1" hidden="1" outlineLevel="1" x14ac:dyDescent="0.25">
      <c r="B105" s="20" t="s">
        <v>228</v>
      </c>
      <c r="C105" s="21">
        <f>C104*C103*2</f>
        <v>0</v>
      </c>
      <c r="D105" s="20" t="s">
        <v>644</v>
      </c>
    </row>
    <row r="106" spans="1:8" s="20" customFormat="1" hidden="1" outlineLevel="1" x14ac:dyDescent="0.25">
      <c r="B106" s="20" t="s">
        <v>672</v>
      </c>
      <c r="C106" s="21">
        <f>C105*(1+'LEIA-ME'!$D$31)</f>
        <v>0</v>
      </c>
      <c r="D106" s="20" t="s">
        <v>644</v>
      </c>
    </row>
    <row r="107" spans="1:8" s="20" customFormat="1" hidden="1" outlineLevel="1" x14ac:dyDescent="0.25">
      <c r="C107" s="21"/>
    </row>
    <row r="108" spans="1:8" s="20" customFormat="1" hidden="1" outlineLevel="1" x14ac:dyDescent="0.25">
      <c r="B108" s="19" t="s">
        <v>121</v>
      </c>
    </row>
    <row r="109" spans="1:8" s="20" customFormat="1" hidden="1" outlineLevel="1" x14ac:dyDescent="0.25"/>
    <row r="110" spans="1:8" s="20" customFormat="1" hidden="1" outlineLevel="1" x14ac:dyDescent="0.25">
      <c r="B110" s="20" t="s">
        <v>18</v>
      </c>
      <c r="C110" s="23">
        <v>40</v>
      </c>
      <c r="D110" s="39" t="s">
        <v>56</v>
      </c>
    </row>
    <row r="111" spans="1:8" s="20" customFormat="1" hidden="1" outlineLevel="1" x14ac:dyDescent="0.25">
      <c r="B111" s="20" t="s">
        <v>232</v>
      </c>
      <c r="C111" s="21">
        <f>($C$12)/(C110/100)*C104</f>
        <v>0</v>
      </c>
      <c r="D111" s="39" t="s">
        <v>644</v>
      </c>
    </row>
    <row r="112" spans="1:8" s="20" customFormat="1" hidden="1" outlineLevel="1" x14ac:dyDescent="0.25">
      <c r="B112" s="20" t="s">
        <v>17</v>
      </c>
      <c r="C112" s="21">
        <f>C111*(C10/100)</f>
        <v>0</v>
      </c>
      <c r="D112" s="20" t="s">
        <v>53</v>
      </c>
    </row>
    <row r="113" spans="2:5" s="20" customFormat="1" hidden="1" outlineLevel="1" x14ac:dyDescent="0.25">
      <c r="B113" s="20" t="s">
        <v>673</v>
      </c>
      <c r="C113" s="21">
        <f>C112*(1+'LEIA-ME'!$D$31)</f>
        <v>0</v>
      </c>
      <c r="D113" s="20" t="s">
        <v>53</v>
      </c>
    </row>
    <row r="114" spans="2:5" s="20" customFormat="1" hidden="1" outlineLevel="1" x14ac:dyDescent="0.25">
      <c r="B114" s="20" t="s">
        <v>674</v>
      </c>
      <c r="C114" s="33">
        <v>3</v>
      </c>
      <c r="D114" s="20" t="s">
        <v>53</v>
      </c>
    </row>
    <row r="115" spans="2:5" s="20" customFormat="1" hidden="1" outlineLevel="1" x14ac:dyDescent="0.25">
      <c r="B115" s="20" t="s">
        <v>232</v>
      </c>
      <c r="C115" s="21">
        <f>C113/C114</f>
        <v>0</v>
      </c>
      <c r="D115" s="20" t="s">
        <v>644</v>
      </c>
    </row>
    <row r="116" spans="2:5" s="20" customFormat="1" hidden="1" outlineLevel="1" x14ac:dyDescent="0.25"/>
    <row r="117" spans="2:5" s="20" customFormat="1" hidden="1" outlineLevel="1" x14ac:dyDescent="0.25">
      <c r="B117" s="19" t="s">
        <v>122</v>
      </c>
    </row>
    <row r="118" spans="2:5" s="20" customFormat="1" hidden="1" outlineLevel="1" x14ac:dyDescent="0.25"/>
    <row r="119" spans="2:5" s="20" customFormat="1" hidden="1" outlineLevel="1" x14ac:dyDescent="0.25">
      <c r="B119" s="20" t="s">
        <v>16</v>
      </c>
      <c r="C119" s="92">
        <v>3.0959999999999998E-2</v>
      </c>
      <c r="D119" s="39" t="s">
        <v>829</v>
      </c>
      <c r="E119" s="99"/>
    </row>
    <row r="120" spans="2:5" s="20" customFormat="1" hidden="1" outlineLevel="1" x14ac:dyDescent="0.25">
      <c r="B120" s="20" t="s">
        <v>614</v>
      </c>
      <c r="C120" s="40">
        <f>$C$106*C119*(1+'LEIA-ME'!$D$31)</f>
        <v>0</v>
      </c>
      <c r="D120" s="20" t="s">
        <v>49</v>
      </c>
    </row>
    <row r="121" spans="2:5" hidden="1" outlineLevel="1" x14ac:dyDescent="0.25"/>
    <row r="122" spans="2:5" collapsed="1" x14ac:dyDescent="0.25">
      <c r="B122" s="27" t="s">
        <v>5</v>
      </c>
      <c r="C122" s="28" t="s">
        <v>46</v>
      </c>
      <c r="D122" s="28" t="s">
        <v>6</v>
      </c>
    </row>
    <row r="123" spans="2:5" x14ac:dyDescent="0.25">
      <c r="B123" s="88" t="s">
        <v>77</v>
      </c>
      <c r="C123" s="91" t="s">
        <v>612</v>
      </c>
      <c r="D123" s="87">
        <f>C106</f>
        <v>0</v>
      </c>
    </row>
    <row r="124" spans="2:5" x14ac:dyDescent="0.25">
      <c r="B124" s="88" t="s">
        <v>76</v>
      </c>
      <c r="C124" s="91" t="s">
        <v>612</v>
      </c>
      <c r="D124" s="87">
        <f>C115</f>
        <v>0</v>
      </c>
    </row>
    <row r="125" spans="2:5" x14ac:dyDescent="0.25">
      <c r="B125" s="90" t="s">
        <v>636</v>
      </c>
      <c r="C125" s="89" t="s">
        <v>49</v>
      </c>
      <c r="D125" s="87">
        <f>C120</f>
        <v>0</v>
      </c>
    </row>
  </sheetData>
  <mergeCells count="7">
    <mergeCell ref="B98:D98"/>
    <mergeCell ref="B2:D2"/>
    <mergeCell ref="B4:D4"/>
    <mergeCell ref="B6:D6"/>
    <mergeCell ref="C24:F24"/>
    <mergeCell ref="C33:F33"/>
    <mergeCell ref="B49:D49"/>
  </mergeCells>
  <dataValidations count="2">
    <dataValidation type="list" allowBlank="1" showInputMessage="1" showErrorMessage="1" sqref="C14" xr:uid="{00000000-0002-0000-0900-000000000000}">
      <formula1>$B$26:$B$31</formula1>
    </dataValidation>
    <dataValidation type="list" allowBlank="1" showInputMessage="1" showErrorMessage="1" sqref="C13" xr:uid="{00000000-0002-0000-0900-000001000000}">
      <formula1>"Usinado,Feito na obra"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LEIA-ME</vt:lpstr>
      <vt:lpstr>1. Gabarito da obra</vt:lpstr>
      <vt:lpstr>2. Viga Baldrame</vt:lpstr>
      <vt:lpstr>3. Sapata isolada</vt:lpstr>
      <vt:lpstr>4. Estaca</vt:lpstr>
      <vt:lpstr>5. Paredes com Tijolos</vt:lpstr>
      <vt:lpstr>6. Paredes com Blocos</vt:lpstr>
      <vt:lpstr>7. Colunas ou Pilares</vt:lpstr>
      <vt:lpstr>8. Viga</vt:lpstr>
      <vt:lpstr>9. Contrapiso</vt:lpstr>
      <vt:lpstr>10. Laje</vt:lpstr>
      <vt:lpstr>11. Chapisco-Emboço-Reboco</vt:lpstr>
      <vt:lpstr>12. Gesso</vt:lpstr>
      <vt:lpstr>13. Portas</vt:lpstr>
      <vt:lpstr>14. Janelas</vt:lpstr>
      <vt:lpstr>15. Telhado exposto</vt:lpstr>
      <vt:lpstr>16. Pintura</vt:lpstr>
      <vt:lpstr>17. Pisos</vt:lpstr>
      <vt:lpstr>18. Revestimentos</vt:lpstr>
      <vt:lpstr>19. Muro com Tijolos</vt:lpstr>
      <vt:lpstr>20. Muro com Blocos</vt:lpstr>
      <vt:lpstr>21. Calçada</vt:lpstr>
      <vt:lpstr>Lista por etapa</vt:lpstr>
      <vt:lpstr>Lista por categoria</vt:lpstr>
      <vt:lpstr>Mão de Obra por etapa</vt:lpstr>
      <vt:lpstr>Custo por etapa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2017-06-27T14:58:12Z</dcterms:created>
  <dcterms:modified xsi:type="dcterms:W3CDTF">2022-02-04T19:17:28Z</dcterms:modified>
</cp:coreProperties>
</file>