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Arellano\Downloads\"/>
    </mc:Choice>
  </mc:AlternateContent>
  <xr:revisionPtr revIDLastSave="0" documentId="8_{C908DF3C-6C5D-4385-8ABC-600FFDE1E08A}" xr6:coauthVersionLast="47" xr6:coauthVersionMax="47" xr10:uidLastSave="{00000000-0000-0000-0000-000000000000}"/>
  <bookViews>
    <workbookView xWindow="-120" yWindow="-120" windowWidth="29040" windowHeight="15840" xr2:uid="{FF75910B-7081-4F2B-95BA-FBC8E17F6B38}"/>
  </bookViews>
  <sheets>
    <sheet name="DCF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P152" i="1"/>
  <c r="F31" i="1"/>
  <c r="L145" i="1"/>
  <c r="M145" i="1" s="1"/>
  <c r="N145" i="1" s="1"/>
  <c r="O145" i="1" s="1"/>
  <c r="P145" i="1" s="1"/>
  <c r="K145" i="1"/>
  <c r="B4" i="2"/>
  <c r="B14" i="2"/>
  <c r="B3" i="2" s="1"/>
  <c r="B11" i="2"/>
  <c r="B10" i="2"/>
  <c r="K139" i="1" l="1"/>
  <c r="L139" i="1" s="1"/>
  <c r="M139" i="1" s="1"/>
  <c r="N139" i="1" s="1"/>
  <c r="O139" i="1" s="1"/>
  <c r="P139" i="1" s="1"/>
  <c r="K136" i="1"/>
  <c r="L136" i="1" s="1"/>
  <c r="M136" i="1" s="1"/>
  <c r="N136" i="1" s="1"/>
  <c r="O136" i="1" s="1"/>
  <c r="P136" i="1" s="1"/>
  <c r="P133" i="1"/>
  <c r="J138" i="1"/>
  <c r="I138" i="1"/>
  <c r="H138" i="1"/>
  <c r="G138" i="1"/>
  <c r="F138" i="1"/>
  <c r="E138" i="1"/>
  <c r="J135" i="1"/>
  <c r="I135" i="1"/>
  <c r="H135" i="1"/>
  <c r="G135" i="1"/>
  <c r="F135" i="1"/>
  <c r="E135" i="1"/>
  <c r="J132" i="1"/>
  <c r="I132" i="1"/>
  <c r="H132" i="1"/>
  <c r="G132" i="1"/>
  <c r="F132" i="1"/>
  <c r="E132" i="1"/>
  <c r="J127" i="1"/>
  <c r="I127" i="1"/>
  <c r="H127" i="1"/>
  <c r="G127" i="1"/>
  <c r="F127" i="1"/>
  <c r="E127" i="1"/>
  <c r="E64" i="1"/>
  <c r="E128" i="1" s="1"/>
  <c r="J64" i="1"/>
  <c r="L26" i="1" s="1"/>
  <c r="I64" i="1"/>
  <c r="I128" i="1" s="1"/>
  <c r="H64" i="1"/>
  <c r="H128" i="1" s="1"/>
  <c r="G64" i="1"/>
  <c r="G128" i="1" s="1"/>
  <c r="F64" i="1"/>
  <c r="F128" i="1" s="1"/>
  <c r="E120" i="1"/>
  <c r="J111" i="1"/>
  <c r="I111" i="1"/>
  <c r="H111" i="1"/>
  <c r="G111" i="1"/>
  <c r="E111" i="1"/>
  <c r="J105" i="1"/>
  <c r="I105" i="1"/>
  <c r="H105" i="1"/>
  <c r="G105" i="1"/>
  <c r="E105" i="1"/>
  <c r="J99" i="1"/>
  <c r="I99" i="1"/>
  <c r="H99" i="1"/>
  <c r="G99" i="1"/>
  <c r="E99" i="1"/>
  <c r="E98" i="1"/>
  <c r="O58" i="1"/>
  <c r="N58" i="1"/>
  <c r="M58" i="1"/>
  <c r="L58" i="1"/>
  <c r="K58" i="1"/>
  <c r="J58" i="1"/>
  <c r="I58" i="1"/>
  <c r="H58" i="1"/>
  <c r="G58" i="1"/>
  <c r="E58" i="1"/>
  <c r="O56" i="1"/>
  <c r="N56" i="1"/>
  <c r="M56" i="1"/>
  <c r="L56" i="1"/>
  <c r="L114" i="1" s="1"/>
  <c r="L115" i="1" s="1"/>
  <c r="K56" i="1"/>
  <c r="K114" i="1" s="1"/>
  <c r="J56" i="1"/>
  <c r="I56" i="1"/>
  <c r="H56" i="1"/>
  <c r="G56" i="1"/>
  <c r="O53" i="1"/>
  <c r="N53" i="1"/>
  <c r="M53" i="1"/>
  <c r="L53" i="1"/>
  <c r="L108" i="1" s="1"/>
  <c r="L107" i="1" s="1"/>
  <c r="K53" i="1"/>
  <c r="K108" i="1" s="1"/>
  <c r="J53" i="1"/>
  <c r="I53" i="1"/>
  <c r="H53" i="1"/>
  <c r="G53" i="1"/>
  <c r="O50" i="1"/>
  <c r="N50" i="1"/>
  <c r="M50" i="1"/>
  <c r="L50" i="1"/>
  <c r="L102" i="1" s="1"/>
  <c r="K50" i="1"/>
  <c r="K102" i="1" s="1"/>
  <c r="J50" i="1"/>
  <c r="I50" i="1"/>
  <c r="H50" i="1"/>
  <c r="G50" i="1"/>
  <c r="F43" i="1"/>
  <c r="G43" i="1"/>
  <c r="H43" i="1"/>
  <c r="I43" i="1"/>
  <c r="J43" i="1"/>
  <c r="K43" i="1"/>
  <c r="K92" i="1" s="1"/>
  <c r="L43" i="1"/>
  <c r="L92" i="1" s="1"/>
  <c r="M43" i="1"/>
  <c r="N43" i="1"/>
  <c r="O43" i="1"/>
  <c r="F55" i="1"/>
  <c r="F56" i="1" s="1"/>
  <c r="F49" i="1"/>
  <c r="F50" i="1" s="1"/>
  <c r="F52" i="1"/>
  <c r="F53" i="1" s="1"/>
  <c r="B56" i="1"/>
  <c r="B53" i="1"/>
  <c r="B55" i="1"/>
  <c r="B52" i="1"/>
  <c r="B49" i="1"/>
  <c r="P93" i="1"/>
  <c r="P92" i="1"/>
  <c r="P90" i="1" s="1"/>
  <c r="P91" i="1"/>
  <c r="H17" i="1"/>
  <c r="P87" i="1"/>
  <c r="P86" i="1"/>
  <c r="P84" i="1" s="1"/>
  <c r="P85" i="1"/>
  <c r="Q15" i="1"/>
  <c r="Q17" i="1" s="1"/>
  <c r="L14" i="1"/>
  <c r="H14" i="1"/>
  <c r="T14" i="1" s="1"/>
  <c r="T15" i="1" s="1"/>
  <c r="T21" i="1" s="1"/>
  <c r="H13" i="1"/>
  <c r="P81" i="1"/>
  <c r="P79" i="1"/>
  <c r="N12" i="1"/>
  <c r="T12" i="1" s="1"/>
  <c r="T13" i="1" s="1"/>
  <c r="J89" i="1"/>
  <c r="I89" i="1"/>
  <c r="H89" i="1"/>
  <c r="G89" i="1"/>
  <c r="F89" i="1"/>
  <c r="E89" i="1"/>
  <c r="J83" i="1"/>
  <c r="I83" i="1"/>
  <c r="H83" i="1"/>
  <c r="G83" i="1"/>
  <c r="F83" i="1"/>
  <c r="E83" i="1"/>
  <c r="J77" i="1"/>
  <c r="I77" i="1"/>
  <c r="H77" i="1"/>
  <c r="G77" i="1"/>
  <c r="F77" i="1"/>
  <c r="E77" i="1"/>
  <c r="E100" i="1" s="1"/>
  <c r="K45" i="1"/>
  <c r="O45" i="1"/>
  <c r="N45" i="1"/>
  <c r="M45" i="1"/>
  <c r="M59" i="1" s="1"/>
  <c r="L45" i="1"/>
  <c r="J45" i="1"/>
  <c r="J74" i="1" s="1"/>
  <c r="I45" i="1"/>
  <c r="I74" i="1" s="1"/>
  <c r="H45" i="1"/>
  <c r="H71" i="1" s="1"/>
  <c r="G45" i="1"/>
  <c r="G71" i="1" s="1"/>
  <c r="F45" i="1"/>
  <c r="F74" i="1" s="1"/>
  <c r="E45" i="1"/>
  <c r="E59" i="1" s="1"/>
  <c r="F37" i="1"/>
  <c r="G37" i="1"/>
  <c r="H37" i="1"/>
  <c r="I37" i="1"/>
  <c r="J37" i="1"/>
  <c r="K37" i="1"/>
  <c r="K80" i="1" s="1"/>
  <c r="L37" i="1"/>
  <c r="L80" i="1" s="1"/>
  <c r="M37" i="1"/>
  <c r="N37" i="1"/>
  <c r="O37" i="1"/>
  <c r="F40" i="1"/>
  <c r="G40" i="1"/>
  <c r="H40" i="1"/>
  <c r="I40" i="1"/>
  <c r="J40" i="1"/>
  <c r="K40" i="1"/>
  <c r="K86" i="1" s="1"/>
  <c r="L40" i="1"/>
  <c r="L86" i="1" s="1"/>
  <c r="M40" i="1"/>
  <c r="N40" i="1"/>
  <c r="O40" i="1"/>
  <c r="R26" i="1" l="1"/>
  <c r="J128" i="1"/>
  <c r="B12" i="2"/>
  <c r="B16" i="2" s="1"/>
  <c r="R30" i="1" s="1"/>
  <c r="L113" i="1"/>
  <c r="X26" i="1"/>
  <c r="K128" i="1" s="1"/>
  <c r="L128" i="1" s="1"/>
  <c r="M128" i="1" s="1"/>
  <c r="N128" i="1" s="1"/>
  <c r="O128" i="1" s="1"/>
  <c r="P128" i="1" s="1"/>
  <c r="I112" i="1"/>
  <c r="O59" i="1"/>
  <c r="G68" i="1"/>
  <c r="G74" i="1"/>
  <c r="H68" i="1"/>
  <c r="H74" i="1"/>
  <c r="E71" i="1"/>
  <c r="I71" i="1"/>
  <c r="F71" i="1"/>
  <c r="E68" i="1"/>
  <c r="I68" i="1"/>
  <c r="E74" i="1"/>
  <c r="J71" i="1"/>
  <c r="F68" i="1"/>
  <c r="J68" i="1"/>
  <c r="I59" i="1"/>
  <c r="E106" i="1"/>
  <c r="H112" i="1"/>
  <c r="G106" i="1"/>
  <c r="J117" i="1"/>
  <c r="J124" i="1" s="1"/>
  <c r="L109" i="1"/>
  <c r="J100" i="1"/>
  <c r="H106" i="1"/>
  <c r="I106" i="1"/>
  <c r="H100" i="1"/>
  <c r="J106" i="1"/>
  <c r="I117" i="1"/>
  <c r="I124" i="1" s="1"/>
  <c r="G59" i="1"/>
  <c r="K59" i="1"/>
  <c r="H59" i="1"/>
  <c r="L59" i="1"/>
  <c r="G100" i="1"/>
  <c r="J59" i="1"/>
  <c r="N59" i="1"/>
  <c r="H117" i="1"/>
  <c r="H124" i="1" s="1"/>
  <c r="F111" i="1"/>
  <c r="F112" i="1" s="1"/>
  <c r="J112" i="1"/>
  <c r="M108" i="1"/>
  <c r="L106" i="1"/>
  <c r="N108" i="1"/>
  <c r="K113" i="1"/>
  <c r="K115" i="1"/>
  <c r="K101" i="1"/>
  <c r="K103" i="1"/>
  <c r="K100" i="1" s="1"/>
  <c r="L101" i="1"/>
  <c r="N102" i="1"/>
  <c r="M102" i="1"/>
  <c r="L103" i="1"/>
  <c r="L100" i="1"/>
  <c r="K109" i="1"/>
  <c r="K107" i="1"/>
  <c r="K106" i="1"/>
  <c r="M114" i="1"/>
  <c r="F99" i="1"/>
  <c r="F100" i="1" s="1"/>
  <c r="I100" i="1"/>
  <c r="G117" i="1"/>
  <c r="G124" i="1" s="1"/>
  <c r="F58" i="1"/>
  <c r="F59" i="1" s="1"/>
  <c r="F105" i="1"/>
  <c r="F106" i="1" s="1"/>
  <c r="E112" i="1"/>
  <c r="G112" i="1"/>
  <c r="E117" i="1"/>
  <c r="E124" i="1" s="1"/>
  <c r="F90" i="1"/>
  <c r="G95" i="1"/>
  <c r="G121" i="1" s="1"/>
  <c r="J90" i="1"/>
  <c r="O46" i="1"/>
  <c r="K46" i="1"/>
  <c r="H78" i="1"/>
  <c r="F84" i="1"/>
  <c r="J84" i="1"/>
  <c r="H90" i="1"/>
  <c r="N46" i="1"/>
  <c r="E95" i="1"/>
  <c r="E121" i="1" s="1"/>
  <c r="E133" i="1" s="1"/>
  <c r="I95" i="1"/>
  <c r="I121" i="1" s="1"/>
  <c r="I133" i="1" s="1"/>
  <c r="L91" i="1"/>
  <c r="M91" i="1" s="1"/>
  <c r="N91" i="1" s="1"/>
  <c r="O91" i="1" s="1"/>
  <c r="M92" i="1"/>
  <c r="N92" i="1" s="1"/>
  <c r="O92" i="1" s="1"/>
  <c r="L93" i="1"/>
  <c r="K93" i="1"/>
  <c r="K90" i="1" s="1"/>
  <c r="K89" i="1" s="1"/>
  <c r="K91" i="1"/>
  <c r="K85" i="1"/>
  <c r="K87" i="1"/>
  <c r="K84" i="1" s="1"/>
  <c r="K83" i="1" s="1"/>
  <c r="L87" i="1"/>
  <c r="M87" i="1" s="1"/>
  <c r="M86" i="1"/>
  <c r="L84" i="1"/>
  <c r="L85" i="1"/>
  <c r="H95" i="1"/>
  <c r="H121" i="1" s="1"/>
  <c r="H139" i="1" s="1"/>
  <c r="H15" i="1"/>
  <c r="F78" i="1"/>
  <c r="J78" i="1"/>
  <c r="H84" i="1"/>
  <c r="F95" i="1"/>
  <c r="F121" i="1" s="1"/>
  <c r="J95" i="1"/>
  <c r="J121" i="1" s="1"/>
  <c r="J139" i="1" s="1"/>
  <c r="G46" i="1"/>
  <c r="L46" i="1"/>
  <c r="F46" i="1"/>
  <c r="G78" i="1"/>
  <c r="I84" i="1"/>
  <c r="G90" i="1"/>
  <c r="J46" i="1"/>
  <c r="I78" i="1"/>
  <c r="G84" i="1"/>
  <c r="I90" i="1"/>
  <c r="K81" i="1"/>
  <c r="K78" i="1" s="1"/>
  <c r="K77" i="1" s="1"/>
  <c r="K79" i="1"/>
  <c r="L81" i="1"/>
  <c r="L78" i="1" s="1"/>
  <c r="L79" i="1"/>
  <c r="M79" i="1" s="1"/>
  <c r="N79" i="1" s="1"/>
  <c r="O79" i="1" s="1"/>
  <c r="M80" i="1"/>
  <c r="H46" i="1"/>
  <c r="I46" i="1"/>
  <c r="M46" i="1"/>
  <c r="L77" i="1" l="1"/>
  <c r="L99" i="1" s="1"/>
  <c r="M93" i="1"/>
  <c r="N93" i="1" s="1"/>
  <c r="O93" i="1" s="1"/>
  <c r="L90" i="1"/>
  <c r="O90" i="1"/>
  <c r="G139" i="1"/>
  <c r="G136" i="1"/>
  <c r="G125" i="1"/>
  <c r="G133" i="1"/>
  <c r="F133" i="1"/>
  <c r="F136" i="1"/>
  <c r="E125" i="1"/>
  <c r="M115" i="1"/>
  <c r="M113" i="1"/>
  <c r="E139" i="1"/>
  <c r="E136" i="1"/>
  <c r="F139" i="1"/>
  <c r="J133" i="1"/>
  <c r="K133" i="1" s="1"/>
  <c r="L133" i="1" s="1"/>
  <c r="M133" i="1" s="1"/>
  <c r="N133" i="1" s="1"/>
  <c r="O133" i="1" s="1"/>
  <c r="J136" i="1"/>
  <c r="J125" i="1"/>
  <c r="H136" i="1"/>
  <c r="H133" i="1"/>
  <c r="H125" i="1"/>
  <c r="I125" i="1"/>
  <c r="I139" i="1"/>
  <c r="I136" i="1"/>
  <c r="X30" i="1"/>
  <c r="L30" i="1"/>
  <c r="F30" i="1" s="1"/>
  <c r="J122" i="1"/>
  <c r="H122" i="1"/>
  <c r="G122" i="1"/>
  <c r="F122" i="1"/>
  <c r="I122" i="1"/>
  <c r="J118" i="1"/>
  <c r="H21" i="1"/>
  <c r="M85" i="1"/>
  <c r="N85" i="1" s="1"/>
  <c r="O85" i="1" s="1"/>
  <c r="G118" i="1"/>
  <c r="H118" i="1"/>
  <c r="I118" i="1"/>
  <c r="M109" i="1"/>
  <c r="M107" i="1"/>
  <c r="E118" i="1"/>
  <c r="N109" i="1"/>
  <c r="N107" i="1"/>
  <c r="K105" i="1"/>
  <c r="F117" i="1"/>
  <c r="N114" i="1"/>
  <c r="N15" i="1"/>
  <c r="O108" i="1"/>
  <c r="M106" i="1"/>
  <c r="N103" i="1"/>
  <c r="N100" i="1"/>
  <c r="N101" i="1"/>
  <c r="P102" i="1"/>
  <c r="M101" i="1"/>
  <c r="O102" i="1"/>
  <c r="M103" i="1"/>
  <c r="M100" i="1"/>
  <c r="N106" i="1"/>
  <c r="P108" i="1"/>
  <c r="K99" i="1"/>
  <c r="M81" i="1"/>
  <c r="N81" i="1" s="1"/>
  <c r="O81" i="1" s="1"/>
  <c r="L89" i="1"/>
  <c r="H96" i="1"/>
  <c r="I96" i="1"/>
  <c r="F96" i="1"/>
  <c r="N90" i="1"/>
  <c r="G96" i="1"/>
  <c r="K95" i="1"/>
  <c r="J96" i="1"/>
  <c r="N86" i="1"/>
  <c r="M84" i="1"/>
  <c r="N87" i="1"/>
  <c r="O87" i="1" s="1"/>
  <c r="N80" i="1"/>
  <c r="M78" i="1"/>
  <c r="M90" i="1"/>
  <c r="L83" i="1"/>
  <c r="L105" i="1" s="1"/>
  <c r="M77" i="1" l="1"/>
  <c r="M99" i="1" s="1"/>
  <c r="N115" i="1"/>
  <c r="N113" i="1"/>
  <c r="F118" i="1"/>
  <c r="F124" i="1"/>
  <c r="F125" i="1" s="1"/>
  <c r="K96" i="1"/>
  <c r="K121" i="1"/>
  <c r="K138" i="1" s="1"/>
  <c r="P107" i="1"/>
  <c r="P109" i="1"/>
  <c r="O109" i="1"/>
  <c r="O107" i="1"/>
  <c r="O106" i="1"/>
  <c r="P106" i="1"/>
  <c r="P101" i="1"/>
  <c r="P103" i="1"/>
  <c r="P100" i="1"/>
  <c r="O114" i="1"/>
  <c r="O103" i="1"/>
  <c r="O100" i="1"/>
  <c r="O101" i="1"/>
  <c r="M89" i="1"/>
  <c r="N89" i="1" s="1"/>
  <c r="O89" i="1" s="1"/>
  <c r="P89" i="1" s="1"/>
  <c r="M83" i="1"/>
  <c r="M105" i="1" s="1"/>
  <c r="N84" i="1"/>
  <c r="O86" i="1"/>
  <c r="O84" i="1" s="1"/>
  <c r="O80" i="1"/>
  <c r="N78" i="1"/>
  <c r="L95" i="1"/>
  <c r="N77" i="1" l="1"/>
  <c r="N99" i="1" s="1"/>
  <c r="O115" i="1"/>
  <c r="O113" i="1"/>
  <c r="K135" i="1"/>
  <c r="K122" i="1"/>
  <c r="K132" i="1"/>
  <c r="L96" i="1"/>
  <c r="L121" i="1"/>
  <c r="P114" i="1"/>
  <c r="M95" i="1"/>
  <c r="N83" i="1"/>
  <c r="P80" i="1"/>
  <c r="P78" i="1" s="1"/>
  <c r="O78" i="1"/>
  <c r="O77" i="1" s="1"/>
  <c r="O99" i="1" s="1"/>
  <c r="P113" i="1" l="1"/>
  <c r="P115" i="1"/>
  <c r="L135" i="1"/>
  <c r="L138" i="1"/>
  <c r="L122" i="1"/>
  <c r="L132" i="1"/>
  <c r="M96" i="1"/>
  <c r="M121" i="1"/>
  <c r="O83" i="1"/>
  <c r="O95" i="1" s="1"/>
  <c r="O121" i="1" s="1"/>
  <c r="N105" i="1"/>
  <c r="N95" i="1"/>
  <c r="P77" i="1"/>
  <c r="M135" i="1" l="1"/>
  <c r="M138" i="1"/>
  <c r="O135" i="1"/>
  <c r="O138" i="1"/>
  <c r="O132" i="1"/>
  <c r="M122" i="1"/>
  <c r="M132" i="1"/>
  <c r="N96" i="1"/>
  <c r="N121" i="1"/>
  <c r="P83" i="1"/>
  <c r="P105" i="1" s="1"/>
  <c r="O105" i="1"/>
  <c r="P99" i="1"/>
  <c r="O96" i="1"/>
  <c r="N135" i="1" l="1"/>
  <c r="N138" i="1"/>
  <c r="N122" i="1"/>
  <c r="N132" i="1"/>
  <c r="O122" i="1"/>
  <c r="P95" i="1"/>
  <c r="P112" i="1"/>
  <c r="P111" i="1" s="1"/>
  <c r="L112" i="1"/>
  <c r="L111" i="1" s="1"/>
  <c r="K112" i="1"/>
  <c r="K111" i="1" s="1"/>
  <c r="O112" i="1"/>
  <c r="O111" i="1" s="1"/>
  <c r="N112" i="1"/>
  <c r="N111" i="1" s="1"/>
  <c r="M112" i="1"/>
  <c r="M111" i="1" s="1"/>
  <c r="P96" i="1" l="1"/>
  <c r="P121" i="1"/>
  <c r="K117" i="1"/>
  <c r="P135" i="1" l="1"/>
  <c r="P138" i="1"/>
  <c r="P122" i="1"/>
  <c r="P132" i="1"/>
  <c r="K118" i="1"/>
  <c r="K124" i="1"/>
  <c r="L117" i="1"/>
  <c r="K125" i="1" l="1"/>
  <c r="K127" i="1"/>
  <c r="K130" i="1" s="1"/>
  <c r="K141" i="1" s="1"/>
  <c r="K142" i="1" s="1"/>
  <c r="L118" i="1"/>
  <c r="L124" i="1"/>
  <c r="M117" i="1"/>
  <c r="L125" i="1" l="1"/>
  <c r="L127" i="1"/>
  <c r="L130" i="1" s="1"/>
  <c r="L141" i="1" s="1"/>
  <c r="L142" i="1" s="1"/>
  <c r="M118" i="1"/>
  <c r="M124" i="1"/>
  <c r="N117" i="1"/>
  <c r="M125" i="1" l="1"/>
  <c r="M127" i="1"/>
  <c r="M130" i="1" s="1"/>
  <c r="M141" i="1" s="1"/>
  <c r="M142" i="1" s="1"/>
  <c r="N118" i="1"/>
  <c r="N124" i="1"/>
  <c r="O117" i="1"/>
  <c r="P117" i="1"/>
  <c r="N125" i="1" l="1"/>
  <c r="N127" i="1"/>
  <c r="N130" i="1" s="1"/>
  <c r="N141" i="1" s="1"/>
  <c r="N142" i="1" s="1"/>
  <c r="P118" i="1"/>
  <c r="P124" i="1"/>
  <c r="O118" i="1"/>
  <c r="O124" i="1"/>
  <c r="P125" i="1" l="1"/>
  <c r="P127" i="1"/>
  <c r="P130" i="1" s="1"/>
  <c r="P141" i="1" s="1"/>
  <c r="O125" i="1"/>
  <c r="O127" i="1"/>
  <c r="O130" i="1" s="1"/>
  <c r="O141" i="1" s="1"/>
  <c r="O142" i="1" s="1"/>
  <c r="P142" i="1" l="1"/>
  <c r="P147" i="1"/>
  <c r="P148" i="1" s="1"/>
  <c r="P150" i="1" l="1"/>
  <c r="P153" i="1" s="1"/>
  <c r="P155" i="1" s="1"/>
  <c r="G5" i="1" s="1"/>
  <c r="G6" i="1" s="1"/>
</calcChain>
</file>

<file path=xl/sharedStrings.xml><?xml version="1.0" encoding="utf-8"?>
<sst xmlns="http://schemas.openxmlformats.org/spreadsheetml/2006/main" count="215" uniqueCount="72">
  <si>
    <t>DCF</t>
  </si>
  <si>
    <t>Ticker</t>
  </si>
  <si>
    <t>MSFT</t>
  </si>
  <si>
    <t>Current Share Price</t>
  </si>
  <si>
    <t>Conservative</t>
  </si>
  <si>
    <t>Year End</t>
  </si>
  <si>
    <t>Implied Share Price</t>
  </si>
  <si>
    <t>Base</t>
  </si>
  <si>
    <t>Downside</t>
  </si>
  <si>
    <t>Optimistic</t>
  </si>
  <si>
    <t>x</t>
  </si>
  <si>
    <t>Assumptions</t>
  </si>
  <si>
    <t>Switches</t>
  </si>
  <si>
    <t>Revenue</t>
  </si>
  <si>
    <t>Year</t>
  </si>
  <si>
    <t>Metric</t>
  </si>
  <si>
    <t>Productivity &amp; Business</t>
  </si>
  <si>
    <t>Productivity and Business Processes</t>
  </si>
  <si>
    <t>Intelligent Cloud</t>
  </si>
  <si>
    <t>Personal Computing</t>
  </si>
  <si>
    <t>EBIT</t>
  </si>
  <si>
    <t>More Personal Computing</t>
  </si>
  <si>
    <t>2024-2028</t>
  </si>
  <si>
    <t>Other Assumptions</t>
  </si>
  <si>
    <t>Taxes</t>
  </si>
  <si>
    <t>D&amp;A</t>
  </si>
  <si>
    <t>CapEx</t>
  </si>
  <si>
    <t>Change in NWC</t>
  </si>
  <si>
    <t>Valuation</t>
  </si>
  <si>
    <t>WACC</t>
  </si>
  <si>
    <t xml:space="preserve"> TGR</t>
  </si>
  <si>
    <t>TGR</t>
  </si>
  <si>
    <t>Income Statement</t>
  </si>
  <si>
    <t>Prod &amp; Bus.</t>
  </si>
  <si>
    <t>% Growth</t>
  </si>
  <si>
    <t>--</t>
  </si>
  <si>
    <t>Intell. Cloud</t>
  </si>
  <si>
    <t>Personal Comp</t>
  </si>
  <si>
    <t>Total Revenue</t>
  </si>
  <si>
    <t>% of Sales</t>
  </si>
  <si>
    <t>Total EBIT</t>
  </si>
  <si>
    <t>TAXES</t>
  </si>
  <si>
    <t>Pre-Tax Income</t>
  </si>
  <si>
    <t>Tax Rate</t>
  </si>
  <si>
    <t>Cash Flow Items</t>
  </si>
  <si>
    <t>Cap Ex</t>
  </si>
  <si>
    <t>Revenue Build</t>
  </si>
  <si>
    <t xml:space="preserve">Conservative </t>
  </si>
  <si>
    <t>EBIT Build</t>
  </si>
  <si>
    <t>EBIAT</t>
  </si>
  <si>
    <t>Unlevered Free Cash Flow</t>
  </si>
  <si>
    <t>PV of UFCF</t>
  </si>
  <si>
    <t>Period</t>
  </si>
  <si>
    <t>Discount Period</t>
  </si>
  <si>
    <t>Terminal Value</t>
  </si>
  <si>
    <t>PV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</si>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</sst>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A"/>
    <numFmt numFmtId="165" formatCode="0\E"/>
    <numFmt numFmtId="166" formatCode="_(&quot;$&quot;* #,##0_);_(&quot;$&quot;* \(#,##0\);_(&quot;$&quot;* &quot;-&quot;??_);_(@_)"/>
    <numFmt numFmtId="167" formatCode="0.0%"/>
    <numFmt numFmtId="168" formatCode="_([$$-409]* #,##0_);_([$$-409]* \(#,##0\);_([$$-409]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3" fillId="0" borderId="0" xfId="0" applyFont="1"/>
    <xf numFmtId="0" fontId="2" fillId="4" borderId="0" xfId="0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0" fillId="5" borderId="0" xfId="0" applyFill="1"/>
    <xf numFmtId="165" fontId="2" fillId="0" borderId="0" xfId="0" applyNumberFormat="1" applyFont="1" applyAlignment="1">
      <alignment horizontal="right"/>
    </xf>
    <xf numFmtId="166" fontId="5" fillId="0" borderId="0" xfId="1" applyNumberFormat="1" applyFont="1"/>
    <xf numFmtId="9" fontId="6" fillId="0" borderId="0" xfId="2" applyFont="1"/>
    <xf numFmtId="0" fontId="0" fillId="0" borderId="0" xfId="0" quotePrefix="1" applyAlignment="1">
      <alignment horizontal="right"/>
    </xf>
    <xf numFmtId="166" fontId="0" fillId="0" borderId="0" xfId="0" applyNumberFormat="1"/>
    <xf numFmtId="166" fontId="8" fillId="0" borderId="0" xfId="0" applyNumberFormat="1" applyFont="1"/>
    <xf numFmtId="9" fontId="0" fillId="0" borderId="0" xfId="2" quotePrefix="1" applyFont="1" applyAlignment="1">
      <alignment horizontal="right"/>
    </xf>
    <xf numFmtId="9" fontId="6" fillId="0" borderId="0" xfId="2" quotePrefix="1" applyFont="1" applyAlignment="1">
      <alignment horizontal="right"/>
    </xf>
    <xf numFmtId="9" fontId="0" fillId="5" borderId="0" xfId="0" applyNumberFormat="1" applyFill="1"/>
    <xf numFmtId="9" fontId="6" fillId="5" borderId="0" xfId="0" applyNumberFormat="1" applyFont="1" applyFill="1"/>
    <xf numFmtId="9" fontId="9" fillId="5" borderId="0" xfId="0" applyNumberFormat="1" applyFont="1" applyFill="1"/>
    <xf numFmtId="0" fontId="0" fillId="0" borderId="2" xfId="0" applyBorder="1"/>
    <xf numFmtId="166" fontId="0" fillId="0" borderId="2" xfId="0" applyNumberFormat="1" applyBorder="1"/>
    <xf numFmtId="0" fontId="3" fillId="6" borderId="2" xfId="0" applyFont="1" applyFill="1" applyBorder="1"/>
    <xf numFmtId="166" fontId="3" fillId="6" borderId="2" xfId="0" applyNumberFormat="1" applyFont="1" applyFill="1" applyBorder="1"/>
    <xf numFmtId="0" fontId="3" fillId="6" borderId="0" xfId="0" applyFont="1" applyFill="1"/>
    <xf numFmtId="0" fontId="3" fillId="6" borderId="0" xfId="0" quotePrefix="1" applyFont="1" applyFill="1" applyAlignment="1">
      <alignment horizontal="right"/>
    </xf>
    <xf numFmtId="9" fontId="10" fillId="6" borderId="0" xfId="2" applyFont="1" applyFill="1" applyBorder="1"/>
    <xf numFmtId="9" fontId="11" fillId="5" borderId="0" xfId="0" applyNumberFormat="1" applyFont="1" applyFill="1"/>
    <xf numFmtId="0" fontId="0" fillId="0" borderId="0" xfId="0" applyAlignment="1">
      <alignment horizontal="left"/>
    </xf>
    <xf numFmtId="9" fontId="0" fillId="0" borderId="0" xfId="2" applyFont="1"/>
    <xf numFmtId="167" fontId="0" fillId="0" borderId="0" xfId="2" applyNumberFormat="1" applyFont="1"/>
    <xf numFmtId="10" fontId="0" fillId="5" borderId="0" xfId="0" applyNumberFormat="1" applyFill="1"/>
    <xf numFmtId="0" fontId="2" fillId="7" borderId="0" xfId="0" applyFont="1" applyFill="1"/>
    <xf numFmtId="164" fontId="2" fillId="7" borderId="0" xfId="0" applyNumberFormat="1" applyFont="1" applyFill="1"/>
    <xf numFmtId="165" fontId="2" fillId="7" borderId="0" xfId="0" applyNumberFormat="1" applyFont="1" applyFill="1"/>
    <xf numFmtId="165" fontId="2" fillId="7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9" fontId="6" fillId="0" borderId="0" xfId="2" applyFont="1" applyAlignment="1">
      <alignment horizontal="right"/>
    </xf>
    <xf numFmtId="166" fontId="5" fillId="8" borderId="0" xfId="1" applyNumberFormat="1" applyFont="1" applyFill="1"/>
    <xf numFmtId="166" fontId="5" fillId="9" borderId="0" xfId="1" applyNumberFormat="1" applyFont="1" applyFill="1"/>
    <xf numFmtId="167" fontId="12" fillId="5" borderId="0" xfId="2" applyNumberFormat="1" applyFont="1" applyFill="1"/>
    <xf numFmtId="10" fontId="12" fillId="5" borderId="0" xfId="0" applyNumberFormat="1" applyFont="1" applyFill="1"/>
    <xf numFmtId="9" fontId="12" fillId="5" borderId="0" xfId="0" applyNumberFormat="1" applyFont="1" applyFill="1"/>
    <xf numFmtId="0" fontId="12" fillId="5" borderId="0" xfId="0" applyFont="1" applyFill="1"/>
    <xf numFmtId="0" fontId="12" fillId="0" borderId="0" xfId="0" applyFont="1"/>
    <xf numFmtId="9" fontId="6" fillId="5" borderId="0" xfId="2" applyFont="1" applyFill="1"/>
    <xf numFmtId="9" fontId="9" fillId="5" borderId="0" xfId="2" applyFont="1" applyFill="1"/>
    <xf numFmtId="0" fontId="3" fillId="9" borderId="0" xfId="0" applyFont="1" applyFill="1"/>
    <xf numFmtId="0" fontId="0" fillId="9" borderId="0" xfId="0" applyFill="1"/>
    <xf numFmtId="166" fontId="13" fillId="9" borderId="0" xfId="0" applyNumberFormat="1" applyFont="1" applyFill="1"/>
    <xf numFmtId="0" fontId="3" fillId="9" borderId="1" xfId="0" applyFont="1" applyFill="1" applyBorder="1"/>
    <xf numFmtId="0" fontId="0" fillId="9" borderId="1" xfId="0" applyFill="1" applyBorder="1"/>
    <xf numFmtId="0" fontId="3" fillId="9" borderId="1" xfId="0" quotePrefix="1" applyFont="1" applyFill="1" applyBorder="1" applyAlignment="1">
      <alignment horizontal="right"/>
    </xf>
    <xf numFmtId="9" fontId="10" fillId="9" borderId="1" xfId="2" quotePrefix="1" applyFont="1" applyFill="1" applyBorder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0" fontId="2" fillId="4" borderId="0" xfId="0" applyFont="1" applyFill="1"/>
    <xf numFmtId="164" fontId="2" fillId="4" borderId="0" xfId="0" applyNumberFormat="1" applyFont="1" applyFill="1"/>
    <xf numFmtId="165" fontId="2" fillId="4" borderId="0" xfId="0" applyNumberFormat="1" applyFont="1" applyFill="1"/>
    <xf numFmtId="165" fontId="2" fillId="4" borderId="0" xfId="0" applyNumberFormat="1" applyFont="1" applyFill="1" applyAlignment="1">
      <alignment horizontal="right"/>
    </xf>
    <xf numFmtId="0" fontId="6" fillId="0" borderId="0" xfId="0" applyFont="1"/>
    <xf numFmtId="166" fontId="0" fillId="0" borderId="0" xfId="1" applyNumberFormat="1" applyFont="1"/>
    <xf numFmtId="9" fontId="3" fillId="6" borderId="0" xfId="2" quotePrefix="1" applyFont="1" applyFill="1" applyBorder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3" fillId="9" borderId="1" xfId="2" quotePrefix="1" applyFont="1" applyFill="1" applyBorder="1" applyAlignment="1">
      <alignment horizontal="right"/>
    </xf>
    <xf numFmtId="9" fontId="0" fillId="0" borderId="0" xfId="2" applyFont="1" applyAlignment="1"/>
    <xf numFmtId="9" fontId="3" fillId="0" borderId="0" xfId="2" quotePrefix="1" applyFont="1" applyFill="1" applyBorder="1" applyAlignment="1">
      <alignment horizontal="right"/>
    </xf>
    <xf numFmtId="166" fontId="7" fillId="0" borderId="0" xfId="0" applyNumberFormat="1" applyFont="1"/>
    <xf numFmtId="166" fontId="7" fillId="0" borderId="0" xfId="0" applyNumberFormat="1" applyFont="1" applyAlignment="1">
      <alignment horizontal="right"/>
    </xf>
    <xf numFmtId="166" fontId="5" fillId="0" borderId="0" xfId="0" applyNumberFormat="1" applyFont="1"/>
    <xf numFmtId="167" fontId="0" fillId="5" borderId="0" xfId="0" applyNumberFormat="1" applyFill="1"/>
    <xf numFmtId="1" fontId="0" fillId="5" borderId="0" xfId="0" applyNumberFormat="1" applyFill="1"/>
    <xf numFmtId="168" fontId="0" fillId="0" borderId="0" xfId="2" applyNumberFormat="1" applyFont="1"/>
    <xf numFmtId="166" fontId="8" fillId="0" borderId="0" xfId="0" quotePrefix="1" applyNumberFormat="1" applyFont="1" applyAlignment="1">
      <alignment horizontal="right"/>
    </xf>
    <xf numFmtId="0" fontId="3" fillId="10" borderId="0" xfId="0" applyFont="1" applyFill="1"/>
    <xf numFmtId="10" fontId="14" fillId="5" borderId="0" xfId="0" applyNumberFormat="1" applyFont="1" applyFill="1"/>
    <xf numFmtId="0" fontId="3" fillId="11" borderId="0" xfId="0" applyFont="1" applyFill="1"/>
    <xf numFmtId="10" fontId="3" fillId="11" borderId="0" xfId="0" applyNumberFormat="1" applyFont="1" applyFill="1"/>
    <xf numFmtId="0" fontId="14" fillId="0" borderId="0" xfId="0" applyFont="1"/>
    <xf numFmtId="10" fontId="0" fillId="0" borderId="0" xfId="2" applyNumberFormat="1" applyFont="1" applyFill="1"/>
    <xf numFmtId="10" fontId="0" fillId="0" borderId="0" xfId="2" applyNumberFormat="1" applyFont="1"/>
    <xf numFmtId="1" fontId="0" fillId="0" borderId="0" xfId="0" applyNumberFormat="1"/>
    <xf numFmtId="2" fontId="14" fillId="5" borderId="0" xfId="0" applyNumberFormat="1" applyFont="1" applyFill="1"/>
    <xf numFmtId="10" fontId="0" fillId="5" borderId="0" xfId="2" applyNumberFormat="1" applyFont="1" applyFill="1"/>
    <xf numFmtId="0" fontId="0" fillId="0" borderId="3" xfId="0" applyBorder="1"/>
    <xf numFmtId="166" fontId="0" fillId="0" borderId="4" xfId="0" applyNumberFormat="1" applyBorder="1"/>
    <xf numFmtId="0" fontId="0" fillId="0" borderId="5" xfId="0" applyBorder="1"/>
    <xf numFmtId="2" fontId="0" fillId="0" borderId="0" xfId="0" applyNumberFormat="1"/>
    <xf numFmtId="2" fontId="0" fillId="0" borderId="0" xfId="3" applyNumberFormat="1" applyFont="1"/>
    <xf numFmtId="166" fontId="0" fillId="0" borderId="1" xfId="0" applyNumberFormat="1" applyBorder="1"/>
    <xf numFmtId="166" fontId="12" fillId="0" borderId="0" xfId="1" applyNumberFormat="1" applyFont="1"/>
    <xf numFmtId="0" fontId="0" fillId="0" borderId="6" xfId="0" applyBorder="1"/>
    <xf numFmtId="0" fontId="3" fillId="0" borderId="6" xfId="0" applyFont="1" applyBorder="1"/>
    <xf numFmtId="44" fontId="3" fillId="11" borderId="6" xfId="0" applyNumberFormat="1" applyFont="1" applyFill="1" applyBorder="1"/>
    <xf numFmtId="2" fontId="6" fillId="0" borderId="0" xfId="0" applyNumberFormat="1" applyFont="1"/>
    <xf numFmtId="0" fontId="2" fillId="4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9F3B-7C60-468C-B6E7-FD180D45A8CF}">
  <dimension ref="A2:X156"/>
  <sheetViews>
    <sheetView showGridLines="0" tabSelected="1" zoomScaleNormal="100" workbookViewId="0">
      <selection activeCell="D152" sqref="D152"/>
    </sheetView>
  </sheetViews>
  <sheetFormatPr defaultRowHeight="15" x14ac:dyDescent="0.25"/>
  <cols>
    <col min="1" max="1" width="4.42578125" customWidth="1"/>
    <col min="3" max="3" width="11.28515625" bestFit="1" customWidth="1"/>
    <col min="4" max="4" width="10.7109375" customWidth="1"/>
    <col min="5" max="5" width="12.28515625" bestFit="1" customWidth="1"/>
    <col min="6" max="6" width="11.5703125" bestFit="1" customWidth="1"/>
    <col min="7" max="7" width="10.5703125" bestFit="1" customWidth="1"/>
    <col min="8" max="8" width="12.7109375" bestFit="1" customWidth="1"/>
    <col min="9" max="10" width="10.5703125" bestFit="1" customWidth="1"/>
    <col min="11" max="11" width="12.42578125" bestFit="1" customWidth="1"/>
    <col min="12" max="12" width="13" customWidth="1"/>
    <col min="13" max="13" width="13.42578125" customWidth="1"/>
    <col min="14" max="15" width="13.42578125" bestFit="1" customWidth="1"/>
    <col min="16" max="16" width="14.28515625" bestFit="1" customWidth="1"/>
    <col min="20" max="20" width="10.42578125" customWidth="1"/>
    <col min="22" max="22" width="11.5703125" customWidth="1"/>
    <col min="24" max="24" width="11.85546875" customWidth="1"/>
  </cols>
  <sheetData>
    <row r="2" spans="1:24" s="1" customFormat="1" x14ac:dyDescent="0.25">
      <c r="B2" s="2" t="s">
        <v>0</v>
      </c>
    </row>
    <row r="4" spans="1:24" x14ac:dyDescent="0.25">
      <c r="B4" s="5" t="s">
        <v>1</v>
      </c>
      <c r="C4" s="3" t="s">
        <v>2</v>
      </c>
      <c r="D4" s="64"/>
      <c r="E4" t="s">
        <v>3</v>
      </c>
      <c r="G4" s="96">
        <f>402.69</f>
        <v>402.69</v>
      </c>
      <c r="I4" t="s">
        <v>4</v>
      </c>
      <c r="J4" s="89">
        <v>223.76324779213471</v>
      </c>
    </row>
    <row r="5" spans="1:24" x14ac:dyDescent="0.25">
      <c r="B5" s="5" t="s">
        <v>5</v>
      </c>
      <c r="C5" s="4">
        <v>45272</v>
      </c>
      <c r="D5" s="65"/>
      <c r="E5" t="s">
        <v>6</v>
      </c>
      <c r="G5" s="96">
        <f ca="1">P155</f>
        <v>455.801584223845</v>
      </c>
      <c r="I5" t="s">
        <v>7</v>
      </c>
      <c r="J5">
        <v>327.32</v>
      </c>
    </row>
    <row r="6" spans="1:24" x14ac:dyDescent="0.25">
      <c r="B6" s="5" t="s">
        <v>5</v>
      </c>
      <c r="C6" s="4">
        <v>45291</v>
      </c>
      <c r="D6" s="65"/>
      <c r="E6" t="s">
        <v>8</v>
      </c>
      <c r="G6" s="82">
        <f ca="1">G5/G4-1</f>
        <v>0.13189198694739135</v>
      </c>
      <c r="I6" t="s">
        <v>9</v>
      </c>
      <c r="J6" s="89">
        <v>455.8</v>
      </c>
    </row>
    <row r="8" spans="1:24" x14ac:dyDescent="0.25">
      <c r="A8" t="s">
        <v>10</v>
      </c>
      <c r="B8" s="98" t="s">
        <v>11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</row>
    <row r="9" spans="1:24" ht="4.5" customHeight="1" x14ac:dyDescent="0.25"/>
    <row r="10" spans="1:24" x14ac:dyDescent="0.25">
      <c r="B10" s="97" t="s">
        <v>12</v>
      </c>
      <c r="C10" s="97"/>
      <c r="D10" s="97"/>
      <c r="E10" s="97"/>
      <c r="F10" s="97"/>
      <c r="G10" s="7"/>
      <c r="H10" s="97" t="s">
        <v>4</v>
      </c>
      <c r="I10" s="97"/>
      <c r="J10" s="97"/>
      <c r="K10" s="97"/>
      <c r="L10" s="97"/>
      <c r="N10" s="97" t="s">
        <v>7</v>
      </c>
      <c r="O10" s="97"/>
      <c r="P10" s="97"/>
      <c r="Q10" s="97"/>
      <c r="R10" s="97"/>
      <c r="T10" s="97" t="s">
        <v>9</v>
      </c>
      <c r="U10" s="97"/>
      <c r="V10" s="97"/>
      <c r="W10" s="97"/>
      <c r="X10" s="97"/>
    </row>
    <row r="11" spans="1:24" x14ac:dyDescent="0.25">
      <c r="B11" s="8" t="s">
        <v>13</v>
      </c>
      <c r="H11" s="8" t="s">
        <v>13</v>
      </c>
      <c r="K11" s="8" t="s">
        <v>14</v>
      </c>
      <c r="L11" s="8" t="s">
        <v>15</v>
      </c>
      <c r="N11" s="8" t="s">
        <v>13</v>
      </c>
      <c r="Q11" s="8" t="s">
        <v>14</v>
      </c>
      <c r="R11" s="8" t="s">
        <v>15</v>
      </c>
      <c r="T11" s="8" t="s">
        <v>13</v>
      </c>
      <c r="W11" s="8" t="s">
        <v>14</v>
      </c>
      <c r="X11" s="8" t="s">
        <v>15</v>
      </c>
    </row>
    <row r="12" spans="1:24" x14ac:dyDescent="0.25">
      <c r="B12" t="s">
        <v>16</v>
      </c>
      <c r="F12" s="44">
        <v>3</v>
      </c>
      <c r="H12" t="s">
        <v>17</v>
      </c>
      <c r="K12" s="29">
        <v>2024</v>
      </c>
      <c r="L12" s="43">
        <v>0.9</v>
      </c>
      <c r="N12" t="str">
        <f>H12</f>
        <v>Productivity and Business Processes</v>
      </c>
      <c r="R12" s="44"/>
      <c r="T12" t="str">
        <f>N12</f>
        <v>Productivity and Business Processes</v>
      </c>
      <c r="W12" s="29">
        <v>2024</v>
      </c>
      <c r="X12" s="41">
        <v>1.1000000000000001</v>
      </c>
    </row>
    <row r="13" spans="1:24" x14ac:dyDescent="0.25">
      <c r="B13" t="s">
        <v>18</v>
      </c>
      <c r="F13" s="44">
        <v>3</v>
      </c>
      <c r="H13" t="str">
        <f>H12</f>
        <v>Productivity and Business Processes</v>
      </c>
      <c r="K13" s="29">
        <v>2028</v>
      </c>
      <c r="L13" s="43">
        <v>0.09</v>
      </c>
      <c r="R13" s="44"/>
      <c r="T13" t="str">
        <f>T12</f>
        <v>Productivity and Business Processes</v>
      </c>
      <c r="W13" s="29">
        <v>2028</v>
      </c>
      <c r="X13" s="42">
        <v>0.125</v>
      </c>
    </row>
    <row r="14" spans="1:24" x14ac:dyDescent="0.25">
      <c r="B14" t="s">
        <v>19</v>
      </c>
      <c r="F14" s="44">
        <v>3</v>
      </c>
      <c r="H14" t="str">
        <f>B83</f>
        <v>Intell. Cloud</v>
      </c>
      <c r="K14" s="29">
        <v>2024</v>
      </c>
      <c r="L14" s="43">
        <f>L12</f>
        <v>0.9</v>
      </c>
      <c r="R14" s="44"/>
      <c r="T14" t="str">
        <f>H14</f>
        <v>Intell. Cloud</v>
      </c>
      <c r="W14" s="29">
        <v>2024</v>
      </c>
      <c r="X14" s="43">
        <v>1.1000000000000001</v>
      </c>
    </row>
    <row r="15" spans="1:24" x14ac:dyDescent="0.25">
      <c r="F15" s="45"/>
      <c r="H15" t="str">
        <f>H14</f>
        <v>Intell. Cloud</v>
      </c>
      <c r="K15" s="29">
        <v>2028</v>
      </c>
      <c r="L15" s="43">
        <v>0.14000000000000001</v>
      </c>
      <c r="N15" t="str">
        <f>H15</f>
        <v>Intell. Cloud</v>
      </c>
      <c r="Q15">
        <f>K15</f>
        <v>2028</v>
      </c>
      <c r="R15" s="43">
        <v>0.17</v>
      </c>
      <c r="T15" t="str">
        <f>T14</f>
        <v>Intell. Cloud</v>
      </c>
      <c r="W15" s="29">
        <v>2028</v>
      </c>
      <c r="X15" s="43">
        <v>0.19</v>
      </c>
    </row>
    <row r="16" spans="1:24" x14ac:dyDescent="0.25">
      <c r="B16" s="8" t="s">
        <v>20</v>
      </c>
      <c r="H16" t="s">
        <v>21</v>
      </c>
      <c r="K16" s="29">
        <v>2024</v>
      </c>
      <c r="L16" s="43">
        <v>0.9</v>
      </c>
      <c r="R16" s="44"/>
      <c r="T16" t="s">
        <v>21</v>
      </c>
      <c r="W16" s="29">
        <v>2024</v>
      </c>
      <c r="X16" s="43">
        <v>1.1000000000000001</v>
      </c>
    </row>
    <row r="17" spans="1:24" x14ac:dyDescent="0.25">
      <c r="B17" t="s">
        <v>16</v>
      </c>
      <c r="F17" s="44">
        <v>3</v>
      </c>
      <c r="H17" t="str">
        <f>H16</f>
        <v>More Personal Computing</v>
      </c>
      <c r="K17" s="29">
        <v>2028</v>
      </c>
      <c r="L17" s="43">
        <v>0.04</v>
      </c>
      <c r="N17" t="s">
        <v>21</v>
      </c>
      <c r="Q17">
        <f>Q15</f>
        <v>2028</v>
      </c>
      <c r="R17" s="43">
        <v>0.06</v>
      </c>
      <c r="T17" t="s">
        <v>21</v>
      </c>
      <c r="W17" s="29">
        <v>2028</v>
      </c>
      <c r="X17" s="43">
        <v>0.08</v>
      </c>
    </row>
    <row r="18" spans="1:24" x14ac:dyDescent="0.25">
      <c r="B18" t="s">
        <v>18</v>
      </c>
      <c r="F18" s="44">
        <v>3</v>
      </c>
      <c r="N18" s="8"/>
      <c r="Q18" s="8"/>
      <c r="R18" s="8"/>
      <c r="T18" s="8"/>
      <c r="W18" s="8"/>
      <c r="X18" s="8"/>
    </row>
    <row r="19" spans="1:24" x14ac:dyDescent="0.25">
      <c r="B19" t="s">
        <v>19</v>
      </c>
      <c r="F19" s="44">
        <v>3</v>
      </c>
      <c r="H19" s="8" t="s">
        <v>20</v>
      </c>
      <c r="K19" s="8" t="s">
        <v>14</v>
      </c>
      <c r="L19" s="8" t="s">
        <v>15</v>
      </c>
      <c r="N19" s="8" t="s">
        <v>20</v>
      </c>
      <c r="Q19" s="8" t="s">
        <v>14</v>
      </c>
      <c r="R19" s="8" t="s">
        <v>15</v>
      </c>
      <c r="T19" s="8" t="s">
        <v>20</v>
      </c>
      <c r="W19" s="8" t="s">
        <v>14</v>
      </c>
      <c r="X19" s="8" t="s">
        <v>15</v>
      </c>
    </row>
    <row r="20" spans="1:24" x14ac:dyDescent="0.25">
      <c r="F20" s="45"/>
      <c r="H20" t="s">
        <v>17</v>
      </c>
      <c r="K20" t="s">
        <v>22</v>
      </c>
      <c r="L20" s="43">
        <v>-0.03</v>
      </c>
      <c r="T20" t="s">
        <v>17</v>
      </c>
      <c r="W20" t="s">
        <v>22</v>
      </c>
      <c r="X20" s="18">
        <v>0.03</v>
      </c>
    </row>
    <row r="21" spans="1:24" x14ac:dyDescent="0.25">
      <c r="B21" s="6" t="s">
        <v>23</v>
      </c>
      <c r="C21" s="6"/>
      <c r="D21" s="6"/>
      <c r="E21" s="6"/>
      <c r="F21" s="6"/>
      <c r="H21" t="str">
        <f>H15</f>
        <v>Intell. Cloud</v>
      </c>
      <c r="K21" t="s">
        <v>22</v>
      </c>
      <c r="L21" s="43">
        <v>-0.03</v>
      </c>
      <c r="T21" t="str">
        <f>T15</f>
        <v>Intell. Cloud</v>
      </c>
      <c r="W21" t="s">
        <v>22</v>
      </c>
      <c r="X21" s="18">
        <v>0.03</v>
      </c>
    </row>
    <row r="22" spans="1:24" x14ac:dyDescent="0.25">
      <c r="B22" t="s">
        <v>24</v>
      </c>
      <c r="F22" s="73">
        <v>3</v>
      </c>
      <c r="H22" t="s">
        <v>21</v>
      </c>
      <c r="K22" t="s">
        <v>22</v>
      </c>
      <c r="L22" s="43">
        <v>-0.03</v>
      </c>
      <c r="T22" t="s">
        <v>21</v>
      </c>
      <c r="X22" s="18">
        <v>0.03</v>
      </c>
    </row>
    <row r="23" spans="1:24" x14ac:dyDescent="0.25">
      <c r="B23" t="s">
        <v>25</v>
      </c>
      <c r="F23" s="9">
        <v>3</v>
      </c>
    </row>
    <row r="24" spans="1:24" x14ac:dyDescent="0.25">
      <c r="B24" t="s">
        <v>26</v>
      </c>
      <c r="F24" s="9">
        <v>3</v>
      </c>
      <c r="H24" s="8"/>
      <c r="L24" s="8"/>
      <c r="N24" s="8"/>
      <c r="R24" s="8"/>
      <c r="T24" s="8"/>
      <c r="X24" s="8"/>
    </row>
    <row r="25" spans="1:24" x14ac:dyDescent="0.25">
      <c r="A25" t="s">
        <v>10</v>
      </c>
      <c r="B25" t="s">
        <v>27</v>
      </c>
      <c r="F25" s="9">
        <v>3</v>
      </c>
      <c r="H25" s="8" t="s">
        <v>23</v>
      </c>
      <c r="L25" s="8" t="s">
        <v>15</v>
      </c>
      <c r="N25" s="8" t="s">
        <v>28</v>
      </c>
      <c r="R25" s="8" t="s">
        <v>15</v>
      </c>
      <c r="T25" s="8" t="s">
        <v>28</v>
      </c>
      <c r="X25" s="8" t="s">
        <v>15</v>
      </c>
    </row>
    <row r="26" spans="1:24" x14ac:dyDescent="0.25">
      <c r="B26" t="s">
        <v>29</v>
      </c>
      <c r="F26" s="9">
        <v>3</v>
      </c>
      <c r="H26" t="s">
        <v>24</v>
      </c>
      <c r="L26" s="18">
        <f>J64</f>
        <v>0.18330750230057635</v>
      </c>
      <c r="N26" t="s">
        <v>24</v>
      </c>
      <c r="R26" s="18">
        <f>AVERAGE(H64:J64)</f>
        <v>0.14832620001333915</v>
      </c>
      <c r="T26" t="s">
        <v>24</v>
      </c>
      <c r="X26" s="72">
        <f>AVERAGE(F64:J64)</f>
        <v>0.14316932335950461</v>
      </c>
    </row>
    <row r="27" spans="1:24" x14ac:dyDescent="0.25">
      <c r="B27" t="s">
        <v>30</v>
      </c>
      <c r="F27" s="9">
        <v>3</v>
      </c>
      <c r="H27" t="s">
        <v>25</v>
      </c>
      <c r="L27" s="18">
        <v>0.09</v>
      </c>
      <c r="N27" t="s">
        <v>25</v>
      </c>
      <c r="R27" s="18">
        <v>0.1</v>
      </c>
      <c r="T27" t="s">
        <v>25</v>
      </c>
      <c r="X27" s="18">
        <v>0.11</v>
      </c>
    </row>
    <row r="28" spans="1:24" x14ac:dyDescent="0.25">
      <c r="H28" t="s">
        <v>26</v>
      </c>
      <c r="L28" s="18">
        <v>0.13</v>
      </c>
      <c r="N28" t="s">
        <v>26</v>
      </c>
      <c r="R28" s="18">
        <v>0.12</v>
      </c>
      <c r="T28" t="s">
        <v>26</v>
      </c>
      <c r="X28" s="18">
        <v>0.11</v>
      </c>
    </row>
    <row r="29" spans="1:24" x14ac:dyDescent="0.25">
      <c r="B29" s="6" t="s">
        <v>23</v>
      </c>
      <c r="C29" s="6"/>
      <c r="D29" s="6"/>
      <c r="E29" s="6"/>
      <c r="F29" s="6"/>
      <c r="H29" t="s">
        <v>27</v>
      </c>
      <c r="L29" s="18">
        <v>0.02</v>
      </c>
      <c r="N29" t="s">
        <v>27</v>
      </c>
      <c r="R29" s="18">
        <v>0</v>
      </c>
      <c r="T29" t="s">
        <v>27</v>
      </c>
      <c r="X29" s="18">
        <v>-0.02</v>
      </c>
    </row>
    <row r="30" spans="1:24" x14ac:dyDescent="0.25">
      <c r="B30" t="s">
        <v>29</v>
      </c>
      <c r="F30" s="41">
        <f>CHOOSE(F26,L30,R30,X30)</f>
        <v>8.0753162602600556E-2</v>
      </c>
      <c r="H30" t="s">
        <v>29</v>
      </c>
      <c r="L30" s="85">
        <f>R30+0.5%</f>
        <v>9.0753162602600565E-2</v>
      </c>
      <c r="N30" t="s">
        <v>29</v>
      </c>
      <c r="R30" s="32">
        <f>Sheet2!B16</f>
        <v>8.5753162602600561E-2</v>
      </c>
      <c r="T30" t="s">
        <v>29</v>
      </c>
      <c r="X30" s="32">
        <f>R30-0.5%</f>
        <v>8.0753162602600556E-2</v>
      </c>
    </row>
    <row r="31" spans="1:24" x14ac:dyDescent="0.25">
      <c r="B31" t="s">
        <v>31</v>
      </c>
      <c r="F31" s="41">
        <f>CHOOSE(F27,L31,R31,X31)</f>
        <v>0.03</v>
      </c>
      <c r="H31" t="s">
        <v>30</v>
      </c>
      <c r="L31" s="72">
        <v>0.02</v>
      </c>
      <c r="N31" t="s">
        <v>30</v>
      </c>
      <c r="R31" s="32">
        <v>2.5000000000000001E-2</v>
      </c>
      <c r="T31" t="s">
        <v>30</v>
      </c>
      <c r="X31" s="32">
        <v>0.03</v>
      </c>
    </row>
    <row r="32" spans="1:24" x14ac:dyDescent="0.25">
      <c r="M32" s="37" t="s">
        <v>10</v>
      </c>
      <c r="N32" s="37" t="s">
        <v>10</v>
      </c>
      <c r="O32" s="37" t="s">
        <v>10</v>
      </c>
    </row>
    <row r="33" spans="1:16" x14ac:dyDescent="0.25">
      <c r="A33" t="s">
        <v>10</v>
      </c>
      <c r="B33" s="33" t="s">
        <v>32</v>
      </c>
      <c r="C33" s="33"/>
      <c r="D33" s="33"/>
      <c r="E33" s="34">
        <v>2017</v>
      </c>
      <c r="F33" s="34">
        <v>2018</v>
      </c>
      <c r="G33" s="34">
        <v>2019</v>
      </c>
      <c r="H33" s="34">
        <v>2020</v>
      </c>
      <c r="I33" s="34">
        <v>2021</v>
      </c>
      <c r="J33" s="34">
        <v>2022</v>
      </c>
      <c r="K33" s="35">
        <v>2023</v>
      </c>
      <c r="L33" s="36">
        <v>2024</v>
      </c>
      <c r="M33" s="36">
        <v>2025</v>
      </c>
      <c r="N33" s="36">
        <v>2026</v>
      </c>
      <c r="O33" s="36">
        <v>2027</v>
      </c>
      <c r="P33" s="10"/>
    </row>
    <row r="34" spans="1:16" ht="3.75" customHeight="1" x14ac:dyDescent="0.25">
      <c r="B34" s="7"/>
      <c r="C34" s="7"/>
      <c r="D34" s="7"/>
      <c r="E34" s="55"/>
      <c r="F34" s="55"/>
      <c r="G34" s="55"/>
      <c r="H34" s="55"/>
      <c r="I34" s="55"/>
      <c r="J34" s="55"/>
      <c r="K34" s="56"/>
      <c r="L34" s="10"/>
      <c r="M34" s="10"/>
      <c r="N34" s="10"/>
      <c r="O34" s="10"/>
      <c r="P34" s="10"/>
    </row>
    <row r="35" spans="1:16" x14ac:dyDescent="0.25">
      <c r="B35" s="57" t="s">
        <v>13</v>
      </c>
      <c r="C35" s="57"/>
      <c r="D35" s="57"/>
      <c r="E35" s="58"/>
      <c r="F35" s="58"/>
      <c r="G35" s="58"/>
      <c r="H35" s="58"/>
      <c r="I35" s="58"/>
      <c r="J35" s="58"/>
      <c r="K35" s="59"/>
      <c r="L35" s="60"/>
      <c r="M35" s="60"/>
      <c r="N35" s="60"/>
      <c r="O35" s="60"/>
      <c r="P35" s="10"/>
    </row>
    <row r="36" spans="1:16" x14ac:dyDescent="0.25">
      <c r="B36" t="s">
        <v>33</v>
      </c>
      <c r="E36" s="11">
        <v>33177</v>
      </c>
      <c r="F36" s="11">
        <v>38534</v>
      </c>
      <c r="G36" s="11">
        <v>43737</v>
      </c>
      <c r="H36" s="11">
        <v>50521</v>
      </c>
      <c r="I36" s="11">
        <v>58678</v>
      </c>
      <c r="J36" s="11">
        <v>66343</v>
      </c>
      <c r="K36" s="11">
        <v>73267</v>
      </c>
      <c r="L36" s="11">
        <v>82237</v>
      </c>
      <c r="M36" s="39">
        <v>91674</v>
      </c>
      <c r="N36" s="39">
        <v>106178</v>
      </c>
      <c r="O36" s="39">
        <v>123372</v>
      </c>
    </row>
    <row r="37" spans="1:16" x14ac:dyDescent="0.25">
      <c r="B37" t="s">
        <v>34</v>
      </c>
      <c r="E37" s="13" t="s">
        <v>35</v>
      </c>
      <c r="F37" s="12">
        <f>F36/E36-1</f>
        <v>0.16146728155047163</v>
      </c>
      <c r="G37" s="12">
        <f t="shared" ref="G37:O37" si="0">G36/F36-1</f>
        <v>0.13502361550838216</v>
      </c>
      <c r="H37" s="12">
        <f t="shared" si="0"/>
        <v>0.15510894665843566</v>
      </c>
      <c r="I37" s="12">
        <f t="shared" si="0"/>
        <v>0.16145761168622941</v>
      </c>
      <c r="J37" s="12">
        <f t="shared" si="0"/>
        <v>0.1306281741027302</v>
      </c>
      <c r="K37" s="12">
        <f t="shared" si="0"/>
        <v>0.10436670033010276</v>
      </c>
      <c r="L37" s="12">
        <f t="shared" si="0"/>
        <v>0.12242892434520325</v>
      </c>
      <c r="M37" s="12">
        <f t="shared" si="0"/>
        <v>0.11475369967289661</v>
      </c>
      <c r="N37" s="12">
        <f t="shared" si="0"/>
        <v>0.15821279752165274</v>
      </c>
      <c r="O37" s="12">
        <f t="shared" si="0"/>
        <v>0.16193561754789121</v>
      </c>
    </row>
    <row r="39" spans="1:16" x14ac:dyDescent="0.25">
      <c r="B39" t="s">
        <v>36</v>
      </c>
      <c r="E39" s="11">
        <v>29849</v>
      </c>
      <c r="F39" s="11">
        <v>35630</v>
      </c>
      <c r="G39" s="11">
        <v>43647</v>
      </c>
      <c r="H39" s="11">
        <v>54338</v>
      </c>
      <c r="I39" s="11">
        <v>67728</v>
      </c>
      <c r="J39" s="11">
        <v>81631</v>
      </c>
      <c r="K39" s="11">
        <v>95652</v>
      </c>
      <c r="L39" s="11">
        <v>112898</v>
      </c>
      <c r="M39" s="40">
        <v>133610</v>
      </c>
      <c r="N39" s="40">
        <v>162216</v>
      </c>
      <c r="O39" s="40">
        <v>200481</v>
      </c>
    </row>
    <row r="40" spans="1:16" x14ac:dyDescent="0.25">
      <c r="B40" t="s">
        <v>34</v>
      </c>
      <c r="E40" s="13" t="s">
        <v>35</v>
      </c>
      <c r="F40" s="12">
        <f>F39/E39-1</f>
        <v>0.1936748299775537</v>
      </c>
      <c r="G40" s="12">
        <f t="shared" ref="G40:O40" si="1">G39/F39-1</f>
        <v>0.2250070165590794</v>
      </c>
      <c r="H40" s="12">
        <f t="shared" si="1"/>
        <v>0.24494237862854273</v>
      </c>
      <c r="I40" s="12">
        <f t="shared" si="1"/>
        <v>0.24642055283595266</v>
      </c>
      <c r="J40" s="12">
        <f t="shared" si="1"/>
        <v>0.20527699031419799</v>
      </c>
      <c r="K40" s="12">
        <f t="shared" si="1"/>
        <v>0.17176072815474508</v>
      </c>
      <c r="L40" s="12">
        <f t="shared" si="1"/>
        <v>0.18029941872621591</v>
      </c>
      <c r="M40" s="12">
        <f t="shared" si="1"/>
        <v>0.18345763432478868</v>
      </c>
      <c r="N40" s="12">
        <f t="shared" si="1"/>
        <v>0.21410074096250287</v>
      </c>
      <c r="O40" s="12">
        <f t="shared" si="1"/>
        <v>0.23588918479064946</v>
      </c>
    </row>
    <row r="42" spans="1:16" x14ac:dyDescent="0.25">
      <c r="B42" t="s">
        <v>37</v>
      </c>
      <c r="E42" s="11">
        <v>40539</v>
      </c>
      <c r="F42" s="11">
        <v>44001</v>
      </c>
      <c r="G42" s="11">
        <v>46919</v>
      </c>
      <c r="H42" s="11">
        <v>51263</v>
      </c>
      <c r="I42" s="11">
        <v>56897</v>
      </c>
      <c r="J42" s="11">
        <v>57174</v>
      </c>
      <c r="K42" s="11">
        <v>58134</v>
      </c>
      <c r="L42" s="11">
        <v>64143</v>
      </c>
      <c r="M42" s="40">
        <v>69043</v>
      </c>
      <c r="N42" s="40">
        <v>76290</v>
      </c>
      <c r="O42" s="40">
        <v>84005</v>
      </c>
    </row>
    <row r="43" spans="1:16" x14ac:dyDescent="0.25">
      <c r="B43" t="s">
        <v>34</v>
      </c>
      <c r="E43" s="13" t="s">
        <v>35</v>
      </c>
      <c r="F43" s="12">
        <f>F42/E42-1</f>
        <v>8.5399245171316585E-2</v>
      </c>
      <c r="G43" s="12">
        <f t="shared" ref="G43:O43" si="2">G42/F42-1</f>
        <v>6.6316674621031302E-2</v>
      </c>
      <c r="H43" s="12">
        <f t="shared" si="2"/>
        <v>9.2585093458939838E-2</v>
      </c>
      <c r="I43" s="12">
        <f t="shared" si="2"/>
        <v>0.10990382927257469</v>
      </c>
      <c r="J43" s="12">
        <f t="shared" si="2"/>
        <v>4.8684464910275782E-3</v>
      </c>
      <c r="K43" s="12">
        <f t="shared" si="2"/>
        <v>1.6790848987301876E-2</v>
      </c>
      <c r="L43" s="12">
        <f t="shared" si="2"/>
        <v>0.10336464031375781</v>
      </c>
      <c r="M43" s="12">
        <f t="shared" si="2"/>
        <v>7.6391812044962037E-2</v>
      </c>
      <c r="N43" s="12">
        <f t="shared" si="2"/>
        <v>0.10496357342525675</v>
      </c>
      <c r="O43" s="12">
        <f t="shared" si="2"/>
        <v>0.1011272774937737</v>
      </c>
    </row>
    <row r="45" spans="1:16" x14ac:dyDescent="0.25">
      <c r="B45" s="23" t="s">
        <v>38</v>
      </c>
      <c r="C45" s="23"/>
      <c r="D45" s="23"/>
      <c r="E45" s="24">
        <f>E36+E39+E42</f>
        <v>103565</v>
      </c>
      <c r="F45" s="24">
        <f t="shared" ref="F45:O45" si="3">F36+F39+F42</f>
        <v>118165</v>
      </c>
      <c r="G45" s="24">
        <f t="shared" si="3"/>
        <v>134303</v>
      </c>
      <c r="H45" s="24">
        <f t="shared" si="3"/>
        <v>156122</v>
      </c>
      <c r="I45" s="24">
        <f t="shared" si="3"/>
        <v>183303</v>
      </c>
      <c r="J45" s="24">
        <f t="shared" si="3"/>
        <v>205148</v>
      </c>
      <c r="K45" s="24">
        <f t="shared" si="3"/>
        <v>227053</v>
      </c>
      <c r="L45" s="24">
        <f t="shared" si="3"/>
        <v>259278</v>
      </c>
      <c r="M45" s="24">
        <f t="shared" si="3"/>
        <v>294327</v>
      </c>
      <c r="N45" s="24">
        <f t="shared" si="3"/>
        <v>344684</v>
      </c>
      <c r="O45" s="24">
        <f t="shared" si="3"/>
        <v>407858</v>
      </c>
    </row>
    <row r="46" spans="1:16" x14ac:dyDescent="0.25">
      <c r="B46" s="25" t="s">
        <v>34</v>
      </c>
      <c r="C46" s="25"/>
      <c r="D46" s="25"/>
      <c r="E46" s="26" t="s">
        <v>35</v>
      </c>
      <c r="F46" s="27">
        <f>F45/E45-1</f>
        <v>0.14097426736831942</v>
      </c>
      <c r="G46" s="27">
        <f t="shared" ref="G46:O46" si="4">G45/F45-1</f>
        <v>0.13657174290187446</v>
      </c>
      <c r="H46" s="27">
        <f t="shared" si="4"/>
        <v>0.16246100236033456</v>
      </c>
      <c r="I46" s="27">
        <f t="shared" si="4"/>
        <v>0.17410102355849921</v>
      </c>
      <c r="J46" s="27">
        <f t="shared" si="4"/>
        <v>0.11917426337812254</v>
      </c>
      <c r="K46" s="27">
        <f t="shared" si="4"/>
        <v>0.10677657106089256</v>
      </c>
      <c r="L46" s="27">
        <f t="shared" si="4"/>
        <v>0.14192721523168594</v>
      </c>
      <c r="M46" s="27">
        <f t="shared" si="4"/>
        <v>0.13517922847291319</v>
      </c>
      <c r="N46" s="27">
        <f t="shared" si="4"/>
        <v>0.17109201670251117</v>
      </c>
      <c r="O46" s="27">
        <f t="shared" si="4"/>
        <v>0.18328091817432779</v>
      </c>
    </row>
    <row r="48" spans="1:16" x14ac:dyDescent="0.25">
      <c r="B48" s="57" t="s">
        <v>20</v>
      </c>
      <c r="C48" s="57"/>
      <c r="D48" s="57"/>
      <c r="E48" s="58"/>
      <c r="F48" s="58"/>
      <c r="G48" s="58"/>
      <c r="H48" s="58"/>
      <c r="I48" s="58"/>
      <c r="J48" s="58"/>
      <c r="K48" s="59"/>
      <c r="L48" s="60"/>
      <c r="M48" s="60"/>
      <c r="N48" s="60"/>
      <c r="O48" s="60"/>
    </row>
    <row r="49" spans="1:15" x14ac:dyDescent="0.25">
      <c r="B49" t="str">
        <f>B36</f>
        <v>Prod &amp; Bus.</v>
      </c>
      <c r="E49" s="11">
        <v>12423</v>
      </c>
      <c r="F49" s="11">
        <f>14585</f>
        <v>14585</v>
      </c>
      <c r="G49" s="11">
        <v>17456</v>
      </c>
      <c r="H49" s="11">
        <v>21586</v>
      </c>
      <c r="I49" s="11">
        <v>27041</v>
      </c>
      <c r="J49" s="11">
        <v>31957</v>
      </c>
      <c r="K49" s="11">
        <v>36686</v>
      </c>
      <c r="L49" s="11">
        <v>41709</v>
      </c>
      <c r="M49" s="11">
        <v>47141</v>
      </c>
      <c r="N49" s="11">
        <v>53538</v>
      </c>
      <c r="O49" s="11">
        <v>60576</v>
      </c>
    </row>
    <row r="50" spans="1:15" x14ac:dyDescent="0.25">
      <c r="B50" s="61" t="s">
        <v>39</v>
      </c>
      <c r="E50" s="13" t="s">
        <v>35</v>
      </c>
      <c r="F50" s="30">
        <f t="shared" ref="F50:O50" si="5">F49/E36</f>
        <v>0.43961177924465744</v>
      </c>
      <c r="G50" s="30">
        <f t="shared" si="5"/>
        <v>0.45300254320859501</v>
      </c>
      <c r="H50" s="30">
        <f t="shared" si="5"/>
        <v>0.49354093787868397</v>
      </c>
      <c r="I50" s="30">
        <f t="shared" si="5"/>
        <v>0.53524277033312884</v>
      </c>
      <c r="J50" s="30">
        <f t="shared" si="5"/>
        <v>0.54461638092641196</v>
      </c>
      <c r="K50" s="30">
        <f t="shared" si="5"/>
        <v>0.5529746921302926</v>
      </c>
      <c r="L50" s="30">
        <f t="shared" si="5"/>
        <v>0.56927402514092296</v>
      </c>
      <c r="M50" s="30">
        <f t="shared" si="5"/>
        <v>0.57323345939175796</v>
      </c>
      <c r="N50" s="30">
        <f t="shared" si="5"/>
        <v>0.58400418875580862</v>
      </c>
      <c r="O50" s="30">
        <f t="shared" si="5"/>
        <v>0.57051366573113071</v>
      </c>
    </row>
    <row r="52" spans="1:15" x14ac:dyDescent="0.25">
      <c r="B52" t="str">
        <f>B39</f>
        <v>Intell. Cloud</v>
      </c>
      <c r="E52" s="11">
        <v>10341</v>
      </c>
      <c r="F52" s="11">
        <f>12732</f>
        <v>12732</v>
      </c>
      <c r="G52" s="11">
        <v>16115</v>
      </c>
      <c r="H52" s="11">
        <v>22282</v>
      </c>
      <c r="I52" s="11">
        <v>29451</v>
      </c>
      <c r="J52" s="11">
        <v>35324</v>
      </c>
      <c r="K52" s="11">
        <v>42414</v>
      </c>
      <c r="L52" s="11">
        <v>50996</v>
      </c>
      <c r="M52" s="11">
        <v>60783</v>
      </c>
      <c r="N52" s="11">
        <v>73651</v>
      </c>
      <c r="O52" s="11">
        <v>90216</v>
      </c>
    </row>
    <row r="53" spans="1:15" x14ac:dyDescent="0.25">
      <c r="B53" s="61" t="str">
        <f>B50</f>
        <v>% of Sales</v>
      </c>
      <c r="E53" s="13" t="s">
        <v>35</v>
      </c>
      <c r="F53" s="30">
        <f t="shared" ref="F53:O53" si="6">F52/E39</f>
        <v>0.42654695299675033</v>
      </c>
      <c r="G53" s="30">
        <f t="shared" si="6"/>
        <v>0.45228739825989334</v>
      </c>
      <c r="H53" s="30">
        <f t="shared" si="6"/>
        <v>0.51050473113845163</v>
      </c>
      <c r="I53" s="30">
        <f t="shared" si="6"/>
        <v>0.54199639294784496</v>
      </c>
      <c r="J53" s="30">
        <f t="shared" si="6"/>
        <v>0.52155681549728328</v>
      </c>
      <c r="K53" s="30">
        <f t="shared" si="6"/>
        <v>0.51958202153593613</v>
      </c>
      <c r="L53" s="30">
        <f t="shared" si="6"/>
        <v>0.533140969347217</v>
      </c>
      <c r="M53" s="30">
        <f t="shared" si="6"/>
        <v>0.53838863398820169</v>
      </c>
      <c r="N53" s="30">
        <f t="shared" si="6"/>
        <v>0.55123867973954044</v>
      </c>
      <c r="O53" s="30">
        <f t="shared" si="6"/>
        <v>0.55614735907678647</v>
      </c>
    </row>
    <row r="55" spans="1:15" x14ac:dyDescent="0.25">
      <c r="B55" t="str">
        <f>B42</f>
        <v>Personal Comp</v>
      </c>
      <c r="E55" s="11">
        <v>9459</v>
      </c>
      <c r="F55" s="11">
        <f>11724</f>
        <v>11724</v>
      </c>
      <c r="G55" s="11">
        <v>14356</v>
      </c>
      <c r="H55" s="11">
        <v>17711</v>
      </c>
      <c r="I55" s="11">
        <v>20213</v>
      </c>
      <c r="J55" s="11">
        <v>18694</v>
      </c>
      <c r="K55" s="11">
        <v>17250</v>
      </c>
      <c r="L55" s="11">
        <v>18577</v>
      </c>
      <c r="M55" s="11">
        <v>20444</v>
      </c>
      <c r="N55" s="11">
        <v>22727</v>
      </c>
      <c r="O55" s="11">
        <v>23975</v>
      </c>
    </row>
    <row r="56" spans="1:15" x14ac:dyDescent="0.25">
      <c r="B56" s="61" t="str">
        <f>B50</f>
        <v>% of Sales</v>
      </c>
      <c r="E56" s="13" t="s">
        <v>35</v>
      </c>
      <c r="F56" s="30">
        <f t="shared" ref="F56:O56" si="7">F55/E42</f>
        <v>0.28920298971360914</v>
      </c>
      <c r="G56" s="30">
        <f t="shared" si="7"/>
        <v>0.32626531215199656</v>
      </c>
      <c r="H56" s="30">
        <f t="shared" si="7"/>
        <v>0.37748033845563633</v>
      </c>
      <c r="I56" s="30">
        <f t="shared" si="7"/>
        <v>0.39429998244347775</v>
      </c>
      <c r="J56" s="30">
        <f t="shared" si="7"/>
        <v>0.32855862347751197</v>
      </c>
      <c r="K56" s="30">
        <f t="shared" si="7"/>
        <v>0.30171056774058136</v>
      </c>
      <c r="L56" s="30">
        <f t="shared" si="7"/>
        <v>0.3195548216190181</v>
      </c>
      <c r="M56" s="30">
        <f t="shared" si="7"/>
        <v>0.31872534805044977</v>
      </c>
      <c r="N56" s="30">
        <f t="shared" si="7"/>
        <v>0.32917167562243821</v>
      </c>
      <c r="O56" s="30">
        <f t="shared" si="7"/>
        <v>0.31426137108402152</v>
      </c>
    </row>
    <row r="58" spans="1:15" x14ac:dyDescent="0.25">
      <c r="B58" s="23" t="s">
        <v>40</v>
      </c>
      <c r="C58" s="23"/>
      <c r="D58" s="23"/>
      <c r="E58" s="24">
        <f>E49+E52+E55</f>
        <v>32223</v>
      </c>
      <c r="F58" s="24">
        <f t="shared" ref="F58:O58" si="8">F49+F52+F55</f>
        <v>39041</v>
      </c>
      <c r="G58" s="24">
        <f t="shared" si="8"/>
        <v>47927</v>
      </c>
      <c r="H58" s="24">
        <f t="shared" si="8"/>
        <v>61579</v>
      </c>
      <c r="I58" s="24">
        <f t="shared" si="8"/>
        <v>76705</v>
      </c>
      <c r="J58" s="24">
        <f t="shared" si="8"/>
        <v>85975</v>
      </c>
      <c r="K58" s="24">
        <f t="shared" si="8"/>
        <v>96350</v>
      </c>
      <c r="L58" s="24">
        <f t="shared" si="8"/>
        <v>111282</v>
      </c>
      <c r="M58" s="24">
        <f t="shared" si="8"/>
        <v>128368</v>
      </c>
      <c r="N58" s="24">
        <f t="shared" si="8"/>
        <v>149916</v>
      </c>
      <c r="O58" s="24">
        <f t="shared" si="8"/>
        <v>174767</v>
      </c>
    </row>
    <row r="59" spans="1:15" x14ac:dyDescent="0.25">
      <c r="A59" t="s">
        <v>10</v>
      </c>
      <c r="B59" s="25" t="s">
        <v>39</v>
      </c>
      <c r="C59" s="25"/>
      <c r="D59" s="25"/>
      <c r="E59" s="63">
        <f>E58/E45</f>
        <v>0.31113793269927098</v>
      </c>
      <c r="F59" s="63">
        <f t="shared" ref="F59:O59" si="9">F58/F45</f>
        <v>0.33039394067617317</v>
      </c>
      <c r="G59" s="63">
        <f t="shared" si="9"/>
        <v>0.35685725560858655</v>
      </c>
      <c r="H59" s="63">
        <f t="shared" si="9"/>
        <v>0.39442871600415058</v>
      </c>
      <c r="I59" s="63">
        <f t="shared" si="9"/>
        <v>0.41846014522402797</v>
      </c>
      <c r="J59" s="63">
        <f t="shared" si="9"/>
        <v>0.41908768303858679</v>
      </c>
      <c r="K59" s="63">
        <f t="shared" si="9"/>
        <v>0.42435026183314029</v>
      </c>
      <c r="L59" s="63">
        <f t="shared" si="9"/>
        <v>0.42919954643278641</v>
      </c>
      <c r="M59" s="63">
        <f t="shared" si="9"/>
        <v>0.43614075501058347</v>
      </c>
      <c r="N59" s="63">
        <f t="shared" si="9"/>
        <v>0.43493750797832215</v>
      </c>
      <c r="O59" s="63">
        <f t="shared" si="9"/>
        <v>0.42849962486943988</v>
      </c>
    </row>
    <row r="60" spans="1:15" x14ac:dyDescent="0.25">
      <c r="B60" s="5"/>
      <c r="C60" s="5"/>
      <c r="D60" s="5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</row>
    <row r="61" spans="1:15" x14ac:dyDescent="0.25">
      <c r="A61" t="s">
        <v>10</v>
      </c>
      <c r="B61" s="57" t="s">
        <v>41</v>
      </c>
      <c r="C61" s="57"/>
      <c r="D61" s="57"/>
      <c r="E61" s="58"/>
      <c r="F61" s="58"/>
      <c r="G61" s="58"/>
      <c r="H61" s="58"/>
      <c r="I61" s="58"/>
      <c r="J61" s="58"/>
      <c r="K61" s="59"/>
      <c r="L61" s="60"/>
      <c r="M61" s="60"/>
      <c r="N61" s="60"/>
      <c r="O61" s="60"/>
    </row>
    <row r="62" spans="1:15" x14ac:dyDescent="0.25">
      <c r="B62" s="61" t="s">
        <v>42</v>
      </c>
      <c r="C62" s="7"/>
      <c r="D62" s="7"/>
      <c r="E62" s="71">
        <v>28614</v>
      </c>
      <c r="F62" s="71">
        <v>39927</v>
      </c>
      <c r="G62" s="71">
        <v>49853</v>
      </c>
      <c r="H62" s="71">
        <v>60726</v>
      </c>
      <c r="I62" s="71">
        <v>79680</v>
      </c>
      <c r="J62" s="71">
        <v>82588</v>
      </c>
      <c r="K62" s="69"/>
      <c r="L62" s="70"/>
      <c r="M62" s="70"/>
      <c r="N62" s="70"/>
      <c r="O62" s="70"/>
    </row>
    <row r="63" spans="1:15" x14ac:dyDescent="0.25">
      <c r="B63" s="61" t="s">
        <v>24</v>
      </c>
      <c r="C63" s="5"/>
      <c r="D63" s="5"/>
      <c r="E63" s="11">
        <v>17026</v>
      </c>
      <c r="F63" s="11">
        <v>6386</v>
      </c>
      <c r="G63" s="11">
        <v>5530</v>
      </c>
      <c r="H63" s="11">
        <v>9416</v>
      </c>
      <c r="I63" s="11">
        <v>8495</v>
      </c>
      <c r="J63" s="11">
        <v>15139</v>
      </c>
      <c r="K63" s="69"/>
      <c r="L63" s="70"/>
      <c r="M63" s="70"/>
      <c r="N63" s="70"/>
      <c r="O63" s="70"/>
    </row>
    <row r="64" spans="1:15" x14ac:dyDescent="0.25">
      <c r="B64" s="5" t="s">
        <v>43</v>
      </c>
      <c r="C64" s="5"/>
      <c r="D64" s="5"/>
      <c r="E64" s="68">
        <f>E63/E62</f>
        <v>0.59502341511148393</v>
      </c>
      <c r="F64" s="68">
        <f t="shared" ref="F64:J64" si="10">F63/F62</f>
        <v>0.15994189395647057</v>
      </c>
      <c r="G64" s="68">
        <f t="shared" si="10"/>
        <v>0.11092612280103505</v>
      </c>
      <c r="H64" s="68">
        <f t="shared" si="10"/>
        <v>0.15505714191614794</v>
      </c>
      <c r="I64" s="68">
        <f t="shared" si="10"/>
        <v>0.10661395582329317</v>
      </c>
      <c r="J64" s="68">
        <f t="shared" si="10"/>
        <v>0.18330750230057635</v>
      </c>
      <c r="K64" s="69"/>
      <c r="L64" s="70"/>
      <c r="M64" s="70"/>
      <c r="N64" s="70"/>
      <c r="O64" s="70"/>
    </row>
    <row r="65" spans="1:24" x14ac:dyDescent="0.25">
      <c r="B65" s="61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68"/>
      <c r="N65" s="68"/>
      <c r="O65" s="68"/>
    </row>
    <row r="66" spans="1:24" x14ac:dyDescent="0.25">
      <c r="A66" t="s">
        <v>10</v>
      </c>
      <c r="B66" s="33" t="s">
        <v>44</v>
      </c>
      <c r="C66" s="33"/>
      <c r="D66" s="33"/>
      <c r="E66" s="34">
        <v>2017</v>
      </c>
      <c r="F66" s="34">
        <v>2018</v>
      </c>
      <c r="G66" s="34">
        <v>2019</v>
      </c>
      <c r="H66" s="34">
        <v>2020</v>
      </c>
      <c r="I66" s="34">
        <v>2021</v>
      </c>
      <c r="J66" s="34">
        <v>2022</v>
      </c>
      <c r="K66" s="56"/>
      <c r="L66" s="10"/>
      <c r="M66" s="10"/>
      <c r="N66" s="10"/>
      <c r="O66" s="10"/>
    </row>
    <row r="67" spans="1:24" x14ac:dyDescent="0.25">
      <c r="B67" t="s">
        <v>25</v>
      </c>
      <c r="E67" s="11">
        <v>9831</v>
      </c>
      <c r="F67" s="11">
        <v>11058</v>
      </c>
      <c r="G67" s="11">
        <v>12024</v>
      </c>
      <c r="H67" s="11">
        <v>11532</v>
      </c>
      <c r="I67" s="11">
        <v>12202</v>
      </c>
      <c r="J67" s="11">
        <v>14190</v>
      </c>
      <c r="K67" s="11"/>
      <c r="L67" s="11"/>
      <c r="M67" s="11"/>
      <c r="N67" s="11"/>
      <c r="O67" s="11"/>
    </row>
    <row r="68" spans="1:24" x14ac:dyDescent="0.25">
      <c r="B68" s="61" t="s">
        <v>39</v>
      </c>
      <c r="E68" s="16">
        <f t="shared" ref="E68:J68" si="11">E67/E45</f>
        <v>9.4925891951914254E-2</v>
      </c>
      <c r="F68" s="16">
        <f t="shared" si="11"/>
        <v>9.3581009605213053E-2</v>
      </c>
      <c r="G68" s="16">
        <f t="shared" si="11"/>
        <v>8.952890106699031E-2</v>
      </c>
      <c r="H68" s="16">
        <f t="shared" si="11"/>
        <v>7.3865310462330747E-2</v>
      </c>
      <c r="I68" s="16">
        <f t="shared" si="11"/>
        <v>6.6567377511551909E-2</v>
      </c>
      <c r="J68" s="16">
        <f t="shared" si="11"/>
        <v>6.9169575135999375E-2</v>
      </c>
      <c r="K68" s="30"/>
      <c r="L68" s="30"/>
      <c r="M68" s="30"/>
      <c r="N68" s="30"/>
      <c r="O68" s="30"/>
    </row>
    <row r="70" spans="1:24" x14ac:dyDescent="0.25">
      <c r="B70" t="s">
        <v>45</v>
      </c>
      <c r="E70" s="11">
        <v>8696</v>
      </c>
      <c r="F70" s="11">
        <v>14223</v>
      </c>
      <c r="G70" s="11">
        <v>13546</v>
      </c>
      <c r="H70" s="11">
        <v>17592</v>
      </c>
      <c r="I70" s="11">
        <v>23216</v>
      </c>
      <c r="J70" s="11">
        <v>24768</v>
      </c>
      <c r="K70" s="11"/>
      <c r="L70" s="11"/>
      <c r="M70" s="11"/>
      <c r="N70" s="11"/>
      <c r="O70" s="11"/>
    </row>
    <row r="71" spans="1:24" x14ac:dyDescent="0.25">
      <c r="B71" s="61" t="s">
        <v>39</v>
      </c>
      <c r="E71" s="16">
        <f t="shared" ref="E71:J71" si="12">E70/E45</f>
        <v>8.3966591029788054E-2</v>
      </c>
      <c r="F71" s="16">
        <f t="shared" si="12"/>
        <v>0.12036559048787712</v>
      </c>
      <c r="G71" s="16">
        <f t="shared" si="12"/>
        <v>0.10086148485141806</v>
      </c>
      <c r="H71" s="16">
        <f t="shared" si="12"/>
        <v>0.11268110836397177</v>
      </c>
      <c r="I71" s="16">
        <f t="shared" si="12"/>
        <v>0.12665368270022859</v>
      </c>
      <c r="J71" s="16">
        <f t="shared" si="12"/>
        <v>0.12073234932828981</v>
      </c>
      <c r="K71" s="30"/>
      <c r="L71" s="30"/>
      <c r="M71" s="30"/>
      <c r="N71" s="30"/>
      <c r="O71" s="30"/>
    </row>
    <row r="73" spans="1:24" x14ac:dyDescent="0.25">
      <c r="B73" t="s">
        <v>27</v>
      </c>
      <c r="E73" s="11">
        <v>14404</v>
      </c>
      <c r="F73" s="11">
        <v>1841</v>
      </c>
      <c r="G73" s="11">
        <v>-303</v>
      </c>
      <c r="H73" s="11">
        <v>-723</v>
      </c>
      <c r="I73" s="11">
        <v>388</v>
      </c>
      <c r="J73" s="11">
        <v>-3929</v>
      </c>
      <c r="K73" s="11"/>
      <c r="L73" s="11"/>
      <c r="M73" s="11"/>
      <c r="N73" s="11"/>
      <c r="O73" s="11"/>
    </row>
    <row r="74" spans="1:24" x14ac:dyDescent="0.25">
      <c r="B74" s="61" t="s">
        <v>39</v>
      </c>
      <c r="E74" s="16">
        <f t="shared" ref="E74:J74" si="13">E73/E45</f>
        <v>0.13908173610775842</v>
      </c>
      <c r="F74" s="16">
        <f t="shared" si="13"/>
        <v>1.5579909448652307E-2</v>
      </c>
      <c r="G74" s="16">
        <f t="shared" si="13"/>
        <v>-2.2560925668078896E-3</v>
      </c>
      <c r="H74" s="16">
        <f t="shared" si="13"/>
        <v>-4.6309937100472709E-3</v>
      </c>
      <c r="I74" s="16">
        <f t="shared" si="13"/>
        <v>2.1167138562925864E-3</v>
      </c>
      <c r="J74" s="16">
        <f t="shared" si="13"/>
        <v>-1.9152026829410963E-2</v>
      </c>
      <c r="K74" s="30"/>
      <c r="L74" s="30"/>
      <c r="M74" s="30"/>
      <c r="N74" s="30"/>
      <c r="O74" s="30"/>
    </row>
    <row r="76" spans="1:24" x14ac:dyDescent="0.25">
      <c r="A76" t="s">
        <v>10</v>
      </c>
      <c r="B76" s="33" t="s">
        <v>46</v>
      </c>
      <c r="C76" s="33"/>
      <c r="D76" s="33"/>
      <c r="E76" s="34">
        <v>2017</v>
      </c>
      <c r="F76" s="34">
        <v>2018</v>
      </c>
      <c r="G76" s="34">
        <v>2019</v>
      </c>
      <c r="H76" s="34">
        <v>2020</v>
      </c>
      <c r="I76" s="34">
        <v>2021</v>
      </c>
      <c r="J76" s="34">
        <v>2022</v>
      </c>
      <c r="K76" s="35">
        <v>2023</v>
      </c>
      <c r="L76" s="36">
        <v>2024</v>
      </c>
      <c r="M76" s="36">
        <v>2025</v>
      </c>
      <c r="N76" s="36">
        <v>2026</v>
      </c>
      <c r="O76" s="36">
        <v>2027</v>
      </c>
      <c r="P76" s="36">
        <v>2028</v>
      </c>
      <c r="Q76" s="10"/>
      <c r="R76" s="10"/>
      <c r="S76" s="10"/>
      <c r="T76" s="10"/>
      <c r="U76" s="10"/>
      <c r="V76" s="10"/>
      <c r="W76" s="10"/>
      <c r="X76" s="10"/>
    </row>
    <row r="77" spans="1:24" x14ac:dyDescent="0.25">
      <c r="B77" t="s">
        <v>33</v>
      </c>
      <c r="E77" s="15">
        <f t="shared" ref="E77:J77" si="14">E36</f>
        <v>33177</v>
      </c>
      <c r="F77" s="15">
        <f t="shared" si="14"/>
        <v>38534</v>
      </c>
      <c r="G77" s="15">
        <f t="shared" si="14"/>
        <v>43737</v>
      </c>
      <c r="H77" s="15">
        <f t="shared" si="14"/>
        <v>50521</v>
      </c>
      <c r="I77" s="15">
        <f t="shared" si="14"/>
        <v>58678</v>
      </c>
      <c r="J77" s="15">
        <f t="shared" si="14"/>
        <v>66343</v>
      </c>
      <c r="K77" s="14">
        <f ca="1">J77*(1+K78)</f>
        <v>73267</v>
      </c>
      <c r="L77" s="14">
        <f t="shared" ref="L77:P77" ca="1" si="15">K77*(1+L78)</f>
        <v>83134.000000000015</v>
      </c>
      <c r="M77" s="14">
        <f t="shared" ca="1" si="15"/>
        <v>94128.792612124176</v>
      </c>
      <c r="N77" s="14">
        <f t="shared" ca="1" si="15"/>
        <v>106350.08990656023</v>
      </c>
      <c r="O77" s="14">
        <f t="shared" ca="1" si="15"/>
        <v>119901.0007909011</v>
      </c>
      <c r="P77" s="14">
        <f t="shared" ca="1" si="15"/>
        <v>134888.62588976373</v>
      </c>
    </row>
    <row r="78" spans="1:24" x14ac:dyDescent="0.25">
      <c r="B78" t="s">
        <v>34</v>
      </c>
      <c r="E78" s="13" t="s">
        <v>35</v>
      </c>
      <c r="F78" s="17">
        <f>F77/E77-1</f>
        <v>0.16146728155047163</v>
      </c>
      <c r="G78" s="17">
        <f t="shared" ref="G78:J78" si="16">G77/F77-1</f>
        <v>0.13502361550838216</v>
      </c>
      <c r="H78" s="17">
        <f t="shared" si="16"/>
        <v>0.15510894665843566</v>
      </c>
      <c r="I78" s="17">
        <f t="shared" si="16"/>
        <v>0.16145761168622941</v>
      </c>
      <c r="J78" s="17">
        <f t="shared" si="16"/>
        <v>0.1306281741027302</v>
      </c>
      <c r="K78" s="38">
        <f ca="1">OFFSET(K78,$F$12,0)</f>
        <v>0.10436670033010276</v>
      </c>
      <c r="L78" s="38">
        <f t="shared" ref="L78:P78" ca="1" si="17">OFFSET(L78,$F$12,0)</f>
        <v>0.13467181677972359</v>
      </c>
      <c r="M78" s="38">
        <f t="shared" ca="1" si="17"/>
        <v>0.13225386258479269</v>
      </c>
      <c r="N78" s="38">
        <f t="shared" ca="1" si="17"/>
        <v>0.12983590838986178</v>
      </c>
      <c r="O78" s="38">
        <f t="shared" ca="1" si="17"/>
        <v>0.12741795419493088</v>
      </c>
      <c r="P78" s="38">
        <f t="shared" ca="1" si="17"/>
        <v>0.125</v>
      </c>
    </row>
    <row r="79" spans="1:24" x14ac:dyDescent="0.25">
      <c r="B79" t="s">
        <v>47</v>
      </c>
      <c r="K79" s="28">
        <f>K80</f>
        <v>0.10436670033010276</v>
      </c>
      <c r="L79" s="19">
        <f>L80*L12</f>
        <v>0.11018603191068292</v>
      </c>
      <c r="M79" s="19">
        <f>L79-($L$79-$P$79)/($P$76-$L$76)</f>
        <v>0.10513952393301219</v>
      </c>
      <c r="N79" s="19">
        <f t="shared" ref="N79:O79" si="18">M79-($L$79-$P$79)/($P$76-$L$76)</f>
        <v>0.10009301595534147</v>
      </c>
      <c r="O79" s="19">
        <f t="shared" si="18"/>
        <v>9.5046507977670738E-2</v>
      </c>
      <c r="P79" s="19">
        <f>L13</f>
        <v>0.09</v>
      </c>
    </row>
    <row r="80" spans="1:24" x14ac:dyDescent="0.25">
      <c r="B80" t="s">
        <v>7</v>
      </c>
      <c r="K80" s="20">
        <f>K37</f>
        <v>0.10436670033010276</v>
      </c>
      <c r="L80" s="20">
        <f>L37</f>
        <v>0.12242892434520325</v>
      </c>
      <c r="M80" s="28">
        <f>L80</f>
        <v>0.12242892434520325</v>
      </c>
      <c r="N80" s="28">
        <f>M80</f>
        <v>0.12242892434520325</v>
      </c>
      <c r="O80" s="28">
        <f t="shared" ref="O80:P80" si="19">N80</f>
        <v>0.12242892434520325</v>
      </c>
      <c r="P80" s="28">
        <f t="shared" si="19"/>
        <v>0.12242892434520325</v>
      </c>
    </row>
    <row r="81" spans="1:16" x14ac:dyDescent="0.25">
      <c r="B81" t="s">
        <v>9</v>
      </c>
      <c r="K81" s="28">
        <f>K80</f>
        <v>0.10436670033010276</v>
      </c>
      <c r="L81" s="19">
        <f>L80*X12</f>
        <v>0.13467181677972359</v>
      </c>
      <c r="M81" s="19">
        <f>L81-(L81-P81)/($P$76-$L$76)</f>
        <v>0.13225386258479269</v>
      </c>
      <c r="N81" s="19">
        <f>M81-($L$81-$P$81)/($P$76-$L$76)</f>
        <v>0.12983590838986178</v>
      </c>
      <c r="O81" s="19">
        <f>N81-($L$81-$P$81)/($P$76-$L$76)</f>
        <v>0.12741795419493088</v>
      </c>
      <c r="P81" s="19">
        <f>X13</f>
        <v>0.125</v>
      </c>
    </row>
    <row r="83" spans="1:16" x14ac:dyDescent="0.25">
      <c r="B83" t="s">
        <v>36</v>
      </c>
      <c r="E83" s="15">
        <f t="shared" ref="E83:J83" si="20">E39</f>
        <v>29849</v>
      </c>
      <c r="F83" s="15">
        <f t="shared" si="20"/>
        <v>35630</v>
      </c>
      <c r="G83" s="15">
        <f t="shared" si="20"/>
        <v>43647</v>
      </c>
      <c r="H83" s="15">
        <f t="shared" si="20"/>
        <v>54338</v>
      </c>
      <c r="I83" s="15">
        <f t="shared" si="20"/>
        <v>67728</v>
      </c>
      <c r="J83" s="15">
        <f t="shared" si="20"/>
        <v>81631</v>
      </c>
      <c r="K83" s="14">
        <f ca="1">J83*(1+K84)</f>
        <v>95652</v>
      </c>
      <c r="L83" s="14">
        <f t="shared" ref="L83:P83" ca="1" si="21">K83*(1+L84)</f>
        <v>114622.59999999999</v>
      </c>
      <c r="M83" s="14">
        <f t="shared" ca="1" si="21"/>
        <v>137116.94372613225</v>
      </c>
      <c r="N83" s="14">
        <f t="shared" ca="1" si="21"/>
        <v>163694.19289619778</v>
      </c>
      <c r="O83" s="14">
        <f t="shared" ca="1" si="21"/>
        <v>195027.08039610306</v>
      </c>
      <c r="P83" s="14">
        <f t="shared" ca="1" si="21"/>
        <v>232082.22567136263</v>
      </c>
    </row>
    <row r="84" spans="1:16" x14ac:dyDescent="0.25">
      <c r="B84" t="s">
        <v>34</v>
      </c>
      <c r="E84" s="13" t="s">
        <v>35</v>
      </c>
      <c r="F84" s="17">
        <f>F83/E83-1</f>
        <v>0.1936748299775537</v>
      </c>
      <c r="G84" s="17">
        <f t="shared" ref="G84:J84" si="22">G83/F83-1</f>
        <v>0.2250070165590794</v>
      </c>
      <c r="H84" s="17">
        <f t="shared" si="22"/>
        <v>0.24494237862854273</v>
      </c>
      <c r="I84" s="17">
        <f t="shared" si="22"/>
        <v>0.24642055283595266</v>
      </c>
      <c r="J84" s="17">
        <f t="shared" si="22"/>
        <v>0.20527699031419799</v>
      </c>
      <c r="K84" s="38">
        <f ca="1">OFFSET(K84,$F$13,0)</f>
        <v>0.17176072815474508</v>
      </c>
      <c r="L84" s="38">
        <f t="shared" ref="L84:P84" ca="1" si="23">OFFSET(L84,$F$13,0)</f>
        <v>0.19832936059883752</v>
      </c>
      <c r="M84" s="38">
        <f t="shared" ca="1" si="23"/>
        <v>0.19624702044912815</v>
      </c>
      <c r="N84" s="38">
        <f t="shared" ca="1" si="23"/>
        <v>0.19382906625419724</v>
      </c>
      <c r="O84" s="38">
        <f t="shared" ca="1" si="23"/>
        <v>0.19141111205926634</v>
      </c>
      <c r="P84" s="38">
        <f t="shared" ca="1" si="23"/>
        <v>0.19</v>
      </c>
    </row>
    <row r="85" spans="1:16" x14ac:dyDescent="0.25">
      <c r="B85" t="s">
        <v>47</v>
      </c>
      <c r="K85" s="28">
        <f>K86</f>
        <v>0.17176072815474508</v>
      </c>
      <c r="L85" s="19">
        <f>L86*L14</f>
        <v>0.16226947685359433</v>
      </c>
      <c r="M85" s="19">
        <f>L85-($L$85-$P$85)/($P$76-$L$76)</f>
        <v>0.15670210764019576</v>
      </c>
      <c r="N85" s="19">
        <f>M85-($L$85-$P$85)/($P$76-$L$76)</f>
        <v>0.1511347384267972</v>
      </c>
      <c r="O85" s="19">
        <f>N85-($L$85-$P$85)/($P$76-$L$76)</f>
        <v>0.14556736921339863</v>
      </c>
      <c r="P85" s="19">
        <f>L15</f>
        <v>0.14000000000000001</v>
      </c>
    </row>
    <row r="86" spans="1:16" x14ac:dyDescent="0.25">
      <c r="B86" t="s">
        <v>7</v>
      </c>
      <c r="K86" s="20">
        <f>K40</f>
        <v>0.17176072815474508</v>
      </c>
      <c r="L86" s="20">
        <f>L40</f>
        <v>0.18029941872621591</v>
      </c>
      <c r="M86" s="19">
        <f>L86-($L$86-$P$86)/($P$76-$L$76)</f>
        <v>0.17772456404466194</v>
      </c>
      <c r="N86" s="19">
        <f t="shared" ref="N86:O86" si="24">M86-($L$81-$P$81)/($P$76-$L$76)</f>
        <v>0.17530660984973104</v>
      </c>
      <c r="O86" s="19">
        <f t="shared" si="24"/>
        <v>0.17288865565480013</v>
      </c>
      <c r="P86" s="28">
        <f>R15</f>
        <v>0.17</v>
      </c>
    </row>
    <row r="87" spans="1:16" x14ac:dyDescent="0.25">
      <c r="B87" t="s">
        <v>9</v>
      </c>
      <c r="K87" s="28">
        <f>K86</f>
        <v>0.17176072815474508</v>
      </c>
      <c r="L87" s="19">
        <f>L86*X14</f>
        <v>0.19832936059883752</v>
      </c>
      <c r="M87" s="19">
        <f>L87-($L$87-$P$87)/($P$76-$L$76)</f>
        <v>0.19624702044912815</v>
      </c>
      <c r="N87" s="19">
        <f t="shared" ref="N87:O87" si="25">M87-($L$81-$P$81)/($P$76-$L$76)</f>
        <v>0.19382906625419724</v>
      </c>
      <c r="O87" s="19">
        <f t="shared" si="25"/>
        <v>0.19141111205926634</v>
      </c>
      <c r="P87" s="19">
        <f>X15</f>
        <v>0.19</v>
      </c>
    </row>
    <row r="89" spans="1:16" x14ac:dyDescent="0.25">
      <c r="B89" t="s">
        <v>37</v>
      </c>
      <c r="E89" s="15">
        <f t="shared" ref="E89:J89" si="26">E42</f>
        <v>40539</v>
      </c>
      <c r="F89" s="15">
        <f t="shared" si="26"/>
        <v>44001</v>
      </c>
      <c r="G89" s="15">
        <f t="shared" si="26"/>
        <v>46919</v>
      </c>
      <c r="H89" s="15">
        <f t="shared" si="26"/>
        <v>51263</v>
      </c>
      <c r="I89" s="15">
        <f t="shared" si="26"/>
        <v>56897</v>
      </c>
      <c r="J89" s="15">
        <f t="shared" si="26"/>
        <v>57174</v>
      </c>
      <c r="K89" s="14">
        <f ca="1">J89*(1+K90)</f>
        <v>58134</v>
      </c>
      <c r="L89" s="14">
        <f t="shared" ref="L89:P89" ca="1" si="27">K89*(1+L90)</f>
        <v>64743.9</v>
      </c>
      <c r="M89" s="14">
        <f t="shared" ca="1" si="27"/>
        <v>71559.867697208174</v>
      </c>
      <c r="N89" s="14">
        <f t="shared" ca="1" si="27"/>
        <v>78490.480397078616</v>
      </c>
      <c r="O89" s="14">
        <f t="shared" ca="1" si="27"/>
        <v>85431.02279633531</v>
      </c>
      <c r="P89" s="14">
        <f t="shared" ca="1" si="27"/>
        <v>92265.504620042135</v>
      </c>
    </row>
    <row r="90" spans="1:16" x14ac:dyDescent="0.25">
      <c r="B90" t="s">
        <v>34</v>
      </c>
      <c r="E90" s="13" t="s">
        <v>35</v>
      </c>
      <c r="F90" s="17">
        <f>F89/E89-1</f>
        <v>8.5399245171316585E-2</v>
      </c>
      <c r="G90" s="17">
        <f t="shared" ref="G90:J90" si="28">G89/F89-1</f>
        <v>6.6316674621031302E-2</v>
      </c>
      <c r="H90" s="17">
        <f t="shared" si="28"/>
        <v>9.2585093458939838E-2</v>
      </c>
      <c r="I90" s="17">
        <f t="shared" si="28"/>
        <v>0.10990382927257469</v>
      </c>
      <c r="J90" s="17">
        <f t="shared" si="28"/>
        <v>4.8684464910275782E-3</v>
      </c>
      <c r="K90" s="38">
        <f ca="1">OFFSET(K90,$F$14,0)</f>
        <v>1.6790848987301876E-2</v>
      </c>
      <c r="L90" s="38">
        <f t="shared" ref="L90:P90" ca="1" si="29">OFFSET(L90,$F$14,0)</f>
        <v>0.1137011043451336</v>
      </c>
      <c r="M90" s="38">
        <f t="shared" ca="1" si="29"/>
        <v>0.10527582825885021</v>
      </c>
      <c r="N90" s="38">
        <f t="shared" ca="1" si="29"/>
        <v>9.6850552172566801E-2</v>
      </c>
      <c r="O90" s="38">
        <f t="shared" ca="1" si="29"/>
        <v>8.8425276086283394E-2</v>
      </c>
      <c r="P90" s="38">
        <f t="shared" ca="1" si="29"/>
        <v>0.08</v>
      </c>
    </row>
    <row r="91" spans="1:16" x14ac:dyDescent="0.25">
      <c r="B91" t="s">
        <v>47</v>
      </c>
      <c r="K91" s="28">
        <f>K92</f>
        <v>1.6790848987301876E-2</v>
      </c>
      <c r="L91" s="46">
        <f>L92*L16</f>
        <v>9.3028176282382025E-2</v>
      </c>
      <c r="M91" s="19">
        <f>L91-($L$91-$P$91)/($P$76-$L$76)</f>
        <v>7.9771132211786513E-2</v>
      </c>
      <c r="N91" s="19">
        <f t="shared" ref="N91:O91" si="30">M91-($L$91-$P$91)/($P$76-$L$76)</f>
        <v>6.6514088141191002E-2</v>
      </c>
      <c r="O91" s="19">
        <f t="shared" si="30"/>
        <v>5.3257044070595498E-2</v>
      </c>
      <c r="P91" s="47">
        <f>L17</f>
        <v>0.04</v>
      </c>
    </row>
    <row r="92" spans="1:16" x14ac:dyDescent="0.25">
      <c r="B92" t="s">
        <v>7</v>
      </c>
      <c r="K92" s="20">
        <f>K43</f>
        <v>1.6790848987301876E-2</v>
      </c>
      <c r="L92" s="47">
        <f>L43</f>
        <v>0.10336464031375781</v>
      </c>
      <c r="M92" s="19">
        <f>L92-($L$92-$P$92)/($P$76-$L$76)</f>
        <v>9.2523480235318353E-2</v>
      </c>
      <c r="N92" s="19">
        <f>M92-($L$92-$P$92)/($P$76-$L$76)</f>
        <v>8.1682320156878901E-2</v>
      </c>
      <c r="O92" s="19">
        <f>N92-($L$92-$P$92)/($P$76-$L$76)</f>
        <v>7.084116007843945E-2</v>
      </c>
      <c r="P92" s="47">
        <f>R17</f>
        <v>0.06</v>
      </c>
    </row>
    <row r="93" spans="1:16" x14ac:dyDescent="0.25">
      <c r="B93" t="s">
        <v>9</v>
      </c>
      <c r="K93" s="28">
        <f>K92</f>
        <v>1.6790848987301876E-2</v>
      </c>
      <c r="L93" s="46">
        <f>L92*X16</f>
        <v>0.1137011043451336</v>
      </c>
      <c r="M93" s="19">
        <f>L93-($L$93-$P$93)/($P$76-$L$76)</f>
        <v>0.10527582825885021</v>
      </c>
      <c r="N93" s="19">
        <f>M93-($L$93-$P$93)/($P$76-$L$76)</f>
        <v>9.6850552172566801E-2</v>
      </c>
      <c r="O93" s="19">
        <f>N93-($L$93-$P$93)/($P$76-$L$76)</f>
        <v>8.8425276086283394E-2</v>
      </c>
      <c r="P93" s="47">
        <f>X17</f>
        <v>0.08</v>
      </c>
    </row>
    <row r="94" spans="1:16" ht="13.5" customHeight="1" x14ac:dyDescent="0.25"/>
    <row r="95" spans="1:16" x14ac:dyDescent="0.25">
      <c r="B95" s="48" t="s">
        <v>38</v>
      </c>
      <c r="C95" s="49"/>
      <c r="D95" s="49"/>
      <c r="E95" s="50">
        <f>E77+E83+E89</f>
        <v>103565</v>
      </c>
      <c r="F95" s="50">
        <f t="shared" ref="F95:P95" si="31">F77+F83+F89</f>
        <v>118165</v>
      </c>
      <c r="G95" s="50">
        <f t="shared" si="31"/>
        <v>134303</v>
      </c>
      <c r="H95" s="50">
        <f t="shared" si="31"/>
        <v>156122</v>
      </c>
      <c r="I95" s="50">
        <f t="shared" si="31"/>
        <v>183303</v>
      </c>
      <c r="J95" s="50">
        <f t="shared" si="31"/>
        <v>205148</v>
      </c>
      <c r="K95" s="50">
        <f t="shared" ca="1" si="31"/>
        <v>227053</v>
      </c>
      <c r="L95" s="50">
        <f t="shared" ca="1" si="31"/>
        <v>262500.5</v>
      </c>
      <c r="M95" s="50">
        <f t="shared" ca="1" si="31"/>
        <v>302805.60403546458</v>
      </c>
      <c r="N95" s="50">
        <f t="shared" ca="1" si="31"/>
        <v>348534.76319983666</v>
      </c>
      <c r="O95" s="50">
        <f t="shared" ca="1" si="31"/>
        <v>400359.1039833395</v>
      </c>
      <c r="P95" s="50">
        <f t="shared" ca="1" si="31"/>
        <v>459236.35618116846</v>
      </c>
    </row>
    <row r="96" spans="1:16" x14ac:dyDescent="0.25">
      <c r="A96" t="s">
        <v>10</v>
      </c>
      <c r="B96" s="51" t="s">
        <v>34</v>
      </c>
      <c r="C96" s="52"/>
      <c r="D96" s="52"/>
      <c r="E96" s="53" t="s">
        <v>35</v>
      </c>
      <c r="F96" s="54">
        <f>F95/E95-1</f>
        <v>0.14097426736831942</v>
      </c>
      <c r="G96" s="54">
        <f t="shared" ref="G96:J96" si="32">G95/F95-1</f>
        <v>0.13657174290187446</v>
      </c>
      <c r="H96" s="54">
        <f t="shared" si="32"/>
        <v>0.16246100236033456</v>
      </c>
      <c r="I96" s="54">
        <f t="shared" si="32"/>
        <v>0.17410102355849921</v>
      </c>
      <c r="J96" s="54">
        <f t="shared" si="32"/>
        <v>0.11917426337812254</v>
      </c>
      <c r="K96" s="54">
        <f t="shared" ref="K96" ca="1" si="33">K95/J95-1</f>
        <v>0.10677657106089256</v>
      </c>
      <c r="L96" s="54">
        <f t="shared" ref="L96" ca="1" si="34">L95/K95-1</f>
        <v>0.15611993675485469</v>
      </c>
      <c r="M96" s="54">
        <f t="shared" ref="M96" ca="1" si="35">M95/L95-1</f>
        <v>0.15354296100565357</v>
      </c>
      <c r="N96" s="54">
        <f t="shared" ref="N96" ca="1" si="36">N95/M95-1</f>
        <v>0.151018206251613</v>
      </c>
      <c r="O96" s="54">
        <f t="shared" ref="O96" ca="1" si="37">O95/N95-1</f>
        <v>0.14869202804251902</v>
      </c>
      <c r="P96" s="54">
        <f t="shared" ref="P96" ca="1" si="38">P95/O95-1</f>
        <v>0.14706110492314184</v>
      </c>
    </row>
    <row r="98" spans="1:16" x14ac:dyDescent="0.25">
      <c r="A98" t="s">
        <v>10</v>
      </c>
      <c r="B98" s="33" t="s">
        <v>48</v>
      </c>
      <c r="C98" s="33"/>
      <c r="D98" s="33"/>
      <c r="E98" s="34">
        <f>2017</f>
        <v>2017</v>
      </c>
      <c r="F98" s="34">
        <v>2018</v>
      </c>
      <c r="G98" s="34">
        <v>2019</v>
      </c>
      <c r="H98" s="34">
        <v>2020</v>
      </c>
      <c r="I98" s="34">
        <v>2021</v>
      </c>
      <c r="J98" s="34">
        <v>2022</v>
      </c>
      <c r="K98" s="35">
        <v>2023</v>
      </c>
      <c r="L98" s="36">
        <v>2024</v>
      </c>
      <c r="M98" s="36">
        <v>2025</v>
      </c>
      <c r="N98" s="36">
        <v>2026</v>
      </c>
      <c r="O98" s="36">
        <v>2027</v>
      </c>
      <c r="P98" s="36">
        <v>2028</v>
      </c>
    </row>
    <row r="99" spans="1:16" x14ac:dyDescent="0.25">
      <c r="B99" t="s">
        <v>33</v>
      </c>
      <c r="E99" s="15">
        <f t="shared" ref="E99:J99" si="39">E49</f>
        <v>12423</v>
      </c>
      <c r="F99" s="15">
        <f t="shared" si="39"/>
        <v>14585</v>
      </c>
      <c r="G99" s="15">
        <f t="shared" si="39"/>
        <v>17456</v>
      </c>
      <c r="H99" s="15">
        <f t="shared" si="39"/>
        <v>21586</v>
      </c>
      <c r="I99" s="15">
        <f t="shared" si="39"/>
        <v>27041</v>
      </c>
      <c r="J99" s="15">
        <f t="shared" si="39"/>
        <v>31957</v>
      </c>
      <c r="K99" s="14">
        <f t="shared" ref="K99:P99" ca="1" si="40">K100*K77</f>
        <v>40514.796768310145</v>
      </c>
      <c r="L99" s="14">
        <f t="shared" ca="1" si="40"/>
        <v>47326.0268060655</v>
      </c>
      <c r="M99" s="14">
        <f t="shared" ca="1" si="40"/>
        <v>53585.076651959098</v>
      </c>
      <c r="N99" s="14">
        <f t="shared" ca="1" si="40"/>
        <v>60542.343755206581</v>
      </c>
      <c r="O99" s="14">
        <f t="shared" ca="1" si="40"/>
        <v>68256.52533866126</v>
      </c>
      <c r="P99" s="14">
        <f t="shared" ca="1" si="40"/>
        <v>76788.591005993905</v>
      </c>
    </row>
    <row r="100" spans="1:16" x14ac:dyDescent="0.25">
      <c r="B100" s="61" t="s">
        <v>39</v>
      </c>
      <c r="E100" s="16">
        <f t="shared" ref="E100:J100" si="41">E99/E77</f>
        <v>0.374446152455014</v>
      </c>
      <c r="F100" s="16">
        <f t="shared" si="41"/>
        <v>0.37849691181813461</v>
      </c>
      <c r="G100" s="16">
        <f t="shared" si="41"/>
        <v>0.39911287925555022</v>
      </c>
      <c r="H100" s="16">
        <f t="shared" si="41"/>
        <v>0.42726786880703072</v>
      </c>
      <c r="I100" s="16">
        <f t="shared" si="41"/>
        <v>0.4608371110126453</v>
      </c>
      <c r="J100" s="16">
        <f t="shared" si="41"/>
        <v>0.48169362253741915</v>
      </c>
      <c r="K100" s="38">
        <f t="shared" ref="K100:P100" ca="1" si="42">OFFSET(K100,$F$17,0)</f>
        <v>0.5529746921302926</v>
      </c>
      <c r="L100" s="38">
        <f t="shared" ca="1" si="42"/>
        <v>0.56927402514092296</v>
      </c>
      <c r="M100" s="38">
        <f t="shared" ca="1" si="42"/>
        <v>0.56927402514092296</v>
      </c>
      <c r="N100" s="38">
        <f t="shared" ca="1" si="42"/>
        <v>0.56927402514092296</v>
      </c>
      <c r="O100" s="38">
        <f t="shared" ca="1" si="42"/>
        <v>0.56927402514092296</v>
      </c>
      <c r="P100" s="38">
        <f t="shared" ca="1" si="42"/>
        <v>0.56927402514092296</v>
      </c>
    </row>
    <row r="101" spans="1:16" x14ac:dyDescent="0.25">
      <c r="B101" t="s">
        <v>47</v>
      </c>
      <c r="K101" s="28">
        <f>K102</f>
        <v>0.5529746921302926</v>
      </c>
      <c r="L101" s="19">
        <f>L102*(1+$L$23)</f>
        <v>0.56927402514092296</v>
      </c>
      <c r="M101" s="19">
        <f t="shared" ref="M101:P101" si="43">M102*(1+$L$23)</f>
        <v>0.56927402514092296</v>
      </c>
      <c r="N101" s="19">
        <f t="shared" si="43"/>
        <v>0.56927402514092296</v>
      </c>
      <c r="O101" s="19">
        <f t="shared" si="43"/>
        <v>0.56927402514092296</v>
      </c>
      <c r="P101" s="19">
        <f t="shared" si="43"/>
        <v>0.56927402514092296</v>
      </c>
    </row>
    <row r="102" spans="1:16" x14ac:dyDescent="0.25">
      <c r="B102" t="s">
        <v>7</v>
      </c>
      <c r="K102" s="20">
        <f>K50</f>
        <v>0.5529746921302926</v>
      </c>
      <c r="L102" s="20">
        <f>L50</f>
        <v>0.56927402514092296</v>
      </c>
      <c r="M102" s="28">
        <f>L102</f>
        <v>0.56927402514092296</v>
      </c>
      <c r="N102" s="20">
        <f>L102</f>
        <v>0.56927402514092296</v>
      </c>
      <c r="O102" s="20">
        <f t="shared" ref="O102:P102" si="44">M102</f>
        <v>0.56927402514092296</v>
      </c>
      <c r="P102" s="20">
        <f t="shared" si="44"/>
        <v>0.56927402514092296</v>
      </c>
    </row>
    <row r="103" spans="1:16" x14ac:dyDescent="0.25">
      <c r="B103" t="s">
        <v>9</v>
      </c>
      <c r="K103" s="28">
        <f>K102</f>
        <v>0.5529746921302926</v>
      </c>
      <c r="L103" s="19">
        <f>L102*(1+$X$23)</f>
        <v>0.56927402514092296</v>
      </c>
      <c r="M103" s="19">
        <f t="shared" ref="M103:P103" si="45">M102*(1+$X$23)</f>
        <v>0.56927402514092296</v>
      </c>
      <c r="N103" s="19">
        <f t="shared" si="45"/>
        <v>0.56927402514092296</v>
      </c>
      <c r="O103" s="19">
        <f t="shared" si="45"/>
        <v>0.56927402514092296</v>
      </c>
      <c r="P103" s="19">
        <f t="shared" si="45"/>
        <v>0.56927402514092296</v>
      </c>
    </row>
    <row r="105" spans="1:16" x14ac:dyDescent="0.25">
      <c r="B105" t="s">
        <v>36</v>
      </c>
      <c r="E105" s="15">
        <f t="shared" ref="E105:J105" si="46">E52</f>
        <v>10341</v>
      </c>
      <c r="F105" s="15">
        <f t="shared" si="46"/>
        <v>12732</v>
      </c>
      <c r="G105" s="15">
        <f t="shared" si="46"/>
        <v>16115</v>
      </c>
      <c r="H105" s="15">
        <f t="shared" si="46"/>
        <v>22282</v>
      </c>
      <c r="I105" s="15">
        <f t="shared" si="46"/>
        <v>29451</v>
      </c>
      <c r="J105" s="15">
        <f t="shared" si="46"/>
        <v>35324</v>
      </c>
      <c r="K105" s="14">
        <f t="shared" ref="K105:P105" ca="1" si="47">K106*K83</f>
        <v>49699.059523955366</v>
      </c>
      <c r="L105" s="14">
        <f t="shared" ca="1" si="47"/>
        <v>62943.304195291254</v>
      </c>
      <c r="M105" s="14">
        <f t="shared" ca="1" si="47"/>
        <v>75295.740100840281</v>
      </c>
      <c r="N105" s="14">
        <f t="shared" ca="1" si="47"/>
        <v>89890.243097504877</v>
      </c>
      <c r="O105" s="14">
        <f t="shared" ca="1" si="47"/>
        <v>107096.23449207608</v>
      </c>
      <c r="P105" s="14">
        <f t="shared" ca="1" si="47"/>
        <v>127444.51904557053</v>
      </c>
    </row>
    <row r="106" spans="1:16" x14ac:dyDescent="0.25">
      <c r="B106" s="61" t="s">
        <v>39</v>
      </c>
      <c r="E106" s="16">
        <f t="shared" ref="E106:J106" si="48">E105/E83</f>
        <v>0.34644376696036716</v>
      </c>
      <c r="F106" s="16">
        <f t="shared" si="48"/>
        <v>0.35733932079708114</v>
      </c>
      <c r="G106" s="16">
        <f t="shared" si="48"/>
        <v>0.3692120878869109</v>
      </c>
      <c r="H106" s="16">
        <f t="shared" si="48"/>
        <v>0.41006293937943983</v>
      </c>
      <c r="I106" s="16">
        <f t="shared" si="48"/>
        <v>0.43484231041814314</v>
      </c>
      <c r="J106" s="16">
        <f t="shared" si="48"/>
        <v>0.43272776273719543</v>
      </c>
      <c r="K106" s="38">
        <f t="shared" ref="K106:P106" ca="1" si="49">OFFSET(K106,$F$18,0)</f>
        <v>0.51958202153593613</v>
      </c>
      <c r="L106" s="38">
        <f t="shared" ca="1" si="49"/>
        <v>0.54913519842763348</v>
      </c>
      <c r="M106" s="38">
        <f t="shared" ca="1" si="49"/>
        <v>0.54913519842763348</v>
      </c>
      <c r="N106" s="38">
        <f t="shared" ca="1" si="49"/>
        <v>0.54913519842763348</v>
      </c>
      <c r="O106" s="38">
        <f t="shared" ca="1" si="49"/>
        <v>0.54913519842763348</v>
      </c>
      <c r="P106" s="38">
        <f t="shared" ca="1" si="49"/>
        <v>0.54913519842763348</v>
      </c>
    </row>
    <row r="107" spans="1:16" x14ac:dyDescent="0.25">
      <c r="B107" t="s">
        <v>47</v>
      </c>
      <c r="K107" s="28">
        <f>K108</f>
        <v>0.51958202153593613</v>
      </c>
      <c r="L107" s="19">
        <f>L108*(1+$L$22)</f>
        <v>0.51714674026680052</v>
      </c>
      <c r="M107" s="19">
        <f t="shared" ref="M107:P107" si="50">M108*(1+$L$22)</f>
        <v>0.51714674026680052</v>
      </c>
      <c r="N107" s="19">
        <f t="shared" si="50"/>
        <v>0.51714674026680052</v>
      </c>
      <c r="O107" s="19">
        <f t="shared" si="50"/>
        <v>0.51714674026680052</v>
      </c>
      <c r="P107" s="19">
        <f t="shared" si="50"/>
        <v>0.51714674026680052</v>
      </c>
    </row>
    <row r="108" spans="1:16" x14ac:dyDescent="0.25">
      <c r="B108" t="s">
        <v>7</v>
      </c>
      <c r="K108" s="20">
        <f>K53</f>
        <v>0.51958202153593613</v>
      </c>
      <c r="L108" s="20">
        <f>L53</f>
        <v>0.533140969347217</v>
      </c>
      <c r="M108" s="28">
        <f>L108</f>
        <v>0.533140969347217</v>
      </c>
      <c r="N108" s="20">
        <f>L108</f>
        <v>0.533140969347217</v>
      </c>
      <c r="O108" s="20">
        <f t="shared" ref="O108" si="51">M108</f>
        <v>0.533140969347217</v>
      </c>
      <c r="P108" s="20">
        <f t="shared" ref="P108" si="52">N108</f>
        <v>0.533140969347217</v>
      </c>
    </row>
    <row r="109" spans="1:16" x14ac:dyDescent="0.25">
      <c r="B109" t="s">
        <v>9</v>
      </c>
      <c r="K109" s="28">
        <f>K108</f>
        <v>0.51958202153593613</v>
      </c>
      <c r="L109" s="19">
        <f>L108*(1+$X$22)</f>
        <v>0.54913519842763348</v>
      </c>
      <c r="M109" s="19">
        <f t="shared" ref="M109:P109" si="53">M108*(1+$X$22)</f>
        <v>0.54913519842763348</v>
      </c>
      <c r="N109" s="19">
        <f t="shared" si="53"/>
        <v>0.54913519842763348</v>
      </c>
      <c r="O109" s="19">
        <f t="shared" si="53"/>
        <v>0.54913519842763348</v>
      </c>
      <c r="P109" s="19">
        <f t="shared" si="53"/>
        <v>0.54913519842763348</v>
      </c>
    </row>
    <row r="111" spans="1:16" x14ac:dyDescent="0.25">
      <c r="B111" t="s">
        <v>37</v>
      </c>
      <c r="E111" s="15">
        <f t="shared" ref="E111:J111" si="54">E55</f>
        <v>9459</v>
      </c>
      <c r="F111" s="15">
        <f t="shared" si="54"/>
        <v>11724</v>
      </c>
      <c r="G111" s="15">
        <f t="shared" si="54"/>
        <v>14356</v>
      </c>
      <c r="H111" s="15">
        <f t="shared" si="54"/>
        <v>17711</v>
      </c>
      <c r="I111" s="15">
        <f t="shared" si="54"/>
        <v>20213</v>
      </c>
      <c r="J111" s="15">
        <f t="shared" si="54"/>
        <v>18694</v>
      </c>
      <c r="K111" s="14">
        <f t="shared" ref="K111:P111" ca="1" si="55">K112*K89</f>
        <v>17539.642145030957</v>
      </c>
      <c r="L111" s="14">
        <f t="shared" ca="1" si="55"/>
        <v>21309.902177882133</v>
      </c>
      <c r="M111" s="14">
        <f t="shared" ca="1" si="55"/>
        <v>23553.319779773752</v>
      </c>
      <c r="N111" s="14">
        <f t="shared" ca="1" si="55"/>
        <v>25834.471805941881</v>
      </c>
      <c r="O111" s="14">
        <f t="shared" ca="1" si="55"/>
        <v>28118.892107925596</v>
      </c>
      <c r="P111" s="14">
        <f t="shared" ca="1" si="55"/>
        <v>30368.403476559644</v>
      </c>
    </row>
    <row r="112" spans="1:16" x14ac:dyDescent="0.25">
      <c r="B112" s="61" t="s">
        <v>39</v>
      </c>
      <c r="E112" s="16">
        <f t="shared" ref="E112:J112" si="56">E111/E89</f>
        <v>0.23333086657292978</v>
      </c>
      <c r="F112" s="16">
        <f t="shared" si="56"/>
        <v>0.26644848980704983</v>
      </c>
      <c r="G112" s="16">
        <f t="shared" si="56"/>
        <v>0.30597412562075066</v>
      </c>
      <c r="H112" s="16">
        <f t="shared" si="56"/>
        <v>0.34549285059399565</v>
      </c>
      <c r="I112" s="16">
        <f t="shared" si="56"/>
        <v>0.35525598889220872</v>
      </c>
      <c r="J112" s="16">
        <f t="shared" si="56"/>
        <v>0.32696680309231468</v>
      </c>
      <c r="K112" s="38">
        <f t="shared" ref="K112:P112" ca="1" si="57">OFFSET(K112,$F$19,0)</f>
        <v>0.30171056774058136</v>
      </c>
      <c r="L112" s="38">
        <f t="shared" ca="1" si="57"/>
        <v>0.32914146626758867</v>
      </c>
      <c r="M112" s="38">
        <f t="shared" ca="1" si="57"/>
        <v>0.32914146626758867</v>
      </c>
      <c r="N112" s="38">
        <f t="shared" ca="1" si="57"/>
        <v>0.32914146626758867</v>
      </c>
      <c r="O112" s="38">
        <f t="shared" ca="1" si="57"/>
        <v>0.32914146626758867</v>
      </c>
      <c r="P112" s="38">
        <f t="shared" ca="1" si="57"/>
        <v>0.32914146626758867</v>
      </c>
    </row>
    <row r="113" spans="1:16" x14ac:dyDescent="0.25">
      <c r="B113" t="s">
        <v>47</v>
      </c>
      <c r="K113" s="28">
        <f>K114</f>
        <v>0.30171056774058136</v>
      </c>
      <c r="L113" s="46">
        <f>L114*(1+$L$22)</f>
        <v>0.30996817697044754</v>
      </c>
      <c r="M113" s="46">
        <f t="shared" ref="M113:P113" si="58">M114*(1+$L$22)</f>
        <v>0.30996817697044754</v>
      </c>
      <c r="N113" s="46">
        <f t="shared" si="58"/>
        <v>0.30996817697044754</v>
      </c>
      <c r="O113" s="46">
        <f t="shared" si="58"/>
        <v>0.30996817697044754</v>
      </c>
      <c r="P113" s="46">
        <f t="shared" si="58"/>
        <v>0.30996817697044754</v>
      </c>
    </row>
    <row r="114" spans="1:16" x14ac:dyDescent="0.25">
      <c r="B114" t="s">
        <v>7</v>
      </c>
      <c r="K114" s="20">
        <f>K56</f>
        <v>0.30171056774058136</v>
      </c>
      <c r="L114" s="20">
        <f>L56</f>
        <v>0.3195548216190181</v>
      </c>
      <c r="M114" s="19">
        <f>L114</f>
        <v>0.3195548216190181</v>
      </c>
      <c r="N114" s="19">
        <f t="shared" ref="N114:P114" si="59">M114</f>
        <v>0.3195548216190181</v>
      </c>
      <c r="O114" s="19">
        <f t="shared" si="59"/>
        <v>0.3195548216190181</v>
      </c>
      <c r="P114" s="19">
        <f t="shared" si="59"/>
        <v>0.3195548216190181</v>
      </c>
    </row>
    <row r="115" spans="1:16" x14ac:dyDescent="0.25">
      <c r="B115" t="s">
        <v>9</v>
      </c>
      <c r="K115" s="28">
        <f>K114</f>
        <v>0.30171056774058136</v>
      </c>
      <c r="L115" s="46">
        <f>L114*(1+$X$22)</f>
        <v>0.32914146626758867</v>
      </c>
      <c r="M115" s="46">
        <f t="shared" ref="M115:P115" si="60">M114*(1+$X$22)</f>
        <v>0.32914146626758867</v>
      </c>
      <c r="N115" s="46">
        <f t="shared" si="60"/>
        <v>0.32914146626758867</v>
      </c>
      <c r="O115" s="46">
        <f t="shared" si="60"/>
        <v>0.32914146626758867</v>
      </c>
      <c r="P115" s="46">
        <f t="shared" si="60"/>
        <v>0.32914146626758867</v>
      </c>
    </row>
    <row r="117" spans="1:16" x14ac:dyDescent="0.25">
      <c r="B117" s="48" t="s">
        <v>40</v>
      </c>
      <c r="C117" s="49"/>
      <c r="D117" s="49"/>
      <c r="E117" s="50">
        <f>E99+E105+E111</f>
        <v>32223</v>
      </c>
      <c r="F117" s="50">
        <f t="shared" ref="F117:P117" si="61">F99+F105+F111</f>
        <v>39041</v>
      </c>
      <c r="G117" s="50">
        <f t="shared" si="61"/>
        <v>47927</v>
      </c>
      <c r="H117" s="50">
        <f t="shared" si="61"/>
        <v>61579</v>
      </c>
      <c r="I117" s="50">
        <f t="shared" si="61"/>
        <v>76705</v>
      </c>
      <c r="J117" s="50">
        <f t="shared" si="61"/>
        <v>85975</v>
      </c>
      <c r="K117" s="50">
        <f t="shared" ca="1" si="61"/>
        <v>107753.49843729647</v>
      </c>
      <c r="L117" s="50">
        <f t="shared" ca="1" si="61"/>
        <v>131579.23317923889</v>
      </c>
      <c r="M117" s="50">
        <f t="shared" ca="1" si="61"/>
        <v>152434.13653257315</v>
      </c>
      <c r="N117" s="50">
        <f t="shared" ca="1" si="61"/>
        <v>176267.05865865335</v>
      </c>
      <c r="O117" s="50">
        <f t="shared" ca="1" si="61"/>
        <v>203471.65193866292</v>
      </c>
      <c r="P117" s="50">
        <f t="shared" ca="1" si="61"/>
        <v>234601.51352812408</v>
      </c>
    </row>
    <row r="118" spans="1:16" x14ac:dyDescent="0.25">
      <c r="B118" s="51" t="s">
        <v>34</v>
      </c>
      <c r="C118" s="52"/>
      <c r="D118" s="52"/>
      <c r="E118" s="66">
        <f t="shared" ref="E118:P118" si="62">E117/E95</f>
        <v>0.31113793269927098</v>
      </c>
      <c r="F118" s="66">
        <f t="shared" si="62"/>
        <v>0.33039394067617317</v>
      </c>
      <c r="G118" s="66">
        <f t="shared" si="62"/>
        <v>0.35685725560858655</v>
      </c>
      <c r="H118" s="66">
        <f t="shared" si="62"/>
        <v>0.39442871600415058</v>
      </c>
      <c r="I118" s="66">
        <f t="shared" si="62"/>
        <v>0.41846014522402797</v>
      </c>
      <c r="J118" s="66">
        <f t="shared" si="62"/>
        <v>0.41908768303858679</v>
      </c>
      <c r="K118" s="66">
        <f t="shared" ca="1" si="62"/>
        <v>0.47457421147175538</v>
      </c>
      <c r="L118" s="66">
        <f t="shared" ca="1" si="62"/>
        <v>0.50125326686706839</v>
      </c>
      <c r="M118" s="66">
        <f t="shared" ca="1" si="62"/>
        <v>0.50340592941840023</v>
      </c>
      <c r="N118" s="66">
        <f t="shared" ca="1" si="62"/>
        <v>0.5057373819482921</v>
      </c>
      <c r="O118" s="66">
        <f t="shared" ca="1" si="62"/>
        <v>0.50822286770611358</v>
      </c>
      <c r="P118" s="66">
        <f t="shared" ca="1" si="62"/>
        <v>0.51085135218600575</v>
      </c>
    </row>
    <row r="120" spans="1:16" x14ac:dyDescent="0.25">
      <c r="A120" t="s">
        <v>10</v>
      </c>
      <c r="B120" s="33" t="s">
        <v>0</v>
      </c>
      <c r="C120" s="33"/>
      <c r="D120" s="33"/>
      <c r="E120" s="34">
        <f>2017</f>
        <v>2017</v>
      </c>
      <c r="F120" s="34">
        <v>2018</v>
      </c>
      <c r="G120" s="34">
        <v>2019</v>
      </c>
      <c r="H120" s="34">
        <v>2020</v>
      </c>
      <c r="I120" s="34">
        <v>2021</v>
      </c>
      <c r="J120" s="34">
        <v>2022</v>
      </c>
      <c r="K120" s="35">
        <v>2023</v>
      </c>
      <c r="L120" s="36">
        <v>2024</v>
      </c>
      <c r="M120" s="36">
        <v>2025</v>
      </c>
      <c r="N120" s="36">
        <v>2026</v>
      </c>
      <c r="O120" s="36">
        <v>2027</v>
      </c>
      <c r="P120" s="36">
        <v>2028</v>
      </c>
    </row>
    <row r="121" spans="1:16" x14ac:dyDescent="0.25">
      <c r="B121" t="s">
        <v>13</v>
      </c>
      <c r="E121" s="15">
        <f>E95</f>
        <v>103565</v>
      </c>
      <c r="F121" s="15">
        <f t="shared" ref="F121:P121" si="63">F95</f>
        <v>118165</v>
      </c>
      <c r="G121" s="15">
        <f t="shared" si="63"/>
        <v>134303</v>
      </c>
      <c r="H121" s="15">
        <f t="shared" si="63"/>
        <v>156122</v>
      </c>
      <c r="I121" s="15">
        <f t="shared" si="63"/>
        <v>183303</v>
      </c>
      <c r="J121" s="15">
        <f t="shared" si="63"/>
        <v>205148</v>
      </c>
      <c r="K121" s="15">
        <f t="shared" ca="1" si="63"/>
        <v>227053</v>
      </c>
      <c r="L121" s="15">
        <f t="shared" ca="1" si="63"/>
        <v>262500.5</v>
      </c>
      <c r="M121" s="15">
        <f t="shared" ca="1" si="63"/>
        <v>302805.60403546458</v>
      </c>
      <c r="N121" s="15">
        <f t="shared" ca="1" si="63"/>
        <v>348534.76319983666</v>
      </c>
      <c r="O121" s="15">
        <f t="shared" ca="1" si="63"/>
        <v>400359.1039833395</v>
      </c>
      <c r="P121" s="15">
        <f t="shared" ca="1" si="63"/>
        <v>459236.35618116846</v>
      </c>
    </row>
    <row r="122" spans="1:16" x14ac:dyDescent="0.25">
      <c r="B122" s="61" t="s">
        <v>34</v>
      </c>
      <c r="E122" s="13" t="s">
        <v>35</v>
      </c>
      <c r="F122" s="67">
        <f>F121/E121-1</f>
        <v>0.14097426736831942</v>
      </c>
      <c r="G122" s="67">
        <f t="shared" ref="G122:P122" si="64">G121/F121-1</f>
        <v>0.13657174290187446</v>
      </c>
      <c r="H122" s="67">
        <f t="shared" si="64"/>
        <v>0.16246100236033456</v>
      </c>
      <c r="I122" s="67">
        <f t="shared" si="64"/>
        <v>0.17410102355849921</v>
      </c>
      <c r="J122" s="67">
        <f t="shared" si="64"/>
        <v>0.11917426337812254</v>
      </c>
      <c r="K122" s="67">
        <f t="shared" ca="1" si="64"/>
        <v>0.10677657106089256</v>
      </c>
      <c r="L122" s="67">
        <f t="shared" ca="1" si="64"/>
        <v>0.15611993675485469</v>
      </c>
      <c r="M122" s="67">
        <f t="shared" ca="1" si="64"/>
        <v>0.15354296100565357</v>
      </c>
      <c r="N122" s="67">
        <f t="shared" ca="1" si="64"/>
        <v>0.151018206251613</v>
      </c>
      <c r="O122" s="67">
        <f t="shared" ca="1" si="64"/>
        <v>0.14869202804251902</v>
      </c>
      <c r="P122" s="67">
        <f t="shared" ca="1" si="64"/>
        <v>0.14706110492314184</v>
      </c>
    </row>
    <row r="124" spans="1:16" x14ac:dyDescent="0.25">
      <c r="B124" t="s">
        <v>20</v>
      </c>
      <c r="E124" s="15">
        <f>E117</f>
        <v>32223</v>
      </c>
      <c r="F124" s="15">
        <f t="shared" ref="F124:P124" si="65">F117</f>
        <v>39041</v>
      </c>
      <c r="G124" s="15">
        <f t="shared" si="65"/>
        <v>47927</v>
      </c>
      <c r="H124" s="15">
        <f t="shared" si="65"/>
        <v>61579</v>
      </c>
      <c r="I124" s="15">
        <f t="shared" si="65"/>
        <v>76705</v>
      </c>
      <c r="J124" s="15">
        <f t="shared" si="65"/>
        <v>85975</v>
      </c>
      <c r="K124" s="15">
        <f t="shared" ca="1" si="65"/>
        <v>107753.49843729647</v>
      </c>
      <c r="L124" s="15">
        <f t="shared" ca="1" si="65"/>
        <v>131579.23317923889</v>
      </c>
      <c r="M124" s="15">
        <f t="shared" ca="1" si="65"/>
        <v>152434.13653257315</v>
      </c>
      <c r="N124" s="15">
        <f t="shared" ca="1" si="65"/>
        <v>176267.05865865335</v>
      </c>
      <c r="O124" s="15">
        <f t="shared" ca="1" si="65"/>
        <v>203471.65193866292</v>
      </c>
      <c r="P124" s="15">
        <f t="shared" ca="1" si="65"/>
        <v>234601.51352812408</v>
      </c>
    </row>
    <row r="125" spans="1:16" x14ac:dyDescent="0.25">
      <c r="B125" s="61" t="s">
        <v>39</v>
      </c>
      <c r="E125" s="16">
        <f>E124/E121</f>
        <v>0.31113793269927098</v>
      </c>
      <c r="F125" s="16">
        <f t="shared" ref="F125:P125" si="66">F124/F121</f>
        <v>0.33039394067617317</v>
      </c>
      <c r="G125" s="16">
        <f t="shared" si="66"/>
        <v>0.35685725560858655</v>
      </c>
      <c r="H125" s="16">
        <f t="shared" si="66"/>
        <v>0.39442871600415058</v>
      </c>
      <c r="I125" s="16">
        <f t="shared" si="66"/>
        <v>0.41846014522402797</v>
      </c>
      <c r="J125" s="16">
        <f t="shared" si="66"/>
        <v>0.41908768303858679</v>
      </c>
      <c r="K125" s="16">
        <f t="shared" ca="1" si="66"/>
        <v>0.47457421147175538</v>
      </c>
      <c r="L125" s="16">
        <f t="shared" ca="1" si="66"/>
        <v>0.50125326686706839</v>
      </c>
      <c r="M125" s="16">
        <f t="shared" ca="1" si="66"/>
        <v>0.50340592941840023</v>
      </c>
      <c r="N125" s="16">
        <f t="shared" ca="1" si="66"/>
        <v>0.5057373819482921</v>
      </c>
      <c r="O125" s="16">
        <f t="shared" ca="1" si="66"/>
        <v>0.50822286770611358</v>
      </c>
      <c r="P125" s="16">
        <f t="shared" ca="1" si="66"/>
        <v>0.51085135218600575</v>
      </c>
    </row>
    <row r="126" spans="1:16" x14ac:dyDescent="0.25">
      <c r="B126" s="61"/>
      <c r="E126" s="13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</row>
    <row r="127" spans="1:16" x14ac:dyDescent="0.25">
      <c r="B127" t="s">
        <v>24</v>
      </c>
      <c r="E127" s="75">
        <f>E63</f>
        <v>17026</v>
      </c>
      <c r="F127" s="75">
        <f t="shared" ref="F127:J127" si="67">F63</f>
        <v>6386</v>
      </c>
      <c r="G127" s="75">
        <f t="shared" si="67"/>
        <v>5530</v>
      </c>
      <c r="H127" s="75">
        <f t="shared" si="67"/>
        <v>9416</v>
      </c>
      <c r="I127" s="75">
        <f t="shared" si="67"/>
        <v>8495</v>
      </c>
      <c r="J127" s="75">
        <f t="shared" si="67"/>
        <v>15139</v>
      </c>
      <c r="K127" s="74">
        <f ca="1">K124*K128</f>
        <v>15426.995460887172</v>
      </c>
      <c r="L127" s="74">
        <f t="shared" ref="L127:P127" ca="1" si="68">L124*L128</f>
        <v>18838.109782434109</v>
      </c>
      <c r="M127" s="74">
        <f t="shared" ca="1" si="68"/>
        <v>21823.892184258839</v>
      </c>
      <c r="N127" s="74">
        <f t="shared" ca="1" si="68"/>
        <v>25236.035518729506</v>
      </c>
      <c r="O127" s="74">
        <f t="shared" ca="1" si="68"/>
        <v>29130.898730899004</v>
      </c>
      <c r="P127" s="74">
        <f t="shared" ca="1" si="68"/>
        <v>33587.73995093719</v>
      </c>
    </row>
    <row r="128" spans="1:16" x14ac:dyDescent="0.25">
      <c r="B128" t="s">
        <v>43</v>
      </c>
      <c r="E128" s="16">
        <f>E64</f>
        <v>0.59502341511148393</v>
      </c>
      <c r="F128" s="16">
        <f t="shared" ref="F128:J128" si="69">F64</f>
        <v>0.15994189395647057</v>
      </c>
      <c r="G128" s="16">
        <f t="shared" si="69"/>
        <v>0.11092612280103505</v>
      </c>
      <c r="H128" s="16">
        <f t="shared" si="69"/>
        <v>0.15505714191614794</v>
      </c>
      <c r="I128" s="16">
        <f t="shared" si="69"/>
        <v>0.10661395582329317</v>
      </c>
      <c r="J128" s="16">
        <f t="shared" si="69"/>
        <v>0.18330750230057635</v>
      </c>
      <c r="K128" s="20">
        <f>CHOOSE($F$22,L26,R26,X26)</f>
        <v>0.14316932335950461</v>
      </c>
      <c r="L128" s="20">
        <f>K128</f>
        <v>0.14316932335950461</v>
      </c>
      <c r="M128" s="19">
        <f>L128</f>
        <v>0.14316932335950461</v>
      </c>
      <c r="N128" s="19">
        <f t="shared" ref="N128:P128" si="70">M128</f>
        <v>0.14316932335950461</v>
      </c>
      <c r="O128" s="19">
        <f t="shared" si="70"/>
        <v>0.14316932335950461</v>
      </c>
      <c r="P128" s="19">
        <f t="shared" si="70"/>
        <v>0.14316932335950461</v>
      </c>
    </row>
    <row r="130" spans="2:16" x14ac:dyDescent="0.25">
      <c r="B130" t="s">
        <v>49</v>
      </c>
      <c r="K130" s="14">
        <f ca="1">K124-K127</f>
        <v>92326.502976409291</v>
      </c>
      <c r="L130" s="14">
        <f t="shared" ref="L130:P130" ca="1" si="71">L124-L127</f>
        <v>112741.12339680477</v>
      </c>
      <c r="M130" s="14">
        <f t="shared" ca="1" si="71"/>
        <v>130610.2443483143</v>
      </c>
      <c r="N130" s="14">
        <f t="shared" ca="1" si="71"/>
        <v>151031.02313992384</v>
      </c>
      <c r="O130" s="14">
        <f t="shared" ca="1" si="71"/>
        <v>174340.75320776392</v>
      </c>
      <c r="P130" s="14">
        <f t="shared" ca="1" si="71"/>
        <v>201013.77357718689</v>
      </c>
    </row>
    <row r="132" spans="2:16" x14ac:dyDescent="0.25">
      <c r="B132" t="s">
        <v>25</v>
      </c>
      <c r="E132" s="15">
        <f>E67</f>
        <v>9831</v>
      </c>
      <c r="F132" s="15">
        <f t="shared" ref="F132:J132" si="72">F67</f>
        <v>11058</v>
      </c>
      <c r="G132" s="15">
        <f t="shared" si="72"/>
        <v>12024</v>
      </c>
      <c r="H132" s="15">
        <f t="shared" si="72"/>
        <v>11532</v>
      </c>
      <c r="I132" s="15">
        <f t="shared" si="72"/>
        <v>12202</v>
      </c>
      <c r="J132" s="15">
        <f t="shared" si="72"/>
        <v>14190</v>
      </c>
      <c r="K132" s="14">
        <f ca="1">K121*K133</f>
        <v>17250.271286128387</v>
      </c>
      <c r="L132" s="14">
        <f t="shared" ref="L132:P132" ca="1" si="73">L121*L133</f>
        <v>21729.717038658266</v>
      </c>
      <c r="M132" s="14">
        <f t="shared" ca="1" si="73"/>
        <v>27126.775711916918</v>
      </c>
      <c r="N132" s="14">
        <f t="shared" ca="1" si="73"/>
        <v>33595.216464874298</v>
      </c>
      <c r="O132" s="14">
        <f t="shared" ca="1" si="73"/>
        <v>41315.029385865608</v>
      </c>
      <c r="P132" s="14">
        <f t="shared" ca="1" si="73"/>
        <v>50515.999179928534</v>
      </c>
    </row>
    <row r="133" spans="2:16" x14ac:dyDescent="0.25">
      <c r="B133" s="61" t="s">
        <v>39</v>
      </c>
      <c r="E133" s="30">
        <f>E132/E121</f>
        <v>9.4925891951914254E-2</v>
      </c>
      <c r="F133" s="30">
        <f t="shared" ref="F133:J133" si="74">F132/F121</f>
        <v>9.3581009605213053E-2</v>
      </c>
      <c r="G133" s="30">
        <f t="shared" si="74"/>
        <v>8.952890106699031E-2</v>
      </c>
      <c r="H133" s="30">
        <f t="shared" si="74"/>
        <v>7.3865310462330747E-2</v>
      </c>
      <c r="I133" s="30">
        <f t="shared" si="74"/>
        <v>6.6567377511551909E-2</v>
      </c>
      <c r="J133" s="30">
        <f t="shared" si="74"/>
        <v>6.9169575135999375E-2</v>
      </c>
      <c r="K133" s="20">
        <f>J133+($P$133-$J$133)/($P$120-$J$120)</f>
        <v>7.5974645946666142E-2</v>
      </c>
      <c r="L133" s="20">
        <f t="shared" ref="L133:O133" si="75">K133+($P$133-$J$133)/($P$120-$J$120)</f>
        <v>8.2779716757332908E-2</v>
      </c>
      <c r="M133" s="20">
        <f t="shared" si="75"/>
        <v>8.9584787567999674E-2</v>
      </c>
      <c r="N133" s="20">
        <f t="shared" si="75"/>
        <v>9.638985837866644E-2</v>
      </c>
      <c r="O133" s="20">
        <f t="shared" si="75"/>
        <v>0.10319492918933321</v>
      </c>
      <c r="P133" s="19">
        <f>CHOOSE($F$23,L27,R27,X27)</f>
        <v>0.11</v>
      </c>
    </row>
    <row r="135" spans="2:16" x14ac:dyDescent="0.25">
      <c r="B135" t="s">
        <v>45</v>
      </c>
      <c r="E135" s="15">
        <f>E70</f>
        <v>8696</v>
      </c>
      <c r="F135" s="15">
        <f t="shared" ref="F135:J135" si="76">F70</f>
        <v>14223</v>
      </c>
      <c r="G135" s="15">
        <f t="shared" si="76"/>
        <v>13546</v>
      </c>
      <c r="H135" s="15">
        <f t="shared" si="76"/>
        <v>17592</v>
      </c>
      <c r="I135" s="15">
        <f t="shared" si="76"/>
        <v>23216</v>
      </c>
      <c r="J135" s="15">
        <f t="shared" si="76"/>
        <v>24768</v>
      </c>
      <c r="K135" s="14">
        <f ca="1">K136*K$121</f>
        <v>24975.83</v>
      </c>
      <c r="L135" s="14">
        <f t="shared" ref="L135:P135" ca="1" si="77">L136*L$121</f>
        <v>28875.055</v>
      </c>
      <c r="M135" s="14">
        <f t="shared" ca="1" si="77"/>
        <v>33308.616443901105</v>
      </c>
      <c r="N135" s="14">
        <f t="shared" ca="1" si="77"/>
        <v>38338.823951982034</v>
      </c>
      <c r="O135" s="14">
        <f t="shared" ca="1" si="77"/>
        <v>44039.501438167346</v>
      </c>
      <c r="P135" s="14">
        <f t="shared" ca="1" si="77"/>
        <v>50515.999179928534</v>
      </c>
    </row>
    <row r="136" spans="2:16" x14ac:dyDescent="0.25">
      <c r="B136" s="61" t="s">
        <v>39</v>
      </c>
      <c r="E136" s="30">
        <f>E135/E121</f>
        <v>8.3966591029788054E-2</v>
      </c>
      <c r="F136" s="30">
        <f t="shared" ref="F136:J136" si="78">F135/F121</f>
        <v>0.12036559048787712</v>
      </c>
      <c r="G136" s="30">
        <f t="shared" si="78"/>
        <v>0.10086148485141806</v>
      </c>
      <c r="H136" s="30">
        <f t="shared" si="78"/>
        <v>0.11268110836397177</v>
      </c>
      <c r="I136" s="30">
        <f t="shared" si="78"/>
        <v>0.12665368270022859</v>
      </c>
      <c r="J136" s="30">
        <f t="shared" si="78"/>
        <v>0.12073234932828981</v>
      </c>
      <c r="K136" s="28">
        <f>CHOOSE(F24,L28,R28,X28)</f>
        <v>0.11</v>
      </c>
      <c r="L136" s="20">
        <f>K136</f>
        <v>0.11</v>
      </c>
      <c r="M136" s="20">
        <f t="shared" ref="M136:P136" si="79">L136</f>
        <v>0.11</v>
      </c>
      <c r="N136" s="20">
        <f t="shared" si="79"/>
        <v>0.11</v>
      </c>
      <c r="O136" s="20">
        <f t="shared" si="79"/>
        <v>0.11</v>
      </c>
      <c r="P136" s="20">
        <f t="shared" si="79"/>
        <v>0.11</v>
      </c>
    </row>
    <row r="138" spans="2:16" x14ac:dyDescent="0.25">
      <c r="B138" t="s">
        <v>27</v>
      </c>
      <c r="E138" s="15">
        <f>E73</f>
        <v>14404</v>
      </c>
      <c r="F138" s="15">
        <f t="shared" ref="F138:J138" si="80">F73</f>
        <v>1841</v>
      </c>
      <c r="G138" s="15">
        <f t="shared" si="80"/>
        <v>-303</v>
      </c>
      <c r="H138" s="15">
        <f t="shared" si="80"/>
        <v>-723</v>
      </c>
      <c r="I138" s="15">
        <f t="shared" si="80"/>
        <v>388</v>
      </c>
      <c r="J138" s="15">
        <f t="shared" si="80"/>
        <v>-3929</v>
      </c>
      <c r="K138" s="14">
        <f t="shared" ref="K138:P138" ca="1" si="81">K139*K$121</f>
        <v>-4541.0600000000004</v>
      </c>
      <c r="L138" s="14">
        <f t="shared" ca="1" si="81"/>
        <v>-5250.01</v>
      </c>
      <c r="M138" s="14">
        <f t="shared" ca="1" si="81"/>
        <v>-6056.1120807092921</v>
      </c>
      <c r="N138" s="14">
        <f t="shared" ca="1" si="81"/>
        <v>-6970.695263996733</v>
      </c>
      <c r="O138" s="14">
        <f t="shared" ca="1" si="81"/>
        <v>-8007.1820796667898</v>
      </c>
      <c r="P138" s="14">
        <f t="shared" ca="1" si="81"/>
        <v>-9184.7271236233701</v>
      </c>
    </row>
    <row r="139" spans="2:16" x14ac:dyDescent="0.25">
      <c r="B139" s="61" t="s">
        <v>39</v>
      </c>
      <c r="E139" s="30">
        <f>E138/E121</f>
        <v>0.13908173610775842</v>
      </c>
      <c r="F139" s="30">
        <f t="shared" ref="F139:J139" si="82">F138/F121</f>
        <v>1.5579909448652307E-2</v>
      </c>
      <c r="G139" s="30">
        <f t="shared" si="82"/>
        <v>-2.2560925668078896E-3</v>
      </c>
      <c r="H139" s="30">
        <f t="shared" si="82"/>
        <v>-4.6309937100472709E-3</v>
      </c>
      <c r="I139" s="30">
        <f t="shared" si="82"/>
        <v>2.1167138562925864E-3</v>
      </c>
      <c r="J139" s="30">
        <f t="shared" si="82"/>
        <v>-1.9152026829410963E-2</v>
      </c>
      <c r="K139" s="20">
        <f>CHOOSE($F$25,L29,R29,X29)</f>
        <v>-0.02</v>
      </c>
      <c r="L139" s="20">
        <f>K139</f>
        <v>-0.02</v>
      </c>
      <c r="M139" s="20">
        <f t="shared" ref="M139:P139" si="83">L139</f>
        <v>-0.02</v>
      </c>
      <c r="N139" s="20">
        <f t="shared" si="83"/>
        <v>-0.02</v>
      </c>
      <c r="O139" s="20">
        <f t="shared" si="83"/>
        <v>-0.02</v>
      </c>
      <c r="P139" s="20">
        <f t="shared" si="83"/>
        <v>-0.02</v>
      </c>
    </row>
    <row r="141" spans="2:16" x14ac:dyDescent="0.25">
      <c r="B141" s="86" t="s">
        <v>50</v>
      </c>
      <c r="C141" s="21"/>
      <c r="D141" s="21"/>
      <c r="E141" s="21"/>
      <c r="F141" s="21"/>
      <c r="G141" s="21"/>
      <c r="H141" s="21"/>
      <c r="I141" s="21"/>
      <c r="J141" s="21"/>
      <c r="K141" s="22">
        <f ca="1">(K130+K132-K135-K138)*YEARFRAC(C5,C6)</f>
        <v>4704.7168916339333</v>
      </c>
      <c r="L141" s="22">
        <f t="shared" ref="L141:P141" ca="1" si="84">L130+L132-L135-L138</f>
        <v>110845.79543546303</v>
      </c>
      <c r="M141" s="22">
        <f t="shared" ca="1" si="84"/>
        <v>130484.5156970394</v>
      </c>
      <c r="N141" s="22">
        <f t="shared" ca="1" si="84"/>
        <v>153258.11091681285</v>
      </c>
      <c r="O141" s="22">
        <f t="shared" ca="1" si="84"/>
        <v>179623.46323512896</v>
      </c>
      <c r="P141" s="87">
        <f t="shared" ca="1" si="84"/>
        <v>210198.50070081025</v>
      </c>
    </row>
    <row r="142" spans="2:16" x14ac:dyDescent="0.25">
      <c r="B142" s="88" t="s">
        <v>51</v>
      </c>
      <c r="C142" s="1"/>
      <c r="D142" s="1"/>
      <c r="E142" s="1"/>
      <c r="F142" s="1"/>
      <c r="G142" s="1"/>
      <c r="H142" s="1"/>
      <c r="I142" s="1"/>
      <c r="J142" s="1"/>
      <c r="K142" s="91">
        <f ca="1">K141/(1+$F$30)^K145</f>
        <v>4695.0853273037001</v>
      </c>
      <c r="L142" s="91">
        <f t="shared" ref="L142:P142" ca="1" si="85">L141/(1+$F$30)^L145</f>
        <v>106188.12593223654</v>
      </c>
      <c r="M142" s="91">
        <f t="shared" ca="1" si="85"/>
        <v>115661.59974481232</v>
      </c>
      <c r="N142" s="91">
        <f t="shared" ca="1" si="85"/>
        <v>125697.65333118133</v>
      </c>
      <c r="O142" s="91">
        <f t="shared" ca="1" si="85"/>
        <v>136313.93418988553</v>
      </c>
      <c r="P142" s="91">
        <f t="shared" ca="1" si="85"/>
        <v>147597.93641108213</v>
      </c>
    </row>
    <row r="144" spans="2:16" x14ac:dyDescent="0.25">
      <c r="B144" t="s">
        <v>52</v>
      </c>
      <c r="K144">
        <v>1</v>
      </c>
      <c r="L144">
        <v>2</v>
      </c>
      <c r="M144">
        <v>3</v>
      </c>
      <c r="N144">
        <v>4</v>
      </c>
      <c r="O144">
        <v>5</v>
      </c>
      <c r="P144">
        <v>6</v>
      </c>
    </row>
    <row r="145" spans="2:16" x14ac:dyDescent="0.25">
      <c r="B145" t="s">
        <v>53</v>
      </c>
      <c r="K145" s="89">
        <f>YEARFRAC(C5,C6)/2</f>
        <v>2.6388888888888889E-2</v>
      </c>
      <c r="L145" s="90">
        <f>YEARFRAC(C5,C6)+0.5</f>
        <v>0.55277777777777781</v>
      </c>
      <c r="M145" s="89">
        <f>L145+1</f>
        <v>1.5527777777777778</v>
      </c>
      <c r="N145" s="89">
        <f t="shared" ref="N145:P145" si="86">M145+1</f>
        <v>2.552777777777778</v>
      </c>
      <c r="O145" s="89">
        <f t="shared" si="86"/>
        <v>3.552777777777778</v>
      </c>
      <c r="P145" s="89">
        <f t="shared" si="86"/>
        <v>4.552777777777778</v>
      </c>
    </row>
    <row r="147" spans="2:16" x14ac:dyDescent="0.25">
      <c r="B147" t="s">
        <v>54</v>
      </c>
      <c r="P147" s="14">
        <f ca="1">P141*(1+F31)/(F30-F31)</f>
        <v>4265831.8146018554</v>
      </c>
    </row>
    <row r="148" spans="2:16" x14ac:dyDescent="0.25">
      <c r="B148" t="s">
        <v>55</v>
      </c>
      <c r="P148" s="14">
        <f ca="1">P147/(1+F30)^P144</f>
        <v>2676976.9911006037</v>
      </c>
    </row>
    <row r="150" spans="2:16" x14ac:dyDescent="0.25">
      <c r="B150" t="s">
        <v>56</v>
      </c>
      <c r="P150" s="14">
        <f ca="1">SUM(K142:P142,P148)</f>
        <v>3313131.3260371052</v>
      </c>
    </row>
    <row r="151" spans="2:16" x14ac:dyDescent="0.25">
      <c r="B151" t="s">
        <v>57</v>
      </c>
      <c r="P151" s="92">
        <v>143951</v>
      </c>
    </row>
    <row r="152" spans="2:16" x14ac:dyDescent="0.25">
      <c r="B152" t="s">
        <v>58</v>
      </c>
      <c r="P152" s="62">
        <f>Sheet2!B9</f>
        <v>25808</v>
      </c>
    </row>
    <row r="153" spans="2:16" x14ac:dyDescent="0.25">
      <c r="B153" t="s">
        <v>59</v>
      </c>
      <c r="P153" s="14">
        <f ca="1">P150+P151-P152</f>
        <v>3431274.3260371052</v>
      </c>
    </row>
    <row r="154" spans="2:16" x14ac:dyDescent="0.25">
      <c r="B154" t="s">
        <v>60</v>
      </c>
      <c r="P154">
        <v>7528</v>
      </c>
    </row>
    <row r="155" spans="2:16" ht="15.75" thickBot="1" x14ac:dyDescent="0.3">
      <c r="B155" s="94" t="s">
        <v>61</v>
      </c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5">
        <f ca="1">P153/P154</f>
        <v>455.801584223845</v>
      </c>
    </row>
    <row r="156" spans="2:16" ht="15.75" thickTop="1" x14ac:dyDescent="0.25"/>
  </sheetData>
  <mergeCells count="5">
    <mergeCell ref="T10:X10"/>
    <mergeCell ref="H10:L10"/>
    <mergeCell ref="N10:R10"/>
    <mergeCell ref="B8:W8"/>
    <mergeCell ref="B10:F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FA3D-6B51-4F5F-A1A0-F3E13C8B024A}">
  <dimension ref="A1:B16"/>
  <sheetViews>
    <sheetView showGridLines="0" workbookViewId="0">
      <selection activeCell="D19" sqref="D19"/>
    </sheetView>
  </sheetViews>
  <sheetFormatPr defaultRowHeight="15" x14ac:dyDescent="0.25"/>
  <cols>
    <col min="1" max="1" width="23.7109375" bestFit="1" customWidth="1"/>
    <col min="2" max="2" width="20.42578125" bestFit="1" customWidth="1"/>
  </cols>
  <sheetData>
    <row r="1" spans="1:2" x14ac:dyDescent="0.25">
      <c r="A1" s="76" t="s">
        <v>29</v>
      </c>
    </row>
    <row r="2" spans="1:2" x14ac:dyDescent="0.25">
      <c r="A2" t="s">
        <v>62</v>
      </c>
      <c r="B2">
        <v>2759600</v>
      </c>
    </row>
    <row r="3" spans="1:2" x14ac:dyDescent="0.25">
      <c r="A3" s="5" t="s">
        <v>63</v>
      </c>
      <c r="B3" s="82">
        <f>B2/B14</f>
        <v>0.99073457102155227</v>
      </c>
    </row>
    <row r="4" spans="1:2" x14ac:dyDescent="0.25">
      <c r="A4" t="s">
        <v>64</v>
      </c>
      <c r="B4" s="31">
        <f>B5+(B6*B7)</f>
        <v>8.6323999999999998E-2</v>
      </c>
    </row>
    <row r="5" spans="1:2" x14ac:dyDescent="0.25">
      <c r="A5" t="s">
        <v>65</v>
      </c>
      <c r="B5" s="77">
        <v>4.1930000000000002E-2</v>
      </c>
    </row>
    <row r="6" spans="1:2" x14ac:dyDescent="0.25">
      <c r="A6" t="s">
        <v>66</v>
      </c>
      <c r="B6" s="84">
        <v>0.98</v>
      </c>
    </row>
    <row r="7" spans="1:2" x14ac:dyDescent="0.25">
      <c r="A7" t="s">
        <v>67</v>
      </c>
      <c r="B7" s="32">
        <v>4.53E-2</v>
      </c>
    </row>
    <row r="9" spans="1:2" x14ac:dyDescent="0.25">
      <c r="A9" s="5" t="s">
        <v>68</v>
      </c>
      <c r="B9" s="73">
        <v>25808</v>
      </c>
    </row>
    <row r="10" spans="1:2" x14ac:dyDescent="0.25">
      <c r="A10" t="s">
        <v>69</v>
      </c>
      <c r="B10" s="81">
        <f>B9/B2</f>
        <v>9.3520800115958827E-3</v>
      </c>
    </row>
    <row r="11" spans="1:2" x14ac:dyDescent="0.25">
      <c r="A11" t="s">
        <v>70</v>
      </c>
      <c r="B11" s="72">
        <f>AVERAGE(3.125%,2.625%)</f>
        <v>2.8749999999999998E-2</v>
      </c>
    </row>
    <row r="12" spans="1:2" x14ac:dyDescent="0.25">
      <c r="A12" t="s">
        <v>43</v>
      </c>
      <c r="B12" s="77">
        <f>DCF!R26</f>
        <v>0.14832620001333915</v>
      </c>
    </row>
    <row r="13" spans="1:2" x14ac:dyDescent="0.25">
      <c r="B13" s="80"/>
    </row>
    <row r="14" spans="1:2" x14ac:dyDescent="0.25">
      <c r="A14" t="s">
        <v>71</v>
      </c>
      <c r="B14" s="83">
        <f>B2+B9</f>
        <v>2785408</v>
      </c>
    </row>
    <row r="16" spans="1:2" x14ac:dyDescent="0.25">
      <c r="A16" s="78" t="s">
        <v>29</v>
      </c>
      <c r="B16" s="79">
        <f>(B3*B4)+(B10*(B11*(1-B12)))</f>
        <v>8.5753162602600561E-2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76c7d36-2d9c-4db8-bf71-e1840c009d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F0B92D886A04DAC72E375FCC88FB4" ma:contentTypeVersion="17" ma:contentTypeDescription="Create a new document." ma:contentTypeScope="" ma:versionID="17648e89f8e4f8eeea045fdd82dbec1f">
  <xsd:schema xmlns:xsd="http://www.w3.org/2001/XMLSchema" xmlns:xs="http://www.w3.org/2001/XMLSchema" xmlns:p="http://schemas.microsoft.com/office/2006/metadata/properties" xmlns:ns3="576c7d36-2d9c-4db8-bf71-e1840c009d33" xmlns:ns4="005f0376-c3c2-4c95-840a-ed3a7d02c7f7" targetNamespace="http://schemas.microsoft.com/office/2006/metadata/properties" ma:root="true" ma:fieldsID="3237402ff3d22e687f6efa487aa4b489" ns3:_="" ns4:_="">
    <xsd:import namespace="576c7d36-2d9c-4db8-bf71-e1840c009d33"/>
    <xsd:import namespace="005f0376-c3c2-4c95-840a-ed3a7d02c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6c7d36-2d9c-4db8-bf71-e1840c009d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f0376-c3c2-4c95-840a-ed3a7d02c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529598-F690-4A09-94E7-2CE0159A4ADE}">
  <ds:schemaRefs>
    <ds:schemaRef ds:uri="576c7d36-2d9c-4db8-bf71-e1840c009d3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5f0376-c3c2-4c95-840a-ed3a7d02c7f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5F7848E-804C-4BC6-977E-E92F96D6E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6c7d36-2d9c-4db8-bf71-e1840c009d33"/>
    <ds:schemaRef ds:uri="005f0376-c3c2-4c95-840a-ed3a7d02c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60D912-F253-4B8E-927C-C4B881C22A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A. Arellano</dc:creator>
  <cp:keywords/>
  <dc:description/>
  <cp:lastModifiedBy>Marco A. Arellano</cp:lastModifiedBy>
  <cp:revision/>
  <cp:lastPrinted>2024-10-15T19:09:18Z</cp:lastPrinted>
  <dcterms:created xsi:type="dcterms:W3CDTF">2024-07-31T05:29:34Z</dcterms:created>
  <dcterms:modified xsi:type="dcterms:W3CDTF">2024-10-15T19:09:37Z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0x010100260F0B92D886A04DAC72E375FCC88FB4</vt:lpwstr>
  </property>
</Properties>
</file>